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drawings/drawing3.xml" ContentType="application/vnd.openxmlformats-officedocument.drawing+xml"/>
  <Override PartName="/xl/tables/table1.xml" ContentType="application/vnd.openxmlformats-officedocument.spreadsheetml.table+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comments2.xml" ContentType="application/vnd.openxmlformats-officedocument.spreadsheetml.comments+xml"/>
  <Override PartName="/xl/drawings/drawing6.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drawings/drawing7.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omments3.xml" ContentType="application/vnd.openxmlformats-officedocument.spreadsheetml.comments+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tables/table8.xml" ContentType="application/vnd.openxmlformats-officedocument.spreadsheetml.table+xml"/>
  <Override PartName="/xl/comments4.xml" ContentType="application/vnd.openxmlformats-officedocument.spreadsheetml.comments+xml"/>
  <Override PartName="/xl/drawings/drawing9.xml" ContentType="application/vnd.openxmlformats-officedocument.drawing+xml"/>
  <Override PartName="/xl/tables/table9.xml" ContentType="application/vnd.openxmlformats-officedocument.spreadsheetml.table+xml"/>
  <Override PartName="/xl/comments5.xml" ContentType="application/vnd.openxmlformats-officedocument.spreadsheetml.comments+xml"/>
  <Override PartName="/xl/drawings/drawing10.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comments6.xml" ContentType="application/vnd.openxmlformats-officedocument.spreadsheetml.comments+xml"/>
  <Override PartName="/xl/drawings/drawing11.xml" ContentType="application/vnd.openxmlformats-officedocument.drawing+xml"/>
  <Override PartName="/xl/tables/table12.xml" ContentType="application/vnd.openxmlformats-officedocument.spreadsheetml.table+xml"/>
  <Override PartName="/xl/comments7.xml" ContentType="application/vnd.openxmlformats-officedocument.spreadsheetml.comments+xml"/>
  <Override PartName="/xl/drawings/drawing12.xml" ContentType="application/vnd.openxmlformats-officedocument.drawing+xml"/>
  <Override PartName="/xl/tables/table13.xml" ContentType="application/vnd.openxmlformats-officedocument.spreadsheetml.table+xml"/>
  <Override PartName="/xl/comments8.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codeName="ThisWorkbook" defaultThemeVersion="124226"/>
  <mc:AlternateContent xmlns:mc="http://schemas.openxmlformats.org/markup-compatibility/2006">
    <mc:Choice Requires="x15">
      <x15ac:absPath xmlns:x15ac="http://schemas.microsoft.com/office/spreadsheetml/2010/11/ac" url="C:\Users\ashimahara\Documents\50_Developpement\HydroCpp\Example\"/>
    </mc:Choice>
  </mc:AlternateContent>
  <xr:revisionPtr revIDLastSave="0" documentId="13_ncr:1_{E72D901A-A9B4-46B7-B58D-38A56D6E3F35}" xr6:coauthVersionLast="47" xr6:coauthVersionMax="47" xr10:uidLastSave="{00000000-0000-0000-0000-000000000000}"/>
  <bookViews>
    <workbookView xWindow="-120" yWindow="-120" windowWidth="29040" windowHeight="15840" tabRatio="782" firstSheet="1" activeTab="1" xr2:uid="{00000000-000D-0000-FFFF-FFFF00000000}"/>
  </bookViews>
  <sheets>
    <sheet name="00.Rev." sheetId="11" r:id="rId1"/>
    <sheet name="Recap" sheetId="8" r:id="rId2"/>
    <sheet name="Load Distrib" sheetId="30" r:id="rId3"/>
    <sheet name="01.General Data" sheetId="10" r:id="rId4"/>
    <sheet name="02.Hydrostatic" sheetId="18" r:id="rId5"/>
    <sheet name="03.Cross Curves" sheetId="19" r:id="rId6"/>
    <sheet name="04.Long. Section" sheetId="25" r:id="rId7"/>
    <sheet name="05.Hull &amp; Structure" sheetId="28" r:id="rId8"/>
    <sheet name="06.Ballasts" sheetId="21" r:id="rId9"/>
    <sheet name="07.Lifting" sheetId="4" r:id="rId10"/>
    <sheet name="08.Additionnals" sheetId="24" r:id="rId11"/>
    <sheet name="09.Deck Tank" sheetId="20" r:id="rId12"/>
  </sheets>
  <definedNames>
    <definedName name="B">'01.General Data'!$E$7</definedName>
    <definedName name="Ballasts_columns_step" localSheetId="8">'06.Ballasts'!$E$8</definedName>
    <definedName name="Ballasts_Nline" localSheetId="8">'06.Ballasts'!$B$3</definedName>
    <definedName name="DeckTank_column_step" localSheetId="11">'09.Deck Tank'!$C$3</definedName>
    <definedName name="Displ_max">'01.General Data'!$E$10</definedName>
    <definedName name="Displacement">Recap!$B$2</definedName>
    <definedName name="Draft">'02.Hydrostatic'!$B$3</definedName>
    <definedName name="Draft_aft">Recap!$E$6</definedName>
    <definedName name="Draft_Fore">Recap!$F$6</definedName>
    <definedName name="Draft_max">'01.General Data'!$E$11</definedName>
    <definedName name="FE_size">'01.General Data'!$E$18</definedName>
    <definedName name="FEM_Additionals" localSheetId="2">OFFSET(Tbl_Load_distrib[[#Headers],[Additionals]],1,0,'Load Distrib'!FEM_N_lines)</definedName>
    <definedName name="FEM_Ballast" localSheetId="2">OFFSET(Tbl_Load_distrib[[#Headers],[Ballast]],1,0,'Load Distrib'!FEM_N_lines)</definedName>
    <definedName name="FEM_Bending_Moment" localSheetId="2">OFFSET(Tbl_Load_distrib[[#Headers],[Bending Moment]],1,0,'Load Distrib'!FEM_N_lines)</definedName>
    <definedName name="FEM_Deck_tanks" localSheetId="2">OFFSET(Tbl_Load_distrib[[#Headers],[Deck tanks]],1,0,'Load Distrib'!FEM_N_lines)</definedName>
    <definedName name="FEM_Hull_Structure" localSheetId="2">OFFSET(Tbl_Load_distrib[[#Headers],[Hull &amp; Structure]],1,0,'Load Distrib'!FEM_N_lines)</definedName>
    <definedName name="FEM_Lifting" localSheetId="2">OFFSET(Tbl_Load_distrib[[#Headers],[Lifting]],1,0,'Load Distrib'!FEM_N_lines)</definedName>
    <definedName name="FEM_N_lines" localSheetId="2">'Load Distrib'!$K$4</definedName>
    <definedName name="FEM_Shearing_Force" localSheetId="2">OFFSET(Tbl_Load_distrib[[#Headers],[Shearing Force]],1,0,'Load Distrib'!FEM_N_lines)</definedName>
    <definedName name="FEM_x" localSheetId="2">OFFSET(Tbl_Load_distrib[[#Headers],[x]],1,0,'Load Distrib'!FEM_N_lines)</definedName>
    <definedName name="GM">Recap!$B$4</definedName>
    <definedName name="ixꙍ">Recap!$B$6</definedName>
    <definedName name="k_depl" localSheetId="2">'Load Distrib'!$Q$4</definedName>
    <definedName name="KG">Recap!$F$2</definedName>
    <definedName name="KM_T">'02.Hydrostatic'!$J$3</definedName>
    <definedName name="Last_Frame">'Load Distrib'!$B$4</definedName>
    <definedName name="LCB">'02.Hydrostatic'!$G$3</definedName>
    <definedName name="LCF">'02.Hydrostatic'!$I$3</definedName>
    <definedName name="LCG">Recap!$D$2</definedName>
    <definedName name="LD_From">#REF!</definedName>
    <definedName name="LD_To">#REF!</definedName>
    <definedName name="LD_Weight">#REF!</definedName>
    <definedName name="Lifting_Boom_Height">'07.Lifting'!$G$18</definedName>
    <definedName name="Lifting_Deck_Cover_Thk">'07.Lifting'!$G$15</definedName>
    <definedName name="Lifting_H_CoG_Crane">'07.Lifting'!$G$14</definedName>
    <definedName name="Lifting_Track_Length">'07.Lifting'!$G$17</definedName>
    <definedName name="Loa">'01.General Data'!$E$5</definedName>
    <definedName name="LoadDistrib_LCG_corr">'Load Distrib'!$X$5</definedName>
    <definedName name="LongSection_Draft">'04.Long. Section'!$V$1</definedName>
    <definedName name="LongSection_DraftAft">'04.Long. Section'!$AK$3</definedName>
    <definedName name="LongSection_DraftFore">'04.Long. Section'!$AL$3</definedName>
    <definedName name="LongSection_LCB">'04.Long. Section'!$AU$1</definedName>
    <definedName name="LongSection_RML">'04.Long. Section'!$AS$1</definedName>
    <definedName name="LongSection_VCB">'04.Long. Section'!$AW$1</definedName>
    <definedName name="LongSection_X" localSheetId="6">Tbl_Long_Definition[X]</definedName>
    <definedName name="LongSection_Y" localSheetId="6">Tbl_Long_Definition[Y]</definedName>
    <definedName name="LongSection_ΔT">'04.Long. Section'!$AJ$3</definedName>
    <definedName name="Lpp">'01.General Data'!$E$6</definedName>
    <definedName name="M_depth">'01.General Data'!$E$8</definedName>
    <definedName name="MCT">'02.Hydrostatic'!$F$3</definedName>
    <definedName name="Recap_Additionals">Recap!$A$44:$M$55</definedName>
    <definedName name="Recap_Ballasts">Recap!$D$28:$G$35</definedName>
    <definedName name="Recap_Deck_Tank">Recap!$A$21:$N$24</definedName>
    <definedName name="Recap_Lifting">Recap!$A$38:$L$41</definedName>
    <definedName name="Ship_Name">'01.General Data'!$B$4</definedName>
    <definedName name="TCB">'02.Hydrostatic'!$H$3</definedName>
    <definedName name="TCG">Recap!$E$2</definedName>
    <definedName name="Zcog">Recap!$F$2</definedName>
    <definedName name="_xlnm.Print_Area" localSheetId="1">Recap!$B$1:$U$51</definedName>
    <definedName name="Δ_calc">'01.General Data'!$E$19</definedName>
    <definedName name="Δ_hba">'01.General Data'!$E$20</definedName>
    <definedName name="Δhydro">'01.General Data'!$E$21</definedName>
    <definedName name="Δlist">Recap!$G$4</definedName>
    <definedName name="Δtrim">Recap!$G$7</definedName>
    <definedName name="θlist">Recap!$G$3</definedName>
    <definedName name="θtrim">Recap!$G$6</definedName>
    <definedName name="ρ_sw">'01.General Data'!$E$22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5" i="8" l="1"/>
  <c r="HV3" i="21"/>
  <c r="HL3" i="21"/>
  <c r="HB3" i="21"/>
  <c r="GR3" i="21"/>
  <c r="GH3" i="21"/>
  <c r="FX3" i="21"/>
  <c r="FN3" i="21"/>
  <c r="FD3" i="21"/>
  <c r="ET3" i="21"/>
  <c r="EJ3" i="21"/>
  <c r="DZ3" i="21"/>
  <c r="DP3" i="21"/>
  <c r="DF3" i="21"/>
  <c r="CV3" i="21"/>
  <c r="CL3" i="21"/>
  <c r="CB3" i="21"/>
  <c r="BR3" i="21"/>
  <c r="BH3" i="21"/>
  <c r="AX3" i="21"/>
  <c r="AH3" i="21"/>
  <c r="AH2" i="21"/>
  <c r="IF3" i="21" l="1"/>
  <c r="AN3" i="21"/>
  <c r="KG10" i="21"/>
  <c r="KF10" i="21"/>
  <c r="KE10" i="21"/>
  <c r="KD10" i="21"/>
  <c r="KC10" i="21"/>
  <c r="KB10" i="21"/>
  <c r="KA10" i="21"/>
  <c r="KQ10" i="21"/>
  <c r="KP10" i="21"/>
  <c r="KO10" i="21"/>
  <c r="KN10" i="21"/>
  <c r="KM10" i="21"/>
  <c r="KL10" i="21"/>
  <c r="KK10" i="21"/>
  <c r="JW10" i="21"/>
  <c r="JV10" i="21"/>
  <c r="JU10" i="21"/>
  <c r="JT10" i="21"/>
  <c r="JS10" i="21"/>
  <c r="JR10" i="21"/>
  <c r="JQ10" i="21"/>
  <c r="JM10" i="21"/>
  <c r="JL10" i="21"/>
  <c r="JK10" i="21"/>
  <c r="JJ10" i="21"/>
  <c r="JI10" i="21"/>
  <c r="JH10" i="21"/>
  <c r="JG10" i="21"/>
  <c r="JC10" i="21"/>
  <c r="JB10" i="21"/>
  <c r="JA10" i="21"/>
  <c r="IZ10" i="21"/>
  <c r="IY10" i="21"/>
  <c r="IX10" i="21"/>
  <c r="IW10" i="21"/>
  <c r="IZ3" i="21"/>
  <c r="L45" i="8"/>
  <c r="KC11" i="21" l="1"/>
  <c r="JI11" i="21"/>
  <c r="JI12" i="21" s="1"/>
  <c r="KM11" i="21"/>
  <c r="KL11" i="21" s="1"/>
  <c r="JS11" i="21"/>
  <c r="IY11" i="21"/>
  <c r="IX11" i="21" s="1"/>
  <c r="KC12" i="21" l="1"/>
  <c r="KB11" i="21"/>
  <c r="KA11" i="21"/>
  <c r="KK11" i="21"/>
  <c r="KN11" i="21" s="1"/>
  <c r="KP11" i="21" s="1"/>
  <c r="JH11" i="21"/>
  <c r="JH12" i="21" s="1"/>
  <c r="JG11" i="21"/>
  <c r="KM12" i="21"/>
  <c r="KL12" i="21" s="1"/>
  <c r="JS12" i="21"/>
  <c r="JR11" i="21"/>
  <c r="JQ11" i="21"/>
  <c r="JI13" i="21"/>
  <c r="IY12" i="21"/>
  <c r="IX12" i="21" s="1"/>
  <c r="IW11" i="21"/>
  <c r="IZ11" i="21" s="1"/>
  <c r="KM13" i="21" l="1"/>
  <c r="KL13" i="21" s="1"/>
  <c r="KB12" i="21"/>
  <c r="JJ11" i="21"/>
  <c r="JL11" i="21" s="1"/>
  <c r="KR10" i="21"/>
  <c r="KA12" i="21"/>
  <c r="KH10" i="21"/>
  <c r="KC13" i="21"/>
  <c r="KD11" i="21"/>
  <c r="JH13" i="21"/>
  <c r="JR12" i="21"/>
  <c r="JN10" i="21"/>
  <c r="KQ11" i="21"/>
  <c r="KO11" i="21"/>
  <c r="JG12" i="21"/>
  <c r="JG13" i="21" s="1"/>
  <c r="KK12" i="21"/>
  <c r="KN12" i="21" s="1"/>
  <c r="KQ12" i="21" s="1"/>
  <c r="JQ12" i="21"/>
  <c r="JX10" i="21"/>
  <c r="JT11" i="21"/>
  <c r="JS13" i="21"/>
  <c r="JI14" i="21"/>
  <c r="JC11" i="21"/>
  <c r="JA11" i="21"/>
  <c r="JB11" i="21"/>
  <c r="IW12" i="21"/>
  <c r="IZ12" i="21" s="1"/>
  <c r="JD10" i="21"/>
  <c r="IY13" i="21"/>
  <c r="KM14" i="21" l="1"/>
  <c r="KM15" i="21" s="1"/>
  <c r="JH14" i="21"/>
  <c r="KK13" i="21"/>
  <c r="KN13" i="21" s="1"/>
  <c r="JK11" i="21"/>
  <c r="KR11" i="21"/>
  <c r="JM11" i="21"/>
  <c r="KC14" i="21"/>
  <c r="KB13" i="21"/>
  <c r="KE11" i="21"/>
  <c r="KG11" i="21"/>
  <c r="KF11" i="21"/>
  <c r="KD12" i="21"/>
  <c r="KA13" i="21"/>
  <c r="KH11" i="21"/>
  <c r="KO12" i="21"/>
  <c r="JJ12" i="21"/>
  <c r="JN11" i="21"/>
  <c r="JN12" i="21" s="1"/>
  <c r="JC12" i="21"/>
  <c r="KP12" i="21"/>
  <c r="JW11" i="21"/>
  <c r="JV11" i="21"/>
  <c r="JU11" i="21"/>
  <c r="JT12" i="21"/>
  <c r="JS14" i="21"/>
  <c r="JR13" i="21"/>
  <c r="JQ13" i="21"/>
  <c r="JX11" i="21"/>
  <c r="JG14" i="21"/>
  <c r="JI15" i="21"/>
  <c r="IY14" i="21"/>
  <c r="JB12" i="21"/>
  <c r="IW13" i="21"/>
  <c r="JD11" i="21"/>
  <c r="JA12" i="21"/>
  <c r="IX13" i="21"/>
  <c r="E9" i="25"/>
  <c r="F9" i="25"/>
  <c r="KL14" i="21" l="1"/>
  <c r="KL15" i="21" s="1"/>
  <c r="KO13" i="21"/>
  <c r="KB14" i="21"/>
  <c r="JH15" i="21"/>
  <c r="JK12" i="21"/>
  <c r="KK14" i="21"/>
  <c r="KK15" i="21" s="1"/>
  <c r="KR12" i="21"/>
  <c r="JJ13" i="21"/>
  <c r="KD13" i="21"/>
  <c r="JL12" i="21"/>
  <c r="JW12" i="21"/>
  <c r="JM12" i="21"/>
  <c r="KF12" i="21"/>
  <c r="KE12" i="21"/>
  <c r="KC15" i="21"/>
  <c r="KA14" i="21"/>
  <c r="KH12" i="21"/>
  <c r="KG12" i="21"/>
  <c r="KP13" i="21"/>
  <c r="IX14" i="21"/>
  <c r="KM16" i="21"/>
  <c r="KQ13" i="21"/>
  <c r="JR14" i="21"/>
  <c r="JQ14" i="21"/>
  <c r="JX12" i="21"/>
  <c r="JU12" i="21"/>
  <c r="JS15" i="21"/>
  <c r="JT13" i="21"/>
  <c r="JV12" i="21"/>
  <c r="JG15" i="21"/>
  <c r="JN13" i="21"/>
  <c r="JI16" i="21"/>
  <c r="IW14" i="21"/>
  <c r="JD12" i="21"/>
  <c r="IY15" i="21"/>
  <c r="IZ13" i="21"/>
  <c r="JB13" i="21" s="1"/>
  <c r="L46" i="8"/>
  <c r="J46" i="8"/>
  <c r="J45" i="8"/>
  <c r="M45" i="8"/>
  <c r="KN14" i="21" l="1"/>
  <c r="KQ14" i="21" s="1"/>
  <c r="JK13" i="21"/>
  <c r="JM13" i="21"/>
  <c r="KR13" i="21"/>
  <c r="KR14" i="21" s="1"/>
  <c r="IX15" i="21"/>
  <c r="KL16" i="21"/>
  <c r="JL13" i="21"/>
  <c r="KE13" i="21"/>
  <c r="KF13" i="21"/>
  <c r="KG13" i="21"/>
  <c r="JJ14" i="21"/>
  <c r="KC16" i="21"/>
  <c r="KB15" i="21"/>
  <c r="KA15" i="21"/>
  <c r="KH13" i="21"/>
  <c r="KD14" i="21"/>
  <c r="JT14" i="21"/>
  <c r="JW13" i="21"/>
  <c r="JV13" i="21"/>
  <c r="KK16" i="21"/>
  <c r="KM17" i="21"/>
  <c r="JS16" i="21"/>
  <c r="JU13" i="21"/>
  <c r="JQ15" i="21"/>
  <c r="JX13" i="21"/>
  <c r="JR15" i="21"/>
  <c r="JI17" i="21"/>
  <c r="JG16" i="21"/>
  <c r="JN14" i="21"/>
  <c r="JH16" i="21"/>
  <c r="JA13" i="21"/>
  <c r="JC13" i="21"/>
  <c r="IZ14" i="21"/>
  <c r="IY16" i="21"/>
  <c r="IW15" i="21"/>
  <c r="JD13" i="21"/>
  <c r="I47" i="8"/>
  <c r="I48" i="8"/>
  <c r="I46" i="8"/>
  <c r="KP14" i="21" l="1"/>
  <c r="KN15" i="21"/>
  <c r="KO14" i="21"/>
  <c r="KO15" i="21" s="1"/>
  <c r="JU14" i="21"/>
  <c r="JK14" i="21"/>
  <c r="KE14" i="21"/>
  <c r="JV14" i="21"/>
  <c r="JL14" i="21"/>
  <c r="KF14" i="21"/>
  <c r="KL17" i="21"/>
  <c r="JJ15" i="21"/>
  <c r="JW14" i="21"/>
  <c r="KB16" i="21"/>
  <c r="JM14" i="21"/>
  <c r="KA16" i="21"/>
  <c r="KH14" i="21"/>
  <c r="KC17" i="21"/>
  <c r="KD15" i="21"/>
  <c r="KG14" i="21"/>
  <c r="JA14" i="21"/>
  <c r="JH17" i="21"/>
  <c r="JC14" i="21"/>
  <c r="JR16" i="21"/>
  <c r="KN16" i="21"/>
  <c r="KQ15" i="21"/>
  <c r="KK17" i="21"/>
  <c r="KR15" i="21"/>
  <c r="KM18" i="21"/>
  <c r="JQ16" i="21"/>
  <c r="JX14" i="21"/>
  <c r="JS17" i="21"/>
  <c r="JT15" i="21"/>
  <c r="JN15" i="21"/>
  <c r="JG17" i="21"/>
  <c r="JI18" i="21"/>
  <c r="IW16" i="21"/>
  <c r="JD14" i="21"/>
  <c r="IY17" i="21"/>
  <c r="IZ15" i="21"/>
  <c r="IX16" i="21"/>
  <c r="JB14" i="21"/>
  <c r="K6" i="25"/>
  <c r="JH18" i="21" l="1"/>
  <c r="KP15" i="21"/>
  <c r="JU15" i="21"/>
  <c r="JM15" i="21"/>
  <c r="JK15" i="21"/>
  <c r="JJ16" i="21"/>
  <c r="JJ17" i="21" s="1"/>
  <c r="JL15" i="21"/>
  <c r="JA15" i="21"/>
  <c r="KL18" i="21"/>
  <c r="KD16" i="21"/>
  <c r="JR17" i="21"/>
  <c r="KC18" i="21"/>
  <c r="KB17" i="21"/>
  <c r="KA17" i="21"/>
  <c r="KH15" i="21"/>
  <c r="KF15" i="21"/>
  <c r="KG15" i="21"/>
  <c r="KE15" i="21"/>
  <c r="IZ16" i="21"/>
  <c r="KN17" i="21"/>
  <c r="KP16" i="21"/>
  <c r="KP17" i="21" s="1"/>
  <c r="JB15" i="21"/>
  <c r="KR16" i="21"/>
  <c r="KK18" i="21"/>
  <c r="KQ16" i="21"/>
  <c r="KM19" i="21"/>
  <c r="KO16" i="21"/>
  <c r="JQ17" i="21"/>
  <c r="JX15" i="21"/>
  <c r="JW15" i="21"/>
  <c r="JS18" i="21"/>
  <c r="JT16" i="21"/>
  <c r="JV15" i="21"/>
  <c r="JI19" i="21"/>
  <c r="JH19" i="21" s="1"/>
  <c r="JG18" i="21"/>
  <c r="JN16" i="21"/>
  <c r="IY18" i="21"/>
  <c r="JC15" i="21"/>
  <c r="IX17" i="21"/>
  <c r="JD15" i="21"/>
  <c r="IW17" i="21"/>
  <c r="B6" i="30"/>
  <c r="B4" i="30"/>
  <c r="K7" i="25" s="1"/>
  <c r="K8" i="25" s="1"/>
  <c r="K9" i="25" s="1"/>
  <c r="K10" i="25" s="1"/>
  <c r="K11" i="25" s="1"/>
  <c r="K12" i="25" s="1"/>
  <c r="K13" i="25" s="1"/>
  <c r="K14" i="25" s="1"/>
  <c r="K15" i="25" s="1"/>
  <c r="K16" i="25" s="1"/>
  <c r="K17" i="25" s="1"/>
  <c r="K18" i="25" s="1"/>
  <c r="K19" i="25" s="1"/>
  <c r="K20" i="25" s="1"/>
  <c r="K21" i="25" s="1"/>
  <c r="K22" i="25" s="1"/>
  <c r="K23" i="25" s="1"/>
  <c r="K24" i="25" s="1"/>
  <c r="K25" i="25" s="1"/>
  <c r="K26" i="25" s="1"/>
  <c r="K27" i="25" s="1"/>
  <c r="K28" i="25" s="1"/>
  <c r="K29" i="25" s="1"/>
  <c r="K30" i="25" s="1"/>
  <c r="K31" i="25" s="1"/>
  <c r="K32" i="25" s="1"/>
  <c r="K33" i="25" s="1"/>
  <c r="K34" i="25" s="1"/>
  <c r="K35" i="25" s="1"/>
  <c r="K36" i="25" s="1"/>
  <c r="K37" i="25" s="1"/>
  <c r="K38" i="25" s="1"/>
  <c r="K39" i="25" s="1"/>
  <c r="K40" i="25" s="1"/>
  <c r="K41" i="25" s="1"/>
  <c r="K42" i="25" s="1"/>
  <c r="K43" i="25" s="1"/>
  <c r="K44" i="25" s="1"/>
  <c r="K45" i="25" s="1"/>
  <c r="K46" i="25" s="1"/>
  <c r="K47" i="25" s="1"/>
  <c r="K48" i="25" s="1"/>
  <c r="K49" i="25" s="1"/>
  <c r="K50" i="25" s="1"/>
  <c r="K51" i="25" s="1"/>
  <c r="K52" i="25" s="1"/>
  <c r="K53" i="25" s="1"/>
  <c r="K54" i="25" s="1"/>
  <c r="K55" i="25" s="1"/>
  <c r="K56" i="25" s="1"/>
  <c r="K57" i="25" s="1"/>
  <c r="K58" i="25" s="1"/>
  <c r="K59" i="25" s="1"/>
  <c r="K60" i="25" s="1"/>
  <c r="K61" i="25" s="1"/>
  <c r="K62" i="25" s="1"/>
  <c r="K63" i="25" s="1"/>
  <c r="K64" i="25" s="1"/>
  <c r="K65" i="25" s="1"/>
  <c r="K66" i="25" s="1"/>
  <c r="K67" i="25" s="1"/>
  <c r="K68" i="25" s="1"/>
  <c r="K69" i="25" s="1"/>
  <c r="K70" i="25" s="1"/>
  <c r="K71" i="25" s="1"/>
  <c r="K72" i="25" s="1"/>
  <c r="K73" i="25" s="1"/>
  <c r="K74" i="25" s="1"/>
  <c r="K75" i="25" s="1"/>
  <c r="K76" i="25" s="1"/>
  <c r="K77" i="25" s="1"/>
  <c r="K78" i="25" s="1"/>
  <c r="K79" i="25" s="1"/>
  <c r="K80" i="25" s="1"/>
  <c r="K81" i="25" s="1"/>
  <c r="K82" i="25" s="1"/>
  <c r="K83" i="25" s="1"/>
  <c r="K84" i="25" s="1"/>
  <c r="K85" i="25" s="1"/>
  <c r="K86" i="25" s="1"/>
  <c r="K87" i="25" s="1"/>
  <c r="K88" i="25" s="1"/>
  <c r="K89" i="25" s="1"/>
  <c r="K90" i="25" s="1"/>
  <c r="K91" i="25" s="1"/>
  <c r="K92" i="25" s="1"/>
  <c r="K93" i="25" s="1"/>
  <c r="K94" i="25" s="1"/>
  <c r="K95" i="25" s="1"/>
  <c r="K96" i="25" s="1"/>
  <c r="K97" i="25" s="1"/>
  <c r="K98" i="25" s="1"/>
  <c r="K99" i="25" s="1"/>
  <c r="K100" i="25" s="1"/>
  <c r="K101" i="25" s="1"/>
  <c r="K102" i="25" s="1"/>
  <c r="K103" i="25" s="1"/>
  <c r="K104" i="25" s="1"/>
  <c r="K105" i="25" s="1"/>
  <c r="K106" i="25" s="1"/>
  <c r="K107" i="25" s="1"/>
  <c r="K108" i="25" s="1"/>
  <c r="K109" i="25" s="1"/>
  <c r="K110" i="25" s="1"/>
  <c r="K111" i="25" s="1"/>
  <c r="K112" i="25" s="1"/>
  <c r="K113" i="25" s="1"/>
  <c r="K114" i="25" s="1"/>
  <c r="K115" i="25" s="1"/>
  <c r="K116" i="25" s="1"/>
  <c r="K117" i="25" s="1"/>
  <c r="K118" i="25" s="1"/>
  <c r="K119" i="25" s="1"/>
  <c r="K120" i="25" s="1"/>
  <c r="K121" i="25" s="1"/>
  <c r="K122" i="25" s="1"/>
  <c r="K123" i="25" s="1"/>
  <c r="K124" i="25" s="1"/>
  <c r="K125" i="25" s="1"/>
  <c r="K126" i="25" s="1"/>
  <c r="K127" i="25" s="1"/>
  <c r="K128" i="25" s="1"/>
  <c r="K129" i="25" s="1"/>
  <c r="K130" i="25" s="1"/>
  <c r="K131" i="25" s="1"/>
  <c r="K132" i="25" s="1"/>
  <c r="K133" i="25" s="1"/>
  <c r="K134" i="25" s="1"/>
  <c r="K135" i="25" s="1"/>
  <c r="K136" i="25" s="1"/>
  <c r="K137" i="25" s="1"/>
  <c r="K138" i="25" s="1"/>
  <c r="K139" i="25" s="1"/>
  <c r="K140" i="25" s="1"/>
  <c r="K141" i="25" s="1"/>
  <c r="K142" i="25" s="1"/>
  <c r="K143" i="25" s="1"/>
  <c r="K144" i="25" s="1"/>
  <c r="K145" i="25" s="1"/>
  <c r="K146" i="25" s="1"/>
  <c r="K147" i="25" s="1"/>
  <c r="K148" i="25" s="1"/>
  <c r="K149" i="25" s="1"/>
  <c r="K150" i="25" s="1"/>
  <c r="K151" i="25" s="1"/>
  <c r="K152" i="25" s="1"/>
  <c r="K153" i="25" s="1"/>
  <c r="K154" i="25" s="1"/>
  <c r="K155" i="25" s="1"/>
  <c r="K156" i="25" s="1"/>
  <c r="K157" i="25" s="1"/>
  <c r="K158" i="25" s="1"/>
  <c r="K159" i="25" s="1"/>
  <c r="K160" i="25" s="1"/>
  <c r="K161" i="25" s="1"/>
  <c r="K162" i="25" s="1"/>
  <c r="K163" i="25" s="1"/>
  <c r="K164" i="25" s="1"/>
  <c r="K165" i="25" s="1"/>
  <c r="K166" i="25" s="1"/>
  <c r="K167" i="25" s="1"/>
  <c r="K168" i="25" s="1"/>
  <c r="K169" i="25" s="1"/>
  <c r="K170" i="25" s="1"/>
  <c r="K171" i="25" s="1"/>
  <c r="K172" i="25" s="1"/>
  <c r="K173" i="25" s="1"/>
  <c r="K174" i="25" s="1"/>
  <c r="K175" i="25" s="1"/>
  <c r="K176" i="25" s="1"/>
  <c r="K177" i="25" s="1"/>
  <c r="K178" i="25" s="1"/>
  <c r="K179" i="25" s="1"/>
  <c r="K180" i="25" s="1"/>
  <c r="K181" i="25" s="1"/>
  <c r="K182" i="25" s="1"/>
  <c r="K183" i="25" s="1"/>
  <c r="K184" i="25" s="1"/>
  <c r="K185" i="25" s="1"/>
  <c r="K186" i="25" s="1"/>
  <c r="K187" i="25" s="1"/>
  <c r="K188" i="25" s="1"/>
  <c r="K189" i="25" s="1"/>
  <c r="K190" i="25" s="1"/>
  <c r="K191" i="25" s="1"/>
  <c r="K192" i="25" s="1"/>
  <c r="K193" i="25" s="1"/>
  <c r="K194" i="25" s="1"/>
  <c r="K195" i="25" s="1"/>
  <c r="K196" i="25" s="1"/>
  <c r="K197" i="25" s="1"/>
  <c r="K198" i="25" s="1"/>
  <c r="K199" i="25" s="1"/>
  <c r="K200" i="25" s="1"/>
  <c r="K201" i="25" s="1"/>
  <c r="K202" i="25" s="1"/>
  <c r="K203" i="25" s="1"/>
  <c r="K204" i="25" s="1"/>
  <c r="K205" i="25" s="1"/>
  <c r="K206" i="25" s="1"/>
  <c r="K207" i="25" s="1"/>
  <c r="K208" i="25" s="1"/>
  <c r="K209" i="25" s="1"/>
  <c r="K210" i="25" s="1"/>
  <c r="K211" i="25" s="1"/>
  <c r="K212" i="25" s="1"/>
  <c r="K213" i="25" s="1"/>
  <c r="K214" i="25" s="1"/>
  <c r="K215" i="25" s="1"/>
  <c r="K216" i="25" s="1"/>
  <c r="K217" i="25" s="1"/>
  <c r="K218" i="25" s="1"/>
  <c r="K219" i="25" s="1"/>
  <c r="K220" i="25" s="1"/>
  <c r="K221" i="25" s="1"/>
  <c r="K222" i="25" s="1"/>
  <c r="K223" i="25" s="1"/>
  <c r="K224" i="25" s="1"/>
  <c r="K225" i="25" s="1"/>
  <c r="K226" i="25" s="1"/>
  <c r="K227" i="25" s="1"/>
  <c r="K228" i="25" s="1"/>
  <c r="K229" i="25" s="1"/>
  <c r="K230" i="25" s="1"/>
  <c r="K231" i="25" s="1"/>
  <c r="K232" i="25" s="1"/>
  <c r="K233" i="25" s="1"/>
  <c r="K234" i="25" s="1"/>
  <c r="K235" i="25" s="1"/>
  <c r="K236" i="25" s="1"/>
  <c r="K237" i="25" s="1"/>
  <c r="K238" i="25" s="1"/>
  <c r="K239" i="25" s="1"/>
  <c r="K240" i="25" s="1"/>
  <c r="K241" i="25" s="1"/>
  <c r="K242" i="25" s="1"/>
  <c r="K243" i="25" s="1"/>
  <c r="K244" i="25" s="1"/>
  <c r="K245" i="25" s="1"/>
  <c r="K246" i="25" s="1"/>
  <c r="K247" i="25" s="1"/>
  <c r="K248" i="25" s="1"/>
  <c r="K249" i="25" s="1"/>
  <c r="K250" i="25" s="1"/>
  <c r="K251" i="25" s="1"/>
  <c r="K252" i="25" s="1"/>
  <c r="K253" i="25" s="1"/>
  <c r="K254" i="25" s="1"/>
  <c r="K255" i="25" s="1"/>
  <c r="K256" i="25" s="1"/>
  <c r="K257" i="25" s="1"/>
  <c r="K258" i="25" s="1"/>
  <c r="K259" i="25" s="1"/>
  <c r="K260" i="25" s="1"/>
  <c r="K261" i="25" s="1"/>
  <c r="K262" i="25" s="1"/>
  <c r="K263" i="25" s="1"/>
  <c r="K264" i="25" s="1"/>
  <c r="K265" i="25" s="1"/>
  <c r="K266" i="25" s="1"/>
  <c r="K267" i="25" s="1"/>
  <c r="K268" i="25" s="1"/>
  <c r="K269" i="25" s="1"/>
  <c r="K270" i="25" s="1"/>
  <c r="K271" i="25" s="1"/>
  <c r="K272" i="25" s="1"/>
  <c r="K273" i="25" s="1"/>
  <c r="K274" i="25" s="1"/>
  <c r="K275" i="25" s="1"/>
  <c r="K276" i="25" s="1"/>
  <c r="K277" i="25" s="1"/>
  <c r="K278" i="25" s="1"/>
  <c r="K279" i="25" s="1"/>
  <c r="K280" i="25" s="1"/>
  <c r="K281" i="25" s="1"/>
  <c r="K282" i="25" s="1"/>
  <c r="K283" i="25" s="1"/>
  <c r="K284" i="25" s="1"/>
  <c r="K285" i="25" s="1"/>
  <c r="K286" i="25" s="1"/>
  <c r="K287" i="25" s="1"/>
  <c r="K288" i="25" s="1"/>
  <c r="K289" i="25" s="1"/>
  <c r="K290" i="25" s="1"/>
  <c r="K291" i="25" s="1"/>
  <c r="K292" i="25" s="1"/>
  <c r="K293" i="25" s="1"/>
  <c r="K294" i="25" s="1"/>
  <c r="K295" i="25" s="1"/>
  <c r="K296" i="25" s="1"/>
  <c r="K297" i="25" s="1"/>
  <c r="K298" i="25" s="1"/>
  <c r="K299" i="25" s="1"/>
  <c r="K300" i="25" s="1"/>
  <c r="KL19" i="21" l="1"/>
  <c r="KB18" i="21"/>
  <c r="JL16" i="21"/>
  <c r="JL17" i="21" s="1"/>
  <c r="JM16" i="21"/>
  <c r="JM17" i="21" s="1"/>
  <c r="JK16" i="21"/>
  <c r="JK17" i="21" s="1"/>
  <c r="JC16" i="21"/>
  <c r="JA16" i="21"/>
  <c r="KQ17" i="21"/>
  <c r="KG16" i="21"/>
  <c r="IX18" i="21"/>
  <c r="KO17" i="21"/>
  <c r="JB16" i="21"/>
  <c r="KE16" i="21"/>
  <c r="JT17" i="21"/>
  <c r="KF16" i="21"/>
  <c r="KH16" i="21"/>
  <c r="KA18" i="21"/>
  <c r="KC19" i="21"/>
  <c r="KB19" i="21" s="1"/>
  <c r="KD17" i="21"/>
  <c r="JV16" i="21"/>
  <c r="JJ18" i="21"/>
  <c r="KM20" i="21"/>
  <c r="KL20" i="21" s="1"/>
  <c r="KR17" i="21"/>
  <c r="KK19" i="21"/>
  <c r="KN18" i="21"/>
  <c r="JS19" i="21"/>
  <c r="JU16" i="21"/>
  <c r="JW16" i="21"/>
  <c r="JR18" i="21"/>
  <c r="JX16" i="21"/>
  <c r="JQ18" i="21"/>
  <c r="JN17" i="21"/>
  <c r="JG19" i="21"/>
  <c r="JI20" i="21"/>
  <c r="JH20" i="21" s="1"/>
  <c r="IY19" i="21"/>
  <c r="IW18" i="21"/>
  <c r="JD16" i="21"/>
  <c r="IZ17" i="21"/>
  <c r="B7" i="30"/>
  <c r="B8" i="30" s="1"/>
  <c r="B9" i="30" s="1"/>
  <c r="B10" i="30" s="1"/>
  <c r="B11" i="30" s="1"/>
  <c r="B12" i="30" s="1"/>
  <c r="B13" i="30" s="1"/>
  <c r="B14" i="30" s="1"/>
  <c r="B15" i="30" s="1"/>
  <c r="B16" i="30" s="1"/>
  <c r="B17" i="30" s="1"/>
  <c r="B18" i="30" s="1"/>
  <c r="B19" i="30" s="1"/>
  <c r="B20" i="30" s="1"/>
  <c r="B21" i="30" s="1"/>
  <c r="B22" i="30" s="1"/>
  <c r="B23" i="30" s="1"/>
  <c r="B24" i="30" s="1"/>
  <c r="B25" i="30" s="1"/>
  <c r="B26" i="30" s="1"/>
  <c r="B27" i="30" s="1"/>
  <c r="B28" i="30" s="1"/>
  <c r="B29" i="30" s="1"/>
  <c r="B30" i="30" s="1"/>
  <c r="B31" i="30" s="1"/>
  <c r="B32" i="30" s="1"/>
  <c r="B33" i="30" s="1"/>
  <c r="B34" i="30" s="1"/>
  <c r="B35" i="30" s="1"/>
  <c r="B36" i="30" s="1"/>
  <c r="B37" i="30" s="1"/>
  <c r="B38" i="30" s="1"/>
  <c r="B39" i="30" s="1"/>
  <c r="B40" i="30" s="1"/>
  <c r="B41" i="30" s="1"/>
  <c r="B42" i="30" s="1"/>
  <c r="B43" i="30" s="1"/>
  <c r="B44" i="30" s="1"/>
  <c r="B45" i="30" s="1"/>
  <c r="B46" i="30" s="1"/>
  <c r="B47" i="30" s="1"/>
  <c r="B48" i="30" s="1"/>
  <c r="B49" i="30" s="1"/>
  <c r="B50" i="30" s="1"/>
  <c r="B51" i="30" s="1"/>
  <c r="B52" i="30" s="1"/>
  <c r="B53" i="30" s="1"/>
  <c r="B54" i="30" s="1"/>
  <c r="B55" i="30" s="1"/>
  <c r="B56" i="30" s="1"/>
  <c r="B57" i="30" s="1"/>
  <c r="B58" i="30" s="1"/>
  <c r="B59" i="30" s="1"/>
  <c r="B60" i="30" s="1"/>
  <c r="B61" i="30" s="1"/>
  <c r="B62" i="30" s="1"/>
  <c r="B63" i="30" s="1"/>
  <c r="B64" i="30" s="1"/>
  <c r="B65" i="30" s="1"/>
  <c r="B66" i="30" s="1"/>
  <c r="B67" i="30" s="1"/>
  <c r="B68" i="30" s="1"/>
  <c r="B69" i="30" s="1"/>
  <c r="B70" i="30" s="1"/>
  <c r="B71" i="30" s="1"/>
  <c r="B72" i="30" s="1"/>
  <c r="B73" i="30" s="1"/>
  <c r="B74" i="30" s="1"/>
  <c r="B75" i="30" s="1"/>
  <c r="B76" i="30" s="1"/>
  <c r="B77" i="30" s="1"/>
  <c r="B78" i="30" s="1"/>
  <c r="B79" i="30" s="1"/>
  <c r="B80" i="30" s="1"/>
  <c r="B81" i="30" s="1"/>
  <c r="B82" i="30" s="1"/>
  <c r="B83" i="30" s="1"/>
  <c r="B84" i="30" s="1"/>
  <c r="B85" i="30" s="1"/>
  <c r="B86" i="30" s="1"/>
  <c r="B87" i="30" s="1"/>
  <c r="B88" i="30" s="1"/>
  <c r="B89" i="30" s="1"/>
  <c r="B90" i="30" s="1"/>
  <c r="B91" i="30" s="1"/>
  <c r="B92" i="30" s="1"/>
  <c r="B93" i="30" s="1"/>
  <c r="B94" i="30" s="1"/>
  <c r="B95" i="30" s="1"/>
  <c r="B96" i="30" s="1"/>
  <c r="B97" i="30" s="1"/>
  <c r="B98" i="30" s="1"/>
  <c r="B99" i="30" s="1"/>
  <c r="B100" i="30" s="1"/>
  <c r="B101" i="30" s="1"/>
  <c r="B102" i="30" s="1"/>
  <c r="B103" i="30" s="1"/>
  <c r="B104" i="30" s="1"/>
  <c r="B105" i="30" s="1"/>
  <c r="B106" i="30" s="1"/>
  <c r="B107" i="30" s="1"/>
  <c r="B108" i="30" s="1"/>
  <c r="B109" i="30" s="1"/>
  <c r="B110" i="30" s="1"/>
  <c r="B111" i="30" s="1"/>
  <c r="B112" i="30" s="1"/>
  <c r="B113" i="30" s="1"/>
  <c r="B114" i="30" s="1"/>
  <c r="B115" i="30" s="1"/>
  <c r="B116" i="30" s="1"/>
  <c r="B117" i="30" s="1"/>
  <c r="B118" i="30" s="1"/>
  <c r="B119" i="30" s="1"/>
  <c r="B120" i="30" s="1"/>
  <c r="B121" i="30" s="1"/>
  <c r="B122" i="30" s="1"/>
  <c r="B123" i="30" s="1"/>
  <c r="B124" i="30" s="1"/>
  <c r="B125" i="30" s="1"/>
  <c r="B126" i="30" s="1"/>
  <c r="B127" i="30" s="1"/>
  <c r="B128" i="30" s="1"/>
  <c r="B129" i="30" s="1"/>
  <c r="B130" i="30" s="1"/>
  <c r="B131" i="30" s="1"/>
  <c r="B132" i="30" s="1"/>
  <c r="B133" i="30" s="1"/>
  <c r="B134" i="30" s="1"/>
  <c r="B135" i="30" s="1"/>
  <c r="B136" i="30" s="1"/>
  <c r="B137" i="30" s="1"/>
  <c r="B138" i="30" s="1"/>
  <c r="B139" i="30" s="1"/>
  <c r="B140" i="30" s="1"/>
  <c r="B141" i="30" s="1"/>
  <c r="B142" i="30" s="1"/>
  <c r="B143" i="30" s="1"/>
  <c r="B144" i="30" s="1"/>
  <c r="B145" i="30" s="1"/>
  <c r="B146" i="30" s="1"/>
  <c r="B147" i="30" s="1"/>
  <c r="B148" i="30" s="1"/>
  <c r="B149" i="30" s="1"/>
  <c r="B150" i="30" s="1"/>
  <c r="B151" i="30" s="1"/>
  <c r="B152" i="30" s="1"/>
  <c r="B153" i="30" s="1"/>
  <c r="B154" i="30" s="1"/>
  <c r="B155" i="30" s="1"/>
  <c r="B156" i="30" s="1"/>
  <c r="B157" i="30" s="1"/>
  <c r="B158" i="30" s="1"/>
  <c r="B159" i="30" s="1"/>
  <c r="B160" i="30" s="1"/>
  <c r="B161" i="30" s="1"/>
  <c r="B162" i="30" s="1"/>
  <c r="B163" i="30" s="1"/>
  <c r="B164" i="30" s="1"/>
  <c r="B165" i="30" s="1"/>
  <c r="B166" i="30" s="1"/>
  <c r="B167" i="30" s="1"/>
  <c r="B168" i="30" s="1"/>
  <c r="B169" i="30" s="1"/>
  <c r="B170" i="30" s="1"/>
  <c r="B171" i="30" s="1"/>
  <c r="B172" i="30" s="1"/>
  <c r="B173" i="30" s="1"/>
  <c r="B174" i="30" s="1"/>
  <c r="B175" i="30" s="1"/>
  <c r="B176" i="30" s="1"/>
  <c r="B177" i="30" s="1"/>
  <c r="B178" i="30" s="1"/>
  <c r="B179" i="30" s="1"/>
  <c r="B180" i="30" s="1"/>
  <c r="B181" i="30" s="1"/>
  <c r="B182" i="30" s="1"/>
  <c r="B183" i="30" s="1"/>
  <c r="B184" i="30" s="1"/>
  <c r="B185" i="30" s="1"/>
  <c r="B186" i="30" s="1"/>
  <c r="B187" i="30" s="1"/>
  <c r="B188" i="30" s="1"/>
  <c r="B189" i="30" s="1"/>
  <c r="B190" i="30" s="1"/>
  <c r="B191" i="30" s="1"/>
  <c r="B192" i="30" s="1"/>
  <c r="B193" i="30" s="1"/>
  <c r="B194" i="30" s="1"/>
  <c r="B195" i="30" s="1"/>
  <c r="B196" i="30" s="1"/>
  <c r="B197" i="30" s="1"/>
  <c r="B198" i="30" s="1"/>
  <c r="B199" i="30" s="1"/>
  <c r="B200" i="30" s="1"/>
  <c r="B201" i="30" s="1"/>
  <c r="B202" i="30" s="1"/>
  <c r="B203" i="30" s="1"/>
  <c r="B204" i="30" s="1"/>
  <c r="B205" i="30" s="1"/>
  <c r="B206" i="30" s="1"/>
  <c r="B207" i="30" s="1"/>
  <c r="B208" i="30" s="1"/>
  <c r="B209" i="30" s="1"/>
  <c r="B210" i="30" s="1"/>
  <c r="B211" i="30" s="1"/>
  <c r="B212" i="30" s="1"/>
  <c r="B213" i="30" s="1"/>
  <c r="B214" i="30" s="1"/>
  <c r="B215" i="30" s="1"/>
  <c r="B216" i="30" s="1"/>
  <c r="B217" i="30" s="1"/>
  <c r="B218" i="30" s="1"/>
  <c r="B219" i="30" s="1"/>
  <c r="B220" i="30" s="1"/>
  <c r="B221" i="30" s="1"/>
  <c r="B222" i="30" s="1"/>
  <c r="B223" i="30" s="1"/>
  <c r="B224" i="30" s="1"/>
  <c r="B225" i="30" s="1"/>
  <c r="B226" i="30" s="1"/>
  <c r="B227" i="30" s="1"/>
  <c r="B228" i="30" s="1"/>
  <c r="B229" i="30" s="1"/>
  <c r="B230" i="30" s="1"/>
  <c r="B231" i="30" s="1"/>
  <c r="B232" i="30" s="1"/>
  <c r="B233" i="30" s="1"/>
  <c r="B234" i="30" s="1"/>
  <c r="B235" i="30" s="1"/>
  <c r="B236" i="30" s="1"/>
  <c r="B237" i="30" s="1"/>
  <c r="B238" i="30" s="1"/>
  <c r="B239" i="30" s="1"/>
  <c r="B240" i="30" s="1"/>
  <c r="B241" i="30" s="1"/>
  <c r="B242" i="30" s="1"/>
  <c r="B243" i="30" s="1"/>
  <c r="B244" i="30" s="1"/>
  <c r="B245" i="30" s="1"/>
  <c r="B246" i="30" s="1"/>
  <c r="B247" i="30" s="1"/>
  <c r="B248" i="30" s="1"/>
  <c r="B249" i="30" s="1"/>
  <c r="B250" i="30" s="1"/>
  <c r="B251" i="30" s="1"/>
  <c r="B252" i="30" s="1"/>
  <c r="B253" i="30" s="1"/>
  <c r="B254" i="30" s="1"/>
  <c r="B255" i="30" s="1"/>
  <c r="B256" i="30" s="1"/>
  <c r="B257" i="30" s="1"/>
  <c r="B258" i="30" s="1"/>
  <c r="B259" i="30" s="1"/>
  <c r="B260" i="30" s="1"/>
  <c r="B261" i="30" s="1"/>
  <c r="B262" i="30" s="1"/>
  <c r="B263" i="30" s="1"/>
  <c r="B264" i="30" s="1"/>
  <c r="B265" i="30" s="1"/>
  <c r="B266" i="30" s="1"/>
  <c r="B267" i="30" s="1"/>
  <c r="B268" i="30" s="1"/>
  <c r="B269" i="30" s="1"/>
  <c r="B270" i="30" s="1"/>
  <c r="B271" i="30" s="1"/>
  <c r="B272" i="30" s="1"/>
  <c r="B273" i="30" s="1"/>
  <c r="B274" i="30" s="1"/>
  <c r="B275" i="30" s="1"/>
  <c r="B276" i="30" s="1"/>
  <c r="B277" i="30" s="1"/>
  <c r="B278" i="30" s="1"/>
  <c r="B279" i="30" s="1"/>
  <c r="B280" i="30" s="1"/>
  <c r="B281" i="30" s="1"/>
  <c r="B282" i="30" s="1"/>
  <c r="B283" i="30" s="1"/>
  <c r="B284" i="30" s="1"/>
  <c r="B285" i="30" s="1"/>
  <c r="B286" i="30" s="1"/>
  <c r="B287" i="30" s="1"/>
  <c r="B288" i="30" s="1"/>
  <c r="B289" i="30" s="1"/>
  <c r="B290" i="30" s="1"/>
  <c r="B291" i="30" s="1"/>
  <c r="B292" i="30" s="1"/>
  <c r="B293" i="30" s="1"/>
  <c r="B294" i="30" s="1"/>
  <c r="B295" i="30" s="1"/>
  <c r="B296" i="30" s="1"/>
  <c r="B297" i="30" s="1"/>
  <c r="B298" i="30" s="1"/>
  <c r="B299" i="30" s="1"/>
  <c r="B300" i="30" s="1"/>
  <c r="T6" i="30"/>
  <c r="U6" i="30"/>
  <c r="J4" i="30"/>
  <c r="AE4" i="30"/>
  <c r="J2" i="30"/>
  <c r="V6" i="25"/>
  <c r="AQ6" i="25"/>
  <c r="BB6" i="25" s="1"/>
  <c r="JK18" i="21" l="1"/>
  <c r="JW17" i="21"/>
  <c r="JV17" i="21"/>
  <c r="IX19" i="21"/>
  <c r="JU17" i="21"/>
  <c r="KG17" i="21"/>
  <c r="KE17" i="21"/>
  <c r="KH17" i="21"/>
  <c r="KA19" i="21"/>
  <c r="KC20" i="21"/>
  <c r="KD18" i="21"/>
  <c r="KF17" i="21"/>
  <c r="JL18" i="21"/>
  <c r="JM18" i="21"/>
  <c r="JR19" i="21"/>
  <c r="KP18" i="21"/>
  <c r="KN19" i="21"/>
  <c r="KO18" i="21"/>
  <c r="KQ18" i="21"/>
  <c r="KR18" i="21"/>
  <c r="KK20" i="21"/>
  <c r="KM21" i="21"/>
  <c r="JX17" i="21"/>
  <c r="JQ19" i="21"/>
  <c r="JT18" i="21"/>
  <c r="JS20" i="21"/>
  <c r="JI21" i="21"/>
  <c r="JG20" i="21"/>
  <c r="JN18" i="21"/>
  <c r="JJ19" i="21"/>
  <c r="IW19" i="21"/>
  <c r="JD17" i="21"/>
  <c r="IZ18" i="21"/>
  <c r="JB17" i="21"/>
  <c r="JB18" i="21" s="1"/>
  <c r="JA17" i="21"/>
  <c r="IY20" i="21"/>
  <c r="JC17" i="21"/>
  <c r="V7" i="25"/>
  <c r="AZ6" i="25"/>
  <c r="J3" i="30"/>
  <c r="C6" i="30"/>
  <c r="AV6" i="25"/>
  <c r="BF6" i="25" s="1"/>
  <c r="AO6" i="25"/>
  <c r="AW6" i="25" s="1"/>
  <c r="E8" i="25"/>
  <c r="F8" i="25"/>
  <c r="F6" i="25"/>
  <c r="F7" i="25"/>
  <c r="KQ19" i="21" l="1"/>
  <c r="KD19" i="21"/>
  <c r="JW18" i="21"/>
  <c r="JA18" i="21"/>
  <c r="JU18" i="21"/>
  <c r="KE18" i="21"/>
  <c r="KC21" i="21"/>
  <c r="KH18" i="21"/>
  <c r="KA20" i="21"/>
  <c r="KF18" i="21"/>
  <c r="KF19" i="21" s="1"/>
  <c r="KG18" i="21"/>
  <c r="KB20" i="21"/>
  <c r="IZ19" i="21"/>
  <c r="JL19" i="21"/>
  <c r="JC18" i="21"/>
  <c r="KR19" i="21"/>
  <c r="KK21" i="21"/>
  <c r="KM22" i="21"/>
  <c r="KO19" i="21"/>
  <c r="KN20" i="21"/>
  <c r="KL21" i="21"/>
  <c r="KP19" i="21"/>
  <c r="JS21" i="21"/>
  <c r="JV18" i="21"/>
  <c r="JT19" i="21"/>
  <c r="JR20" i="21"/>
  <c r="JX18" i="21"/>
  <c r="JQ20" i="21"/>
  <c r="JN19" i="21"/>
  <c r="JG21" i="21"/>
  <c r="JI22" i="21"/>
  <c r="JJ20" i="21"/>
  <c r="JM19" i="21"/>
  <c r="JK19" i="21"/>
  <c r="JH21" i="21"/>
  <c r="IY21" i="21"/>
  <c r="JD18" i="21"/>
  <c r="IW20" i="21"/>
  <c r="IX20" i="21"/>
  <c r="V8" i="25"/>
  <c r="AZ7" i="25"/>
  <c r="N6" i="30"/>
  <c r="P6" i="30"/>
  <c r="M6" i="30"/>
  <c r="C7" i="30"/>
  <c r="AV7" i="25"/>
  <c r="BF7" i="25" s="1"/>
  <c r="Y6" i="25"/>
  <c r="Z6" i="25" s="1"/>
  <c r="AH6" i="25" s="1"/>
  <c r="W6" i="25"/>
  <c r="AA6" i="25" s="1"/>
  <c r="H15" i="25"/>
  <c r="KE19" i="21" l="1"/>
  <c r="KG19" i="21"/>
  <c r="JU19" i="21"/>
  <c r="JA19" i="21"/>
  <c r="JC19" i="21"/>
  <c r="KH19" i="21"/>
  <c r="KA21" i="21"/>
  <c r="KC22" i="21"/>
  <c r="KB21" i="21"/>
  <c r="KD20" i="21"/>
  <c r="KF20" i="21" s="1"/>
  <c r="JM20" i="21"/>
  <c r="JW19" i="21"/>
  <c r="JV19" i="21"/>
  <c r="KL22" i="21"/>
  <c r="JB19" i="21"/>
  <c r="JK20" i="21"/>
  <c r="JR21" i="21"/>
  <c r="KP20" i="21"/>
  <c r="KO20" i="21"/>
  <c r="JJ21" i="21"/>
  <c r="KN21" i="21"/>
  <c r="KM23" i="21"/>
  <c r="KQ20" i="21"/>
  <c r="KR20" i="21"/>
  <c r="KK22" i="21"/>
  <c r="JT20" i="21"/>
  <c r="JS22" i="21"/>
  <c r="JX19" i="21"/>
  <c r="JQ21" i="21"/>
  <c r="JI23" i="21"/>
  <c r="JG22" i="21"/>
  <c r="JN20" i="21"/>
  <c r="JH22" i="21"/>
  <c r="JL20" i="21"/>
  <c r="JD19" i="21"/>
  <c r="IW21" i="21"/>
  <c r="IZ20" i="21"/>
  <c r="IY22" i="21"/>
  <c r="IX21" i="21"/>
  <c r="V9" i="25"/>
  <c r="AZ8" i="25"/>
  <c r="M7" i="30"/>
  <c r="C8" i="30"/>
  <c r="AV8" i="25"/>
  <c r="BF8" i="25" s="1"/>
  <c r="X6" i="25"/>
  <c r="AB6" i="25" s="1"/>
  <c r="AC6" i="25"/>
  <c r="AF6" i="25"/>
  <c r="AE6" i="25"/>
  <c r="AG6" i="25"/>
  <c r="Y7" i="25"/>
  <c r="W7" i="25"/>
  <c r="AA7" i="25" s="1"/>
  <c r="L44" i="8"/>
  <c r="J44" i="8"/>
  <c r="KB22" i="21" l="1"/>
  <c r="KG20" i="21"/>
  <c r="KN22" i="21"/>
  <c r="JK21" i="21"/>
  <c r="KC23" i="21"/>
  <c r="KH20" i="21"/>
  <c r="KA22" i="21"/>
  <c r="KD21" i="21"/>
  <c r="KE20" i="21"/>
  <c r="JL21" i="21"/>
  <c r="JT21" i="21"/>
  <c r="JH23" i="21"/>
  <c r="JV20" i="21"/>
  <c r="KO21" i="21"/>
  <c r="JM21" i="21"/>
  <c r="KP21" i="21"/>
  <c r="KQ21" i="21"/>
  <c r="KM24" i="21"/>
  <c r="KR21" i="21"/>
  <c r="KK23" i="21"/>
  <c r="KL23" i="21"/>
  <c r="JS23" i="21"/>
  <c r="JR22" i="21"/>
  <c r="JW20" i="21"/>
  <c r="JX20" i="21"/>
  <c r="JQ22" i="21"/>
  <c r="JU20" i="21"/>
  <c r="JN21" i="21"/>
  <c r="JG23" i="21"/>
  <c r="JI24" i="21"/>
  <c r="JJ22" i="21"/>
  <c r="IX22" i="21"/>
  <c r="JD20" i="21"/>
  <c r="IW22" i="21"/>
  <c r="IY23" i="21"/>
  <c r="IZ21" i="21"/>
  <c r="JC20" i="21"/>
  <c r="JB20" i="21"/>
  <c r="JA20" i="21"/>
  <c r="V10" i="25"/>
  <c r="AZ9" i="25"/>
  <c r="M8" i="30"/>
  <c r="C9" i="30"/>
  <c r="AV9" i="25"/>
  <c r="BF9" i="25" s="1"/>
  <c r="AJ6" i="25"/>
  <c r="AD6" i="25"/>
  <c r="AI6" i="25" s="1"/>
  <c r="AC7" i="25"/>
  <c r="X7" i="25"/>
  <c r="AB7" i="25" s="1"/>
  <c r="Z7" i="25"/>
  <c r="AF7" i="25" s="1"/>
  <c r="AE7" i="25"/>
  <c r="AG7" i="25"/>
  <c r="Y8" i="25"/>
  <c r="W8" i="25"/>
  <c r="AA8" i="25" s="1"/>
  <c r="L39" i="8"/>
  <c r="C1" i="25"/>
  <c r="C2" i="25"/>
  <c r="JW21" i="21" l="1"/>
  <c r="KP22" i="21"/>
  <c r="KO22" i="21"/>
  <c r="KQ22" i="21"/>
  <c r="JL22" i="21"/>
  <c r="KD22" i="21"/>
  <c r="JV21" i="21"/>
  <c r="JC21" i="21"/>
  <c r="JU21" i="21"/>
  <c r="KH21" i="21"/>
  <c r="KA23" i="21"/>
  <c r="KC24" i="21"/>
  <c r="KF21" i="21"/>
  <c r="KG21" i="21"/>
  <c r="KE21" i="21"/>
  <c r="KE22" i="21" s="1"/>
  <c r="KB23" i="21"/>
  <c r="IZ22" i="21"/>
  <c r="JR23" i="21"/>
  <c r="KL24" i="21"/>
  <c r="KR22" i="21"/>
  <c r="KK24" i="21"/>
  <c r="KN23" i="21"/>
  <c r="KM25" i="21"/>
  <c r="JS24" i="21"/>
  <c r="JX21" i="21"/>
  <c r="JQ23" i="21"/>
  <c r="JT22" i="21"/>
  <c r="JI25" i="21"/>
  <c r="JM22" i="21"/>
  <c r="JJ23" i="21"/>
  <c r="JK22" i="21"/>
  <c r="JG24" i="21"/>
  <c r="JN22" i="21"/>
  <c r="JH24" i="21"/>
  <c r="IY24" i="21"/>
  <c r="JD21" i="21"/>
  <c r="IW23" i="21"/>
  <c r="JA21" i="21"/>
  <c r="JB21" i="21"/>
  <c r="IX23" i="21"/>
  <c r="V11" i="25"/>
  <c r="AZ10" i="25"/>
  <c r="M9" i="30"/>
  <c r="C10" i="30"/>
  <c r="AV10" i="25"/>
  <c r="BF10" i="25" s="1"/>
  <c r="AC8" i="25"/>
  <c r="X8" i="25"/>
  <c r="AB8" i="25" s="1"/>
  <c r="Z8" i="25"/>
  <c r="AF8" i="25" s="1"/>
  <c r="AH7" i="25"/>
  <c r="AJ7" i="25" s="1"/>
  <c r="AK6" i="25"/>
  <c r="AE8" i="25"/>
  <c r="AG8" i="25"/>
  <c r="Y9" i="25"/>
  <c r="AD7" i="25"/>
  <c r="AI7" i="25" s="1"/>
  <c r="W9" i="25"/>
  <c r="AA9" i="25" s="1"/>
  <c r="D2" i="25"/>
  <c r="I49" i="8"/>
  <c r="KG22" i="21" l="1"/>
  <c r="JA22" i="21"/>
  <c r="JC22" i="21"/>
  <c r="JB22" i="21"/>
  <c r="JU22" i="21"/>
  <c r="KF22" i="21"/>
  <c r="KH22" i="21"/>
  <c r="KA24" i="21"/>
  <c r="KC25" i="21"/>
  <c r="KB24" i="21"/>
  <c r="KB25" i="21" s="1"/>
  <c r="KD23" i="21"/>
  <c r="KE23" i="21" s="1"/>
  <c r="JK23" i="21"/>
  <c r="JJ24" i="21"/>
  <c r="KM26" i="21"/>
  <c r="KL25" i="21"/>
  <c r="KO23" i="21"/>
  <c r="KP23" i="21"/>
  <c r="KQ23" i="21"/>
  <c r="KN24" i="21"/>
  <c r="KR23" i="21"/>
  <c r="KK25" i="21"/>
  <c r="JX22" i="21"/>
  <c r="JQ24" i="21"/>
  <c r="JS25" i="21"/>
  <c r="JR24" i="21"/>
  <c r="JT23" i="21"/>
  <c r="JV22" i="21"/>
  <c r="JW22" i="21"/>
  <c r="JN23" i="21"/>
  <c r="JG25" i="21"/>
  <c r="JM23" i="21"/>
  <c r="JI26" i="21"/>
  <c r="JH25" i="21"/>
  <c r="JL23" i="21"/>
  <c r="IW24" i="21"/>
  <c r="JD22" i="21"/>
  <c r="IY25" i="21"/>
  <c r="IX24" i="21"/>
  <c r="IZ23" i="21"/>
  <c r="JA23" i="21" s="1"/>
  <c r="V12" i="25"/>
  <c r="AZ11" i="25"/>
  <c r="M10" i="30"/>
  <c r="C11" i="30"/>
  <c r="AT6" i="25"/>
  <c r="BG6" i="25" s="1"/>
  <c r="AV11" i="25"/>
  <c r="BF11" i="25" s="1"/>
  <c r="AN6" i="25"/>
  <c r="AU6" i="25" s="1"/>
  <c r="BE6" i="25" s="1"/>
  <c r="AM6" i="25"/>
  <c r="AP6" i="25" s="1"/>
  <c r="BA6" i="25" s="1"/>
  <c r="Z9" i="25"/>
  <c r="AF9" i="25" s="1"/>
  <c r="AH8" i="25"/>
  <c r="AJ8" i="25" s="1"/>
  <c r="X9" i="25"/>
  <c r="AB9" i="25" s="1"/>
  <c r="AK7" i="25"/>
  <c r="AL6" i="25"/>
  <c r="BC6" i="25" s="1"/>
  <c r="AE9" i="25"/>
  <c r="AG9" i="25"/>
  <c r="AC9" i="25"/>
  <c r="AD8" i="25"/>
  <c r="AI8" i="25" s="1"/>
  <c r="Y10" i="25"/>
  <c r="W10" i="25"/>
  <c r="AA10" i="25" s="1"/>
  <c r="G10" i="21"/>
  <c r="G11" i="21"/>
  <c r="G12" i="21"/>
  <c r="G13" i="21"/>
  <c r="G14" i="21"/>
  <c r="G15" i="21"/>
  <c r="G16" i="21"/>
  <c r="G17" i="21"/>
  <c r="G18" i="21"/>
  <c r="G19" i="21"/>
  <c r="G20" i="21"/>
  <c r="G21" i="21"/>
  <c r="G22" i="21"/>
  <c r="G23" i="21"/>
  <c r="G24" i="21"/>
  <c r="G25" i="21"/>
  <c r="G26" i="21"/>
  <c r="G27" i="21"/>
  <c r="G28" i="21"/>
  <c r="G29" i="21"/>
  <c r="G30" i="21"/>
  <c r="G31" i="21"/>
  <c r="AJ4" i="20"/>
  <c r="AO4" i="20" s="1"/>
  <c r="AT4" i="20" s="1"/>
  <c r="H1" i="8"/>
  <c r="KG23" i="21" l="1"/>
  <c r="JL24" i="21"/>
  <c r="JM24" i="21"/>
  <c r="KL26" i="21"/>
  <c r="KH23" i="21"/>
  <c r="KA25" i="21"/>
  <c r="KC26" i="21"/>
  <c r="KD24" i="21"/>
  <c r="KF23" i="21"/>
  <c r="JB23" i="21"/>
  <c r="JH26" i="21"/>
  <c r="JR25" i="21"/>
  <c r="IX25" i="21"/>
  <c r="KN25" i="21"/>
  <c r="JK24" i="21"/>
  <c r="JV23" i="21"/>
  <c r="KQ24" i="21"/>
  <c r="KP24" i="21"/>
  <c r="KO24" i="21"/>
  <c r="KR24" i="21"/>
  <c r="KK26" i="21"/>
  <c r="KM27" i="21"/>
  <c r="JT24" i="21"/>
  <c r="JS26" i="21"/>
  <c r="JU23" i="21"/>
  <c r="JX23" i="21"/>
  <c r="JQ25" i="21"/>
  <c r="JW23" i="21"/>
  <c r="JI27" i="21"/>
  <c r="JH27" i="21" s="1"/>
  <c r="JN24" i="21"/>
  <c r="JG26" i="21"/>
  <c r="JJ25" i="21"/>
  <c r="JL25" i="21" s="1"/>
  <c r="IY26" i="21"/>
  <c r="JC23" i="21"/>
  <c r="IZ24" i="21"/>
  <c r="JD23" i="21"/>
  <c r="IW25" i="21"/>
  <c r="V13" i="25"/>
  <c r="AZ12" i="25"/>
  <c r="M11" i="30"/>
  <c r="C12" i="30"/>
  <c r="AS6" i="25"/>
  <c r="AY6" i="25" s="1"/>
  <c r="BD6" i="25" s="1"/>
  <c r="AV12" i="25"/>
  <c r="BF12" i="25" s="1"/>
  <c r="AT7" i="25"/>
  <c r="BG7" i="25" s="1"/>
  <c r="AN7" i="25"/>
  <c r="AR6" i="25"/>
  <c r="AX6" i="25" s="1"/>
  <c r="BH6" i="25" s="1"/>
  <c r="AO7" i="25"/>
  <c r="AH9" i="25"/>
  <c r="AJ9" i="25" s="1"/>
  <c r="X10" i="25"/>
  <c r="AB10" i="25" s="1"/>
  <c r="Z10" i="25"/>
  <c r="AF10" i="25" s="1"/>
  <c r="AM7" i="25"/>
  <c r="AL7" i="25"/>
  <c r="BC7" i="25" s="1"/>
  <c r="AK8" i="25"/>
  <c r="AG10" i="25"/>
  <c r="AE10" i="25"/>
  <c r="AC10" i="25"/>
  <c r="AD9" i="25"/>
  <c r="AI9" i="25" s="1"/>
  <c r="Y11" i="25"/>
  <c r="W11" i="25"/>
  <c r="AA11" i="25" s="1"/>
  <c r="K41" i="8"/>
  <c r="J41" i="8"/>
  <c r="I41" i="8"/>
  <c r="JV24" i="21" l="1"/>
  <c r="KD25" i="21"/>
  <c r="IX26" i="21"/>
  <c r="KQ25" i="21"/>
  <c r="JB24" i="21"/>
  <c r="JU24" i="21"/>
  <c r="KC27" i="21"/>
  <c r="KH24" i="21"/>
  <c r="KA26" i="21"/>
  <c r="KB26" i="21"/>
  <c r="KE24" i="21"/>
  <c r="KF24" i="21"/>
  <c r="KG24" i="21"/>
  <c r="JW24" i="21"/>
  <c r="KO25" i="21"/>
  <c r="KP25" i="21"/>
  <c r="KR25" i="21"/>
  <c r="KK27" i="21"/>
  <c r="KM28" i="21"/>
  <c r="KL27" i="21"/>
  <c r="KN26" i="21"/>
  <c r="JS27" i="21"/>
  <c r="JR26" i="21"/>
  <c r="JX24" i="21"/>
  <c r="JQ26" i="21"/>
  <c r="JT25" i="21"/>
  <c r="JN25" i="21"/>
  <c r="JG27" i="21"/>
  <c r="JM25" i="21"/>
  <c r="JI28" i="21"/>
  <c r="JJ26" i="21"/>
  <c r="JK25" i="21"/>
  <c r="JC24" i="21"/>
  <c r="JD24" i="21"/>
  <c r="IW26" i="21"/>
  <c r="IZ25" i="21"/>
  <c r="IY27" i="21"/>
  <c r="JA24" i="21"/>
  <c r="V14" i="25"/>
  <c r="AZ13" i="25"/>
  <c r="M12" i="30"/>
  <c r="C13" i="30"/>
  <c r="AV13" i="25"/>
  <c r="BF13" i="25" s="1"/>
  <c r="AN8" i="25"/>
  <c r="AT8" i="25"/>
  <c r="BG8" i="25" s="1"/>
  <c r="AP7" i="25"/>
  <c r="BA7" i="25" s="1"/>
  <c r="AL8" i="25"/>
  <c r="BC8" i="25" s="1"/>
  <c r="AH10" i="25"/>
  <c r="AJ10" i="25" s="1"/>
  <c r="AC11" i="25"/>
  <c r="X11" i="25"/>
  <c r="AB11" i="25" s="1"/>
  <c r="Z11" i="25"/>
  <c r="AF11" i="25" s="1"/>
  <c r="AM8" i="25"/>
  <c r="AO8" i="25"/>
  <c r="AK9" i="25"/>
  <c r="AG11" i="25"/>
  <c r="AE11" i="25"/>
  <c r="AD10" i="25"/>
  <c r="AI10" i="25" s="1"/>
  <c r="Y12" i="25"/>
  <c r="W12" i="25"/>
  <c r="AA12" i="25" s="1"/>
  <c r="B7" i="20"/>
  <c r="D7" i="20" l="1"/>
  <c r="L7" i="20"/>
  <c r="Q7" i="20" s="1"/>
  <c r="J7" i="20"/>
  <c r="O7" i="20" s="1"/>
  <c r="K21" i="8" s="1"/>
  <c r="I7" i="20"/>
  <c r="N7" i="20" s="1"/>
  <c r="J21" i="8" s="1"/>
  <c r="C7" i="20"/>
  <c r="KG25" i="21"/>
  <c r="KF25" i="21"/>
  <c r="KE25" i="21"/>
  <c r="KB27" i="21"/>
  <c r="KP26" i="21"/>
  <c r="KL28" i="21"/>
  <c r="KD26" i="21"/>
  <c r="KG26" i="21" s="1"/>
  <c r="IZ26" i="21"/>
  <c r="KO26" i="21"/>
  <c r="KH25" i="21"/>
  <c r="KA27" i="21"/>
  <c r="KC28" i="21"/>
  <c r="JA25" i="21"/>
  <c r="JT26" i="21"/>
  <c r="JR27" i="21"/>
  <c r="JJ27" i="21"/>
  <c r="JC25" i="21"/>
  <c r="KM29" i="21"/>
  <c r="KR26" i="21"/>
  <c r="KK28" i="21"/>
  <c r="KQ26" i="21"/>
  <c r="KN27" i="21"/>
  <c r="JX25" i="21"/>
  <c r="JQ27" i="21"/>
  <c r="JW25" i="21"/>
  <c r="JS28" i="21"/>
  <c r="JV25" i="21"/>
  <c r="JU25" i="21"/>
  <c r="JI29" i="21"/>
  <c r="JM26" i="21"/>
  <c r="JG28" i="21"/>
  <c r="JN26" i="21"/>
  <c r="JH28" i="21"/>
  <c r="JK26" i="21"/>
  <c r="JL26" i="21"/>
  <c r="IY28" i="21"/>
  <c r="IX27" i="21"/>
  <c r="JD25" i="21"/>
  <c r="IW27" i="21"/>
  <c r="JB25" i="21"/>
  <c r="V15" i="25"/>
  <c r="AZ14" i="25"/>
  <c r="M13" i="30"/>
  <c r="C14" i="30"/>
  <c r="AQ7" i="25"/>
  <c r="BB7" i="25" s="1"/>
  <c r="AW7" i="25"/>
  <c r="AU7" i="25"/>
  <c r="AV14" i="25"/>
  <c r="BF14" i="25" s="1"/>
  <c r="AT9" i="25"/>
  <c r="BG9" i="25" s="1"/>
  <c r="AP8" i="25"/>
  <c r="BA8" i="25" s="1"/>
  <c r="AN9" i="25"/>
  <c r="AR7" i="25"/>
  <c r="AH11" i="25"/>
  <c r="AJ11" i="25" s="1"/>
  <c r="AL9" i="25"/>
  <c r="BC9" i="25" s="1"/>
  <c r="AC12" i="25"/>
  <c r="X12" i="25"/>
  <c r="AB12" i="25" s="1"/>
  <c r="Z12" i="25"/>
  <c r="AH12" i="25" s="1"/>
  <c r="AM9" i="25"/>
  <c r="AK10" i="25"/>
  <c r="AO9" i="25"/>
  <c r="AG12" i="25"/>
  <c r="AE12" i="25"/>
  <c r="AD11" i="25"/>
  <c r="AI11" i="25" s="1"/>
  <c r="Y13" i="25"/>
  <c r="W13" i="25"/>
  <c r="AA13" i="25" s="1"/>
  <c r="G7" i="20"/>
  <c r="AE21" i="20" s="1"/>
  <c r="J39" i="8"/>
  <c r="P6" i="4"/>
  <c r="P7" i="4"/>
  <c r="P8" i="4"/>
  <c r="P9" i="4"/>
  <c r="L38" i="8"/>
  <c r="K3" i="4" s="1"/>
  <c r="I40" i="8"/>
  <c r="I39" i="8"/>
  <c r="I23" i="4"/>
  <c r="I24" i="4"/>
  <c r="I25" i="4"/>
  <c r="I26" i="4"/>
  <c r="I27" i="4"/>
  <c r="I28" i="4"/>
  <c r="I29" i="4"/>
  <c r="I30" i="4"/>
  <c r="I31" i="4"/>
  <c r="I32" i="4"/>
  <c r="I33" i="4"/>
  <c r="I34" i="4"/>
  <c r="I35" i="4"/>
  <c r="I36" i="4"/>
  <c r="I37" i="4"/>
  <c r="I38" i="4"/>
  <c r="I39" i="4"/>
  <c r="I40" i="4"/>
  <c r="I41" i="4"/>
  <c r="I42" i="4"/>
  <c r="I43" i="4"/>
  <c r="I44" i="4"/>
  <c r="E44" i="4"/>
  <c r="E30" i="4"/>
  <c r="E31" i="4"/>
  <c r="E32" i="4"/>
  <c r="E33" i="4"/>
  <c r="E34" i="4"/>
  <c r="E35" i="4"/>
  <c r="E36" i="4"/>
  <c r="E37" i="4"/>
  <c r="E38" i="4"/>
  <c r="E39" i="4"/>
  <c r="E40" i="4"/>
  <c r="E41" i="4"/>
  <c r="E42" i="4"/>
  <c r="E43" i="4"/>
  <c r="KE26" i="21" l="1"/>
  <c r="KF26" i="21"/>
  <c r="C38" i="8"/>
  <c r="JA26" i="21"/>
  <c r="KP27" i="21"/>
  <c r="JW26" i="21"/>
  <c r="JU26" i="21"/>
  <c r="JV26" i="21"/>
  <c r="JB26" i="21"/>
  <c r="JK27" i="21"/>
  <c r="JL27" i="21"/>
  <c r="JC26" i="21"/>
  <c r="JM27" i="21"/>
  <c r="KC29" i="21"/>
  <c r="KH26" i="21"/>
  <c r="KA28" i="21"/>
  <c r="KD27" i="21"/>
  <c r="KB28" i="21"/>
  <c r="KQ27" i="21"/>
  <c r="IX28" i="21"/>
  <c r="JH29" i="21"/>
  <c r="KR27" i="21"/>
  <c r="KK29" i="21"/>
  <c r="KM30" i="21"/>
  <c r="KL29" i="21"/>
  <c r="KN28" i="21"/>
  <c r="KO27" i="21"/>
  <c r="JX26" i="21"/>
  <c r="JQ28" i="21"/>
  <c r="JS29" i="21"/>
  <c r="JR28" i="21"/>
  <c r="JT27" i="21"/>
  <c r="JG29" i="21"/>
  <c r="JN27" i="21"/>
  <c r="JI30" i="21"/>
  <c r="JJ28" i="21"/>
  <c r="JD26" i="21"/>
  <c r="IW28" i="21"/>
  <c r="IY29" i="21"/>
  <c r="IZ27" i="21"/>
  <c r="AS7" i="25"/>
  <c r="AY7" i="25" s="1"/>
  <c r="BD7" i="25" s="1"/>
  <c r="BE7" i="25"/>
  <c r="V16" i="25"/>
  <c r="AZ15" i="25"/>
  <c r="AX7" i="25"/>
  <c r="BH7" i="25" s="1"/>
  <c r="M14" i="30"/>
  <c r="C15" i="30"/>
  <c r="AQ8" i="25"/>
  <c r="BB8" i="25" s="1"/>
  <c r="AW8" i="25"/>
  <c r="AR8" i="25"/>
  <c r="AT10" i="25"/>
  <c r="BG10" i="25" s="1"/>
  <c r="AP9" i="25"/>
  <c r="BA9" i="25" s="1"/>
  <c r="AV15" i="25"/>
  <c r="BF15" i="25" s="1"/>
  <c r="AN10" i="25"/>
  <c r="AU8" i="25"/>
  <c r="AL10" i="25"/>
  <c r="BC10" i="25" s="1"/>
  <c r="AF12" i="25"/>
  <c r="AJ12" i="25" s="1"/>
  <c r="AC13" i="25"/>
  <c r="X13" i="25"/>
  <c r="AB13" i="25" s="1"/>
  <c r="Z13" i="25"/>
  <c r="AF13" i="25" s="1"/>
  <c r="AO10" i="25"/>
  <c r="AM10" i="25"/>
  <c r="AK11" i="25"/>
  <c r="AG13" i="25"/>
  <c r="AE13" i="25"/>
  <c r="AD12" i="25"/>
  <c r="AI12" i="25" s="1"/>
  <c r="Y14" i="25"/>
  <c r="W14" i="25"/>
  <c r="AA14" i="25" s="1"/>
  <c r="AE29" i="20"/>
  <c r="AE25" i="20"/>
  <c r="AE39" i="20" s="1"/>
  <c r="AE40" i="20" s="1"/>
  <c r="AE23" i="20"/>
  <c r="B21" i="8"/>
  <c r="F21" i="8"/>
  <c r="L40" i="8"/>
  <c r="I38" i="8"/>
  <c r="I36" i="8" s="1"/>
  <c r="G2" i="30" s="1"/>
  <c r="JU27" i="21" l="1"/>
  <c r="JM28" i="21"/>
  <c r="KH27" i="21"/>
  <c r="KA29" i="21"/>
  <c r="KC30" i="21"/>
  <c r="KB29" i="21"/>
  <c r="KE27" i="21"/>
  <c r="KG27" i="21"/>
  <c r="KF27" i="21"/>
  <c r="KD28" i="21"/>
  <c r="KN29" i="21"/>
  <c r="JR29" i="21"/>
  <c r="JV27" i="21"/>
  <c r="JK28" i="21"/>
  <c r="JW27" i="21"/>
  <c r="KL30" i="21"/>
  <c r="JL28" i="21"/>
  <c r="KQ28" i="21"/>
  <c r="KP28" i="21"/>
  <c r="KM31" i="21"/>
  <c r="KR28" i="21"/>
  <c r="KK30" i="21"/>
  <c r="KO28" i="21"/>
  <c r="JS30" i="21"/>
  <c r="JX27" i="21"/>
  <c r="JQ29" i="21"/>
  <c r="JT28" i="21"/>
  <c r="JI31" i="21"/>
  <c r="JN28" i="21"/>
  <c r="JG30" i="21"/>
  <c r="JJ29" i="21"/>
  <c r="JH30" i="21"/>
  <c r="JC27" i="21"/>
  <c r="JA27" i="21"/>
  <c r="IZ28" i="21"/>
  <c r="IY30" i="21"/>
  <c r="JB27" i="21"/>
  <c r="JB28" i="21" s="1"/>
  <c r="JD27" i="21"/>
  <c r="IW29" i="21"/>
  <c r="IX29" i="21"/>
  <c r="AS8" i="25"/>
  <c r="AY8" i="25" s="1"/>
  <c r="BD8" i="25" s="1"/>
  <c r="BE8" i="25"/>
  <c r="V17" i="25"/>
  <c r="AZ16" i="25"/>
  <c r="M15" i="30"/>
  <c r="F7" i="20"/>
  <c r="N21" i="8" s="1"/>
  <c r="C16" i="30"/>
  <c r="AR9" i="25"/>
  <c r="AX8" i="25"/>
  <c r="BH8" i="25" s="1"/>
  <c r="AW9" i="25"/>
  <c r="AQ9" i="25"/>
  <c r="BB9" i="25" s="1"/>
  <c r="AP10" i="25"/>
  <c r="BA10" i="25" s="1"/>
  <c r="AU9" i="25"/>
  <c r="AT11" i="25"/>
  <c r="BG11" i="25" s="1"/>
  <c r="AV16" i="25"/>
  <c r="BF16" i="25" s="1"/>
  <c r="AN11" i="25"/>
  <c r="AL11" i="25"/>
  <c r="BC11" i="25" s="1"/>
  <c r="AH13" i="25"/>
  <c r="AJ13" i="25" s="1"/>
  <c r="X14" i="25"/>
  <c r="AB14" i="25" s="1"/>
  <c r="Z14" i="25"/>
  <c r="AH14" i="25" s="1"/>
  <c r="AM11" i="25"/>
  <c r="AO11" i="25"/>
  <c r="AK12" i="25"/>
  <c r="AG14" i="25"/>
  <c r="AE14" i="25"/>
  <c r="AD13" i="25"/>
  <c r="AI13" i="25" s="1"/>
  <c r="Y15" i="25"/>
  <c r="AC14" i="25"/>
  <c r="W15" i="25"/>
  <c r="AA15" i="25" s="1"/>
  <c r="AE26" i="20"/>
  <c r="AE28" i="20"/>
  <c r="AE24" i="20"/>
  <c r="L41" i="8"/>
  <c r="N2" i="4"/>
  <c r="E23" i="4"/>
  <c r="E24" i="4"/>
  <c r="E25" i="4"/>
  <c r="E26" i="4"/>
  <c r="E27" i="4"/>
  <c r="E28" i="4"/>
  <c r="E29" i="4"/>
  <c r="B23" i="4"/>
  <c r="B24" i="4" s="1"/>
  <c r="B25" i="4" s="1"/>
  <c r="B26" i="4" s="1"/>
  <c r="B27" i="4" s="1"/>
  <c r="B28" i="4" s="1"/>
  <c r="B29" i="4" s="1"/>
  <c r="B30" i="4" s="1"/>
  <c r="B31" i="4" s="1"/>
  <c r="B32" i="4" s="1"/>
  <c r="B33" i="4" s="1"/>
  <c r="B34" i="4" s="1"/>
  <c r="B35" i="4" s="1"/>
  <c r="B36" i="4" s="1"/>
  <c r="B37" i="4" s="1"/>
  <c r="B38" i="4" s="1"/>
  <c r="B39" i="4" s="1"/>
  <c r="B40" i="4" s="1"/>
  <c r="B41" i="4" s="1"/>
  <c r="B42" i="4" s="1"/>
  <c r="B43" i="4" s="1"/>
  <c r="B44" i="4" s="1"/>
  <c r="H21" i="21"/>
  <c r="E6" i="4"/>
  <c r="G6" i="4" s="1"/>
  <c r="L6" i="25"/>
  <c r="JV28" i="21" l="1"/>
  <c r="JU28" i="21"/>
  <c r="JK29" i="21"/>
  <c r="KO29" i="21"/>
  <c r="JW28" i="21"/>
  <c r="JM29" i="21"/>
  <c r="KP29" i="21"/>
  <c r="KQ29" i="21"/>
  <c r="KF28" i="21"/>
  <c r="KH28" i="21"/>
  <c r="KA30" i="21"/>
  <c r="KE28" i="21"/>
  <c r="KB30" i="21"/>
  <c r="KD29" i="21"/>
  <c r="KG28" i="21"/>
  <c r="KC31" i="21"/>
  <c r="KM32" i="21"/>
  <c r="KR29" i="21"/>
  <c r="KK31" i="21"/>
  <c r="KL31" i="21"/>
  <c r="KN30" i="21"/>
  <c r="JX28" i="21"/>
  <c r="JQ30" i="21"/>
  <c r="JS31" i="21"/>
  <c r="JT29" i="21"/>
  <c r="JR30" i="21"/>
  <c r="JI32" i="21"/>
  <c r="JN29" i="21"/>
  <c r="JG31" i="21"/>
  <c r="JH31" i="21"/>
  <c r="JJ30" i="21"/>
  <c r="JL29" i="21"/>
  <c r="IY31" i="21"/>
  <c r="IZ29" i="21"/>
  <c r="JB29" i="21" s="1"/>
  <c r="JA28" i="21"/>
  <c r="JD28" i="21"/>
  <c r="IW30" i="21"/>
  <c r="IX30" i="21"/>
  <c r="JC28" i="21"/>
  <c r="AS9" i="25"/>
  <c r="AY9" i="25" s="1"/>
  <c r="BD9" i="25" s="1"/>
  <c r="BE9" i="25"/>
  <c r="V18" i="25"/>
  <c r="AZ17" i="25"/>
  <c r="M16" i="30"/>
  <c r="C17" i="30"/>
  <c r="AU10" i="25"/>
  <c r="AX9" i="25"/>
  <c r="BH9" i="25" s="1"/>
  <c r="AR10" i="25"/>
  <c r="AP11" i="25"/>
  <c r="BA11" i="25" s="1"/>
  <c r="AW10" i="25"/>
  <c r="AQ10" i="25"/>
  <c r="BB10" i="25" s="1"/>
  <c r="AN12" i="25"/>
  <c r="AV17" i="25"/>
  <c r="BF17" i="25" s="1"/>
  <c r="AT12" i="25"/>
  <c r="BG12" i="25" s="1"/>
  <c r="AL12" i="25"/>
  <c r="BC12" i="25" s="1"/>
  <c r="AF14" i="25"/>
  <c r="AJ14" i="25" s="1"/>
  <c r="AC15" i="25"/>
  <c r="X15" i="25"/>
  <c r="AB15" i="25" s="1"/>
  <c r="Z15" i="25"/>
  <c r="AH15" i="25" s="1"/>
  <c r="AO12" i="25"/>
  <c r="AM12" i="25"/>
  <c r="AK13" i="25"/>
  <c r="AG15" i="25"/>
  <c r="AE15" i="25"/>
  <c r="Y16" i="25"/>
  <c r="AD14" i="25"/>
  <c r="AI14" i="25" s="1"/>
  <c r="W16" i="25"/>
  <c r="AA16" i="25" s="1"/>
  <c r="L7" i="25"/>
  <c r="L8" i="25" s="1"/>
  <c r="L9" i="25" s="1"/>
  <c r="L10" i="25" s="1"/>
  <c r="L11" i="25" s="1"/>
  <c r="L12" i="25" s="1"/>
  <c r="L13" i="25" s="1"/>
  <c r="L14" i="25" s="1"/>
  <c r="L15" i="25" s="1"/>
  <c r="L16" i="25" s="1"/>
  <c r="L17" i="25" s="1"/>
  <c r="L18" i="25" s="1"/>
  <c r="L19" i="25" s="1"/>
  <c r="L20" i="25" s="1"/>
  <c r="L21" i="25" s="1"/>
  <c r="L22" i="25" s="1"/>
  <c r="L23" i="25" s="1"/>
  <c r="L24" i="25" s="1"/>
  <c r="L25" i="25" s="1"/>
  <c r="L26" i="25" s="1"/>
  <c r="L27" i="25" s="1"/>
  <c r="L28" i="25" s="1"/>
  <c r="L29" i="25" s="1"/>
  <c r="L30" i="25" s="1"/>
  <c r="L31" i="25" s="1"/>
  <c r="L32" i="25" s="1"/>
  <c r="L33" i="25" s="1"/>
  <c r="L34" i="25" s="1"/>
  <c r="L35" i="25" s="1"/>
  <c r="L36" i="25" s="1"/>
  <c r="L37" i="25" s="1"/>
  <c r="L38" i="25" s="1"/>
  <c r="L39" i="25" s="1"/>
  <c r="L40" i="25" s="1"/>
  <c r="L41" i="25" s="1"/>
  <c r="L42" i="25" s="1"/>
  <c r="L43" i="25" s="1"/>
  <c r="L44" i="25" s="1"/>
  <c r="L45" i="25" s="1"/>
  <c r="L46" i="25" s="1"/>
  <c r="L47" i="25" s="1"/>
  <c r="L48" i="25" s="1"/>
  <c r="L49" i="25" s="1"/>
  <c r="L50" i="25" s="1"/>
  <c r="L51" i="25" s="1"/>
  <c r="L52" i="25" s="1"/>
  <c r="L53" i="25" s="1"/>
  <c r="L54" i="25" s="1"/>
  <c r="L55" i="25" s="1"/>
  <c r="L56" i="25" s="1"/>
  <c r="L57" i="25" s="1"/>
  <c r="L58" i="25" s="1"/>
  <c r="L59" i="25" s="1"/>
  <c r="L60" i="25" s="1"/>
  <c r="L61" i="25" s="1"/>
  <c r="L62" i="25" s="1"/>
  <c r="L63" i="25" s="1"/>
  <c r="L64" i="25" s="1"/>
  <c r="L65" i="25" s="1"/>
  <c r="L66" i="25" s="1"/>
  <c r="L67" i="25" s="1"/>
  <c r="L68" i="25" s="1"/>
  <c r="L69" i="25" s="1"/>
  <c r="L70" i="25" s="1"/>
  <c r="L71" i="25" s="1"/>
  <c r="L72" i="25" s="1"/>
  <c r="L73" i="25" s="1"/>
  <c r="L74" i="25" s="1"/>
  <c r="L75" i="25" s="1"/>
  <c r="L76" i="25" s="1"/>
  <c r="L77" i="25" s="1"/>
  <c r="L78" i="25" s="1"/>
  <c r="L79" i="25" s="1"/>
  <c r="L80" i="25" s="1"/>
  <c r="L81" i="25" s="1"/>
  <c r="L82" i="25" s="1"/>
  <c r="L83" i="25" s="1"/>
  <c r="L84" i="25" s="1"/>
  <c r="L85" i="25" s="1"/>
  <c r="L86" i="25" s="1"/>
  <c r="L87" i="25" s="1"/>
  <c r="L88" i="25" s="1"/>
  <c r="L89" i="25" s="1"/>
  <c r="L90" i="25" s="1"/>
  <c r="L91" i="25" s="1"/>
  <c r="L92" i="25" s="1"/>
  <c r="L93" i="25" s="1"/>
  <c r="L94" i="25" s="1"/>
  <c r="L95" i="25" s="1"/>
  <c r="L96" i="25" s="1"/>
  <c r="L97" i="25" s="1"/>
  <c r="L98" i="25" s="1"/>
  <c r="L99" i="25" s="1"/>
  <c r="L100" i="25" s="1"/>
  <c r="L101" i="25" s="1"/>
  <c r="L102" i="25" s="1"/>
  <c r="L103" i="25" s="1"/>
  <c r="L104" i="25" s="1"/>
  <c r="L105" i="25" s="1"/>
  <c r="L106" i="25" s="1"/>
  <c r="L107" i="25" s="1"/>
  <c r="L108" i="25" s="1"/>
  <c r="L109" i="25" s="1"/>
  <c r="L110" i="25" s="1"/>
  <c r="L111" i="25" s="1"/>
  <c r="L112" i="25" s="1"/>
  <c r="L113" i="25" s="1"/>
  <c r="L114" i="25" s="1"/>
  <c r="L115" i="25" s="1"/>
  <c r="L116" i="25" s="1"/>
  <c r="L117" i="25" s="1"/>
  <c r="L118" i="25" s="1"/>
  <c r="L119" i="25" s="1"/>
  <c r="L120" i="25" s="1"/>
  <c r="L121" i="25" s="1"/>
  <c r="L122" i="25" s="1"/>
  <c r="L123" i="25" s="1"/>
  <c r="L124" i="25" s="1"/>
  <c r="L125" i="25" s="1"/>
  <c r="L126" i="25" s="1"/>
  <c r="L127" i="25" s="1"/>
  <c r="L128" i="25" s="1"/>
  <c r="L129" i="25" s="1"/>
  <c r="L130" i="25" s="1"/>
  <c r="L131" i="25" s="1"/>
  <c r="L132" i="25" s="1"/>
  <c r="L133" i="25" s="1"/>
  <c r="L134" i="25" s="1"/>
  <c r="L135" i="25" s="1"/>
  <c r="L136" i="25" s="1"/>
  <c r="L137" i="25" s="1"/>
  <c r="L138" i="25" s="1"/>
  <c r="L139" i="25" s="1"/>
  <c r="L140" i="25" s="1"/>
  <c r="L141" i="25" s="1"/>
  <c r="L142" i="25" s="1"/>
  <c r="L143" i="25" s="1"/>
  <c r="L144" i="25" s="1"/>
  <c r="L145" i="25" s="1"/>
  <c r="L146" i="25" s="1"/>
  <c r="L147" i="25" s="1"/>
  <c r="L148" i="25" s="1"/>
  <c r="L149" i="25" s="1"/>
  <c r="L150" i="25" s="1"/>
  <c r="L151" i="25" s="1"/>
  <c r="L152" i="25" s="1"/>
  <c r="L153" i="25" s="1"/>
  <c r="L154" i="25" s="1"/>
  <c r="L155" i="25" s="1"/>
  <c r="L156" i="25" s="1"/>
  <c r="L157" i="25" s="1"/>
  <c r="L158" i="25" s="1"/>
  <c r="L159" i="25" s="1"/>
  <c r="L160" i="25" s="1"/>
  <c r="L161" i="25" s="1"/>
  <c r="L162" i="25" s="1"/>
  <c r="L163" i="25" s="1"/>
  <c r="L164" i="25" s="1"/>
  <c r="L165" i="25" s="1"/>
  <c r="L166" i="25" s="1"/>
  <c r="L167" i="25" s="1"/>
  <c r="L168" i="25" s="1"/>
  <c r="L169" i="25" s="1"/>
  <c r="L170" i="25" s="1"/>
  <c r="L171" i="25" s="1"/>
  <c r="L172" i="25" s="1"/>
  <c r="L173" i="25" s="1"/>
  <c r="L174" i="25" s="1"/>
  <c r="L175" i="25" s="1"/>
  <c r="L176" i="25" s="1"/>
  <c r="L177" i="25" s="1"/>
  <c r="L178" i="25" s="1"/>
  <c r="L179" i="25" s="1"/>
  <c r="L180" i="25" s="1"/>
  <c r="L181" i="25" s="1"/>
  <c r="L182" i="25" s="1"/>
  <c r="L183" i="25" s="1"/>
  <c r="L184" i="25" s="1"/>
  <c r="L185" i="25" s="1"/>
  <c r="L186" i="25" s="1"/>
  <c r="L187" i="25" s="1"/>
  <c r="L188" i="25" s="1"/>
  <c r="L189" i="25" s="1"/>
  <c r="L190" i="25" s="1"/>
  <c r="L191" i="25" s="1"/>
  <c r="L192" i="25" s="1"/>
  <c r="L193" i="25" s="1"/>
  <c r="L194" i="25" s="1"/>
  <c r="L195" i="25" s="1"/>
  <c r="L196" i="25" s="1"/>
  <c r="L197" i="25" s="1"/>
  <c r="L198" i="25" s="1"/>
  <c r="L199" i="25" s="1"/>
  <c r="L200" i="25" s="1"/>
  <c r="L201" i="25" s="1"/>
  <c r="L202" i="25" s="1"/>
  <c r="L203" i="25" s="1"/>
  <c r="L204" i="25" s="1"/>
  <c r="L205" i="25" s="1"/>
  <c r="L206" i="25" s="1"/>
  <c r="L207" i="25" s="1"/>
  <c r="L208" i="25" s="1"/>
  <c r="L209" i="25" s="1"/>
  <c r="L210" i="25" s="1"/>
  <c r="L211" i="25" s="1"/>
  <c r="L212" i="25" s="1"/>
  <c r="L213" i="25" s="1"/>
  <c r="L214" i="25" s="1"/>
  <c r="L215" i="25" s="1"/>
  <c r="L216" i="25" s="1"/>
  <c r="L217" i="25" s="1"/>
  <c r="L218" i="25" s="1"/>
  <c r="L219" i="25" s="1"/>
  <c r="L220" i="25" s="1"/>
  <c r="L221" i="25" s="1"/>
  <c r="L222" i="25" s="1"/>
  <c r="L223" i="25" s="1"/>
  <c r="L224" i="25" s="1"/>
  <c r="L225" i="25" s="1"/>
  <c r="L226" i="25" s="1"/>
  <c r="L227" i="25" s="1"/>
  <c r="L228" i="25" s="1"/>
  <c r="L229" i="25" s="1"/>
  <c r="L230" i="25" s="1"/>
  <c r="L231" i="25" s="1"/>
  <c r="L232" i="25" s="1"/>
  <c r="L233" i="25" s="1"/>
  <c r="L234" i="25" s="1"/>
  <c r="L235" i="25" s="1"/>
  <c r="L236" i="25" s="1"/>
  <c r="L237" i="25" s="1"/>
  <c r="L238" i="25" s="1"/>
  <c r="L239" i="25" s="1"/>
  <c r="L240" i="25" s="1"/>
  <c r="L241" i="25" s="1"/>
  <c r="L242" i="25" s="1"/>
  <c r="L243" i="25" s="1"/>
  <c r="L244" i="25" s="1"/>
  <c r="L245" i="25" s="1"/>
  <c r="L246" i="25" s="1"/>
  <c r="L247" i="25" s="1"/>
  <c r="L248" i="25" s="1"/>
  <c r="L249" i="25" s="1"/>
  <c r="L250" i="25" s="1"/>
  <c r="L251" i="25" s="1"/>
  <c r="L252" i="25" s="1"/>
  <c r="L253" i="25" s="1"/>
  <c r="L254" i="25" s="1"/>
  <c r="L255" i="25" s="1"/>
  <c r="L256" i="25" s="1"/>
  <c r="L257" i="25" s="1"/>
  <c r="L258" i="25" s="1"/>
  <c r="L259" i="25" s="1"/>
  <c r="L260" i="25" s="1"/>
  <c r="L261" i="25" s="1"/>
  <c r="L262" i="25" s="1"/>
  <c r="L263" i="25" s="1"/>
  <c r="L264" i="25" s="1"/>
  <c r="L265" i="25" s="1"/>
  <c r="L266" i="25" s="1"/>
  <c r="L267" i="25" s="1"/>
  <c r="L268" i="25" s="1"/>
  <c r="L269" i="25" s="1"/>
  <c r="L270" i="25" s="1"/>
  <c r="L271" i="25" s="1"/>
  <c r="L272" i="25" s="1"/>
  <c r="L273" i="25" s="1"/>
  <c r="L274" i="25" s="1"/>
  <c r="L275" i="25" s="1"/>
  <c r="L276" i="25" s="1"/>
  <c r="L277" i="25" s="1"/>
  <c r="L278" i="25" s="1"/>
  <c r="L279" i="25" s="1"/>
  <c r="L280" i="25" s="1"/>
  <c r="L281" i="25" s="1"/>
  <c r="L282" i="25" s="1"/>
  <c r="L283" i="25" s="1"/>
  <c r="L284" i="25" s="1"/>
  <c r="L285" i="25" s="1"/>
  <c r="L286" i="25" s="1"/>
  <c r="L287" i="25" s="1"/>
  <c r="L288" i="25" s="1"/>
  <c r="L289" i="25" s="1"/>
  <c r="L290" i="25" s="1"/>
  <c r="L291" i="25" s="1"/>
  <c r="L292" i="25" s="1"/>
  <c r="L293" i="25" s="1"/>
  <c r="L294" i="25" s="1"/>
  <c r="L295" i="25" s="1"/>
  <c r="L296" i="25" s="1"/>
  <c r="L297" i="25" s="1"/>
  <c r="L298" i="25" s="1"/>
  <c r="L299" i="25" s="1"/>
  <c r="L300" i="25" s="1"/>
  <c r="AE27" i="20"/>
  <c r="AE32" i="20" s="1"/>
  <c r="L36" i="8"/>
  <c r="H6" i="4"/>
  <c r="L6" i="4" s="1"/>
  <c r="F6" i="4"/>
  <c r="E7" i="4"/>
  <c r="G7" i="4" s="1"/>
  <c r="LA10" i="21"/>
  <c r="KZ10" i="21"/>
  <c r="KY10" i="21"/>
  <c r="KX10" i="21"/>
  <c r="KW10" i="21"/>
  <c r="KV10" i="21"/>
  <c r="KU10" i="21"/>
  <c r="KX3" i="21"/>
  <c r="IS10" i="21"/>
  <c r="IR10" i="21"/>
  <c r="IQ10" i="21"/>
  <c r="IP10" i="21"/>
  <c r="IO10" i="21"/>
  <c r="IN10" i="21"/>
  <c r="IM10" i="21"/>
  <c r="IP3" i="21"/>
  <c r="II10" i="21"/>
  <c r="IH10" i="21"/>
  <c r="IG10" i="21"/>
  <c r="IF10" i="21"/>
  <c r="IE10" i="21"/>
  <c r="ID10" i="21"/>
  <c r="IC10" i="21"/>
  <c r="HY10" i="21"/>
  <c r="HX10" i="21"/>
  <c r="HW10" i="21"/>
  <c r="HV10" i="21"/>
  <c r="HU10" i="21"/>
  <c r="HT10" i="21"/>
  <c r="HS10" i="21"/>
  <c r="HO10" i="21"/>
  <c r="HN10" i="21"/>
  <c r="HM10" i="21"/>
  <c r="HL10" i="21"/>
  <c r="HK10" i="21"/>
  <c r="HJ10" i="21"/>
  <c r="HI10" i="21"/>
  <c r="HE10" i="21"/>
  <c r="HD10" i="21"/>
  <c r="HC10" i="21"/>
  <c r="HB10" i="21"/>
  <c r="HA10" i="21"/>
  <c r="GZ10" i="21"/>
  <c r="GY10" i="21"/>
  <c r="GU10" i="21"/>
  <c r="GT10" i="21"/>
  <c r="GS10" i="21"/>
  <c r="GR10" i="21"/>
  <c r="GQ10" i="21"/>
  <c r="GP10" i="21"/>
  <c r="GO10" i="21"/>
  <c r="GK10" i="21"/>
  <c r="GJ10" i="21"/>
  <c r="GI10" i="21"/>
  <c r="GH10" i="21"/>
  <c r="GG10" i="21"/>
  <c r="GF10" i="21"/>
  <c r="GE10" i="21"/>
  <c r="GA10" i="21"/>
  <c r="FZ10" i="21"/>
  <c r="FY10" i="21"/>
  <c r="FX10" i="21"/>
  <c r="FW10" i="21"/>
  <c r="FV10" i="21"/>
  <c r="FU10" i="21"/>
  <c r="FQ10" i="21"/>
  <c r="FP10" i="21"/>
  <c r="FO10" i="21"/>
  <c r="FN10" i="21"/>
  <c r="FM10" i="21"/>
  <c r="FL10" i="21"/>
  <c r="FK10" i="21"/>
  <c r="FG10" i="21"/>
  <c r="FF10" i="21"/>
  <c r="FE10" i="21"/>
  <c r="FD10" i="21"/>
  <c r="FC10" i="21"/>
  <c r="FB10" i="21"/>
  <c r="FA10" i="21"/>
  <c r="EW10" i="21"/>
  <c r="EV10" i="21"/>
  <c r="EU10" i="21"/>
  <c r="ET10" i="21"/>
  <c r="ES10" i="21"/>
  <c r="ER10" i="21"/>
  <c r="EQ10" i="21"/>
  <c r="EM10" i="21"/>
  <c r="EL10" i="21"/>
  <c r="EK10" i="21"/>
  <c r="EJ10" i="21"/>
  <c r="EI10" i="21"/>
  <c r="EH10" i="21"/>
  <c r="EG10" i="21"/>
  <c r="EC10" i="21"/>
  <c r="EB10" i="21"/>
  <c r="EA10" i="21"/>
  <c r="DZ10" i="21"/>
  <c r="DY10" i="21"/>
  <c r="DX10" i="21"/>
  <c r="DW10" i="21"/>
  <c r="DS10" i="21"/>
  <c r="DR10" i="21"/>
  <c r="DQ10" i="21"/>
  <c r="DP10" i="21"/>
  <c r="DO10" i="21"/>
  <c r="DN10" i="21"/>
  <c r="DM10" i="21"/>
  <c r="DI10" i="21"/>
  <c r="DH10" i="21"/>
  <c r="DG10" i="21"/>
  <c r="DF10" i="21"/>
  <c r="DE10" i="21"/>
  <c r="DD10" i="21"/>
  <c r="DC10" i="21"/>
  <c r="CY10" i="21"/>
  <c r="CX10" i="21"/>
  <c r="CW10" i="21"/>
  <c r="CV10" i="21"/>
  <c r="CU10" i="21"/>
  <c r="CT10" i="21"/>
  <c r="CS10" i="21"/>
  <c r="CO10" i="21"/>
  <c r="CN10" i="21"/>
  <c r="CM10" i="21"/>
  <c r="CL10" i="21"/>
  <c r="CK10" i="21"/>
  <c r="CJ10" i="21"/>
  <c r="CI10" i="21"/>
  <c r="CE10" i="21"/>
  <c r="CD10" i="21"/>
  <c r="CC10" i="21"/>
  <c r="CB10" i="21"/>
  <c r="CA10" i="21"/>
  <c r="BZ10" i="21"/>
  <c r="BY10" i="21"/>
  <c r="BU10" i="21"/>
  <c r="BT10" i="21"/>
  <c r="BS10" i="21"/>
  <c r="BR10" i="21"/>
  <c r="BQ10" i="21"/>
  <c r="BP10" i="21"/>
  <c r="BO10" i="21"/>
  <c r="BK10" i="21"/>
  <c r="BJ10" i="21"/>
  <c r="BI10" i="21"/>
  <c r="BH10" i="21"/>
  <c r="BG10" i="21"/>
  <c r="BF10" i="21"/>
  <c r="BE10" i="21"/>
  <c r="BA10" i="21"/>
  <c r="AZ10" i="21"/>
  <c r="AY10" i="21"/>
  <c r="AX10" i="21"/>
  <c r="AW10" i="21"/>
  <c r="AV10" i="21"/>
  <c r="AU10" i="21"/>
  <c r="AD3" i="21"/>
  <c r="AF10" i="21"/>
  <c r="AP10" i="21"/>
  <c r="AQ10" i="21"/>
  <c r="AO10" i="21"/>
  <c r="AN10" i="21"/>
  <c r="AM10" i="21"/>
  <c r="AL10" i="21"/>
  <c r="AK10" i="21"/>
  <c r="AE10" i="21"/>
  <c r="AG10" i="21"/>
  <c r="AD10" i="21"/>
  <c r="AC10" i="21"/>
  <c r="AB10" i="21"/>
  <c r="AA10" i="21"/>
  <c r="KF29" i="21" l="1"/>
  <c r="JU29" i="21"/>
  <c r="KG29" i="21"/>
  <c r="JH32" i="21"/>
  <c r="KL32" i="21"/>
  <c r="KP30" i="21"/>
  <c r="KB31" i="21"/>
  <c r="KE29" i="21"/>
  <c r="KC32" i="21"/>
  <c r="KD30" i="21"/>
  <c r="KH29" i="21"/>
  <c r="KA31" i="21"/>
  <c r="KQ30" i="21"/>
  <c r="JJ31" i="21"/>
  <c r="JA29" i="21"/>
  <c r="JW29" i="21"/>
  <c r="JK30" i="21"/>
  <c r="JV29" i="21"/>
  <c r="KO30" i="21"/>
  <c r="KR30" i="21"/>
  <c r="KK32" i="21"/>
  <c r="KM33" i="21"/>
  <c r="KN31" i="21"/>
  <c r="JS32" i="21"/>
  <c r="JR31" i="21"/>
  <c r="JX29" i="21"/>
  <c r="JQ31" i="21"/>
  <c r="JT30" i="21"/>
  <c r="JN30" i="21"/>
  <c r="JG32" i="21"/>
  <c r="JM30" i="21"/>
  <c r="JM31" i="21" s="1"/>
  <c r="JI33" i="21"/>
  <c r="JL30" i="21"/>
  <c r="JD29" i="21"/>
  <c r="IW31" i="21"/>
  <c r="IZ30" i="21"/>
  <c r="JC29" i="21"/>
  <c r="IY32" i="21"/>
  <c r="IX31" i="21"/>
  <c r="AS10" i="25"/>
  <c r="AY10" i="25" s="1"/>
  <c r="BD10" i="25" s="1"/>
  <c r="BE10" i="25"/>
  <c r="V19" i="25"/>
  <c r="AZ18" i="25"/>
  <c r="M17" i="30"/>
  <c r="AE33" i="20"/>
  <c r="AE34" i="20" s="1"/>
  <c r="H7" i="20" s="1"/>
  <c r="E7" i="20"/>
  <c r="C18" i="30"/>
  <c r="AX10" i="25"/>
  <c r="BH10" i="25" s="1"/>
  <c r="AU11" i="25"/>
  <c r="BE11" i="25" s="1"/>
  <c r="AP12" i="25"/>
  <c r="BA12" i="25" s="1"/>
  <c r="AQ11" i="25"/>
  <c r="BB11" i="25" s="1"/>
  <c r="AW11" i="25"/>
  <c r="AR11" i="25"/>
  <c r="AV18" i="25"/>
  <c r="BF18" i="25" s="1"/>
  <c r="AT13" i="25"/>
  <c r="BG13" i="25" s="1"/>
  <c r="AN13" i="25"/>
  <c r="AL13" i="25"/>
  <c r="BC13" i="25" s="1"/>
  <c r="AF15" i="25"/>
  <c r="AJ15" i="25" s="1"/>
  <c r="X16" i="25"/>
  <c r="AB16" i="25" s="1"/>
  <c r="Z16" i="25"/>
  <c r="AF16" i="25" s="1"/>
  <c r="AM13" i="25"/>
  <c r="AO13" i="25"/>
  <c r="AK14" i="25"/>
  <c r="AG16" i="25"/>
  <c r="AE16" i="25"/>
  <c r="AC16" i="25"/>
  <c r="Y17" i="25"/>
  <c r="AD15" i="25"/>
  <c r="AI15" i="25" s="1"/>
  <c r="W17" i="25"/>
  <c r="AA17" i="25" s="1"/>
  <c r="L3" i="25" a="1"/>
  <c r="L3" i="25" s="1"/>
  <c r="AE30" i="20"/>
  <c r="B8" i="20"/>
  <c r="K7" i="4"/>
  <c r="F7" i="4"/>
  <c r="H7" i="4"/>
  <c r="E8" i="4"/>
  <c r="G8" i="4" s="1"/>
  <c r="KW11" i="21"/>
  <c r="KV11" i="21" s="1"/>
  <c r="AM11" i="21"/>
  <c r="AK11" i="21" s="1"/>
  <c r="AR10" i="21" s="1"/>
  <c r="IO11" i="21"/>
  <c r="IM11" i="21" s="1"/>
  <c r="IT10" i="21" s="1"/>
  <c r="HK11" i="21"/>
  <c r="HJ11" i="21" s="1"/>
  <c r="IE11" i="21"/>
  <c r="IC11" i="21" s="1"/>
  <c r="IJ10" i="21" s="1"/>
  <c r="HU11" i="21"/>
  <c r="HS11" i="21" s="1"/>
  <c r="HZ10" i="21" s="1"/>
  <c r="HA11" i="21"/>
  <c r="GQ11" i="21"/>
  <c r="GO11" i="21" s="1"/>
  <c r="GV10" i="21" s="1"/>
  <c r="GG11" i="21"/>
  <c r="GG12" i="21" s="1"/>
  <c r="FW11" i="21"/>
  <c r="FW12" i="21" s="1"/>
  <c r="FC11" i="21"/>
  <c r="FC12" i="21" s="1"/>
  <c r="ES11" i="21"/>
  <c r="ER11" i="21" s="1"/>
  <c r="FM11" i="21"/>
  <c r="EI11" i="21"/>
  <c r="DY11" i="21"/>
  <c r="DX11" i="21" s="1"/>
  <c r="DO11" i="21"/>
  <c r="DM11" i="21" s="1"/>
  <c r="DT10" i="21" s="1"/>
  <c r="DE11" i="21"/>
  <c r="CU11" i="21"/>
  <c r="CK11" i="21"/>
  <c r="CA11" i="21"/>
  <c r="BQ11" i="21"/>
  <c r="BP11" i="21" s="1"/>
  <c r="BG11" i="21"/>
  <c r="BG12" i="21" s="1"/>
  <c r="AW11" i="21"/>
  <c r="AU11" i="21" s="1"/>
  <c r="BB10" i="21" s="1"/>
  <c r="AC11" i="21"/>
  <c r="H10" i="21"/>
  <c r="H11" i="21"/>
  <c r="H12" i="21"/>
  <c r="H13" i="21"/>
  <c r="H14" i="21"/>
  <c r="H15" i="21"/>
  <c r="H16" i="21"/>
  <c r="H17" i="21"/>
  <c r="H18" i="21"/>
  <c r="H19" i="21"/>
  <c r="H20" i="21"/>
  <c r="H23" i="21"/>
  <c r="H24" i="21"/>
  <c r="H25" i="21"/>
  <c r="H26" i="21"/>
  <c r="H27" i="21"/>
  <c r="H28" i="21"/>
  <c r="H29" i="21"/>
  <c r="H30" i="21"/>
  <c r="H31" i="21"/>
  <c r="B10" i="21"/>
  <c r="C10" i="21" s="1"/>
  <c r="B12" i="19"/>
  <c r="B13" i="19" s="1"/>
  <c r="B14" i="19" s="1"/>
  <c r="B15" i="19" s="1"/>
  <c r="B16" i="19" s="1"/>
  <c r="B17" i="19" s="1"/>
  <c r="B18" i="19" s="1"/>
  <c r="B19" i="19" s="1"/>
  <c r="B20" i="19" s="1"/>
  <c r="B21" i="19" s="1"/>
  <c r="B22" i="19" s="1"/>
  <c r="B23" i="19" s="1"/>
  <c r="B24" i="19" s="1"/>
  <c r="B25" i="19" s="1"/>
  <c r="B26" i="19" s="1"/>
  <c r="B27" i="19" s="1"/>
  <c r="B28" i="19" s="1"/>
  <c r="B29" i="19" s="1"/>
  <c r="B30" i="19" s="1"/>
  <c r="B31" i="19" s="1"/>
  <c r="B32" i="19" s="1"/>
  <c r="B33" i="19" s="1"/>
  <c r="C33" i="19" s="1"/>
  <c r="H33" i="19" s="1"/>
  <c r="B1" i="24"/>
  <c r="B5" i="24"/>
  <c r="C5" i="24" s="1"/>
  <c r="AE36" i="20" l="1"/>
  <c r="KP31" i="21"/>
  <c r="JL31" i="21"/>
  <c r="JK31" i="21"/>
  <c r="KD31" i="21"/>
  <c r="JV30" i="21"/>
  <c r="JU30" i="21"/>
  <c r="JR32" i="21"/>
  <c r="KE30" i="21"/>
  <c r="KB32" i="21"/>
  <c r="KF30" i="21"/>
  <c r="KG30" i="21"/>
  <c r="KC33" i="21"/>
  <c r="KH30" i="21"/>
  <c r="KA32" i="21"/>
  <c r="IZ31" i="21"/>
  <c r="JC30" i="21"/>
  <c r="KM34" i="21"/>
  <c r="KR31" i="21"/>
  <c r="KK33" i="21"/>
  <c r="KL33" i="21"/>
  <c r="KN32" i="21"/>
  <c r="KO31" i="21"/>
  <c r="KQ31" i="21"/>
  <c r="JS33" i="21"/>
  <c r="JX30" i="21"/>
  <c r="JQ32" i="21"/>
  <c r="JT31" i="21"/>
  <c r="JW30" i="21"/>
  <c r="JN31" i="21"/>
  <c r="JG33" i="21"/>
  <c r="JI34" i="21"/>
  <c r="JH33" i="21"/>
  <c r="JJ32" i="21"/>
  <c r="JL32" i="21" s="1"/>
  <c r="IY33" i="21"/>
  <c r="JA30" i="21"/>
  <c r="JD30" i="21"/>
  <c r="IW32" i="21"/>
  <c r="IX32" i="21"/>
  <c r="JB30" i="21"/>
  <c r="V20" i="25"/>
  <c r="AZ19" i="25"/>
  <c r="M18" i="30"/>
  <c r="I8" i="20"/>
  <c r="N8" i="20" s="1"/>
  <c r="J22" i="8" s="1"/>
  <c r="D8" i="20"/>
  <c r="L8" i="20"/>
  <c r="Q8" i="20" s="1"/>
  <c r="J8" i="20"/>
  <c r="O8" i="20" s="1"/>
  <c r="K22" i="8" s="1"/>
  <c r="C8" i="20"/>
  <c r="B22" i="8" s="1"/>
  <c r="C19" i="30"/>
  <c r="AU12" i="25"/>
  <c r="AS11" i="25"/>
  <c r="AY11" i="25" s="1"/>
  <c r="BD11" i="25" s="1"/>
  <c r="AP13" i="25"/>
  <c r="AX11" i="25"/>
  <c r="BH11" i="25" s="1"/>
  <c r="AW12" i="25"/>
  <c r="AQ12" i="25"/>
  <c r="BB12" i="25" s="1"/>
  <c r="AR12" i="25"/>
  <c r="AT14" i="25"/>
  <c r="BG14" i="25" s="1"/>
  <c r="AV19" i="25"/>
  <c r="BF19" i="25" s="1"/>
  <c r="AN14" i="25"/>
  <c r="AH16" i="25"/>
  <c r="AJ16" i="25" s="1"/>
  <c r="AL14" i="25"/>
  <c r="BC14" i="25" s="1"/>
  <c r="Z17" i="25"/>
  <c r="AF17" i="25" s="1"/>
  <c r="X17" i="25"/>
  <c r="AB17" i="25" s="1"/>
  <c r="AM14" i="25"/>
  <c r="AO14" i="25"/>
  <c r="AK15" i="25"/>
  <c r="AE17" i="25"/>
  <c r="AG17" i="25"/>
  <c r="AC17" i="25"/>
  <c r="Y18" i="25"/>
  <c r="AD16" i="25"/>
  <c r="AI16" i="25" s="1"/>
  <c r="W18" i="25"/>
  <c r="AA18" i="25" s="1"/>
  <c r="G8" i="20"/>
  <c r="O7" i="4"/>
  <c r="L7" i="4"/>
  <c r="F8" i="4"/>
  <c r="H8" i="4"/>
  <c r="E9" i="4"/>
  <c r="G9" i="4" s="1"/>
  <c r="KW12" i="21"/>
  <c r="KV12" i="21" s="1"/>
  <c r="KU11" i="21"/>
  <c r="AL11" i="21"/>
  <c r="AM12" i="21"/>
  <c r="AM13" i="21" s="1"/>
  <c r="IN11" i="21"/>
  <c r="HI11" i="21"/>
  <c r="HP10" i="21" s="1"/>
  <c r="IO12" i="21"/>
  <c r="IM12" i="21" s="1"/>
  <c r="IE12" i="21"/>
  <c r="IC12" i="21" s="1"/>
  <c r="GP11" i="21"/>
  <c r="HK12" i="21"/>
  <c r="HJ12" i="21" s="1"/>
  <c r="ID11" i="21"/>
  <c r="HU12" i="21"/>
  <c r="HS12" i="21" s="1"/>
  <c r="HT11" i="21"/>
  <c r="HA12" i="21"/>
  <c r="GZ11" i="21"/>
  <c r="GY11" i="21"/>
  <c r="HF10" i="21" s="1"/>
  <c r="FA11" i="21"/>
  <c r="GQ12" i="21"/>
  <c r="GQ13" i="21" s="1"/>
  <c r="GE11" i="21"/>
  <c r="EQ11" i="21"/>
  <c r="EX10" i="21" s="1"/>
  <c r="ES12" i="21"/>
  <c r="ES13" i="21" s="1"/>
  <c r="FB11" i="21"/>
  <c r="GF11" i="21"/>
  <c r="FU11" i="21"/>
  <c r="FV11" i="21"/>
  <c r="GG13" i="21"/>
  <c r="FW13" i="21"/>
  <c r="FM12" i="21"/>
  <c r="FL11" i="21"/>
  <c r="FK11" i="21"/>
  <c r="FR10" i="21" s="1"/>
  <c r="FC13" i="21"/>
  <c r="EI12" i="21"/>
  <c r="EH11" i="21"/>
  <c r="EG11" i="21"/>
  <c r="EN10" i="21" s="1"/>
  <c r="DY12" i="21"/>
  <c r="DX12" i="21" s="1"/>
  <c r="DW11" i="21"/>
  <c r="ED10" i="21" s="1"/>
  <c r="DO12" i="21"/>
  <c r="DN11" i="21"/>
  <c r="DE12" i="21"/>
  <c r="DD11" i="21"/>
  <c r="DC11" i="21"/>
  <c r="DJ10" i="21" s="1"/>
  <c r="CU12" i="21"/>
  <c r="CT11" i="21"/>
  <c r="CS11" i="21"/>
  <c r="CZ10" i="21" s="1"/>
  <c r="CK12" i="21"/>
  <c r="CJ11" i="21"/>
  <c r="CI11" i="21"/>
  <c r="CP10" i="21" s="1"/>
  <c r="CA12" i="21"/>
  <c r="BZ11" i="21"/>
  <c r="BY11" i="21"/>
  <c r="CF10" i="21" s="1"/>
  <c r="BQ12" i="21"/>
  <c r="BP12" i="21" s="1"/>
  <c r="BO11" i="21"/>
  <c r="BV10" i="21" s="1"/>
  <c r="BF11" i="21"/>
  <c r="BE11" i="21"/>
  <c r="BG13" i="21"/>
  <c r="AW12" i="21"/>
  <c r="AV11" i="21"/>
  <c r="AC12" i="21"/>
  <c r="AC13" i="21" s="1"/>
  <c r="AC14" i="21" s="1"/>
  <c r="AC15" i="21" s="1"/>
  <c r="AC16" i="21" s="1"/>
  <c r="AC17" i="21" s="1"/>
  <c r="AC18" i="21" s="1"/>
  <c r="AC19" i="21" s="1"/>
  <c r="AC20" i="21" s="1"/>
  <c r="AC21" i="21" s="1"/>
  <c r="AC22" i="21" s="1"/>
  <c r="AC23" i="21" s="1"/>
  <c r="AC24" i="21" s="1"/>
  <c r="AC25" i="21" s="1"/>
  <c r="AC26" i="21" s="1"/>
  <c r="AC27" i="21" s="1"/>
  <c r="AC28" i="21" s="1"/>
  <c r="AC29" i="21" s="1"/>
  <c r="AC30" i="21" s="1"/>
  <c r="AC31" i="21" s="1"/>
  <c r="AC32" i="21" s="1"/>
  <c r="AC33" i="21" s="1"/>
  <c r="AC34" i="21" s="1"/>
  <c r="AC35" i="21" s="1"/>
  <c r="AC36" i="21" s="1"/>
  <c r="AC37" i="21" s="1"/>
  <c r="AC38" i="21" s="1"/>
  <c r="AC39" i="21" s="1"/>
  <c r="AC40" i="21" s="1"/>
  <c r="AC41" i="21" s="1"/>
  <c r="AC42" i="21" s="1"/>
  <c r="AC43" i="21" s="1"/>
  <c r="AC44" i="21" s="1"/>
  <c r="AC45" i="21" s="1"/>
  <c r="AC46" i="21" s="1"/>
  <c r="AC47" i="21" s="1"/>
  <c r="AC48" i="21" s="1"/>
  <c r="AC49" i="21" s="1"/>
  <c r="AC50" i="21" s="1"/>
  <c r="AC51" i="21" s="1"/>
  <c r="AC52" i="21" s="1"/>
  <c r="AC53" i="21" s="1"/>
  <c r="AC54" i="21" s="1"/>
  <c r="AC55" i="21" s="1"/>
  <c r="AC56" i="21" s="1"/>
  <c r="AC57" i="21" s="1"/>
  <c r="AC58" i="21" s="1"/>
  <c r="AC59" i="21" s="1"/>
  <c r="AC60" i="21" s="1"/>
  <c r="AC61" i="21" s="1"/>
  <c r="AC62" i="21" s="1"/>
  <c r="AC63" i="21" s="1"/>
  <c r="AC64" i="21" s="1"/>
  <c r="AC65" i="21" s="1"/>
  <c r="AC66" i="21" s="1"/>
  <c r="AC67" i="21" s="1"/>
  <c r="AC68" i="21" s="1"/>
  <c r="AC69" i="21" s="1"/>
  <c r="AC70" i="21" s="1"/>
  <c r="AC71" i="21" s="1"/>
  <c r="AC72" i="21" s="1"/>
  <c r="AC73" i="21" s="1"/>
  <c r="AC74" i="21" s="1"/>
  <c r="AC75" i="21" s="1"/>
  <c r="AC76" i="21" s="1"/>
  <c r="AC77" i="21" s="1"/>
  <c r="AC78" i="21" s="1"/>
  <c r="AC79" i="21" s="1"/>
  <c r="AC80" i="21" s="1"/>
  <c r="AC81" i="21" s="1"/>
  <c r="AC82" i="21" s="1"/>
  <c r="AC83" i="21" s="1"/>
  <c r="AC84" i="21" s="1"/>
  <c r="AC85" i="21" s="1"/>
  <c r="AC86" i="21" s="1"/>
  <c r="AC87" i="21" s="1"/>
  <c r="AC88" i="21" s="1"/>
  <c r="AC89" i="21" s="1"/>
  <c r="AC90" i="21" s="1"/>
  <c r="AC91" i="21" s="1"/>
  <c r="AC92" i="21" s="1"/>
  <c r="AC93" i="21" s="1"/>
  <c r="AC94" i="21" s="1"/>
  <c r="AC95" i="21" s="1"/>
  <c r="AC96" i="21" s="1"/>
  <c r="AC97" i="21" s="1"/>
  <c r="AC98" i="21" s="1"/>
  <c r="AC99" i="21" s="1"/>
  <c r="AC100" i="21" s="1"/>
  <c r="AA11" i="21"/>
  <c r="AH10" i="21" s="1"/>
  <c r="AB11" i="21"/>
  <c r="B11" i="21"/>
  <c r="C11" i="21" s="1"/>
  <c r="C14" i="19"/>
  <c r="H14" i="19" s="1"/>
  <c r="C12" i="19"/>
  <c r="H12" i="19" s="1"/>
  <c r="C29" i="19"/>
  <c r="H29" i="19" s="1"/>
  <c r="C21" i="19"/>
  <c r="H21" i="19" s="1"/>
  <c r="C13" i="19"/>
  <c r="H13" i="19" s="1"/>
  <c r="D27" i="19"/>
  <c r="C27" i="19"/>
  <c r="H27" i="19" s="1"/>
  <c r="C19" i="19"/>
  <c r="H19" i="19" s="1"/>
  <c r="D33" i="19"/>
  <c r="C26" i="19"/>
  <c r="H26" i="19" s="1"/>
  <c r="C18" i="19"/>
  <c r="H18" i="19" s="1"/>
  <c r="D32" i="19"/>
  <c r="C30" i="19"/>
  <c r="H30" i="19" s="1"/>
  <c r="D28" i="19"/>
  <c r="C28" i="19"/>
  <c r="H28" i="19" s="1"/>
  <c r="C25" i="19"/>
  <c r="H25" i="19" s="1"/>
  <c r="D31" i="19"/>
  <c r="C20" i="19"/>
  <c r="H20" i="19" s="1"/>
  <c r="C17" i="19"/>
  <c r="H17" i="19" s="1"/>
  <c r="C32" i="19"/>
  <c r="H32" i="19" s="1"/>
  <c r="C24" i="19"/>
  <c r="H24" i="19" s="1"/>
  <c r="C16" i="19"/>
  <c r="H16" i="19" s="1"/>
  <c r="D30" i="19"/>
  <c r="C22" i="19"/>
  <c r="H22" i="19" s="1"/>
  <c r="C31" i="19"/>
  <c r="H31" i="19" s="1"/>
  <c r="C23" i="19"/>
  <c r="H23" i="19" s="1"/>
  <c r="C15" i="19"/>
  <c r="H15" i="19" s="1"/>
  <c r="D29" i="19"/>
  <c r="D5" i="24"/>
  <c r="B6" i="24"/>
  <c r="E12" i="10"/>
  <c r="KG31" i="21" l="1"/>
  <c r="KF31" i="21"/>
  <c r="KE31" i="21"/>
  <c r="JU31" i="21"/>
  <c r="JB31" i="21"/>
  <c r="JA31" i="21"/>
  <c r="JC31" i="21"/>
  <c r="KB33" i="21"/>
  <c r="KH31" i="21"/>
  <c r="KA33" i="21"/>
  <c r="KC34" i="21"/>
  <c r="KD32" i="21"/>
  <c r="JW31" i="21"/>
  <c r="KO32" i="21"/>
  <c r="JV31" i="21"/>
  <c r="KN33" i="21"/>
  <c r="KL34" i="21"/>
  <c r="JH34" i="21"/>
  <c r="KP32" i="21"/>
  <c r="KR32" i="21"/>
  <c r="KK34" i="21"/>
  <c r="KQ32" i="21"/>
  <c r="KM35" i="21"/>
  <c r="JX31" i="21"/>
  <c r="JQ33" i="21"/>
  <c r="JS34" i="21"/>
  <c r="JT32" i="21"/>
  <c r="JR33" i="21"/>
  <c r="JI35" i="21"/>
  <c r="JN32" i="21"/>
  <c r="JG34" i="21"/>
  <c r="JK32" i="21"/>
  <c r="JJ33" i="21"/>
  <c r="JM32" i="21"/>
  <c r="JD31" i="21"/>
  <c r="IW33" i="21"/>
  <c r="IY34" i="21"/>
  <c r="IX33" i="21"/>
  <c r="IZ32" i="21"/>
  <c r="AW13" i="25"/>
  <c r="AR13" i="25"/>
  <c r="BA13" i="25"/>
  <c r="AS12" i="25"/>
  <c r="AY12" i="25" s="1"/>
  <c r="BD12" i="25" s="1"/>
  <c r="BE12" i="25"/>
  <c r="V21" i="25"/>
  <c r="AZ20" i="25"/>
  <c r="AP14" i="25"/>
  <c r="AR14" i="25" s="1"/>
  <c r="M19" i="30"/>
  <c r="IJ11" i="21"/>
  <c r="C20" i="30"/>
  <c r="AU13" i="25"/>
  <c r="AX12" i="25"/>
  <c r="BH12" i="25" s="1"/>
  <c r="AQ13" i="25"/>
  <c r="BB13" i="25" s="1"/>
  <c r="AT15" i="25"/>
  <c r="BG15" i="25" s="1"/>
  <c r="AV20" i="25"/>
  <c r="BF20" i="25" s="1"/>
  <c r="AN15" i="25"/>
  <c r="AL15" i="25"/>
  <c r="BC15" i="25" s="1"/>
  <c r="AH17" i="25"/>
  <c r="AJ17" i="25" s="1"/>
  <c r="X18" i="25"/>
  <c r="AB18" i="25" s="1"/>
  <c r="Z18" i="25"/>
  <c r="AH18" i="25" s="1"/>
  <c r="AO15" i="25"/>
  <c r="AM15" i="25"/>
  <c r="AK16" i="25"/>
  <c r="AG18" i="25"/>
  <c r="AE18" i="25"/>
  <c r="AC18" i="25"/>
  <c r="Y19" i="25"/>
  <c r="AD17" i="25"/>
  <c r="AI17" i="25" s="1"/>
  <c r="W19" i="25"/>
  <c r="AA19" i="25" s="1"/>
  <c r="HZ11" i="21"/>
  <c r="IT11" i="21"/>
  <c r="B9" i="20"/>
  <c r="AJ21" i="20"/>
  <c r="F22" i="8"/>
  <c r="L8" i="4"/>
  <c r="K9" i="4"/>
  <c r="I9" i="4"/>
  <c r="J9" i="4"/>
  <c r="F9" i="4"/>
  <c r="H9" i="4"/>
  <c r="GE12" i="21"/>
  <c r="GE13" i="21" s="1"/>
  <c r="GL10" i="21"/>
  <c r="FA12" i="21"/>
  <c r="FA13" i="21" s="1"/>
  <c r="FH10" i="21"/>
  <c r="FU12" i="21"/>
  <c r="GB10" i="21"/>
  <c r="BE12" i="21"/>
  <c r="BE13" i="21" s="1"/>
  <c r="BL10" i="21"/>
  <c r="KX11" i="21"/>
  <c r="KY11" i="21" s="1"/>
  <c r="LB10" i="21"/>
  <c r="AK12" i="21"/>
  <c r="AR11" i="21" s="1"/>
  <c r="GR11" i="21"/>
  <c r="GT11" i="21" s="1"/>
  <c r="BF12" i="21"/>
  <c r="BF13" i="21" s="1"/>
  <c r="FB12" i="21"/>
  <c r="FB13" i="21" s="1"/>
  <c r="FV12" i="21"/>
  <c r="FV13" i="21" s="1"/>
  <c r="HV11" i="21"/>
  <c r="HY11" i="21" s="1"/>
  <c r="AL12" i="21"/>
  <c r="AL13" i="21" s="1"/>
  <c r="AN11" i="21"/>
  <c r="AP11" i="21" s="1"/>
  <c r="KU12" i="21"/>
  <c r="KW13" i="21"/>
  <c r="KW14" i="21" s="1"/>
  <c r="IE13" i="21"/>
  <c r="IE14" i="21" s="1"/>
  <c r="ID12" i="21"/>
  <c r="GH11" i="21"/>
  <c r="GI11" i="21" s="1"/>
  <c r="IO13" i="21"/>
  <c r="IO14" i="21" s="1"/>
  <c r="HL11" i="21"/>
  <c r="HM11" i="21" s="1"/>
  <c r="GO12" i="21"/>
  <c r="HK13" i="21"/>
  <c r="HK14" i="21" s="1"/>
  <c r="GZ12" i="21"/>
  <c r="IN12" i="21"/>
  <c r="IP11" i="21"/>
  <c r="ET11" i="21"/>
  <c r="EU11" i="21" s="1"/>
  <c r="EQ12" i="21"/>
  <c r="HI12" i="21"/>
  <c r="HP11" i="21" s="1"/>
  <c r="IF11" i="21"/>
  <c r="HT12" i="21"/>
  <c r="HU13" i="21"/>
  <c r="GY12" i="21"/>
  <c r="HF11" i="21" s="1"/>
  <c r="HB11" i="21"/>
  <c r="HA13" i="21"/>
  <c r="FD11" i="21"/>
  <c r="ER12" i="21"/>
  <c r="GP12" i="21"/>
  <c r="GQ14" i="21"/>
  <c r="GF12" i="21"/>
  <c r="FX11" i="21"/>
  <c r="GA11" i="21" s="1"/>
  <c r="EH12" i="21"/>
  <c r="GG14" i="21"/>
  <c r="FW14" i="21"/>
  <c r="CJ12" i="21"/>
  <c r="DN12" i="21"/>
  <c r="FL12" i="21"/>
  <c r="FK12" i="21"/>
  <c r="FR11" i="21" s="1"/>
  <c r="FN11" i="21"/>
  <c r="FM13" i="21"/>
  <c r="FC14" i="21"/>
  <c r="ES14" i="21"/>
  <c r="EG12" i="21"/>
  <c r="EN11" i="21" s="1"/>
  <c r="EJ11" i="21"/>
  <c r="EI13" i="21"/>
  <c r="DW12" i="21"/>
  <c r="ED11" i="21" s="1"/>
  <c r="DZ11" i="21"/>
  <c r="DY13" i="21"/>
  <c r="DP11" i="21"/>
  <c r="DO13" i="21"/>
  <c r="DM12" i="21"/>
  <c r="DT11" i="21" s="1"/>
  <c r="BH11" i="21"/>
  <c r="BI11" i="21" s="1"/>
  <c r="DD12" i="21"/>
  <c r="DC12" i="21"/>
  <c r="DJ11" i="21" s="1"/>
  <c r="DF11" i="21"/>
  <c r="DE13" i="21"/>
  <c r="CS12" i="21"/>
  <c r="CZ11" i="21" s="1"/>
  <c r="CV11" i="21"/>
  <c r="CT12" i="21"/>
  <c r="CU13" i="21"/>
  <c r="CI12" i="21"/>
  <c r="CP11" i="21" s="1"/>
  <c r="CL11" i="21"/>
  <c r="CK13" i="21"/>
  <c r="BY12" i="21"/>
  <c r="CF11" i="21" s="1"/>
  <c r="BZ12" i="21"/>
  <c r="CB11" i="21"/>
  <c r="CA13" i="21"/>
  <c r="BO12" i="21"/>
  <c r="BV11" i="21" s="1"/>
  <c r="BR11" i="21"/>
  <c r="BQ13" i="21"/>
  <c r="BG14" i="21"/>
  <c r="AV12" i="21"/>
  <c r="AX11" i="21"/>
  <c r="AW13" i="21"/>
  <c r="AU12" i="21"/>
  <c r="BB11" i="21" s="1"/>
  <c r="AM14" i="21"/>
  <c r="AB12" i="21"/>
  <c r="AA12" i="21"/>
  <c r="AH11" i="21" s="1"/>
  <c r="AD11" i="21"/>
  <c r="AF11" i="21" s="1"/>
  <c r="B12" i="21"/>
  <c r="C12" i="21" s="1"/>
  <c r="B7" i="24"/>
  <c r="C6" i="24"/>
  <c r="B9" i="8"/>
  <c r="B10" i="8"/>
  <c r="B11" i="8"/>
  <c r="B12" i="8"/>
  <c r="E6" i="28"/>
  <c r="I6" i="28"/>
  <c r="K6" i="28" s="1"/>
  <c r="V6" i="28" s="1"/>
  <c r="O1"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E67" i="28"/>
  <c r="E68" i="28"/>
  <c r="E69" i="28"/>
  <c r="E70" i="28"/>
  <c r="E71" i="28"/>
  <c r="E72" i="28"/>
  <c r="E73" i="28"/>
  <c r="E74" i="28"/>
  <c r="E75" i="28"/>
  <c r="E76" i="28"/>
  <c r="E77" i="28"/>
  <c r="E78" i="28"/>
  <c r="E79" i="28"/>
  <c r="E80" i="28"/>
  <c r="E81" i="28"/>
  <c r="E82" i="28"/>
  <c r="I34" i="28"/>
  <c r="K34" i="28" s="1"/>
  <c r="I35" i="28"/>
  <c r="I36" i="28"/>
  <c r="K36" i="28" s="1"/>
  <c r="I37" i="28"/>
  <c r="K37" i="28" s="1"/>
  <c r="I38" i="28"/>
  <c r="K38" i="28" s="1"/>
  <c r="I39" i="28"/>
  <c r="K39" i="28" s="1"/>
  <c r="I40" i="28"/>
  <c r="K40" i="28" s="1"/>
  <c r="V40" i="28" s="1"/>
  <c r="I41" i="28"/>
  <c r="K41" i="28" s="1"/>
  <c r="I42" i="28"/>
  <c r="K42" i="28" s="1"/>
  <c r="I43" i="28"/>
  <c r="K43" i="28" s="1"/>
  <c r="I44" i="28"/>
  <c r="I45" i="28"/>
  <c r="K45" i="28" s="1"/>
  <c r="I46" i="28"/>
  <c r="K46" i="28" s="1"/>
  <c r="I47" i="28"/>
  <c r="K47" i="28" s="1"/>
  <c r="I48" i="28"/>
  <c r="K48" i="28" s="1"/>
  <c r="V48" i="28" s="1"/>
  <c r="I49" i="28"/>
  <c r="K49" i="28" s="1"/>
  <c r="I50" i="28"/>
  <c r="K50" i="28" s="1"/>
  <c r="I51" i="28"/>
  <c r="K51" i="28" s="1"/>
  <c r="V51" i="28" s="1"/>
  <c r="I52" i="28"/>
  <c r="K52" i="28" s="1"/>
  <c r="I53" i="28"/>
  <c r="K53" i="28" s="1"/>
  <c r="I54" i="28"/>
  <c r="K54" i="28" s="1"/>
  <c r="I55" i="28"/>
  <c r="K55" i="28" s="1"/>
  <c r="I56" i="28"/>
  <c r="K56" i="28" s="1"/>
  <c r="I57" i="28"/>
  <c r="K57" i="28" s="1"/>
  <c r="I58" i="28"/>
  <c r="K58" i="28" s="1"/>
  <c r="I59" i="28"/>
  <c r="K59" i="28" s="1"/>
  <c r="I60" i="28"/>
  <c r="K60" i="28" s="1"/>
  <c r="I61" i="28"/>
  <c r="K61" i="28" s="1"/>
  <c r="I62" i="28"/>
  <c r="K62" i="28" s="1"/>
  <c r="I63" i="28"/>
  <c r="K63" i="28" s="1"/>
  <c r="I64" i="28"/>
  <c r="K64" i="28" s="1"/>
  <c r="I65" i="28"/>
  <c r="K65" i="28" s="1"/>
  <c r="I66" i="28"/>
  <c r="K66" i="28" s="1"/>
  <c r="I67" i="28"/>
  <c r="K67" i="28" s="1"/>
  <c r="V67" i="28" s="1"/>
  <c r="I68" i="28"/>
  <c r="K68" i="28" s="1"/>
  <c r="I69" i="28"/>
  <c r="K69" i="28" s="1"/>
  <c r="I70" i="28"/>
  <c r="K70" i="28" s="1"/>
  <c r="I71" i="28"/>
  <c r="K71" i="28" s="1"/>
  <c r="I72" i="28"/>
  <c r="K72" i="28" s="1"/>
  <c r="V72" i="28" s="1"/>
  <c r="I73" i="28"/>
  <c r="K73" i="28" s="1"/>
  <c r="I74" i="28"/>
  <c r="K74" i="28" s="1"/>
  <c r="I75" i="28"/>
  <c r="K75" i="28" s="1"/>
  <c r="I76" i="28"/>
  <c r="K76" i="28" s="1"/>
  <c r="I77" i="28"/>
  <c r="K77" i="28" s="1"/>
  <c r="I78" i="28"/>
  <c r="K78" i="28" s="1"/>
  <c r="I79" i="28"/>
  <c r="K79" i="28" s="1"/>
  <c r="I80" i="28"/>
  <c r="K80" i="28" s="1"/>
  <c r="I81" i="28"/>
  <c r="K81" i="28" s="1"/>
  <c r="I82" i="28"/>
  <c r="K82" i="28" s="1"/>
  <c r="K35" i="28"/>
  <c r="K44" i="28"/>
  <c r="KG32" i="21" l="1"/>
  <c r="JB32" i="21"/>
  <c r="KP33" i="21"/>
  <c r="KB34" i="21"/>
  <c r="JK33" i="21"/>
  <c r="KO33" i="21"/>
  <c r="KC35" i="21"/>
  <c r="KH32" i="21"/>
  <c r="KA34" i="21"/>
  <c r="KF32" i="21"/>
  <c r="KE32" i="21"/>
  <c r="KD33" i="21"/>
  <c r="KL35" i="21"/>
  <c r="KQ33" i="21"/>
  <c r="IX34" i="21"/>
  <c r="JT33" i="21"/>
  <c r="JJ34" i="21"/>
  <c r="KR33" i="21"/>
  <c r="KK35" i="21"/>
  <c r="KM36" i="21"/>
  <c r="KN34" i="21"/>
  <c r="JS35" i="21"/>
  <c r="JU32" i="21"/>
  <c r="JV32" i="21"/>
  <c r="JX32" i="21"/>
  <c r="JQ34" i="21"/>
  <c r="JW32" i="21"/>
  <c r="JR34" i="21"/>
  <c r="JN33" i="21"/>
  <c r="JG35" i="21"/>
  <c r="JI36" i="21"/>
  <c r="JH35" i="21"/>
  <c r="JM33" i="21"/>
  <c r="JM34" i="21" s="1"/>
  <c r="JL33" i="21"/>
  <c r="IY35" i="21"/>
  <c r="IZ33" i="21"/>
  <c r="JC32" i="21"/>
  <c r="JA32" i="21"/>
  <c r="JA33" i="21" s="1"/>
  <c r="JD32" i="21"/>
  <c r="IW34" i="21"/>
  <c r="AX13" i="25"/>
  <c r="BH13" i="25" s="1"/>
  <c r="AW14" i="25"/>
  <c r="AX14" i="25" s="1"/>
  <c r="BH14" i="25" s="1"/>
  <c r="BA14" i="25"/>
  <c r="AS13" i="25"/>
  <c r="AY13" i="25" s="1"/>
  <c r="BD13" i="25" s="1"/>
  <c r="BE13" i="25"/>
  <c r="V22" i="25"/>
  <c r="AZ21" i="25"/>
  <c r="AQ14" i="25"/>
  <c r="BB14" i="25" s="1"/>
  <c r="AP15" i="25"/>
  <c r="LA11" i="21"/>
  <c r="AU14" i="25"/>
  <c r="M20" i="30"/>
  <c r="FH11" i="21"/>
  <c r="FH12" i="21" s="1"/>
  <c r="G9" i="20"/>
  <c r="AO21" i="20" s="1"/>
  <c r="I9" i="20"/>
  <c r="N9" i="20" s="1"/>
  <c r="J23" i="8" s="1"/>
  <c r="D9" i="20"/>
  <c r="F23" i="8" s="1"/>
  <c r="J9" i="20"/>
  <c r="O9" i="20" s="1"/>
  <c r="K23" i="8" s="1"/>
  <c r="L9" i="20"/>
  <c r="Q9" i="20" s="1"/>
  <c r="C9" i="20"/>
  <c r="B23" i="8" s="1"/>
  <c r="C21" i="30"/>
  <c r="AV21" i="25"/>
  <c r="BF21" i="25" s="1"/>
  <c r="AN16" i="25"/>
  <c r="AT16" i="25"/>
  <c r="BG16" i="25" s="1"/>
  <c r="AL16" i="25"/>
  <c r="BC16" i="25" s="1"/>
  <c r="AF18" i="25"/>
  <c r="AJ18" i="25" s="1"/>
  <c r="AC19" i="25"/>
  <c r="X19" i="25"/>
  <c r="AB19" i="25" s="1"/>
  <c r="Z19" i="25"/>
  <c r="AF19" i="25" s="1"/>
  <c r="AO16" i="25"/>
  <c r="AM16" i="25"/>
  <c r="AK17" i="25"/>
  <c r="AG19" i="25"/>
  <c r="AE19" i="25"/>
  <c r="Y20" i="25"/>
  <c r="AD18" i="25"/>
  <c r="AI18" i="25" s="1"/>
  <c r="W20" i="25"/>
  <c r="AA20" i="25" s="1"/>
  <c r="S82" i="28"/>
  <c r="V82" i="28"/>
  <c r="T74" i="28"/>
  <c r="V74" i="28"/>
  <c r="T66" i="28"/>
  <c r="V66" i="28"/>
  <c r="S58" i="28"/>
  <c r="V58" i="28"/>
  <c r="S50" i="28"/>
  <c r="V50" i="28"/>
  <c r="T42" i="28"/>
  <c r="V42" i="28"/>
  <c r="S34" i="28"/>
  <c r="V34" i="28"/>
  <c r="T75" i="28"/>
  <c r="V75" i="28"/>
  <c r="S65" i="28"/>
  <c r="V65" i="28"/>
  <c r="S73" i="28"/>
  <c r="V73" i="28"/>
  <c r="U57" i="28"/>
  <c r="V57" i="28"/>
  <c r="S49" i="28"/>
  <c r="V49" i="28"/>
  <c r="U41" i="28"/>
  <c r="V41" i="28"/>
  <c r="S80" i="28"/>
  <c r="V80" i="28"/>
  <c r="T64" i="28"/>
  <c r="V64" i="28"/>
  <c r="T56" i="28"/>
  <c r="V56" i="28"/>
  <c r="S79" i="28"/>
  <c r="V79" i="28"/>
  <c r="S55" i="28"/>
  <c r="V55" i="28"/>
  <c r="S47" i="28"/>
  <c r="V47" i="28"/>
  <c r="S39" i="28"/>
  <c r="V39" i="28"/>
  <c r="S71" i="28"/>
  <c r="V71" i="28"/>
  <c r="S70" i="28"/>
  <c r="V70" i="28"/>
  <c r="S54" i="28"/>
  <c r="V54" i="28"/>
  <c r="S38" i="28"/>
  <c r="V38" i="28"/>
  <c r="S81" i="28"/>
  <c r="V81" i="28"/>
  <c r="S63" i="28"/>
  <c r="V63" i="28"/>
  <c r="S78" i="28"/>
  <c r="V78" i="28"/>
  <c r="S62" i="28"/>
  <c r="V62" i="28"/>
  <c r="S46" i="28"/>
  <c r="V46" i="28"/>
  <c r="T77" i="28"/>
  <c r="V77" i="28"/>
  <c r="T69" i="28"/>
  <c r="V69" i="28"/>
  <c r="T61" i="28"/>
  <c r="V61" i="28"/>
  <c r="T53" i="28"/>
  <c r="V53" i="28"/>
  <c r="T45" i="28"/>
  <c r="V45" i="28"/>
  <c r="T37" i="28"/>
  <c r="V37" i="28"/>
  <c r="U35" i="28"/>
  <c r="V35" i="28"/>
  <c r="T59" i="28"/>
  <c r="V59" i="28"/>
  <c r="S43" i="28"/>
  <c r="V43" i="28"/>
  <c r="T44" i="28"/>
  <c r="V44" i="28"/>
  <c r="S76" i="28"/>
  <c r="V76" i="28"/>
  <c r="S68" i="28"/>
  <c r="V68" i="28"/>
  <c r="V60" i="28"/>
  <c r="X60" i="28" s="1"/>
  <c r="S52" i="28"/>
  <c r="V52" i="28"/>
  <c r="S36" i="28"/>
  <c r="V36" i="28"/>
  <c r="BL11" i="21"/>
  <c r="BL12" i="21" s="1"/>
  <c r="KZ11" i="21"/>
  <c r="GB11" i="21"/>
  <c r="GS11" i="21"/>
  <c r="GU11" i="21"/>
  <c r="AK13" i="21"/>
  <c r="AR12" i="21" s="1"/>
  <c r="LB11" i="21"/>
  <c r="AJ29" i="20"/>
  <c r="AJ25" i="20"/>
  <c r="AJ39" i="20" s="1"/>
  <c r="AJ40" i="20" s="1"/>
  <c r="AJ23" i="20"/>
  <c r="L9" i="4"/>
  <c r="N9" i="4"/>
  <c r="M9" i="4"/>
  <c r="O9" i="4"/>
  <c r="GL11" i="21"/>
  <c r="GL12" i="21" s="1"/>
  <c r="FU13" i="21"/>
  <c r="FU14" i="21" s="1"/>
  <c r="EQ13" i="21"/>
  <c r="EQ14" i="21" s="1"/>
  <c r="EX11" i="21"/>
  <c r="GO13" i="21"/>
  <c r="GO14" i="21" s="1"/>
  <c r="GV11" i="21"/>
  <c r="FD12" i="21"/>
  <c r="FD13" i="21" s="1"/>
  <c r="HX11" i="21"/>
  <c r="HW11" i="21"/>
  <c r="AL14" i="21"/>
  <c r="HV12" i="21"/>
  <c r="AQ11" i="21"/>
  <c r="GH12" i="21"/>
  <c r="GI12" i="21" s="1"/>
  <c r="AO11" i="21"/>
  <c r="ER13" i="21"/>
  <c r="ER14" i="21" s="1"/>
  <c r="B13" i="21"/>
  <c r="C13" i="21" s="1"/>
  <c r="GJ11" i="21"/>
  <c r="AN12" i="21"/>
  <c r="AP12" i="21" s="1"/>
  <c r="GK11" i="21"/>
  <c r="IF12" i="21"/>
  <c r="GR12" i="21"/>
  <c r="GT12" i="21" s="1"/>
  <c r="KU13" i="21"/>
  <c r="KU14" i="21" s="1"/>
  <c r="KV13" i="21"/>
  <c r="IC13" i="21"/>
  <c r="ID13" i="21"/>
  <c r="ID14" i="21" s="1"/>
  <c r="IM13" i="21"/>
  <c r="IT12" i="21" s="1"/>
  <c r="KX12" i="21"/>
  <c r="KW15" i="21"/>
  <c r="IN13" i="21"/>
  <c r="IN14" i="21" s="1"/>
  <c r="HI13" i="21"/>
  <c r="HP12" i="21" s="1"/>
  <c r="HO11" i="21"/>
  <c r="HN11" i="21"/>
  <c r="FE11" i="21"/>
  <c r="EV11" i="21"/>
  <c r="HL12" i="21"/>
  <c r="HM12" i="21" s="1"/>
  <c r="HJ13" i="21"/>
  <c r="FG11" i="21"/>
  <c r="EW11" i="21"/>
  <c r="GZ13" i="21"/>
  <c r="ET12" i="21"/>
  <c r="IR11" i="21"/>
  <c r="IQ11" i="21"/>
  <c r="IS11" i="21"/>
  <c r="IP12" i="21"/>
  <c r="IO15" i="21"/>
  <c r="II11" i="21"/>
  <c r="IG11" i="21"/>
  <c r="IH11" i="21"/>
  <c r="FF11" i="21"/>
  <c r="DN13" i="21"/>
  <c r="IE15" i="21"/>
  <c r="HU14" i="21"/>
  <c r="HS13" i="21"/>
  <c r="HZ12" i="21" s="1"/>
  <c r="HT13" i="21"/>
  <c r="HK15" i="21"/>
  <c r="HE11" i="21"/>
  <c r="HC11" i="21"/>
  <c r="HD11" i="21"/>
  <c r="HB12" i="21"/>
  <c r="GY13" i="21"/>
  <c r="HF12" i="21" s="1"/>
  <c r="HA14" i="21"/>
  <c r="FV14" i="21"/>
  <c r="GP13" i="21"/>
  <c r="GP14" i="21" s="1"/>
  <c r="GQ15" i="21"/>
  <c r="FZ11" i="21"/>
  <c r="FY11" i="21"/>
  <c r="GF13" i="21"/>
  <c r="GF14" i="21" s="1"/>
  <c r="FX12" i="21"/>
  <c r="GA12" i="21" s="1"/>
  <c r="FL13" i="21"/>
  <c r="GG15" i="21"/>
  <c r="GE14" i="21"/>
  <c r="FW15" i="21"/>
  <c r="FM14" i="21"/>
  <c r="FQ11" i="21"/>
  <c r="FP11" i="21"/>
  <c r="FO11" i="21"/>
  <c r="FN12" i="21"/>
  <c r="FK13" i="21"/>
  <c r="FR12" i="21" s="1"/>
  <c r="FC15" i="21"/>
  <c r="FB14" i="21"/>
  <c r="FA14" i="21"/>
  <c r="ES15" i="21"/>
  <c r="EI14" i="21"/>
  <c r="EH13" i="21"/>
  <c r="EM11" i="21"/>
  <c r="EL11" i="21"/>
  <c r="EK11" i="21"/>
  <c r="EJ12" i="21"/>
  <c r="EG13" i="21"/>
  <c r="EN12" i="21" s="1"/>
  <c r="DY14" i="21"/>
  <c r="EB11" i="21"/>
  <c r="EC11" i="21"/>
  <c r="EA11" i="21"/>
  <c r="DZ12" i="21"/>
  <c r="DW13" i="21"/>
  <c r="ED12" i="21" s="1"/>
  <c r="DX13" i="21"/>
  <c r="DM13" i="21"/>
  <c r="DT12" i="21" s="1"/>
  <c r="DO14" i="21"/>
  <c r="DS11" i="21"/>
  <c r="DR11" i="21"/>
  <c r="DQ11" i="21"/>
  <c r="DP12" i="21"/>
  <c r="BH12" i="21"/>
  <c r="BJ11" i="21"/>
  <c r="BK11" i="21"/>
  <c r="DE14" i="21"/>
  <c r="DD13" i="21"/>
  <c r="DI11" i="21"/>
  <c r="DH11" i="21"/>
  <c r="DG11" i="21"/>
  <c r="DF12" i="21"/>
  <c r="DC13" i="21"/>
  <c r="DJ12" i="21" s="1"/>
  <c r="CU14" i="21"/>
  <c r="CT13" i="21"/>
  <c r="CY11" i="21"/>
  <c r="CX11" i="21"/>
  <c r="CW11" i="21"/>
  <c r="CV12" i="21"/>
  <c r="CS13" i="21"/>
  <c r="CZ12" i="21" s="1"/>
  <c r="CK14" i="21"/>
  <c r="CJ13" i="21"/>
  <c r="CN11" i="21"/>
  <c r="CO11" i="21"/>
  <c r="CM11" i="21"/>
  <c r="CL12" i="21"/>
  <c r="CI13" i="21"/>
  <c r="CP12" i="21" s="1"/>
  <c r="CA14" i="21"/>
  <c r="BZ13" i="21"/>
  <c r="CC11" i="21"/>
  <c r="CD11" i="21"/>
  <c r="CE11" i="21"/>
  <c r="CB12" i="21"/>
  <c r="BY13" i="21"/>
  <c r="CF12" i="21" s="1"/>
  <c r="BQ14" i="21"/>
  <c r="BT11" i="21"/>
  <c r="BU11" i="21"/>
  <c r="BS11" i="21"/>
  <c r="BR12" i="21"/>
  <c r="BO13" i="21"/>
  <c r="BV12" i="21" s="1"/>
  <c r="BP13" i="21"/>
  <c r="BG15" i="21"/>
  <c r="BE14" i="21"/>
  <c r="BF14" i="21"/>
  <c r="AU13" i="21"/>
  <c r="BB12" i="21" s="1"/>
  <c r="AW14" i="21"/>
  <c r="AY11" i="21"/>
  <c r="AZ11" i="21"/>
  <c r="BA11" i="21"/>
  <c r="AX12" i="21"/>
  <c r="AV13" i="21"/>
  <c r="AB13" i="21"/>
  <c r="AM15" i="21"/>
  <c r="AL15" i="21" s="1"/>
  <c r="AG11" i="21"/>
  <c r="AE11" i="21"/>
  <c r="AD12" i="21"/>
  <c r="AF12" i="21" s="1"/>
  <c r="AA13" i="21"/>
  <c r="AH12" i="21" s="1"/>
  <c r="D6" i="24"/>
  <c r="B8" i="24"/>
  <c r="C7" i="24"/>
  <c r="E7" i="24" s="1"/>
  <c r="M99" i="25"/>
  <c r="Q99" i="25" s="1"/>
  <c r="M16" i="25"/>
  <c r="O16" i="25" s="1"/>
  <c r="M8" i="25"/>
  <c r="O8" i="25" s="1"/>
  <c r="M88" i="25"/>
  <c r="N88" i="25" s="1"/>
  <c r="M72" i="25"/>
  <c r="N72" i="25" s="1"/>
  <c r="M56" i="25"/>
  <c r="N56" i="25" s="1"/>
  <c r="M40" i="25"/>
  <c r="N40" i="25" s="1"/>
  <c r="M24" i="25"/>
  <c r="M97" i="25"/>
  <c r="O97" i="25" s="1"/>
  <c r="M89" i="25"/>
  <c r="O89" i="25" s="1"/>
  <c r="M81" i="25"/>
  <c r="O81" i="25" s="1"/>
  <c r="M73" i="25"/>
  <c r="O73" i="25" s="1"/>
  <c r="M65" i="25"/>
  <c r="O65" i="25" s="1"/>
  <c r="M57" i="25"/>
  <c r="O57" i="25" s="1"/>
  <c r="M49" i="25"/>
  <c r="O49" i="25" s="1"/>
  <c r="M41" i="25"/>
  <c r="O41" i="25" s="1"/>
  <c r="M33" i="25"/>
  <c r="O33" i="25" s="1"/>
  <c r="M25" i="25"/>
  <c r="O25" i="25" s="1"/>
  <c r="M17" i="25"/>
  <c r="O17" i="25" s="1"/>
  <c r="M9" i="25"/>
  <c r="O9" i="25" s="1"/>
  <c r="M95" i="25"/>
  <c r="N95" i="25" s="1"/>
  <c r="M87" i="25"/>
  <c r="M79" i="25"/>
  <c r="M71" i="25"/>
  <c r="M63" i="25"/>
  <c r="M55" i="25"/>
  <c r="M47" i="25"/>
  <c r="N47" i="25" s="1"/>
  <c r="M39" i="25"/>
  <c r="O39" i="25" s="1"/>
  <c r="M31" i="25"/>
  <c r="M23" i="25"/>
  <c r="O23" i="25" s="1"/>
  <c r="M15" i="25"/>
  <c r="N15" i="25" s="1"/>
  <c r="M7" i="25"/>
  <c r="N7" i="25" s="1"/>
  <c r="M94" i="25"/>
  <c r="N94" i="25" s="1"/>
  <c r="M86" i="25"/>
  <c r="M78" i="25"/>
  <c r="M70" i="25"/>
  <c r="N70" i="25" s="1"/>
  <c r="M62" i="25"/>
  <c r="O62" i="25" s="1"/>
  <c r="M54" i="25"/>
  <c r="M46" i="25"/>
  <c r="O46" i="25" s="1"/>
  <c r="M38" i="25"/>
  <c r="M30" i="25"/>
  <c r="N30" i="25" s="1"/>
  <c r="M22" i="25"/>
  <c r="M14" i="25"/>
  <c r="M6" i="25"/>
  <c r="M93" i="25"/>
  <c r="N93" i="25" s="1"/>
  <c r="M85" i="25"/>
  <c r="N85" i="25" s="1"/>
  <c r="M77" i="25"/>
  <c r="N77" i="25" s="1"/>
  <c r="M69" i="25"/>
  <c r="N69" i="25" s="1"/>
  <c r="M61" i="25"/>
  <c r="N61" i="25" s="1"/>
  <c r="M53" i="25"/>
  <c r="N53" i="25" s="1"/>
  <c r="M45" i="25"/>
  <c r="N45" i="25" s="1"/>
  <c r="M37" i="25"/>
  <c r="N37" i="25" s="1"/>
  <c r="M29" i="25"/>
  <c r="N29" i="25" s="1"/>
  <c r="M21" i="25"/>
  <c r="N21" i="25" s="1"/>
  <c r="M13" i="25"/>
  <c r="N13" i="25" s="1"/>
  <c r="M92" i="25"/>
  <c r="O92" i="25" s="1"/>
  <c r="M84" i="25"/>
  <c r="O84" i="25" s="1"/>
  <c r="M76" i="25"/>
  <c r="O76" i="25" s="1"/>
  <c r="M68" i="25"/>
  <c r="O68" i="25" s="1"/>
  <c r="M60" i="25"/>
  <c r="O60" i="25" s="1"/>
  <c r="M52" i="25"/>
  <c r="M44" i="25"/>
  <c r="M36" i="25"/>
  <c r="O36" i="25" s="1"/>
  <c r="M28" i="25"/>
  <c r="O28" i="25" s="1"/>
  <c r="M20" i="25"/>
  <c r="O20" i="25" s="1"/>
  <c r="M12" i="25"/>
  <c r="O12" i="25" s="1"/>
  <c r="M91" i="25"/>
  <c r="M83" i="25"/>
  <c r="M75" i="25"/>
  <c r="M67" i="25"/>
  <c r="O67" i="25" s="1"/>
  <c r="M59" i="25"/>
  <c r="O59" i="25" s="1"/>
  <c r="M51" i="25"/>
  <c r="O51" i="25" s="1"/>
  <c r="M43" i="25"/>
  <c r="O43" i="25" s="1"/>
  <c r="M35" i="25"/>
  <c r="O35" i="25" s="1"/>
  <c r="M27" i="25"/>
  <c r="M19" i="25"/>
  <c r="M11" i="25"/>
  <c r="M96" i="25"/>
  <c r="M80" i="25"/>
  <c r="N80" i="25" s="1"/>
  <c r="M64" i="25"/>
  <c r="N64" i="25" s="1"/>
  <c r="M48" i="25"/>
  <c r="N48" i="25" s="1"/>
  <c r="M32" i="25"/>
  <c r="M98" i="25"/>
  <c r="O98" i="25" s="1"/>
  <c r="M90" i="25"/>
  <c r="O90" i="25" s="1"/>
  <c r="M82" i="25"/>
  <c r="O82" i="25" s="1"/>
  <c r="M74" i="25"/>
  <c r="O74" i="25" s="1"/>
  <c r="M66" i="25"/>
  <c r="O66" i="25" s="1"/>
  <c r="M58" i="25"/>
  <c r="O58" i="25" s="1"/>
  <c r="M50" i="25"/>
  <c r="O50" i="25" s="1"/>
  <c r="M42" i="25"/>
  <c r="O42" i="25" s="1"/>
  <c r="M34" i="25"/>
  <c r="O34" i="25" s="1"/>
  <c r="M26" i="25"/>
  <c r="O26" i="25" s="1"/>
  <c r="M18" i="25"/>
  <c r="O18" i="25" s="1"/>
  <c r="M10" i="25"/>
  <c r="O10" i="25" s="1"/>
  <c r="N79" i="25"/>
  <c r="S6" i="28"/>
  <c r="U6" i="28"/>
  <c r="T6" i="28"/>
  <c r="S51" i="28"/>
  <c r="U51" i="28"/>
  <c r="Z67" i="28"/>
  <c r="Z72" i="28"/>
  <c r="T35" i="28"/>
  <c r="Y51" i="28"/>
  <c r="U48" i="28"/>
  <c r="S48" i="28"/>
  <c r="S40" i="28"/>
  <c r="U40" i="28"/>
  <c r="S64" i="28"/>
  <c r="U60" i="28"/>
  <c r="U64" i="28"/>
  <c r="U44" i="28"/>
  <c r="S57" i="28"/>
  <c r="S41" i="28"/>
  <c r="S56" i="28"/>
  <c r="T72" i="28"/>
  <c r="U72" i="28"/>
  <c r="T60" i="28"/>
  <c r="S77" i="28"/>
  <c r="S69" i="28"/>
  <c r="S61" i="28"/>
  <c r="S53" i="28"/>
  <c r="S45" i="28"/>
  <c r="S37" i="28"/>
  <c r="T51" i="28"/>
  <c r="S60" i="28"/>
  <c r="S44" i="28"/>
  <c r="S75" i="28"/>
  <c r="S67" i="28"/>
  <c r="S59" i="28"/>
  <c r="S35" i="28"/>
  <c r="S72" i="28"/>
  <c r="U56" i="28"/>
  <c r="S74" i="28"/>
  <c r="S66" i="28"/>
  <c r="S42" i="28"/>
  <c r="U59" i="28"/>
  <c r="T43" i="28"/>
  <c r="U75" i="28"/>
  <c r="U74" i="28"/>
  <c r="U42" i="28"/>
  <c r="T81" i="28"/>
  <c r="T73" i="28"/>
  <c r="U73" i="28"/>
  <c r="T65" i="28"/>
  <c r="U65" i="28"/>
  <c r="W40" i="28"/>
  <c r="Y67" i="28"/>
  <c r="W67" i="28"/>
  <c r="X67" i="28"/>
  <c r="U49" i="28"/>
  <c r="T49" i="28"/>
  <c r="U67" i="28"/>
  <c r="T67" i="28"/>
  <c r="T40" i="28"/>
  <c r="U43" i="28"/>
  <c r="T41" i="28"/>
  <c r="U71" i="28"/>
  <c r="T71" i="28"/>
  <c r="X72" i="28"/>
  <c r="W72" i="28"/>
  <c r="Y72" i="28"/>
  <c r="U80" i="28"/>
  <c r="T80" i="28"/>
  <c r="U47" i="28"/>
  <c r="T47" i="28"/>
  <c r="U63" i="28"/>
  <c r="T63" i="28"/>
  <c r="T55" i="28"/>
  <c r="U55" i="28"/>
  <c r="U68" i="28"/>
  <c r="T68" i="28"/>
  <c r="T52" i="28"/>
  <c r="U52" i="28"/>
  <c r="U36" i="28"/>
  <c r="T36" i="28"/>
  <c r="T76" i="28"/>
  <c r="U76" i="28"/>
  <c r="T82" i="28"/>
  <c r="U82" i="28"/>
  <c r="U58" i="28"/>
  <c r="T58" i="28"/>
  <c r="T50" i="28"/>
  <c r="U50" i="28"/>
  <c r="T34" i="28"/>
  <c r="U34" i="28"/>
  <c r="U79" i="28"/>
  <c r="T79" i="28"/>
  <c r="U66" i="28"/>
  <c r="T39" i="28"/>
  <c r="T48" i="28"/>
  <c r="T57" i="28"/>
  <c r="U81" i="28"/>
  <c r="U39" i="28"/>
  <c r="T62" i="28"/>
  <c r="U62" i="28"/>
  <c r="T78" i="28"/>
  <c r="U78" i="28"/>
  <c r="T70" i="28"/>
  <c r="U70" i="28"/>
  <c r="T46" i="28"/>
  <c r="U46" i="28"/>
  <c r="T38" i="28"/>
  <c r="U38" i="28"/>
  <c r="T54" i="28"/>
  <c r="U54" i="28"/>
  <c r="U77" i="28"/>
  <c r="U69" i="28"/>
  <c r="U61" i="28"/>
  <c r="U53" i="28"/>
  <c r="U45" i="28"/>
  <c r="U37" i="28"/>
  <c r="W60" i="28" l="1"/>
  <c r="KB35" i="21"/>
  <c r="JV33" i="21"/>
  <c r="JU33" i="21"/>
  <c r="IZ34" i="21"/>
  <c r="JA34" i="21" s="1"/>
  <c r="KD34" i="21"/>
  <c r="JK34" i="21"/>
  <c r="KF33" i="21"/>
  <c r="KH33" i="21"/>
  <c r="KA35" i="21"/>
  <c r="KC36" i="21"/>
  <c r="KE33" i="21"/>
  <c r="KG33" i="21"/>
  <c r="JL34" i="21"/>
  <c r="JH36" i="21"/>
  <c r="JW33" i="21"/>
  <c r="B14" i="21"/>
  <c r="C14" i="21" s="1"/>
  <c r="JC33" i="21"/>
  <c r="KO34" i="21"/>
  <c r="KN35" i="21"/>
  <c r="KM37" i="21"/>
  <c r="KP34" i="21"/>
  <c r="KL36" i="21"/>
  <c r="KR34" i="21"/>
  <c r="KK36" i="21"/>
  <c r="KQ34" i="21"/>
  <c r="JS36" i="21"/>
  <c r="JX33" i="21"/>
  <c r="JQ35" i="21"/>
  <c r="JR35" i="21"/>
  <c r="JT34" i="21"/>
  <c r="JI37" i="21"/>
  <c r="JN34" i="21"/>
  <c r="JG36" i="21"/>
  <c r="JJ35" i="21"/>
  <c r="IY36" i="21"/>
  <c r="IX35" i="21"/>
  <c r="JD33" i="21"/>
  <c r="IW35" i="21"/>
  <c r="JB33" i="21"/>
  <c r="B10" i="20"/>
  <c r="L10" i="20" s="1"/>
  <c r="Q10" i="20" s="1"/>
  <c r="AK14" i="21"/>
  <c r="AR13" i="21" s="1"/>
  <c r="AW15" i="25"/>
  <c r="BA15" i="25"/>
  <c r="AR15" i="25"/>
  <c r="AS14" i="25"/>
  <c r="AY14" i="25" s="1"/>
  <c r="BD14" i="25" s="1"/>
  <c r="BE14" i="25"/>
  <c r="AP16" i="25"/>
  <c r="AR16" i="25" s="1"/>
  <c r="AU15" i="25"/>
  <c r="AQ15" i="25"/>
  <c r="BB15" i="25" s="1"/>
  <c r="V23" i="25"/>
  <c r="AZ22" i="25"/>
  <c r="M21" i="30"/>
  <c r="J10" i="20"/>
  <c r="O10" i="20" s="1"/>
  <c r="K24" i="8" s="1"/>
  <c r="C10" i="20"/>
  <c r="B24" i="8" s="1"/>
  <c r="I10" i="20"/>
  <c r="N10" i="20" s="1"/>
  <c r="J24" i="8" s="1"/>
  <c r="D10" i="20"/>
  <c r="F24" i="8" s="1"/>
  <c r="F8" i="20"/>
  <c r="N22" i="8" s="1"/>
  <c r="C22" i="30"/>
  <c r="AV22" i="25"/>
  <c r="BF22" i="25" s="1"/>
  <c r="AT17" i="25"/>
  <c r="BG17" i="25" s="1"/>
  <c r="AN17" i="25"/>
  <c r="AL17" i="25"/>
  <c r="BC17" i="25" s="1"/>
  <c r="AH19" i="25"/>
  <c r="AJ19" i="25" s="1"/>
  <c r="AC20" i="25"/>
  <c r="X20" i="25"/>
  <c r="AB20" i="25" s="1"/>
  <c r="Z20" i="25"/>
  <c r="AH20" i="25" s="1"/>
  <c r="AM17" i="25"/>
  <c r="AO17" i="25"/>
  <c r="AK18" i="25"/>
  <c r="AG20" i="25"/>
  <c r="AE20" i="25"/>
  <c r="Y21" i="25"/>
  <c r="AD19" i="25"/>
  <c r="AI19" i="25" s="1"/>
  <c r="W21" i="25"/>
  <c r="AA21" i="25" s="1"/>
  <c r="O99" i="25"/>
  <c r="N99" i="25"/>
  <c r="P99" i="25" s="1"/>
  <c r="Y60" i="28"/>
  <c r="Z60" i="28"/>
  <c r="FF12" i="21"/>
  <c r="FF13" i="21" s="1"/>
  <c r="FE12" i="21"/>
  <c r="FE13" i="21" s="1"/>
  <c r="AN13" i="21"/>
  <c r="AP13" i="21" s="1"/>
  <c r="AQ12" i="21"/>
  <c r="EX12" i="21"/>
  <c r="EX13" i="21" s="1"/>
  <c r="HW12" i="21"/>
  <c r="GJ12" i="21"/>
  <c r="G10" i="20"/>
  <c r="AJ26" i="20"/>
  <c r="AJ24" i="20"/>
  <c r="AJ28" i="20"/>
  <c r="AO23" i="20"/>
  <c r="AO25" i="20"/>
  <c r="AO39" i="20" s="1"/>
  <c r="AO40" i="20" s="1"/>
  <c r="AO29" i="20"/>
  <c r="L3" i="4"/>
  <c r="L2" i="4" s="1"/>
  <c r="LB12" i="21"/>
  <c r="LB13" i="21" s="1"/>
  <c r="FG12" i="21"/>
  <c r="FG13" i="21" s="1"/>
  <c r="GB12" i="21"/>
  <c r="GB13" i="21" s="1"/>
  <c r="IC14" i="21"/>
  <c r="IC15" i="21" s="1"/>
  <c r="IJ12" i="21"/>
  <c r="GL13" i="21"/>
  <c r="FH13" i="21"/>
  <c r="AO12" i="21"/>
  <c r="GV12" i="21"/>
  <c r="GV13" i="21" s="1"/>
  <c r="BL13" i="21"/>
  <c r="IG12" i="21"/>
  <c r="HY12" i="21"/>
  <c r="GK12" i="21"/>
  <c r="HX12" i="21"/>
  <c r="GU12" i="21"/>
  <c r="IH12" i="21"/>
  <c r="KV14" i="21"/>
  <c r="KV15" i="21" s="1"/>
  <c r="HJ14" i="21"/>
  <c r="HJ15" i="21" s="1"/>
  <c r="GS12" i="21"/>
  <c r="II12" i="21"/>
  <c r="IF13" i="21"/>
  <c r="KX13" i="21"/>
  <c r="KZ12" i="21"/>
  <c r="HI14" i="21"/>
  <c r="HP13" i="21" s="1"/>
  <c r="KY12" i="21"/>
  <c r="IM14" i="21"/>
  <c r="IM15" i="21" s="1"/>
  <c r="IP13" i="21"/>
  <c r="LA12" i="21"/>
  <c r="HN12" i="21"/>
  <c r="HO12" i="21"/>
  <c r="KW16" i="21"/>
  <c r="KU15" i="21"/>
  <c r="EV12" i="21"/>
  <c r="HL13" i="21"/>
  <c r="FX13" i="21"/>
  <c r="GA13" i="21" s="1"/>
  <c r="ET13" i="21"/>
  <c r="ET14" i="21" s="1"/>
  <c r="EU12" i="21"/>
  <c r="EW12" i="21"/>
  <c r="IQ12" i="21"/>
  <c r="IR12" i="21"/>
  <c r="FY12" i="21"/>
  <c r="HT14" i="21"/>
  <c r="IS12" i="21"/>
  <c r="IO16" i="21"/>
  <c r="IN15" i="21"/>
  <c r="FL14" i="21"/>
  <c r="ER15" i="21"/>
  <c r="ID15" i="21"/>
  <c r="IE16" i="21"/>
  <c r="HS14" i="21"/>
  <c r="HZ13" i="21" s="1"/>
  <c r="HU15" i="21"/>
  <c r="HV13" i="21"/>
  <c r="HK16" i="21"/>
  <c r="HB13" i="21"/>
  <c r="GY14" i="21"/>
  <c r="HF13" i="21" s="1"/>
  <c r="HD12" i="21"/>
  <c r="HC12" i="21"/>
  <c r="HE12" i="21"/>
  <c r="HA15" i="21"/>
  <c r="GZ14" i="21"/>
  <c r="GF15" i="21"/>
  <c r="GR13" i="21"/>
  <c r="GQ16" i="21"/>
  <c r="GP15" i="21"/>
  <c r="GO15" i="21"/>
  <c r="GH13" i="21"/>
  <c r="FZ12" i="21"/>
  <c r="GE15" i="21"/>
  <c r="GG16" i="21"/>
  <c r="FW16" i="21"/>
  <c r="FV15" i="21"/>
  <c r="FU15" i="21"/>
  <c r="FN13" i="21"/>
  <c r="BJ12" i="21"/>
  <c r="DP13" i="21"/>
  <c r="DQ12" i="21"/>
  <c r="FB15" i="21"/>
  <c r="DR12" i="21"/>
  <c r="CT14" i="21"/>
  <c r="DD14" i="21"/>
  <c r="FP12" i="21"/>
  <c r="FP13" i="21" s="1"/>
  <c r="FQ12" i="21"/>
  <c r="FO12" i="21"/>
  <c r="FK14" i="21"/>
  <c r="FR13" i="21" s="1"/>
  <c r="FM15" i="21"/>
  <c r="FA15" i="21"/>
  <c r="FC16" i="21"/>
  <c r="FD14" i="21"/>
  <c r="EQ15" i="21"/>
  <c r="ES16" i="21"/>
  <c r="DG12" i="21"/>
  <c r="EK12" i="21"/>
  <c r="BI12" i="21"/>
  <c r="DI12" i="21"/>
  <c r="BK12" i="21"/>
  <c r="DH12" i="21"/>
  <c r="EH14" i="21"/>
  <c r="EJ13" i="21"/>
  <c r="DZ13" i="21"/>
  <c r="BH13" i="21"/>
  <c r="BH14" i="21" s="1"/>
  <c r="EL12" i="21"/>
  <c r="EM12" i="21"/>
  <c r="EI15" i="21"/>
  <c r="EG14" i="21"/>
  <c r="EN13" i="21" s="1"/>
  <c r="DW14" i="21"/>
  <c r="ED13" i="21" s="1"/>
  <c r="EA12" i="21"/>
  <c r="EC12" i="21"/>
  <c r="EB12" i="21"/>
  <c r="DY15" i="21"/>
  <c r="DX14" i="21"/>
  <c r="DS12" i="21"/>
  <c r="DO15" i="21"/>
  <c r="DM14" i="21"/>
  <c r="DT13" i="21" s="1"/>
  <c r="DN14" i="21"/>
  <c r="CB13" i="21"/>
  <c r="DF13" i="21"/>
  <c r="DE15" i="21"/>
  <c r="DC14" i="21"/>
  <c r="DJ13" i="21" s="1"/>
  <c r="CW12" i="21"/>
  <c r="CV13" i="21"/>
  <c r="CX12" i="21"/>
  <c r="CY12" i="21"/>
  <c r="CS14" i="21"/>
  <c r="CZ13" i="21" s="1"/>
  <c r="CU15" i="21"/>
  <c r="CE12" i="21"/>
  <c r="CJ14" i="21"/>
  <c r="BP14" i="21"/>
  <c r="CL13" i="21"/>
  <c r="CM12" i="21"/>
  <c r="CO12" i="21"/>
  <c r="CN12" i="21"/>
  <c r="CI14" i="21"/>
  <c r="CP13" i="21" s="1"/>
  <c r="CK15" i="21"/>
  <c r="CD12" i="21"/>
  <c r="CC12" i="21"/>
  <c r="BZ14" i="21"/>
  <c r="CA15" i="21"/>
  <c r="BY14" i="21"/>
  <c r="CF13" i="21" s="1"/>
  <c r="BO14" i="21"/>
  <c r="BV13" i="21" s="1"/>
  <c r="BS12" i="21"/>
  <c r="BR13" i="21"/>
  <c r="BU12" i="21"/>
  <c r="BT12" i="21"/>
  <c r="BQ15" i="21"/>
  <c r="BF15" i="21"/>
  <c r="BA12" i="21"/>
  <c r="BE15" i="21"/>
  <c r="BG16" i="21"/>
  <c r="AZ12" i="21"/>
  <c r="AY12" i="21"/>
  <c r="AW15" i="21"/>
  <c r="AV14" i="21"/>
  <c r="AU14" i="21"/>
  <c r="BB13" i="21" s="1"/>
  <c r="AX13" i="21"/>
  <c r="AB14" i="21"/>
  <c r="AM16" i="21"/>
  <c r="AE12" i="21"/>
  <c r="AG12" i="21"/>
  <c r="AD13" i="21"/>
  <c r="AA14" i="21"/>
  <c r="AH13" i="21" s="1"/>
  <c r="I7" i="24"/>
  <c r="G7" i="24"/>
  <c r="D7" i="24"/>
  <c r="B9" i="24"/>
  <c r="C8" i="24"/>
  <c r="M100" i="25"/>
  <c r="Q8" i="25"/>
  <c r="N8" i="25"/>
  <c r="R8" i="25" s="1"/>
  <c r="N16" i="25"/>
  <c r="R16" i="25" s="1"/>
  <c r="Q16" i="25"/>
  <c r="W73" i="28"/>
  <c r="P61" i="25"/>
  <c r="R61" i="25"/>
  <c r="R80" i="25"/>
  <c r="P80" i="25"/>
  <c r="P21" i="25"/>
  <c r="R21" i="25"/>
  <c r="P85" i="25"/>
  <c r="R85" i="25"/>
  <c r="O38" i="25"/>
  <c r="Q38" i="25"/>
  <c r="O7" i="25"/>
  <c r="Q7" i="25"/>
  <c r="O71" i="25"/>
  <c r="Q71" i="25"/>
  <c r="N33" i="25"/>
  <c r="Q33" i="25"/>
  <c r="N97" i="25"/>
  <c r="Q97" i="25"/>
  <c r="R88" i="25"/>
  <c r="P88" i="25"/>
  <c r="N10" i="25"/>
  <c r="Q10" i="25"/>
  <c r="N74" i="25"/>
  <c r="Q74" i="25"/>
  <c r="O96" i="25"/>
  <c r="Q96" i="25"/>
  <c r="N96" i="25"/>
  <c r="N67" i="25"/>
  <c r="Q67" i="25"/>
  <c r="N44" i="25"/>
  <c r="Q44" i="25"/>
  <c r="O44" i="25"/>
  <c r="O13" i="25"/>
  <c r="Q13" i="25"/>
  <c r="O77" i="25"/>
  <c r="Q77" i="25"/>
  <c r="N46" i="25"/>
  <c r="Q46" i="25"/>
  <c r="O15" i="25"/>
  <c r="Q15" i="25"/>
  <c r="O79" i="25"/>
  <c r="Q79" i="25"/>
  <c r="N41" i="25"/>
  <c r="Q41" i="25"/>
  <c r="P29" i="25"/>
  <c r="R29" i="25"/>
  <c r="N11" i="25"/>
  <c r="Q11" i="25"/>
  <c r="O21" i="25"/>
  <c r="Q21" i="25"/>
  <c r="N23" i="25"/>
  <c r="Q23" i="25"/>
  <c r="R64" i="25"/>
  <c r="P64" i="25"/>
  <c r="P7" i="25"/>
  <c r="R7" i="25"/>
  <c r="N26" i="25"/>
  <c r="Q26" i="25"/>
  <c r="N90" i="25"/>
  <c r="Q90" i="25"/>
  <c r="N19" i="25"/>
  <c r="Q19" i="25"/>
  <c r="N83" i="25"/>
  <c r="Q83" i="25"/>
  <c r="N60" i="25"/>
  <c r="Q60" i="25"/>
  <c r="O29" i="25"/>
  <c r="Q29" i="25"/>
  <c r="O93" i="25"/>
  <c r="Q93" i="25"/>
  <c r="N62" i="25"/>
  <c r="Q62" i="25"/>
  <c r="O31" i="25"/>
  <c r="Q31" i="25"/>
  <c r="O95" i="25"/>
  <c r="Q95" i="25"/>
  <c r="N57" i="25"/>
  <c r="Q57" i="25"/>
  <c r="O40" i="25"/>
  <c r="Q40" i="25"/>
  <c r="P93" i="25"/>
  <c r="R93" i="25"/>
  <c r="N75" i="25"/>
  <c r="Q75" i="25"/>
  <c r="O54" i="25"/>
  <c r="Q54" i="25"/>
  <c r="N87" i="25"/>
  <c r="Q87" i="25"/>
  <c r="N34" i="25"/>
  <c r="Q34" i="25"/>
  <c r="N82" i="25"/>
  <c r="Q82" i="25"/>
  <c r="O85" i="25"/>
  <c r="Q85" i="25"/>
  <c r="O24" i="25"/>
  <c r="Q24" i="25"/>
  <c r="P37" i="25"/>
  <c r="R37" i="25"/>
  <c r="O11" i="25"/>
  <c r="P45" i="25"/>
  <c r="R45" i="25"/>
  <c r="O87" i="25"/>
  <c r="N27" i="25"/>
  <c r="Q27" i="25"/>
  <c r="N68" i="25"/>
  <c r="Q68" i="25"/>
  <c r="O6" i="25"/>
  <c r="Q6" i="25"/>
  <c r="N39" i="25"/>
  <c r="Q39" i="25"/>
  <c r="O56" i="25"/>
  <c r="Q56" i="25"/>
  <c r="O19" i="25"/>
  <c r="O83" i="25"/>
  <c r="P53" i="25"/>
  <c r="R53" i="25"/>
  <c r="N6" i="25"/>
  <c r="R48" i="25"/>
  <c r="P48" i="25"/>
  <c r="N31" i="25"/>
  <c r="P15" i="25"/>
  <c r="R15" i="25"/>
  <c r="N42" i="25"/>
  <c r="Q42" i="25"/>
  <c r="O32" i="25"/>
  <c r="N32" i="25"/>
  <c r="Q32" i="25"/>
  <c r="N35" i="25"/>
  <c r="Q35" i="25"/>
  <c r="N12" i="25"/>
  <c r="Q12" i="25"/>
  <c r="N76" i="25"/>
  <c r="Q76" i="25"/>
  <c r="O45" i="25"/>
  <c r="Q45" i="25"/>
  <c r="O14" i="25"/>
  <c r="Q14" i="25"/>
  <c r="N14" i="25"/>
  <c r="O78" i="25"/>
  <c r="N78" i="25"/>
  <c r="Q78" i="25"/>
  <c r="O47" i="25"/>
  <c r="Q47" i="25"/>
  <c r="N9" i="25"/>
  <c r="Q9" i="25"/>
  <c r="N73" i="25"/>
  <c r="Q73" i="25"/>
  <c r="O72" i="25"/>
  <c r="Q72" i="25"/>
  <c r="N18" i="25"/>
  <c r="Q18" i="25"/>
  <c r="N52" i="25"/>
  <c r="Q52" i="25"/>
  <c r="N49" i="25"/>
  <c r="Q49" i="25"/>
  <c r="O75" i="25"/>
  <c r="R30" i="25"/>
  <c r="P30" i="25"/>
  <c r="N98" i="25"/>
  <c r="Q98" i="25"/>
  <c r="N91" i="25"/>
  <c r="Q91" i="25"/>
  <c r="O37" i="25"/>
  <c r="Q37" i="25"/>
  <c r="O70" i="25"/>
  <c r="Q70" i="25"/>
  <c r="N65" i="25"/>
  <c r="Q65" i="25"/>
  <c r="O27" i="25"/>
  <c r="O91" i="25"/>
  <c r="N24" i="25"/>
  <c r="N71" i="25"/>
  <c r="N54" i="25"/>
  <c r="N38" i="25"/>
  <c r="N50" i="25"/>
  <c r="Q50" i="25"/>
  <c r="O48" i="25"/>
  <c r="Q48" i="25"/>
  <c r="N43" i="25"/>
  <c r="Q43" i="25"/>
  <c r="N20" i="25"/>
  <c r="Q20" i="25"/>
  <c r="N84" i="25"/>
  <c r="Q84" i="25"/>
  <c r="O53" i="25"/>
  <c r="Q53" i="25"/>
  <c r="N22" i="25"/>
  <c r="O22" i="25"/>
  <c r="Q22" i="25"/>
  <c r="N86" i="25"/>
  <c r="O86" i="25"/>
  <c r="Q86" i="25"/>
  <c r="O55" i="25"/>
  <c r="N55" i="25"/>
  <c r="Q55" i="25"/>
  <c r="N17" i="25"/>
  <c r="Q17" i="25"/>
  <c r="N81" i="25"/>
  <c r="Q81" i="25"/>
  <c r="O88" i="25"/>
  <c r="Q88" i="25"/>
  <c r="P69" i="25"/>
  <c r="R69" i="25"/>
  <c r="O52" i="25"/>
  <c r="P47" i="25"/>
  <c r="R47" i="25"/>
  <c r="R94" i="25"/>
  <c r="P94" i="25"/>
  <c r="R72" i="25"/>
  <c r="P72" i="25"/>
  <c r="R56" i="25"/>
  <c r="P56" i="25"/>
  <c r="N58" i="25"/>
  <c r="Q58" i="25"/>
  <c r="O64" i="25"/>
  <c r="Q64" i="25"/>
  <c r="N51" i="25"/>
  <c r="Q51" i="25"/>
  <c r="N28" i="25"/>
  <c r="Q28" i="25"/>
  <c r="N92" i="25"/>
  <c r="Q92" i="25"/>
  <c r="O61" i="25"/>
  <c r="Q61" i="25"/>
  <c r="O30" i="25"/>
  <c r="Q30" i="25"/>
  <c r="O94" i="25"/>
  <c r="Q94" i="25"/>
  <c r="N63" i="25"/>
  <c r="Q63" i="25"/>
  <c r="O63" i="25"/>
  <c r="N25" i="25"/>
  <c r="Q25" i="25"/>
  <c r="N89" i="25"/>
  <c r="Q89" i="25"/>
  <c r="P13" i="25"/>
  <c r="R13" i="25"/>
  <c r="P77" i="25"/>
  <c r="R77" i="25"/>
  <c r="R40" i="25"/>
  <c r="P40" i="25"/>
  <c r="P70" i="25"/>
  <c r="R70" i="25"/>
  <c r="P95" i="25"/>
  <c r="R95" i="25"/>
  <c r="P79" i="25"/>
  <c r="R79" i="25"/>
  <c r="N66" i="25"/>
  <c r="Q66" i="25"/>
  <c r="O80" i="25"/>
  <c r="Q80" i="25"/>
  <c r="N59" i="25"/>
  <c r="Q59" i="25"/>
  <c r="N36" i="25"/>
  <c r="Q36" i="25"/>
  <c r="O69" i="25"/>
  <c r="Q69" i="25"/>
  <c r="X48" i="28"/>
  <c r="W43" i="28"/>
  <c r="Y65" i="28"/>
  <c r="Y57" i="28"/>
  <c r="AA60" i="28"/>
  <c r="AC60" i="28" s="1"/>
  <c r="AF60" i="28" s="1"/>
  <c r="W48" i="28"/>
  <c r="W6" i="28"/>
  <c r="X6" i="28"/>
  <c r="Y6" i="28"/>
  <c r="Z6" i="28"/>
  <c r="Y40" i="28"/>
  <c r="W59" i="28"/>
  <c r="W35" i="28"/>
  <c r="AB72" i="28"/>
  <c r="AD72" i="28" s="1"/>
  <c r="AA67" i="28"/>
  <c r="AC67" i="28" s="1"/>
  <c r="AF67" i="28" s="1"/>
  <c r="X40" i="28"/>
  <c r="W57" i="28"/>
  <c r="Y81" i="28"/>
  <c r="W65" i="28"/>
  <c r="W51" i="28"/>
  <c r="X51" i="28"/>
  <c r="Y59" i="28"/>
  <c r="Y44" i="28"/>
  <c r="X35" i="28"/>
  <c r="Z61" i="28"/>
  <c r="Z62" i="28"/>
  <c r="Z58" i="28"/>
  <c r="Z52" i="28"/>
  <c r="Z43" i="28"/>
  <c r="Z56" i="28"/>
  <c r="Z64" i="28"/>
  <c r="Y48" i="28"/>
  <c r="Z48" i="28"/>
  <c r="AB60" i="28"/>
  <c r="AD60" i="28" s="1"/>
  <c r="Z69" i="28"/>
  <c r="X73" i="28"/>
  <c r="Z73" i="28"/>
  <c r="Z77" i="28"/>
  <c r="Z70" i="28"/>
  <c r="X57" i="28"/>
  <c r="Z57" i="28"/>
  <c r="Z34" i="28"/>
  <c r="Z76" i="28"/>
  <c r="Z68" i="28"/>
  <c r="Z63" i="28"/>
  <c r="X49" i="28"/>
  <c r="Z49" i="28"/>
  <c r="Z44" i="28"/>
  <c r="AA72" i="28"/>
  <c r="AC72" i="28" s="1"/>
  <c r="AF72" i="28" s="1"/>
  <c r="Z47" i="28"/>
  <c r="X41" i="28"/>
  <c r="Z41" i="28"/>
  <c r="X81" i="28"/>
  <c r="Z81" i="28"/>
  <c r="Z51" i="28"/>
  <c r="AB67" i="28"/>
  <c r="AD67" i="28" s="1"/>
  <c r="Z38" i="28"/>
  <c r="Z75" i="28"/>
  <c r="Z39" i="28"/>
  <c r="Z82" i="28"/>
  <c r="Z36" i="28"/>
  <c r="Z71" i="28"/>
  <c r="X65" i="28"/>
  <c r="Z65" i="28"/>
  <c r="Z53" i="28"/>
  <c r="Z54" i="28"/>
  <c r="Z37" i="28"/>
  <c r="Z78" i="28"/>
  <c r="Z45" i="28"/>
  <c r="Z42" i="28"/>
  <c r="Z66" i="28"/>
  <c r="Z79" i="28"/>
  <c r="Z50" i="28"/>
  <c r="Z55" i="28"/>
  <c r="Z80" i="28"/>
  <c r="X59" i="28"/>
  <c r="Z59" i="28"/>
  <c r="Y35" i="28"/>
  <c r="Z35" i="28"/>
  <c r="Z46" i="28"/>
  <c r="Z74" i="28"/>
  <c r="Z40" i="28"/>
  <c r="AA40" i="28" s="1"/>
  <c r="AC40" i="28" s="1"/>
  <c r="AF40" i="28" s="1"/>
  <c r="W64" i="28"/>
  <c r="X64" i="28"/>
  <c r="Y64" i="28"/>
  <c r="W44" i="28"/>
  <c r="X44" i="28"/>
  <c r="W81" i="28"/>
  <c r="W41" i="28"/>
  <c r="Y56" i="28"/>
  <c r="X56" i="28"/>
  <c r="Y41" i="28"/>
  <c r="W49" i="28"/>
  <c r="Y49" i="28"/>
  <c r="W56" i="28"/>
  <c r="Y73" i="28"/>
  <c r="Y43" i="28"/>
  <c r="X43" i="28"/>
  <c r="W80" i="28"/>
  <c r="Y80" i="28"/>
  <c r="X80" i="28"/>
  <c r="W42" i="28"/>
  <c r="Y42" i="28"/>
  <c r="X42" i="28"/>
  <c r="Y68" i="28"/>
  <c r="X68" i="28"/>
  <c r="W68" i="28"/>
  <c r="Y74" i="28"/>
  <c r="X74" i="28"/>
  <c r="W74" i="28"/>
  <c r="Y66" i="28"/>
  <c r="X66" i="28"/>
  <c r="W66" i="28"/>
  <c r="Y50" i="28"/>
  <c r="X50" i="28"/>
  <c r="W50" i="28"/>
  <c r="X82" i="28"/>
  <c r="Y82" i="28"/>
  <c r="W82" i="28"/>
  <c r="Y36" i="28"/>
  <c r="X36" i="28"/>
  <c r="W36" i="28"/>
  <c r="Y63" i="28"/>
  <c r="X63" i="28"/>
  <c r="W63" i="28"/>
  <c r="Y39" i="28"/>
  <c r="X39" i="28"/>
  <c r="W39" i="28"/>
  <c r="X47" i="28"/>
  <c r="W47" i="28"/>
  <c r="Y47" i="28"/>
  <c r="W71" i="28"/>
  <c r="Y71" i="28"/>
  <c r="X71" i="28"/>
  <c r="X34" i="28"/>
  <c r="W34" i="28"/>
  <c r="Y34" i="28"/>
  <c r="W58" i="28"/>
  <c r="Y58" i="28"/>
  <c r="X58" i="28"/>
  <c r="Y76" i="28"/>
  <c r="X76" i="28"/>
  <c r="W76" i="28"/>
  <c r="Y52" i="28"/>
  <c r="X52" i="28"/>
  <c r="W52" i="28"/>
  <c r="Y55" i="28"/>
  <c r="X55" i="28"/>
  <c r="W55" i="28"/>
  <c r="Y75" i="28"/>
  <c r="X75" i="28"/>
  <c r="W75" i="28"/>
  <c r="Y79" i="28"/>
  <c r="X79" i="28"/>
  <c r="W79" i="28"/>
  <c r="W37" i="28"/>
  <c r="X37" i="28"/>
  <c r="Y37" i="28"/>
  <c r="Y54" i="28"/>
  <c r="W54" i="28"/>
  <c r="X54" i="28"/>
  <c r="W46" i="28"/>
  <c r="X46" i="28"/>
  <c r="Y46" i="28"/>
  <c r="W78" i="28"/>
  <c r="Y78" i="28"/>
  <c r="X78" i="28"/>
  <c r="W53" i="28"/>
  <c r="X53" i="28"/>
  <c r="Y53" i="28"/>
  <c r="W61" i="28"/>
  <c r="X61" i="28"/>
  <c r="Y61" i="28"/>
  <c r="W69" i="28"/>
  <c r="X69" i="28"/>
  <c r="Y69" i="28"/>
  <c r="W38" i="28"/>
  <c r="X38" i="28"/>
  <c r="Y38" i="28"/>
  <c r="W70" i="28"/>
  <c r="X70" i="28"/>
  <c r="Y70" i="28"/>
  <c r="Y62" i="28"/>
  <c r="W62" i="28"/>
  <c r="X62" i="28"/>
  <c r="W77" i="28"/>
  <c r="X77" i="28"/>
  <c r="Y77" i="28"/>
  <c r="W45" i="28"/>
  <c r="X45" i="28"/>
  <c r="Y45" i="28"/>
  <c r="B15" i="21" l="1"/>
  <c r="C15" i="21" s="1"/>
  <c r="JC34" i="21"/>
  <c r="JH37" i="21"/>
  <c r="JB34" i="21"/>
  <c r="JL35" i="21"/>
  <c r="KF34" i="21"/>
  <c r="JU34" i="21"/>
  <c r="KG34" i="21"/>
  <c r="KE34" i="21"/>
  <c r="JM35" i="21"/>
  <c r="KC37" i="21"/>
  <c r="KH34" i="21"/>
  <c r="KA36" i="21"/>
  <c r="KB36" i="21"/>
  <c r="KD35" i="21"/>
  <c r="KO35" i="21"/>
  <c r="KQ35" i="21"/>
  <c r="KL37" i="21"/>
  <c r="IX36" i="21"/>
  <c r="KP35" i="21"/>
  <c r="AK15" i="21"/>
  <c r="AR14" i="21" s="1"/>
  <c r="KM38" i="21"/>
  <c r="KN36" i="21"/>
  <c r="KR35" i="21"/>
  <c r="KK37" i="21"/>
  <c r="JX34" i="21"/>
  <c r="JQ36" i="21"/>
  <c r="JS37" i="21"/>
  <c r="JT35" i="21"/>
  <c r="JV34" i="21"/>
  <c r="JR36" i="21"/>
  <c r="JW34" i="21"/>
  <c r="JN35" i="21"/>
  <c r="JG37" i="21"/>
  <c r="JI38" i="21"/>
  <c r="JK35" i="21"/>
  <c r="JJ36" i="21"/>
  <c r="IY37" i="21"/>
  <c r="IW36" i="21"/>
  <c r="JD34" i="21"/>
  <c r="IZ35" i="21"/>
  <c r="AO13" i="21"/>
  <c r="AN14" i="21"/>
  <c r="AP14" i="21" s="1"/>
  <c r="AQ13" i="21"/>
  <c r="AX15" i="25"/>
  <c r="BH15" i="25" s="1"/>
  <c r="AP17" i="25"/>
  <c r="BA17" i="25" s="1"/>
  <c r="AQ16" i="25"/>
  <c r="BB16" i="25" s="1"/>
  <c r="AS15" i="25"/>
  <c r="AY15" i="25" s="1"/>
  <c r="BD15" i="25" s="1"/>
  <c r="BE15" i="25"/>
  <c r="AW16" i="25"/>
  <c r="BA16" i="25"/>
  <c r="AU16" i="25"/>
  <c r="V24" i="25"/>
  <c r="AZ23" i="25"/>
  <c r="IF14" i="21"/>
  <c r="IF15" i="21" s="1"/>
  <c r="M22" i="30"/>
  <c r="IT13" i="21"/>
  <c r="IT14" i="21" s="1"/>
  <c r="F9" i="20"/>
  <c r="N23" i="8" s="1"/>
  <c r="IG13" i="21"/>
  <c r="KX14" i="21"/>
  <c r="C23" i="30"/>
  <c r="AR17" i="25"/>
  <c r="AV23" i="25"/>
  <c r="BF23" i="25" s="1"/>
  <c r="AT18" i="25"/>
  <c r="BG18" i="25" s="1"/>
  <c r="AN18" i="25"/>
  <c r="AL18" i="25"/>
  <c r="BC18" i="25" s="1"/>
  <c r="AF20" i="25"/>
  <c r="AJ20" i="25" s="1"/>
  <c r="AC21" i="25"/>
  <c r="X21" i="25"/>
  <c r="AB21" i="25" s="1"/>
  <c r="Z21" i="25"/>
  <c r="AH21" i="25" s="1"/>
  <c r="AM18" i="25"/>
  <c r="AO18" i="25"/>
  <c r="AK19" i="25"/>
  <c r="AG21" i="25"/>
  <c r="AE21" i="25"/>
  <c r="Y22" i="25"/>
  <c r="AD20" i="25"/>
  <c r="AI20" i="25" s="1"/>
  <c r="W22" i="25"/>
  <c r="AA22" i="25" s="1"/>
  <c r="R99" i="25"/>
  <c r="S99" i="25" s="1"/>
  <c r="AT21" i="20"/>
  <c r="AT25" i="20" s="1"/>
  <c r="AT39" i="20" s="1"/>
  <c r="AT40" i="20" s="1"/>
  <c r="GK13" i="21"/>
  <c r="GL14" i="21"/>
  <c r="HI15" i="21"/>
  <c r="HP14" i="21" s="1"/>
  <c r="AJ27" i="20"/>
  <c r="AJ32" i="20" s="1"/>
  <c r="AO28" i="20"/>
  <c r="AO24" i="20"/>
  <c r="AO26" i="20"/>
  <c r="IJ13" i="21"/>
  <c r="IJ14" i="21" s="1"/>
  <c r="LB14" i="21"/>
  <c r="KY13" i="21"/>
  <c r="BL14" i="21"/>
  <c r="GV14" i="21"/>
  <c r="GB14" i="21"/>
  <c r="EX14" i="21"/>
  <c r="CJ15" i="21"/>
  <c r="FH14" i="21"/>
  <c r="GU13" i="21"/>
  <c r="II13" i="21"/>
  <c r="IH13" i="21"/>
  <c r="EU13" i="21"/>
  <c r="EU14" i="21" s="1"/>
  <c r="HL14" i="21"/>
  <c r="AB73" i="28"/>
  <c r="AD73" i="28" s="1"/>
  <c r="FZ13" i="21"/>
  <c r="IP14" i="21"/>
  <c r="IP15" i="21" s="1"/>
  <c r="LA13" i="21"/>
  <c r="FY13" i="21"/>
  <c r="KZ13" i="21"/>
  <c r="IR13" i="21"/>
  <c r="HN13" i="21"/>
  <c r="IQ13" i="21"/>
  <c r="IS13" i="21"/>
  <c r="FF14" i="21"/>
  <c r="HM13" i="21"/>
  <c r="HO13" i="21"/>
  <c r="EV13" i="21"/>
  <c r="EV14" i="21" s="1"/>
  <c r="KW17" i="21"/>
  <c r="KV16" i="21"/>
  <c r="KU16" i="21"/>
  <c r="FX14" i="21"/>
  <c r="FX15" i="21" s="1"/>
  <c r="EW13" i="21"/>
  <c r="EW14" i="21" s="1"/>
  <c r="GS13" i="21"/>
  <c r="GT13" i="21"/>
  <c r="EB13" i="21"/>
  <c r="HT15" i="21"/>
  <c r="BJ13" i="21"/>
  <c r="BJ14" i="21" s="1"/>
  <c r="DS13" i="21"/>
  <c r="DR13" i="21"/>
  <c r="BI13" i="21"/>
  <c r="BI14" i="21" s="1"/>
  <c r="HJ16" i="21"/>
  <c r="GF16" i="21"/>
  <c r="HE13" i="21"/>
  <c r="HC13" i="21"/>
  <c r="HD13" i="21"/>
  <c r="FL15" i="21"/>
  <c r="IO17" i="21"/>
  <c r="IN16" i="21"/>
  <c r="IM16" i="21"/>
  <c r="BA13" i="21"/>
  <c r="GJ13" i="21"/>
  <c r="GR14" i="21"/>
  <c r="IE17" i="21"/>
  <c r="ID16" i="21"/>
  <c r="IC16" i="21"/>
  <c r="HV14" i="21"/>
  <c r="HY13" i="21"/>
  <c r="HX13" i="21"/>
  <c r="HU16" i="21"/>
  <c r="HS15" i="21"/>
  <c r="HZ14" i="21" s="1"/>
  <c r="HW13" i="21"/>
  <c r="HK17" i="21"/>
  <c r="HA16" i="21"/>
  <c r="GY15" i="21"/>
  <c r="HF14" i="21" s="1"/>
  <c r="GZ15" i="21"/>
  <c r="HB14" i="21"/>
  <c r="GP16" i="21"/>
  <c r="GI13" i="21"/>
  <c r="GO16" i="21"/>
  <c r="GQ17" i="21"/>
  <c r="FE14" i="21"/>
  <c r="GH14" i="21"/>
  <c r="GH15" i="21" s="1"/>
  <c r="DH13" i="21"/>
  <c r="DI13" i="21"/>
  <c r="CD13" i="21"/>
  <c r="BP15" i="21"/>
  <c r="FV16" i="21"/>
  <c r="FO13" i="21"/>
  <c r="FQ13" i="21"/>
  <c r="GE16" i="21"/>
  <c r="GG17" i="21"/>
  <c r="FW17" i="21"/>
  <c r="FU16" i="21"/>
  <c r="EC13" i="21"/>
  <c r="CE13" i="21"/>
  <c r="EA13" i="21"/>
  <c r="DQ13" i="21"/>
  <c r="CC13" i="21"/>
  <c r="BK13" i="21"/>
  <c r="BK14" i="21" s="1"/>
  <c r="FK15" i="21"/>
  <c r="FR14" i="21" s="1"/>
  <c r="FM16" i="21"/>
  <c r="FN14" i="21"/>
  <c r="FC17" i="21"/>
  <c r="FB16" i="21"/>
  <c r="FD15" i="21"/>
  <c r="FG14" i="21"/>
  <c r="FA16" i="21"/>
  <c r="ET15" i="21"/>
  <c r="ES17" i="21"/>
  <c r="ER16" i="21"/>
  <c r="EQ16" i="21"/>
  <c r="CV14" i="21"/>
  <c r="EH15" i="21"/>
  <c r="DG13" i="21"/>
  <c r="EM13" i="21"/>
  <c r="EL13" i="21"/>
  <c r="EK13" i="21"/>
  <c r="EI16" i="21"/>
  <c r="EG15" i="21"/>
  <c r="EN14" i="21" s="1"/>
  <c r="EJ14" i="21"/>
  <c r="DY16" i="21"/>
  <c r="DX15" i="21"/>
  <c r="DW15" i="21"/>
  <c r="ED14" i="21" s="1"/>
  <c r="DZ14" i="21"/>
  <c r="DM15" i="21"/>
  <c r="DT14" i="21" s="1"/>
  <c r="DO16" i="21"/>
  <c r="DN15" i="21"/>
  <c r="DP14" i="21"/>
  <c r="DF14" i="21"/>
  <c r="DE16" i="21"/>
  <c r="DD15" i="21"/>
  <c r="DC15" i="21"/>
  <c r="DJ14" i="21" s="1"/>
  <c r="CU16" i="21"/>
  <c r="CW13" i="21"/>
  <c r="CY13" i="21"/>
  <c r="CS15" i="21"/>
  <c r="CZ14" i="21" s="1"/>
  <c r="CT15" i="21"/>
  <c r="CX13" i="21"/>
  <c r="CN13" i="21"/>
  <c r="BT13" i="21"/>
  <c r="BH15" i="21"/>
  <c r="BU13" i="21"/>
  <c r="CI15" i="21"/>
  <c r="CP14" i="21" s="1"/>
  <c r="CO13" i="21"/>
  <c r="CM13" i="21"/>
  <c r="CK16" i="21"/>
  <c r="CL14" i="21"/>
  <c r="CA16" i="21"/>
  <c r="BZ15" i="21"/>
  <c r="BY15" i="21"/>
  <c r="CF14" i="21" s="1"/>
  <c r="CB14" i="21"/>
  <c r="BO15" i="21"/>
  <c r="BV14" i="21" s="1"/>
  <c r="BQ16" i="21"/>
  <c r="BR14" i="21"/>
  <c r="BS13" i="21"/>
  <c r="AZ13" i="21"/>
  <c r="BG17" i="21"/>
  <c r="BF16" i="21"/>
  <c r="BE16" i="21"/>
  <c r="AV15" i="21"/>
  <c r="AW16" i="21"/>
  <c r="AX14" i="21"/>
  <c r="AY13" i="21"/>
  <c r="AU15" i="21"/>
  <c r="BB14" i="21" s="1"/>
  <c r="AB15" i="21"/>
  <c r="AD14" i="21"/>
  <c r="AF13" i="21"/>
  <c r="AM17" i="21"/>
  <c r="AK16" i="21"/>
  <c r="AL16" i="21"/>
  <c r="AG13" i="21"/>
  <c r="AE13" i="21"/>
  <c r="AA15" i="21"/>
  <c r="AH14" i="21" s="1"/>
  <c r="B16" i="21"/>
  <c r="C16" i="21" s="1"/>
  <c r="D8" i="24"/>
  <c r="B10" i="24"/>
  <c r="C9" i="24"/>
  <c r="N100" i="25"/>
  <c r="Q100" i="25"/>
  <c r="O100" i="25"/>
  <c r="M101" i="25"/>
  <c r="P16" i="25"/>
  <c r="S16" i="25" s="1"/>
  <c r="P8" i="25"/>
  <c r="S8" i="25" s="1"/>
  <c r="S15" i="25"/>
  <c r="S13" i="25"/>
  <c r="S40" i="25"/>
  <c r="S56" i="25"/>
  <c r="AG72" i="28"/>
  <c r="AE72" i="28" s="1"/>
  <c r="S95" i="25"/>
  <c r="S29" i="25"/>
  <c r="AA43" i="28"/>
  <c r="AC43" i="28" s="1"/>
  <c r="AF43" i="28" s="1"/>
  <c r="AG60" i="28"/>
  <c r="AE60" i="28" s="1"/>
  <c r="AG67" i="28"/>
  <c r="AE67" i="28" s="1"/>
  <c r="S79" i="25"/>
  <c r="S77" i="25"/>
  <c r="S53" i="25"/>
  <c r="R59" i="25"/>
  <c r="P59" i="25"/>
  <c r="P28" i="25"/>
  <c r="R28" i="25"/>
  <c r="R43" i="25"/>
  <c r="P43" i="25"/>
  <c r="P39" i="25"/>
  <c r="R39" i="25"/>
  <c r="S70" i="25"/>
  <c r="R89" i="25"/>
  <c r="P89" i="25"/>
  <c r="S72" i="25"/>
  <c r="S69" i="25"/>
  <c r="P55" i="25"/>
  <c r="R55" i="25"/>
  <c r="R49" i="25"/>
  <c r="P49" i="25"/>
  <c r="R73" i="25"/>
  <c r="P73" i="25"/>
  <c r="P14" i="25"/>
  <c r="R14" i="25"/>
  <c r="P12" i="25"/>
  <c r="R12" i="25"/>
  <c r="S64" i="25"/>
  <c r="P44" i="25"/>
  <c r="R44" i="25"/>
  <c r="R33" i="25"/>
  <c r="P33" i="25"/>
  <c r="R66" i="25"/>
  <c r="P66" i="25"/>
  <c r="R25" i="25"/>
  <c r="P25" i="25"/>
  <c r="P52" i="25"/>
  <c r="R52" i="25"/>
  <c r="R9" i="25"/>
  <c r="P9" i="25"/>
  <c r="R35" i="25"/>
  <c r="P35" i="25"/>
  <c r="P31" i="25"/>
  <c r="R31" i="25"/>
  <c r="S45" i="25"/>
  <c r="R67" i="25"/>
  <c r="P67" i="25"/>
  <c r="S88" i="25"/>
  <c r="R57" i="25"/>
  <c r="P57" i="25"/>
  <c r="R19" i="25"/>
  <c r="P19" i="25"/>
  <c r="R46" i="25"/>
  <c r="P46" i="25"/>
  <c r="R10" i="25"/>
  <c r="P10" i="25"/>
  <c r="S85" i="25"/>
  <c r="S94" i="25"/>
  <c r="P84" i="25"/>
  <c r="R84" i="25"/>
  <c r="R50" i="25"/>
  <c r="P50" i="25"/>
  <c r="R65" i="25"/>
  <c r="P65" i="25"/>
  <c r="R98" i="25"/>
  <c r="P98" i="25"/>
  <c r="S48" i="25"/>
  <c r="P68" i="25"/>
  <c r="R68" i="25"/>
  <c r="R82" i="25"/>
  <c r="P82" i="25"/>
  <c r="R75" i="25"/>
  <c r="P75" i="25"/>
  <c r="P90" i="25"/>
  <c r="R90" i="25"/>
  <c r="P23" i="25"/>
  <c r="R23" i="25"/>
  <c r="R41" i="25"/>
  <c r="P41" i="25"/>
  <c r="R96" i="25"/>
  <c r="P96" i="25"/>
  <c r="S21" i="25"/>
  <c r="P36" i="25"/>
  <c r="R36" i="25"/>
  <c r="R86" i="25"/>
  <c r="P86" i="25"/>
  <c r="P38" i="25"/>
  <c r="R38" i="25"/>
  <c r="P18" i="25"/>
  <c r="R18" i="25"/>
  <c r="R32" i="25"/>
  <c r="P32" i="25"/>
  <c r="S80" i="25"/>
  <c r="R81" i="25"/>
  <c r="P81" i="25"/>
  <c r="S30" i="25"/>
  <c r="P63" i="25"/>
  <c r="R63" i="25"/>
  <c r="P92" i="25"/>
  <c r="R92" i="25"/>
  <c r="P58" i="25"/>
  <c r="R58" i="25"/>
  <c r="S47" i="25"/>
  <c r="P20" i="25"/>
  <c r="R20" i="25"/>
  <c r="P54" i="25"/>
  <c r="R54" i="25"/>
  <c r="R6" i="25"/>
  <c r="P6" i="25"/>
  <c r="R27" i="25"/>
  <c r="P27" i="25"/>
  <c r="S37" i="25"/>
  <c r="R34" i="25"/>
  <c r="P34" i="25"/>
  <c r="S93" i="25"/>
  <c r="P60" i="25"/>
  <c r="R60" i="25"/>
  <c r="R26" i="25"/>
  <c r="P26" i="25"/>
  <c r="R51" i="25"/>
  <c r="P51" i="25"/>
  <c r="R91" i="25"/>
  <c r="P91" i="25"/>
  <c r="R17" i="25"/>
  <c r="P17" i="25"/>
  <c r="P71" i="25"/>
  <c r="R71" i="25"/>
  <c r="P78" i="25"/>
  <c r="R78" i="25"/>
  <c r="P76" i="25"/>
  <c r="R76" i="25"/>
  <c r="P22" i="25"/>
  <c r="R22" i="25"/>
  <c r="R24" i="25"/>
  <c r="P24" i="25"/>
  <c r="P42" i="25"/>
  <c r="R42" i="25"/>
  <c r="P87" i="25"/>
  <c r="R87" i="25"/>
  <c r="R62" i="25"/>
  <c r="P62" i="25"/>
  <c r="R83" i="25"/>
  <c r="P83" i="25"/>
  <c r="S7" i="25"/>
  <c r="R11" i="25"/>
  <c r="P11" i="25"/>
  <c r="P74" i="25"/>
  <c r="R74" i="25"/>
  <c r="R97" i="25"/>
  <c r="P97" i="25"/>
  <c r="S61" i="25"/>
  <c r="AB45" i="28"/>
  <c r="AD45" i="28" s="1"/>
  <c r="AA74" i="28"/>
  <c r="AC74" i="28" s="1"/>
  <c r="AF74" i="28" s="1"/>
  <c r="AA42" i="28"/>
  <c r="AC42" i="28" s="1"/>
  <c r="AF42" i="28" s="1"/>
  <c r="AB61" i="28"/>
  <c r="AD61" i="28" s="1"/>
  <c r="AA79" i="28"/>
  <c r="AC79" i="28" s="1"/>
  <c r="AF79" i="28" s="1"/>
  <c r="AB47" i="28"/>
  <c r="AD47" i="28" s="1"/>
  <c r="AA38" i="28"/>
  <c r="AC38" i="28" s="1"/>
  <c r="AF38" i="28" s="1"/>
  <c r="AB66" i="28"/>
  <c r="AD66" i="28" s="1"/>
  <c r="AA53" i="28"/>
  <c r="AC53" i="28" s="1"/>
  <c r="AF53" i="28" s="1"/>
  <c r="AA36" i="28"/>
  <c r="AC36" i="28" s="1"/>
  <c r="AF36" i="28" s="1"/>
  <c r="AB62" i="28"/>
  <c r="AD62" i="28" s="1"/>
  <c r="AA34" i="28"/>
  <c r="AC34" i="28" s="1"/>
  <c r="AF34" i="28" s="1"/>
  <c r="AB69" i="28"/>
  <c r="AD69" i="28" s="1"/>
  <c r="AB35" i="28"/>
  <c r="AD35" i="28" s="1"/>
  <c r="AB58" i="28"/>
  <c r="AD58" i="28" s="1"/>
  <c r="AA48" i="28"/>
  <c r="AC48" i="28" s="1"/>
  <c r="AF48" i="28" s="1"/>
  <c r="AB6" i="28"/>
  <c r="AD6" i="28" s="1"/>
  <c r="AA39" i="28"/>
  <c r="AC39" i="28" s="1"/>
  <c r="AF39" i="28" s="1"/>
  <c r="AB76" i="28"/>
  <c r="AD76" i="28" s="1"/>
  <c r="AA6" i="28"/>
  <c r="AC6" i="28" s="1"/>
  <c r="AF6" i="28" s="1"/>
  <c r="AA68" i="28"/>
  <c r="AC68" i="28" s="1"/>
  <c r="AF68" i="28" s="1"/>
  <c r="AA41" i="28"/>
  <c r="AC41" i="28" s="1"/>
  <c r="AF41" i="28" s="1"/>
  <c r="AA57" i="28"/>
  <c r="AC57" i="28" s="1"/>
  <c r="AF57" i="28" s="1"/>
  <c r="AA52" i="28"/>
  <c r="AC52" i="28" s="1"/>
  <c r="AF52" i="28" s="1"/>
  <c r="AA35" i="28"/>
  <c r="AC35" i="28" s="1"/>
  <c r="AF35" i="28" s="1"/>
  <c r="AB51" i="28"/>
  <c r="AD51" i="28" s="1"/>
  <c r="AA65" i="28"/>
  <c r="AC65" i="28" s="1"/>
  <c r="AF65" i="28" s="1"/>
  <c r="AB59" i="28"/>
  <c r="AD59" i="28" s="1"/>
  <c r="AA81" i="28"/>
  <c r="AC81" i="28" s="1"/>
  <c r="AF81" i="28" s="1"/>
  <c r="AA75" i="28"/>
  <c r="AC75" i="28" s="1"/>
  <c r="AF75" i="28" s="1"/>
  <c r="AB77" i="28"/>
  <c r="AD77" i="28" s="1"/>
  <c r="AA70" i="28"/>
  <c r="AC70" i="28" s="1"/>
  <c r="AF70" i="28" s="1"/>
  <c r="AB37" i="28"/>
  <c r="AD37" i="28" s="1"/>
  <c r="AA49" i="28"/>
  <c r="AC49" i="28" s="1"/>
  <c r="AF49" i="28" s="1"/>
  <c r="AB55" i="28"/>
  <c r="AD55" i="28" s="1"/>
  <c r="AA82" i="28"/>
  <c r="AC82" i="28" s="1"/>
  <c r="AF82" i="28" s="1"/>
  <c r="AB65" i="28"/>
  <c r="AD65" i="28" s="1"/>
  <c r="AA63" i="28"/>
  <c r="AC63" i="28" s="1"/>
  <c r="AF63" i="28" s="1"/>
  <c r="AA64" i="28"/>
  <c r="AC64" i="28" s="1"/>
  <c r="AF64" i="28" s="1"/>
  <c r="AA54" i="28"/>
  <c r="AC54" i="28" s="1"/>
  <c r="AF54" i="28" s="1"/>
  <c r="AA51" i="28"/>
  <c r="AC51" i="28" s="1"/>
  <c r="AF51" i="28" s="1"/>
  <c r="AB57" i="28"/>
  <c r="AD57" i="28" s="1"/>
  <c r="AA80" i="28"/>
  <c r="AC80" i="28" s="1"/>
  <c r="AF80" i="28" s="1"/>
  <c r="AB50" i="28"/>
  <c r="AD50" i="28" s="1"/>
  <c r="AB48" i="28"/>
  <c r="AD48" i="28" s="1"/>
  <c r="AB78" i="28"/>
  <c r="AD78" i="28" s="1"/>
  <c r="AB38" i="28"/>
  <c r="AD38" i="28" s="1"/>
  <c r="AG38" i="28" s="1"/>
  <c r="AA46" i="28"/>
  <c r="AC46" i="28" s="1"/>
  <c r="AF46" i="28" s="1"/>
  <c r="AA71" i="28"/>
  <c r="AC71" i="28" s="1"/>
  <c r="AF71" i="28" s="1"/>
  <c r="AB43" i="28"/>
  <c r="AA59" i="28"/>
  <c r="AC59" i="28" s="1"/>
  <c r="AF59" i="28" s="1"/>
  <c r="AA55" i="28"/>
  <c r="AC55" i="28" s="1"/>
  <c r="AF55" i="28" s="1"/>
  <c r="AA66" i="28"/>
  <c r="AC66" i="28" s="1"/>
  <c r="AF66" i="28" s="1"/>
  <c r="AA78" i="28"/>
  <c r="AC78" i="28" s="1"/>
  <c r="AF78" i="28" s="1"/>
  <c r="AB54" i="28"/>
  <c r="AD54" i="28" s="1"/>
  <c r="AA47" i="28"/>
  <c r="AC47" i="28" s="1"/>
  <c r="AF47" i="28" s="1"/>
  <c r="AA76" i="28"/>
  <c r="AA73" i="28"/>
  <c r="AA56" i="28"/>
  <c r="AC56" i="28" s="1"/>
  <c r="AF56" i="28" s="1"/>
  <c r="AA58" i="28"/>
  <c r="AC58" i="28" s="1"/>
  <c r="AF58" i="28" s="1"/>
  <c r="AB71" i="28"/>
  <c r="AD71" i="28" s="1"/>
  <c r="AB40" i="28"/>
  <c r="AA50" i="28"/>
  <c r="AC50" i="28" s="1"/>
  <c r="AF50" i="28" s="1"/>
  <c r="AB42" i="28"/>
  <c r="AB39" i="28"/>
  <c r="AD39" i="28" s="1"/>
  <c r="AB41" i="28"/>
  <c r="AD41" i="28" s="1"/>
  <c r="AB44" i="28"/>
  <c r="AD44" i="28" s="1"/>
  <c r="AB63" i="28"/>
  <c r="AD63" i="28" s="1"/>
  <c r="AB34" i="28"/>
  <c r="AD34" i="28" s="1"/>
  <c r="AA62" i="28"/>
  <c r="AC62" i="28" s="1"/>
  <c r="AF62" i="28" s="1"/>
  <c r="AA37" i="28"/>
  <c r="AC37" i="28" s="1"/>
  <c r="AF37" i="28" s="1"/>
  <c r="AB53" i="28"/>
  <c r="AB36" i="28"/>
  <c r="AD36" i="28" s="1"/>
  <c r="AA44" i="28"/>
  <c r="AC44" i="28" s="1"/>
  <c r="AF44" i="28" s="1"/>
  <c r="AB70" i="28"/>
  <c r="AA69" i="28"/>
  <c r="AC69" i="28" s="1"/>
  <c r="AF69" i="28" s="1"/>
  <c r="AB74" i="28"/>
  <c r="AD74" i="28" s="1"/>
  <c r="AB80" i="28"/>
  <c r="AD80" i="28" s="1"/>
  <c r="AB75" i="28"/>
  <c r="AD75" i="28" s="1"/>
  <c r="AB68" i="28"/>
  <c r="AD68" i="28" s="1"/>
  <c r="AB64" i="28"/>
  <c r="AB52" i="28"/>
  <c r="AB79" i="28"/>
  <c r="AA45" i="28"/>
  <c r="AC45" i="28" s="1"/>
  <c r="AF45" i="28" s="1"/>
  <c r="AB49" i="28"/>
  <c r="AD49" i="28" s="1"/>
  <c r="AA77" i="28"/>
  <c r="AC77" i="28" s="1"/>
  <c r="AF77" i="28" s="1"/>
  <c r="AB82" i="28"/>
  <c r="AD82" i="28" s="1"/>
  <c r="AB81" i="28"/>
  <c r="AA61" i="28"/>
  <c r="AC61" i="28" s="1"/>
  <c r="AF61" i="28" s="1"/>
  <c r="AB46" i="28"/>
  <c r="AB56" i="28"/>
  <c r="AH38" i="28" l="1"/>
  <c r="AI38" i="28" s="1"/>
  <c r="KF35" i="21"/>
  <c r="IX37" i="21"/>
  <c r="KB37" i="21"/>
  <c r="JM36" i="21"/>
  <c r="KH35" i="21"/>
  <c r="KA37" i="21"/>
  <c r="KC38" i="21"/>
  <c r="KD36" i="21"/>
  <c r="KG35" i="21"/>
  <c r="KE35" i="21"/>
  <c r="JV35" i="21"/>
  <c r="AQ14" i="21"/>
  <c r="JR37" i="21"/>
  <c r="KN37" i="21"/>
  <c r="JK36" i="21"/>
  <c r="AN15" i="21"/>
  <c r="AP15" i="21" s="1"/>
  <c r="KR36" i="21"/>
  <c r="KK38" i="21"/>
  <c r="KQ36" i="21"/>
  <c r="KM39" i="21"/>
  <c r="KP36" i="21"/>
  <c r="KO36" i="21"/>
  <c r="KL38" i="21"/>
  <c r="JT36" i="21"/>
  <c r="JU35" i="21"/>
  <c r="JS38" i="21"/>
  <c r="JX35" i="21"/>
  <c r="JQ37" i="21"/>
  <c r="JW35" i="21"/>
  <c r="JI39" i="21"/>
  <c r="JN36" i="21"/>
  <c r="JG38" i="21"/>
  <c r="JH38" i="21"/>
  <c r="JJ37" i="21"/>
  <c r="JL36" i="21"/>
  <c r="JC35" i="21"/>
  <c r="JA35" i="21"/>
  <c r="IZ36" i="21"/>
  <c r="JD35" i="21"/>
  <c r="IW37" i="21"/>
  <c r="JB35" i="21"/>
  <c r="IY38" i="21"/>
  <c r="IX38" i="21" s="1"/>
  <c r="AO14" i="21"/>
  <c r="II14" i="21"/>
  <c r="II15" i="21" s="1"/>
  <c r="AW17" i="25"/>
  <c r="AX17" i="25" s="1"/>
  <c r="BH17" i="25" s="1"/>
  <c r="IT15" i="21"/>
  <c r="AP18" i="25"/>
  <c r="BA18" i="25" s="1"/>
  <c r="IG14" i="21"/>
  <c r="IG15" i="21" s="1"/>
  <c r="AU17" i="25"/>
  <c r="AS17" i="25" s="1"/>
  <c r="AY17" i="25" s="1"/>
  <c r="BD17" i="25" s="1"/>
  <c r="IH14" i="21"/>
  <c r="IH15" i="21" s="1"/>
  <c r="GL15" i="21"/>
  <c r="KY14" i="21"/>
  <c r="KX15" i="21"/>
  <c r="KX16" i="21" s="1"/>
  <c r="HI16" i="21"/>
  <c r="HP15" i="21" s="1"/>
  <c r="KZ14" i="21"/>
  <c r="LA14" i="21"/>
  <c r="LA15" i="21" s="1"/>
  <c r="AQ17" i="25"/>
  <c r="BB17" i="25" s="1"/>
  <c r="AX16" i="25"/>
  <c r="BH16" i="25" s="1"/>
  <c r="AS16" i="25"/>
  <c r="AY16" i="25" s="1"/>
  <c r="BD16" i="25" s="1"/>
  <c r="BE16" i="25"/>
  <c r="V25" i="25"/>
  <c r="AZ24" i="25"/>
  <c r="M23" i="30"/>
  <c r="K93" i="30"/>
  <c r="L93" i="30" s="1"/>
  <c r="K48" i="30"/>
  <c r="L48" i="30" s="1"/>
  <c r="K77" i="30"/>
  <c r="L77" i="30" s="1"/>
  <c r="K21" i="30"/>
  <c r="L21" i="30" s="1"/>
  <c r="K94" i="30"/>
  <c r="L94" i="30" s="1"/>
  <c r="K79" i="30"/>
  <c r="L79" i="30" s="1"/>
  <c r="IJ15" i="21"/>
  <c r="K85" i="30"/>
  <c r="L85" i="30" s="1"/>
  <c r="K69" i="30"/>
  <c r="L69" i="30" s="1"/>
  <c r="K56" i="30"/>
  <c r="L56" i="30" s="1"/>
  <c r="K7" i="30"/>
  <c r="L7" i="30" s="1"/>
  <c r="K37" i="30"/>
  <c r="L37" i="30" s="1"/>
  <c r="K30" i="30"/>
  <c r="L30" i="30" s="1"/>
  <c r="K88" i="30"/>
  <c r="L88" i="30" s="1"/>
  <c r="K72" i="30"/>
  <c r="L72" i="30" s="1"/>
  <c r="K40" i="30"/>
  <c r="L40" i="30" s="1"/>
  <c r="HM14" i="21"/>
  <c r="K61" i="30"/>
  <c r="L61" i="30" s="1"/>
  <c r="K47" i="30"/>
  <c r="L47" i="30" s="1"/>
  <c r="K13" i="30"/>
  <c r="L13" i="30" s="1"/>
  <c r="F10" i="20"/>
  <c r="N24" i="8" s="1"/>
  <c r="N19" i="8" s="1"/>
  <c r="K15" i="30"/>
  <c r="L15" i="30" s="1"/>
  <c r="K80" i="30"/>
  <c r="L80" i="30" s="1"/>
  <c r="K45" i="30"/>
  <c r="L45" i="30" s="1"/>
  <c r="K70" i="30"/>
  <c r="L70" i="30" s="1"/>
  <c r="K29" i="30"/>
  <c r="L29" i="30" s="1"/>
  <c r="K8" i="30"/>
  <c r="L8" i="30" s="1"/>
  <c r="E8" i="20"/>
  <c r="G22" i="8" s="1"/>
  <c r="K99" i="30"/>
  <c r="L99" i="30" s="1"/>
  <c r="K64" i="30"/>
  <c r="L64" i="30" s="1"/>
  <c r="K53" i="30"/>
  <c r="L53" i="30" s="1"/>
  <c r="K95" i="30"/>
  <c r="L95" i="30" s="1"/>
  <c r="K16" i="30"/>
  <c r="L16" i="30" s="1"/>
  <c r="C24" i="30"/>
  <c r="AV24" i="25"/>
  <c r="BF24" i="25" s="1"/>
  <c r="AT19" i="25"/>
  <c r="BG19" i="25" s="1"/>
  <c r="AN19" i="25"/>
  <c r="AL19" i="25"/>
  <c r="BC19" i="25" s="1"/>
  <c r="AF21" i="25"/>
  <c r="AJ21" i="25" s="1"/>
  <c r="AC22" i="25"/>
  <c r="X22" i="25"/>
  <c r="AB22" i="25" s="1"/>
  <c r="Z22" i="25"/>
  <c r="AH22" i="25" s="1"/>
  <c r="AM19" i="25"/>
  <c r="AO19" i="25"/>
  <c r="AK20" i="25"/>
  <c r="AG22" i="25"/>
  <c r="AE22" i="25"/>
  <c r="Y23" i="25"/>
  <c r="AD21" i="25"/>
  <c r="AI21" i="25" s="1"/>
  <c r="S6" i="25"/>
  <c r="W23" i="25"/>
  <c r="AA23" i="25" s="1"/>
  <c r="AJ38" i="28"/>
  <c r="AJ60" i="28"/>
  <c r="AJ72" i="28"/>
  <c r="AJ67" i="28"/>
  <c r="AE38" i="28"/>
  <c r="AT26" i="20"/>
  <c r="AT23" i="20"/>
  <c r="AT28" i="20" s="1"/>
  <c r="AT29" i="20"/>
  <c r="AJ33" i="20"/>
  <c r="AJ34" i="20" s="1"/>
  <c r="AJ30" i="20"/>
  <c r="EX15" i="21"/>
  <c r="AO27" i="20"/>
  <c r="AO32" i="20" s="1"/>
  <c r="E9" i="20" s="1"/>
  <c r="GB15" i="21"/>
  <c r="GV15" i="21"/>
  <c r="HN14" i="21"/>
  <c r="FH15" i="21"/>
  <c r="BL15" i="21"/>
  <c r="AR15" i="21"/>
  <c r="LB15" i="21"/>
  <c r="HL15" i="21"/>
  <c r="HO14" i="21"/>
  <c r="IQ14" i="21"/>
  <c r="IQ15" i="21" s="1"/>
  <c r="IR14" i="21"/>
  <c r="IR15" i="21" s="1"/>
  <c r="IS14" i="21"/>
  <c r="IS15" i="21" s="1"/>
  <c r="AH72" i="28"/>
  <c r="AI72" i="28" s="1"/>
  <c r="AH67" i="28"/>
  <c r="AI67" i="28" s="1"/>
  <c r="AH60" i="28"/>
  <c r="AI60" i="28" s="1"/>
  <c r="GA14" i="21"/>
  <c r="GA15" i="21" s="1"/>
  <c r="FZ14" i="21"/>
  <c r="FZ15" i="21" s="1"/>
  <c r="DS14" i="21"/>
  <c r="FY14" i="21"/>
  <c r="FY15" i="21" s="1"/>
  <c r="CC14" i="21"/>
  <c r="GS14" i="21"/>
  <c r="KU17" i="21"/>
  <c r="KV17" i="21"/>
  <c r="KW18" i="21"/>
  <c r="GR15" i="21"/>
  <c r="GR16" i="21" s="1"/>
  <c r="GI14" i="21"/>
  <c r="GI15" i="21" s="1"/>
  <c r="HX14" i="21"/>
  <c r="GT14" i="21"/>
  <c r="GU14" i="21"/>
  <c r="CX14" i="21"/>
  <c r="HC14" i="21"/>
  <c r="HY14" i="21"/>
  <c r="IN17" i="21"/>
  <c r="HE14" i="21"/>
  <c r="IM17" i="21"/>
  <c r="IP16" i="21"/>
  <c r="IO18" i="21"/>
  <c r="FV17" i="21"/>
  <c r="BT14" i="21"/>
  <c r="DN16" i="21"/>
  <c r="GJ14" i="21"/>
  <c r="GJ15" i="21" s="1"/>
  <c r="HD14" i="21"/>
  <c r="HW14" i="21"/>
  <c r="ID17" i="21"/>
  <c r="IC17" i="21"/>
  <c r="IF16" i="21"/>
  <c r="IE18" i="21"/>
  <c r="HS16" i="21"/>
  <c r="HZ15" i="21" s="1"/>
  <c r="HU17" i="21"/>
  <c r="HV15" i="21"/>
  <c r="HT16" i="21"/>
  <c r="HK18" i="21"/>
  <c r="HJ17" i="21"/>
  <c r="GY16" i="21"/>
  <c r="HF15" i="21" s="1"/>
  <c r="HB15" i="21"/>
  <c r="HA17" i="21"/>
  <c r="GZ16" i="21"/>
  <c r="BK15" i="21"/>
  <c r="EC14" i="21"/>
  <c r="GQ18" i="21"/>
  <c r="GP17" i="21"/>
  <c r="GO17" i="21"/>
  <c r="DH14" i="21"/>
  <c r="CY14" i="21"/>
  <c r="EL14" i="21"/>
  <c r="CW14" i="21"/>
  <c r="EA14" i="21"/>
  <c r="GK14" i="21"/>
  <c r="GK15" i="21" s="1"/>
  <c r="FQ14" i="21"/>
  <c r="BJ15" i="21"/>
  <c r="FD16" i="21"/>
  <c r="GG18" i="21"/>
  <c r="GE17" i="21"/>
  <c r="GL16" i="21" s="1"/>
  <c r="GH16" i="21"/>
  <c r="GF17" i="21"/>
  <c r="FX16" i="21"/>
  <c r="FU17" i="21"/>
  <c r="FW18" i="21"/>
  <c r="DX16" i="21"/>
  <c r="FB17" i="21"/>
  <c r="ER17" i="21"/>
  <c r="ET16" i="21"/>
  <c r="FP14" i="21"/>
  <c r="FM17" i="21"/>
  <c r="FK16" i="21"/>
  <c r="FR15" i="21" s="1"/>
  <c r="FN15" i="21"/>
  <c r="FO14" i="21"/>
  <c r="FL16" i="21"/>
  <c r="FA17" i="21"/>
  <c r="FG15" i="21"/>
  <c r="FF15" i="21"/>
  <c r="FE15" i="21"/>
  <c r="FC18" i="21"/>
  <c r="EU15" i="21"/>
  <c r="EV15" i="21"/>
  <c r="ES18" i="21"/>
  <c r="EW15" i="21"/>
  <c r="EQ17" i="21"/>
  <c r="DI14" i="21"/>
  <c r="EM14" i="21"/>
  <c r="BI15" i="21"/>
  <c r="DD16" i="21"/>
  <c r="EG16" i="21"/>
  <c r="EN15" i="21" s="1"/>
  <c r="EI17" i="21"/>
  <c r="EK14" i="21"/>
  <c r="EJ15" i="21"/>
  <c r="EH16" i="21"/>
  <c r="DW16" i="21"/>
  <c r="ED15" i="21" s="1"/>
  <c r="EB14" i="21"/>
  <c r="DZ15" i="21"/>
  <c r="DY17" i="21"/>
  <c r="DO17" i="21"/>
  <c r="DR14" i="21"/>
  <c r="DQ14" i="21"/>
  <c r="DP15" i="21"/>
  <c r="DM16" i="21"/>
  <c r="DT15" i="21" s="1"/>
  <c r="CT16" i="21"/>
  <c r="CD14" i="21"/>
  <c r="BR15" i="21"/>
  <c r="BZ16" i="21"/>
  <c r="BU14" i="21"/>
  <c r="DG14" i="21"/>
  <c r="AY14" i="21"/>
  <c r="DE17" i="21"/>
  <c r="DF15" i="21"/>
  <c r="DC16" i="21"/>
  <c r="DJ15" i="21" s="1"/>
  <c r="CS16" i="21"/>
  <c r="CZ15" i="21" s="1"/>
  <c r="CU17" i="21"/>
  <c r="CV15" i="21"/>
  <c r="BF17" i="21"/>
  <c r="AG14" i="21"/>
  <c r="CL15" i="21"/>
  <c r="AF14" i="21"/>
  <c r="CK17" i="21"/>
  <c r="CO14" i="21"/>
  <c r="CM14" i="21"/>
  <c r="CN14" i="21"/>
  <c r="CI16" i="21"/>
  <c r="CP15" i="21" s="1"/>
  <c r="CJ16" i="21"/>
  <c r="BY16" i="21"/>
  <c r="CF15" i="21" s="1"/>
  <c r="CA17" i="21"/>
  <c r="CE14" i="21"/>
  <c r="CB15" i="21"/>
  <c r="BQ17" i="21"/>
  <c r="BP16" i="21"/>
  <c r="BS14" i="21"/>
  <c r="BO16" i="21"/>
  <c r="BV15" i="21" s="1"/>
  <c r="BG18" i="21"/>
  <c r="BE17" i="21"/>
  <c r="BH16" i="21"/>
  <c r="AE14" i="21"/>
  <c r="AX15" i="21"/>
  <c r="AW17" i="21"/>
  <c r="AZ14" i="21"/>
  <c r="BA14" i="21"/>
  <c r="AV16" i="21"/>
  <c r="AU16" i="21"/>
  <c r="BB15" i="21" s="1"/>
  <c r="AB16" i="21"/>
  <c r="AM18" i="21"/>
  <c r="AL17" i="21"/>
  <c r="AK17" i="21"/>
  <c r="AA16" i="21"/>
  <c r="AH15" i="21" s="1"/>
  <c r="AD15" i="21"/>
  <c r="B17" i="21"/>
  <c r="C17" i="21" s="1"/>
  <c r="D9" i="24"/>
  <c r="B11" i="24"/>
  <c r="C10" i="24"/>
  <c r="M102" i="25"/>
  <c r="O101" i="25"/>
  <c r="Q101" i="25"/>
  <c r="N101" i="25"/>
  <c r="R100" i="25"/>
  <c r="P100" i="25"/>
  <c r="S32" i="25"/>
  <c r="S11" i="25"/>
  <c r="S87" i="25"/>
  <c r="S76" i="25"/>
  <c r="S54" i="25"/>
  <c r="S19" i="25"/>
  <c r="S25" i="25"/>
  <c r="S34" i="25"/>
  <c r="AG74" i="28"/>
  <c r="AE74" i="28" s="1"/>
  <c r="S90" i="25"/>
  <c r="AG49" i="28"/>
  <c r="AE49" i="28" s="1"/>
  <c r="S12" i="25"/>
  <c r="S62" i="25"/>
  <c r="S17" i="25"/>
  <c r="AG39" i="28"/>
  <c r="AE39" i="28" s="1"/>
  <c r="AG51" i="28"/>
  <c r="AE51" i="28" s="1"/>
  <c r="S65" i="25"/>
  <c r="S10" i="25"/>
  <c r="S9" i="25"/>
  <c r="S33" i="25"/>
  <c r="AG59" i="28"/>
  <c r="AE59" i="28" s="1"/>
  <c r="AG6" i="28"/>
  <c r="AE6" i="28" s="1"/>
  <c r="S55" i="25"/>
  <c r="AG55" i="28"/>
  <c r="AE55" i="28" s="1"/>
  <c r="AG82" i="28"/>
  <c r="AE82" i="28" s="1"/>
  <c r="AG34" i="28"/>
  <c r="AE34" i="28" s="1"/>
  <c r="S83" i="25"/>
  <c r="S24" i="25"/>
  <c r="S26" i="25"/>
  <c r="S27" i="25"/>
  <c r="S81" i="25"/>
  <c r="S41" i="25"/>
  <c r="S82" i="25"/>
  <c r="S67" i="25"/>
  <c r="S73" i="25"/>
  <c r="S89" i="25"/>
  <c r="S58" i="25"/>
  <c r="S52" i="25"/>
  <c r="S44" i="25"/>
  <c r="S23" i="25"/>
  <c r="S68" i="25"/>
  <c r="S98" i="25"/>
  <c r="AG57" i="28"/>
  <c r="AE57" i="28" s="1"/>
  <c r="S14" i="25"/>
  <c r="AG44" i="28"/>
  <c r="AE44" i="28" s="1"/>
  <c r="AG80" i="28"/>
  <c r="AE80" i="28" s="1"/>
  <c r="AG48" i="28"/>
  <c r="AE48" i="28" s="1"/>
  <c r="AG54" i="28"/>
  <c r="AE54" i="28" s="1"/>
  <c r="AG63" i="28"/>
  <c r="AE63" i="28" s="1"/>
  <c r="AG41" i="28"/>
  <c r="AE41" i="28" s="1"/>
  <c r="AG35" i="28"/>
  <c r="AE35" i="28" s="1"/>
  <c r="S51" i="25"/>
  <c r="S57" i="25"/>
  <c r="S35" i="25"/>
  <c r="S66" i="25"/>
  <c r="S43" i="25"/>
  <c r="S60" i="25"/>
  <c r="S74" i="25"/>
  <c r="S91" i="25"/>
  <c r="S92" i="25"/>
  <c r="S36" i="25"/>
  <c r="S84" i="25"/>
  <c r="S31" i="25"/>
  <c r="S39" i="25"/>
  <c r="S63" i="25"/>
  <c r="S18" i="25"/>
  <c r="S96" i="25"/>
  <c r="S75" i="25"/>
  <c r="S20" i="25"/>
  <c r="S78" i="25"/>
  <c r="S38" i="25"/>
  <c r="S28" i="25"/>
  <c r="S42" i="25"/>
  <c r="S97" i="25"/>
  <c r="S71" i="25"/>
  <c r="S86" i="25"/>
  <c r="S50" i="25"/>
  <c r="S46" i="25"/>
  <c r="S59" i="25"/>
  <c r="S49" i="25"/>
  <c r="S22" i="25"/>
  <c r="AD81" i="28"/>
  <c r="AG81" i="28" s="1"/>
  <c r="AE81" i="28" s="1"/>
  <c r="AG77" i="28"/>
  <c r="AE77" i="28" s="1"/>
  <c r="AG58" i="28"/>
  <c r="AE58" i="28" s="1"/>
  <c r="AC73" i="28"/>
  <c r="AF73" i="28" s="1"/>
  <c r="AD40" i="28"/>
  <c r="AG40" i="28" s="1"/>
  <c r="AG78" i="28"/>
  <c r="AE78" i="28" s="1"/>
  <c r="AG75" i="28"/>
  <c r="AE75" i="28" s="1"/>
  <c r="AG47" i="28"/>
  <c r="AE47" i="28" s="1"/>
  <c r="AG71" i="28"/>
  <c r="AE71" i="28" s="1"/>
  <c r="AG65" i="28"/>
  <c r="AE65" i="28" s="1"/>
  <c r="AG68" i="28"/>
  <c r="AE68" i="28" s="1"/>
  <c r="AG69" i="28"/>
  <c r="AE69" i="28" s="1"/>
  <c r="AD46" i="28"/>
  <c r="AG46" i="28" s="1"/>
  <c r="AE46" i="28" s="1"/>
  <c r="AG50" i="28"/>
  <c r="AE50" i="28" s="1"/>
  <c r="AG61" i="28"/>
  <c r="AE61" i="28" s="1"/>
  <c r="AD56" i="28"/>
  <c r="AG56" i="28" s="1"/>
  <c r="AE56" i="28" s="1"/>
  <c r="AD79" i="28"/>
  <c r="AG79" i="28" s="1"/>
  <c r="AE79" i="28" s="1"/>
  <c r="AD70" i="28"/>
  <c r="AG70" i="28" s="1"/>
  <c r="AE70" i="28" s="1"/>
  <c r="AG62" i="28"/>
  <c r="AE62" i="28" s="1"/>
  <c r="AG36" i="28"/>
  <c r="AE36" i="28" s="1"/>
  <c r="AD43" i="28"/>
  <c r="AG43" i="28" s="1"/>
  <c r="AE43" i="28" s="1"/>
  <c r="AD64" i="28"/>
  <c r="AG64" i="28" s="1"/>
  <c r="AE64" i="28" s="1"/>
  <c r="AG37" i="28"/>
  <c r="AE37" i="28" s="1"/>
  <c r="AG45" i="28"/>
  <c r="AE45" i="28" s="1"/>
  <c r="AD52" i="28"/>
  <c r="AG52" i="28" s="1"/>
  <c r="AE52" i="28" s="1"/>
  <c r="AC76" i="28"/>
  <c r="AF76" i="28" s="1"/>
  <c r="AD53" i="28"/>
  <c r="AG53" i="28" s="1"/>
  <c r="AE53" i="28" s="1"/>
  <c r="AD42" i="28"/>
  <c r="AG42" i="28" s="1"/>
  <c r="AE42" i="28" s="1"/>
  <c r="AG66" i="28"/>
  <c r="AE66" i="28" s="1"/>
  <c r="KO37" i="21" l="1"/>
  <c r="AO15" i="21"/>
  <c r="KD37" i="21"/>
  <c r="AP19" i="25"/>
  <c r="BA19" i="25" s="1"/>
  <c r="AR18" i="25"/>
  <c r="JM37" i="21"/>
  <c r="JU36" i="21"/>
  <c r="KG36" i="21"/>
  <c r="KG37" i="21" s="1"/>
  <c r="JW36" i="21"/>
  <c r="JV36" i="21"/>
  <c r="KE36" i="21"/>
  <c r="KE37" i="21" s="1"/>
  <c r="JK37" i="21"/>
  <c r="JL37" i="21"/>
  <c r="KF36" i="21"/>
  <c r="KF37" i="21" s="1"/>
  <c r="AN16" i="21"/>
  <c r="AN17" i="21" s="1"/>
  <c r="AQ15" i="21"/>
  <c r="AQ16" i="21" s="1"/>
  <c r="KB38" i="21"/>
  <c r="KH36" i="21"/>
  <c r="KA38" i="21"/>
  <c r="KC39" i="21"/>
  <c r="JH39" i="21"/>
  <c r="KQ37" i="21"/>
  <c r="JT37" i="21"/>
  <c r="JB36" i="21"/>
  <c r="KZ15" i="21"/>
  <c r="KY15" i="21"/>
  <c r="KY16" i="21" s="1"/>
  <c r="KP37" i="21"/>
  <c r="KM40" i="21"/>
  <c r="KR37" i="21"/>
  <c r="KK39" i="21"/>
  <c r="KL39" i="21"/>
  <c r="KN38" i="21"/>
  <c r="KO38" i="21" s="1"/>
  <c r="JS39" i="21"/>
  <c r="JX36" i="21"/>
  <c r="JQ38" i="21"/>
  <c r="JR38" i="21"/>
  <c r="JN37" i="21"/>
  <c r="JG39" i="21"/>
  <c r="JI40" i="21"/>
  <c r="JJ38" i="21"/>
  <c r="JD36" i="21"/>
  <c r="IW38" i="21"/>
  <c r="IZ37" i="21"/>
  <c r="JA36" i="21"/>
  <c r="IY39" i="21"/>
  <c r="IX39" i="21" s="1"/>
  <c r="JC36" i="21"/>
  <c r="BE17" i="25"/>
  <c r="AW18" i="25"/>
  <c r="AW19" i="25" s="1"/>
  <c r="IT16" i="21"/>
  <c r="AU18" i="25"/>
  <c r="BE18" i="25" s="1"/>
  <c r="IJ16" i="21"/>
  <c r="HM15" i="21"/>
  <c r="HL16" i="21"/>
  <c r="AQ18" i="25"/>
  <c r="BB18" i="25" s="1"/>
  <c r="HI17" i="21"/>
  <c r="HP16" i="21" s="1"/>
  <c r="V26" i="25"/>
  <c r="AZ25" i="25"/>
  <c r="HN15" i="21"/>
  <c r="M24" i="30"/>
  <c r="K59" i="30"/>
  <c r="L59" i="30" s="1"/>
  <c r="K38" i="30"/>
  <c r="L38" i="30" s="1"/>
  <c r="K31" i="30"/>
  <c r="L31" i="30" s="1"/>
  <c r="K66" i="30"/>
  <c r="L66" i="30" s="1"/>
  <c r="K68" i="30"/>
  <c r="L68" i="30" s="1"/>
  <c r="K82" i="30"/>
  <c r="L82" i="30" s="1"/>
  <c r="K65" i="30"/>
  <c r="L65" i="30" s="1"/>
  <c r="K32" i="30"/>
  <c r="L32" i="30" s="1"/>
  <c r="K46" i="30"/>
  <c r="L46" i="30" s="1"/>
  <c r="K78" i="30"/>
  <c r="L78" i="30" s="1"/>
  <c r="K84" i="30"/>
  <c r="L84" i="30" s="1"/>
  <c r="K35" i="30"/>
  <c r="L35" i="30" s="1"/>
  <c r="K23" i="30"/>
  <c r="L23" i="30" s="1"/>
  <c r="K41" i="30"/>
  <c r="L41" i="30" s="1"/>
  <c r="K34" i="30"/>
  <c r="L34" i="30" s="1"/>
  <c r="K50" i="30"/>
  <c r="L50" i="30" s="1"/>
  <c r="K20" i="30"/>
  <c r="L20" i="30" s="1"/>
  <c r="K36" i="30"/>
  <c r="L36" i="30" s="1"/>
  <c r="K57" i="30"/>
  <c r="L57" i="30" s="1"/>
  <c r="K44" i="30"/>
  <c r="L44" i="30" s="1"/>
  <c r="K81" i="30"/>
  <c r="L81" i="30" s="1"/>
  <c r="K55" i="30"/>
  <c r="L55" i="30" s="1"/>
  <c r="K25" i="30"/>
  <c r="L25" i="30" s="1"/>
  <c r="K86" i="30"/>
  <c r="L86" i="30" s="1"/>
  <c r="K75" i="30"/>
  <c r="L75" i="30" s="1"/>
  <c r="K92" i="30"/>
  <c r="L92" i="30" s="1"/>
  <c r="K51" i="30"/>
  <c r="L51" i="30" s="1"/>
  <c r="K52" i="30"/>
  <c r="L52" i="30" s="1"/>
  <c r="K27" i="30"/>
  <c r="L27" i="30" s="1"/>
  <c r="K17" i="30"/>
  <c r="L17" i="30" s="1"/>
  <c r="K19" i="30"/>
  <c r="L19" i="30" s="1"/>
  <c r="K6" i="30"/>
  <c r="L6" i="30" s="1"/>
  <c r="K71" i="30"/>
  <c r="L71" i="30" s="1"/>
  <c r="K96" i="30"/>
  <c r="L96" i="30" s="1"/>
  <c r="K91" i="30"/>
  <c r="L91" i="30" s="1"/>
  <c r="K58" i="30"/>
  <c r="L58" i="30" s="1"/>
  <c r="K26" i="30"/>
  <c r="L26" i="30" s="1"/>
  <c r="K62" i="30"/>
  <c r="L62" i="30" s="1"/>
  <c r="K54" i="30"/>
  <c r="L54" i="30" s="1"/>
  <c r="K97" i="30"/>
  <c r="L97" i="30" s="1"/>
  <c r="K18" i="30"/>
  <c r="L18" i="30" s="1"/>
  <c r="K74" i="30"/>
  <c r="L74" i="30" s="1"/>
  <c r="K14" i="30"/>
  <c r="L14" i="30" s="1"/>
  <c r="K89" i="30"/>
  <c r="L89" i="30" s="1"/>
  <c r="K24" i="30"/>
  <c r="L24" i="30" s="1"/>
  <c r="K33" i="30"/>
  <c r="L33" i="30" s="1"/>
  <c r="K12" i="30"/>
  <c r="L12" i="30" s="1"/>
  <c r="K76" i="30"/>
  <c r="L76" i="30" s="1"/>
  <c r="K22" i="30"/>
  <c r="L22" i="30" s="1"/>
  <c r="K42" i="30"/>
  <c r="L42" i="30" s="1"/>
  <c r="K63" i="30"/>
  <c r="L63" i="30" s="1"/>
  <c r="K60" i="30"/>
  <c r="L60" i="30" s="1"/>
  <c r="K73" i="30"/>
  <c r="L73" i="30" s="1"/>
  <c r="K83" i="30"/>
  <c r="L83" i="30" s="1"/>
  <c r="K9" i="30"/>
  <c r="L9" i="30" s="1"/>
  <c r="K87" i="30"/>
  <c r="L87" i="30" s="1"/>
  <c r="K49" i="30"/>
  <c r="L49" i="30" s="1"/>
  <c r="K28" i="30"/>
  <c r="L28" i="30" s="1"/>
  <c r="K39" i="30"/>
  <c r="L39" i="30" s="1"/>
  <c r="K43" i="30"/>
  <c r="L43" i="30" s="1"/>
  <c r="K98" i="30"/>
  <c r="L98" i="30" s="1"/>
  <c r="K67" i="30"/>
  <c r="L67" i="30" s="1"/>
  <c r="K10" i="30"/>
  <c r="L10" i="30" s="1"/>
  <c r="K90" i="30"/>
  <c r="L90" i="30" s="1"/>
  <c r="K11" i="30"/>
  <c r="L11" i="30" s="1"/>
  <c r="H8" i="20"/>
  <c r="M8" i="20" s="1"/>
  <c r="C25" i="30"/>
  <c r="AR19" i="25"/>
  <c r="AU19" i="25"/>
  <c r="AV25" i="25"/>
  <c r="BF25" i="25" s="1"/>
  <c r="AT20" i="25"/>
  <c r="BG20" i="25" s="1"/>
  <c r="AN20" i="25"/>
  <c r="AF22" i="25"/>
  <c r="AJ22" i="25" s="1"/>
  <c r="AL20" i="25"/>
  <c r="BC20" i="25" s="1"/>
  <c r="AC23" i="25"/>
  <c r="X23" i="25"/>
  <c r="AB23" i="25" s="1"/>
  <c r="Z23" i="25"/>
  <c r="AF23" i="25" s="1"/>
  <c r="AO20" i="25"/>
  <c r="AM20" i="25"/>
  <c r="AP20" i="25" s="1"/>
  <c r="BA20" i="25" s="1"/>
  <c r="AK21" i="25"/>
  <c r="AE23" i="25"/>
  <c r="AG23" i="25"/>
  <c r="Y24" i="25"/>
  <c r="AD22" i="25"/>
  <c r="AI22" i="25" s="1"/>
  <c r="W24" i="25"/>
  <c r="AA24" i="25" s="1"/>
  <c r="AJ39" i="28"/>
  <c r="AG73" i="28"/>
  <c r="AE73" i="28" s="1"/>
  <c r="AJ35" i="28"/>
  <c r="AJ68" i="28"/>
  <c r="AJ62" i="28"/>
  <c r="AJ43" i="28"/>
  <c r="AJ51" i="28"/>
  <c r="AJ42" i="28"/>
  <c r="AJ81" i="28"/>
  <c r="AJ77" i="28"/>
  <c r="AJ48" i="28"/>
  <c r="AJ65" i="28"/>
  <c r="AJ34" i="28"/>
  <c r="AJ66" i="28"/>
  <c r="AJ52" i="28"/>
  <c r="AJ74" i="28"/>
  <c r="AJ80" i="28"/>
  <c r="AJ6" i="28"/>
  <c r="AJ57" i="28"/>
  <c r="AJ70" i="28"/>
  <c r="AG76" i="28"/>
  <c r="AE76" i="28" s="1"/>
  <c r="AJ36" i="28"/>
  <c r="AJ59" i="28"/>
  <c r="AJ82" i="28"/>
  <c r="AJ41" i="28"/>
  <c r="AJ64" i="28"/>
  <c r="AJ54" i="28"/>
  <c r="AJ56" i="28"/>
  <c r="AJ55" i="28"/>
  <c r="AJ75" i="28"/>
  <c r="AJ50" i="28"/>
  <c r="AJ46" i="28"/>
  <c r="AJ49" i="28"/>
  <c r="AJ58" i="28"/>
  <c r="AJ69" i="28"/>
  <c r="AJ63" i="28"/>
  <c r="AJ37" i="28"/>
  <c r="AJ47" i="28"/>
  <c r="AE40" i="28"/>
  <c r="AJ40" i="28"/>
  <c r="AJ53" i="28"/>
  <c r="AJ44" i="28"/>
  <c r="AJ45" i="28"/>
  <c r="AJ79" i="28"/>
  <c r="AJ78" i="28"/>
  <c r="AJ61" i="28"/>
  <c r="AJ71" i="28"/>
  <c r="AT24" i="20"/>
  <c r="AT27" i="20" s="1"/>
  <c r="AT32" i="20" s="1"/>
  <c r="C11" i="24"/>
  <c r="D11" i="24" s="1"/>
  <c r="B12" i="24"/>
  <c r="EX16" i="21"/>
  <c r="BL16" i="21"/>
  <c r="AO30" i="20"/>
  <c r="CC15" i="21"/>
  <c r="AJ36" i="20"/>
  <c r="AJ37" i="20" s="1"/>
  <c r="AO33" i="20"/>
  <c r="AO34" i="20" s="1"/>
  <c r="G23" i="8"/>
  <c r="HO15" i="21"/>
  <c r="FH16" i="21"/>
  <c r="GV16" i="21"/>
  <c r="LB16" i="21"/>
  <c r="AR16" i="21"/>
  <c r="GB16" i="21"/>
  <c r="AH65" i="28"/>
  <c r="AI65" i="28" s="1"/>
  <c r="AH79" i="28"/>
  <c r="AI79" i="28" s="1"/>
  <c r="AH71" i="28"/>
  <c r="AI71" i="28" s="1"/>
  <c r="AH81" i="28"/>
  <c r="AI81" i="28" s="1"/>
  <c r="AH41" i="28"/>
  <c r="AI41" i="28" s="1"/>
  <c r="AH39" i="28"/>
  <c r="AI39" i="28" s="1"/>
  <c r="AH55" i="28"/>
  <c r="AI55" i="28" s="1"/>
  <c r="AH56" i="28"/>
  <c r="AI56" i="28" s="1"/>
  <c r="AH47" i="28"/>
  <c r="AI47" i="28" s="1"/>
  <c r="AH63" i="28"/>
  <c r="AI63" i="28" s="1"/>
  <c r="AH6" i="28"/>
  <c r="AI6" i="28" s="1"/>
  <c r="AH74" i="28"/>
  <c r="AI74" i="28" s="1"/>
  <c r="AH37" i="28"/>
  <c r="AI37" i="28" s="1"/>
  <c r="AH61" i="28"/>
  <c r="AI61" i="28" s="1"/>
  <c r="AH75" i="28"/>
  <c r="AI75" i="28" s="1"/>
  <c r="AH54" i="28"/>
  <c r="AI54" i="28" s="1"/>
  <c r="AH59" i="28"/>
  <c r="AI59" i="28" s="1"/>
  <c r="AH35" i="28"/>
  <c r="AI35" i="28" s="1"/>
  <c r="AH45" i="28"/>
  <c r="AI45" i="28" s="1"/>
  <c r="AH64" i="28"/>
  <c r="AI64" i="28" s="1"/>
  <c r="AH50" i="28"/>
  <c r="AI50" i="28" s="1"/>
  <c r="AH78" i="28"/>
  <c r="AI78" i="28" s="1"/>
  <c r="AH48" i="28"/>
  <c r="AI48" i="28" s="1"/>
  <c r="AH77" i="28"/>
  <c r="AI77" i="28" s="1"/>
  <c r="AH66" i="28"/>
  <c r="AI66" i="28" s="1"/>
  <c r="AH43" i="28"/>
  <c r="AI43" i="28" s="1"/>
  <c r="AH46" i="28"/>
  <c r="AI46" i="28" s="1"/>
  <c r="AH40" i="28"/>
  <c r="AI40" i="28" s="1"/>
  <c r="AH80" i="28"/>
  <c r="AI80" i="28" s="1"/>
  <c r="AH70" i="28"/>
  <c r="AI70" i="28" s="1"/>
  <c r="AH42" i="28"/>
  <c r="AI42" i="28" s="1"/>
  <c r="AH44" i="28"/>
  <c r="AI44" i="28" s="1"/>
  <c r="AH57" i="28"/>
  <c r="AI57" i="28" s="1"/>
  <c r="AH34" i="28"/>
  <c r="AI34" i="28" s="1"/>
  <c r="AH49" i="28"/>
  <c r="AI49" i="28" s="1"/>
  <c r="AH51" i="28"/>
  <c r="AI51" i="28" s="1"/>
  <c r="AH36" i="28"/>
  <c r="AI36" i="28" s="1"/>
  <c r="AH69" i="28"/>
  <c r="AI69" i="28" s="1"/>
  <c r="AH53" i="28"/>
  <c r="AI53" i="28" s="1"/>
  <c r="AH62" i="28"/>
  <c r="AI62" i="28" s="1"/>
  <c r="AH68" i="28"/>
  <c r="AI68" i="28" s="1"/>
  <c r="AH58" i="28"/>
  <c r="AI58" i="28" s="1"/>
  <c r="AH82" i="28"/>
  <c r="AI82" i="28" s="1"/>
  <c r="GS15" i="21"/>
  <c r="GS16" i="21" s="1"/>
  <c r="DN17" i="21"/>
  <c r="GU15" i="21"/>
  <c r="GU16" i="21" s="1"/>
  <c r="LA16" i="21"/>
  <c r="KW19" i="21"/>
  <c r="KV18" i="21"/>
  <c r="KX17" i="21"/>
  <c r="KZ16" i="21"/>
  <c r="KU18" i="21"/>
  <c r="FZ16" i="21"/>
  <c r="GT15" i="21"/>
  <c r="GT16" i="21" s="1"/>
  <c r="DX17" i="21"/>
  <c r="FY16" i="21"/>
  <c r="GZ17" i="21"/>
  <c r="HC15" i="21"/>
  <c r="BT15" i="21"/>
  <c r="GA16" i="21"/>
  <c r="IN18" i="21"/>
  <c r="DI15" i="21"/>
  <c r="BZ17" i="21"/>
  <c r="FB18" i="21"/>
  <c r="IH16" i="21"/>
  <c r="IP17" i="21"/>
  <c r="CD15" i="21"/>
  <c r="FG16" i="21"/>
  <c r="EW16" i="21"/>
  <c r="EU16" i="21"/>
  <c r="FO15" i="21"/>
  <c r="EV16" i="21"/>
  <c r="FF16" i="21"/>
  <c r="GP18" i="21"/>
  <c r="HT17" i="21"/>
  <c r="IQ16" i="21"/>
  <c r="IS16" i="21"/>
  <c r="IM18" i="21"/>
  <c r="IT17" i="21" s="1"/>
  <c r="IO19" i="21"/>
  <c r="IR16" i="21"/>
  <c r="DZ16" i="21"/>
  <c r="IF17" i="21"/>
  <c r="IG16" i="21"/>
  <c r="ID18" i="21"/>
  <c r="IC18" i="21"/>
  <c r="IE19" i="21"/>
  <c r="II16" i="21"/>
  <c r="HV16" i="21"/>
  <c r="HW15" i="21"/>
  <c r="HX15" i="21"/>
  <c r="HU18" i="21"/>
  <c r="HY15" i="21"/>
  <c r="HS17" i="21"/>
  <c r="HZ16" i="21" s="1"/>
  <c r="HK19" i="21"/>
  <c r="HJ18" i="21"/>
  <c r="HB16" i="21"/>
  <c r="HD15" i="21"/>
  <c r="GY17" i="21"/>
  <c r="HF16" i="21" s="1"/>
  <c r="HE15" i="21"/>
  <c r="HA18" i="21"/>
  <c r="GO18" i="21"/>
  <c r="GR17" i="21"/>
  <c r="GQ19" i="21"/>
  <c r="GF18" i="21"/>
  <c r="BS15" i="21"/>
  <c r="AF15" i="21"/>
  <c r="GH17" i="21"/>
  <c r="FE16" i="21"/>
  <c r="GI16" i="21"/>
  <c r="GK16" i="21"/>
  <c r="GJ16" i="21"/>
  <c r="GE18" i="21"/>
  <c r="GL17" i="21" s="1"/>
  <c r="GG19" i="21"/>
  <c r="FW19" i="21"/>
  <c r="FU18" i="21"/>
  <c r="FV18" i="21"/>
  <c r="FX17" i="21"/>
  <c r="CM15" i="21"/>
  <c r="CO15" i="21"/>
  <c r="BR16" i="21"/>
  <c r="FN16" i="21"/>
  <c r="FP15" i="21"/>
  <c r="FK17" i="21"/>
  <c r="FR16" i="21" s="1"/>
  <c r="FM18" i="21"/>
  <c r="FL17" i="21"/>
  <c r="FQ15" i="21"/>
  <c r="FA18" i="21"/>
  <c r="FC19" i="21"/>
  <c r="FD17" i="21"/>
  <c r="EQ18" i="21"/>
  <c r="ES19" i="21"/>
  <c r="ER18" i="21"/>
  <c r="ET17" i="21"/>
  <c r="EB15" i="21"/>
  <c r="EA15" i="21"/>
  <c r="DG15" i="21"/>
  <c r="DP16" i="21"/>
  <c r="BU15" i="21"/>
  <c r="BP17" i="21"/>
  <c r="DR15" i="21"/>
  <c r="EJ16" i="21"/>
  <c r="EI18" i="21"/>
  <c r="EL15" i="21"/>
  <c r="EG17" i="21"/>
  <c r="EN16" i="21" s="1"/>
  <c r="EK15" i="21"/>
  <c r="EH17" i="21"/>
  <c r="EM15" i="21"/>
  <c r="DW17" i="21"/>
  <c r="ED16" i="21" s="1"/>
  <c r="DY18" i="21"/>
  <c r="EC15" i="21"/>
  <c r="DQ15" i="21"/>
  <c r="DO18" i="21"/>
  <c r="DM17" i="21"/>
  <c r="DT16" i="21" s="1"/>
  <c r="DS15" i="21"/>
  <c r="CN15" i="21"/>
  <c r="CV16" i="21"/>
  <c r="AY15" i="21"/>
  <c r="DC17" i="21"/>
  <c r="DJ16" i="21" s="1"/>
  <c r="DF16" i="21"/>
  <c r="DE18" i="21"/>
  <c r="DH15" i="21"/>
  <c r="DD17" i="21"/>
  <c r="CU18" i="21"/>
  <c r="CW15" i="21"/>
  <c r="CY15" i="21"/>
  <c r="CT17" i="21"/>
  <c r="CX15" i="21"/>
  <c r="CS17" i="21"/>
  <c r="CZ16" i="21" s="1"/>
  <c r="CB16" i="21"/>
  <c r="CE15" i="21"/>
  <c r="CI17" i="21"/>
  <c r="CP16" i="21" s="1"/>
  <c r="CK18" i="21"/>
  <c r="CJ17" i="21"/>
  <c r="CL16" i="21"/>
  <c r="CA18" i="21"/>
  <c r="BY17" i="21"/>
  <c r="CF16" i="21" s="1"/>
  <c r="BO17" i="21"/>
  <c r="BV16" i="21" s="1"/>
  <c r="BQ18" i="21"/>
  <c r="AV17" i="21"/>
  <c r="AZ15" i="21"/>
  <c r="BJ16" i="21"/>
  <c r="BH17" i="21"/>
  <c r="BI16" i="21"/>
  <c r="BK16" i="21"/>
  <c r="BE18" i="21"/>
  <c r="BL17" i="21" s="1"/>
  <c r="BG19" i="21"/>
  <c r="BF18" i="21"/>
  <c r="BA15" i="21"/>
  <c r="AW18" i="21"/>
  <c r="AU17" i="21"/>
  <c r="BB16" i="21" s="1"/>
  <c r="AX16" i="21"/>
  <c r="AB17" i="21"/>
  <c r="AK18" i="21"/>
  <c r="AL18" i="21"/>
  <c r="AM19" i="21"/>
  <c r="AG15" i="21"/>
  <c r="AE15" i="21"/>
  <c r="AD16" i="21"/>
  <c r="AA17" i="21"/>
  <c r="AH16" i="21" s="1"/>
  <c r="B18" i="21"/>
  <c r="C18" i="21" s="1"/>
  <c r="D10" i="24"/>
  <c r="S100" i="25"/>
  <c r="P101" i="25"/>
  <c r="R101" i="25"/>
  <c r="M103" i="25"/>
  <c r="Q102" i="25"/>
  <c r="N102" i="25"/>
  <c r="O102" i="25"/>
  <c r="AH52" i="28"/>
  <c r="AI52" i="28" s="1"/>
  <c r="AX18" i="25" l="1"/>
  <c r="BH18" i="25" s="1"/>
  <c r="AP16" i="21"/>
  <c r="AO16" i="21"/>
  <c r="JW37" i="21"/>
  <c r="JM38" i="21"/>
  <c r="IJ17" i="21"/>
  <c r="KB39" i="21"/>
  <c r="KL40" i="21"/>
  <c r="KH37" i="21"/>
  <c r="KA39" i="21"/>
  <c r="KC40" i="21"/>
  <c r="KD38" i="21"/>
  <c r="KQ38" i="21"/>
  <c r="JU37" i="21"/>
  <c r="JV37" i="21"/>
  <c r="JK38" i="21"/>
  <c r="IZ38" i="21"/>
  <c r="JL38" i="21"/>
  <c r="EX17" i="21"/>
  <c r="JA37" i="21"/>
  <c r="KR38" i="21"/>
  <c r="KK40" i="21"/>
  <c r="KM41" i="21"/>
  <c r="KN39" i="21"/>
  <c r="KP38" i="21"/>
  <c r="JX37" i="21"/>
  <c r="JQ39" i="21"/>
  <c r="JT38" i="21"/>
  <c r="JS40" i="21"/>
  <c r="JR39" i="21"/>
  <c r="JI41" i="21"/>
  <c r="JN38" i="21"/>
  <c r="JG40" i="21"/>
  <c r="JJ39" i="21"/>
  <c r="JL39" i="21" s="1"/>
  <c r="JH40" i="21"/>
  <c r="JD37" i="21"/>
  <c r="IW39" i="21"/>
  <c r="JC37" i="21"/>
  <c r="JB37" i="21"/>
  <c r="IY40" i="21"/>
  <c r="AS18" i="25"/>
  <c r="AY18" i="25" s="1"/>
  <c r="BD18" i="25" s="1"/>
  <c r="AQ19" i="25"/>
  <c r="BB19" i="25" s="1"/>
  <c r="HI18" i="21"/>
  <c r="HP17" i="21" s="1"/>
  <c r="HL17" i="21"/>
  <c r="HO16" i="21"/>
  <c r="HN16" i="21"/>
  <c r="HM16" i="21"/>
  <c r="AT30" i="20"/>
  <c r="AS19" i="25"/>
  <c r="AY19" i="25" s="1"/>
  <c r="BD19" i="25" s="1"/>
  <c r="BE19" i="25"/>
  <c r="V27" i="25"/>
  <c r="AZ26" i="25"/>
  <c r="Q6" i="30"/>
  <c r="O6" i="30"/>
  <c r="AH73" i="28"/>
  <c r="AI73" i="28" s="1"/>
  <c r="M25" i="30"/>
  <c r="R8" i="20"/>
  <c r="T8" i="20" s="1"/>
  <c r="W8" i="20" s="1"/>
  <c r="S8" i="20"/>
  <c r="U8" i="20" s="1"/>
  <c r="I22" i="8"/>
  <c r="GP19" i="21"/>
  <c r="K8" i="20"/>
  <c r="P8" i="20" s="1"/>
  <c r="L22" i="8" s="1"/>
  <c r="K100" i="30"/>
  <c r="L100" i="30" s="1"/>
  <c r="AT33" i="20"/>
  <c r="AT34" i="20" s="1"/>
  <c r="E10" i="20"/>
  <c r="G24" i="8" s="1"/>
  <c r="H9" i="20"/>
  <c r="M9" i="20" s="1"/>
  <c r="C26" i="30"/>
  <c r="AR20" i="25"/>
  <c r="AX19" i="25"/>
  <c r="BH19" i="25" s="1"/>
  <c r="AW20" i="25"/>
  <c r="AU20" i="25"/>
  <c r="AV26" i="25"/>
  <c r="BF26" i="25" s="1"/>
  <c r="AT21" i="25"/>
  <c r="BG21" i="25" s="1"/>
  <c r="AN21" i="25"/>
  <c r="AL21" i="25"/>
  <c r="BC21" i="25" s="1"/>
  <c r="AH23" i="25"/>
  <c r="AJ23" i="25" s="1"/>
  <c r="X24" i="25"/>
  <c r="AB24" i="25" s="1"/>
  <c r="Z24" i="25"/>
  <c r="AF24" i="25" s="1"/>
  <c r="AM21" i="25"/>
  <c r="AP21" i="25" s="1"/>
  <c r="BA21" i="25" s="1"/>
  <c r="AO21" i="25"/>
  <c r="AK22" i="25"/>
  <c r="AE24" i="25"/>
  <c r="AG24" i="25"/>
  <c r="AC24" i="25"/>
  <c r="Y25" i="25"/>
  <c r="AD23" i="25"/>
  <c r="AI23" i="25" s="1"/>
  <c r="W25" i="25"/>
  <c r="AA25" i="25" s="1"/>
  <c r="AJ73" i="28"/>
  <c r="AJ76" i="28"/>
  <c r="AH76" i="28"/>
  <c r="AI76" i="28" s="1"/>
  <c r="C12" i="24"/>
  <c r="D12" i="24" s="1"/>
  <c r="B13" i="24"/>
  <c r="DQ16" i="21"/>
  <c r="GA17" i="21"/>
  <c r="LB17" i="21"/>
  <c r="AO36" i="20"/>
  <c r="AO37" i="20" s="1"/>
  <c r="GB17" i="21"/>
  <c r="GV17" i="21"/>
  <c r="AR17" i="21"/>
  <c r="FH17" i="21"/>
  <c r="HC16" i="21"/>
  <c r="CD16" i="21"/>
  <c r="KV19" i="21"/>
  <c r="KX18" i="21"/>
  <c r="EA16" i="21"/>
  <c r="KZ17" i="21"/>
  <c r="LA17" i="21"/>
  <c r="KY17" i="21"/>
  <c r="KW20" i="21"/>
  <c r="KU19" i="21"/>
  <c r="BZ18" i="21"/>
  <c r="II17" i="21"/>
  <c r="EW17" i="21"/>
  <c r="BT16" i="21"/>
  <c r="AP17" i="21"/>
  <c r="IG17" i="21"/>
  <c r="EC16" i="21"/>
  <c r="FG17" i="21"/>
  <c r="EB16" i="21"/>
  <c r="HY16" i="21"/>
  <c r="AF16" i="21"/>
  <c r="HT18" i="21"/>
  <c r="HX16" i="21"/>
  <c r="GJ17" i="21"/>
  <c r="HE16" i="21"/>
  <c r="IH17" i="21"/>
  <c r="IR17" i="21"/>
  <c r="IS17" i="21"/>
  <c r="IQ17" i="21"/>
  <c r="BU16" i="21"/>
  <c r="HW16" i="21"/>
  <c r="GS17" i="21"/>
  <c r="CW16" i="21"/>
  <c r="IO20" i="21"/>
  <c r="IM19" i="21"/>
  <c r="IT18" i="21" s="1"/>
  <c r="IN19" i="21"/>
  <c r="IP18" i="21"/>
  <c r="GI17" i="21"/>
  <c r="GR18" i="21"/>
  <c r="HD16" i="21"/>
  <c r="CM16" i="21"/>
  <c r="BS16" i="21"/>
  <c r="ID19" i="21"/>
  <c r="IC19" i="21"/>
  <c r="IJ18" i="21" s="1"/>
  <c r="IF18" i="21"/>
  <c r="IE20" i="21"/>
  <c r="HU19" i="21"/>
  <c r="HS18" i="21"/>
  <c r="HZ17" i="21" s="1"/>
  <c r="HV17" i="21"/>
  <c r="HJ19" i="21"/>
  <c r="HK20" i="21"/>
  <c r="HA19" i="21"/>
  <c r="GY18" i="21"/>
  <c r="HF17" i="21" s="1"/>
  <c r="GZ18" i="21"/>
  <c r="HB17" i="21"/>
  <c r="FZ17" i="21"/>
  <c r="GU17" i="21"/>
  <c r="DS16" i="21"/>
  <c r="DR16" i="21"/>
  <c r="GT17" i="21"/>
  <c r="GQ20" i="21"/>
  <c r="GO19" i="21"/>
  <c r="FV19" i="21"/>
  <c r="FY17" i="21"/>
  <c r="GK17" i="21"/>
  <c r="FP16" i="21"/>
  <c r="ER19" i="21"/>
  <c r="CN16" i="21"/>
  <c r="GG20" i="21"/>
  <c r="GE19" i="21"/>
  <c r="GL18" i="21" s="1"/>
  <c r="GH18" i="21"/>
  <c r="GF19" i="21"/>
  <c r="FW20" i="21"/>
  <c r="FU19" i="21"/>
  <c r="FX18" i="21"/>
  <c r="AY16" i="21"/>
  <c r="CV17" i="21"/>
  <c r="FF17" i="21"/>
  <c r="CX16" i="21"/>
  <c r="DF17" i="21"/>
  <c r="EV17" i="21"/>
  <c r="CT18" i="21"/>
  <c r="FQ16" i="21"/>
  <c r="CE16" i="21"/>
  <c r="CY16" i="21"/>
  <c r="FL18" i="21"/>
  <c r="FM19" i="21"/>
  <c r="FK18" i="21"/>
  <c r="FR17" i="21" s="1"/>
  <c r="FN17" i="21"/>
  <c r="FO16" i="21"/>
  <c r="FC20" i="21"/>
  <c r="FA19" i="21"/>
  <c r="FB19" i="21"/>
  <c r="FD18" i="21"/>
  <c r="FE17" i="21"/>
  <c r="ES20" i="21"/>
  <c r="ET18" i="21"/>
  <c r="EQ19" i="21"/>
  <c r="EU17" i="21"/>
  <c r="BR17" i="21"/>
  <c r="EM16" i="21"/>
  <c r="EK16" i="21"/>
  <c r="EL16" i="21"/>
  <c r="EG18" i="21"/>
  <c r="EN17" i="21" s="1"/>
  <c r="EI19" i="21"/>
  <c r="EH18" i="21"/>
  <c r="EJ17" i="21"/>
  <c r="DY19" i="21"/>
  <c r="DW18" i="21"/>
  <c r="ED17" i="21" s="1"/>
  <c r="DZ17" i="21"/>
  <c r="DX18" i="21"/>
  <c r="DM18" i="21"/>
  <c r="DT17" i="21" s="1"/>
  <c r="DO19" i="21"/>
  <c r="DN18" i="21"/>
  <c r="DP17" i="21"/>
  <c r="CC16" i="21"/>
  <c r="BK17" i="21"/>
  <c r="DE19" i="21"/>
  <c r="DC18" i="21"/>
  <c r="DJ17" i="21" s="1"/>
  <c r="DD18" i="21"/>
  <c r="DI16" i="21"/>
  <c r="DH16" i="21"/>
  <c r="DG16" i="21"/>
  <c r="CS18" i="21"/>
  <c r="CZ17" i="21" s="1"/>
  <c r="CU19" i="21"/>
  <c r="CJ18" i="21"/>
  <c r="CO16" i="21"/>
  <c r="CK19" i="21"/>
  <c r="CL17" i="21"/>
  <c r="CI18" i="21"/>
  <c r="CP17" i="21" s="1"/>
  <c r="BY18" i="21"/>
  <c r="CF17" i="21" s="1"/>
  <c r="CA19" i="21"/>
  <c r="CB17" i="21"/>
  <c r="BQ19" i="21"/>
  <c r="BO18" i="21"/>
  <c r="BV17" i="21" s="1"/>
  <c r="BP18" i="21"/>
  <c r="BI17" i="21"/>
  <c r="BG20" i="21"/>
  <c r="BH18" i="21"/>
  <c r="BE19" i="21"/>
  <c r="BL18" i="21" s="1"/>
  <c r="BF19" i="21"/>
  <c r="BJ17" i="21"/>
  <c r="AZ16" i="21"/>
  <c r="AW19" i="21"/>
  <c r="AU18" i="21"/>
  <c r="BB17" i="21" s="1"/>
  <c r="AX17" i="21"/>
  <c r="AV18" i="21"/>
  <c r="BA16" i="21"/>
  <c r="AB18" i="21"/>
  <c r="AL19" i="21"/>
  <c r="AO17" i="21"/>
  <c r="AK19" i="21"/>
  <c r="AN18" i="21"/>
  <c r="AM20" i="21"/>
  <c r="AQ17" i="21"/>
  <c r="AE16" i="21"/>
  <c r="AG16" i="21"/>
  <c r="AD17" i="21"/>
  <c r="AA18" i="21"/>
  <c r="AH17" i="21" s="1"/>
  <c r="B19" i="21"/>
  <c r="C19" i="21" s="1"/>
  <c r="S101" i="25"/>
  <c r="Q103" i="25"/>
  <c r="N103" i="25"/>
  <c r="O103" i="25"/>
  <c r="M104" i="25"/>
  <c r="P102" i="25"/>
  <c r="R102" i="25"/>
  <c r="CY17" i="21" l="1"/>
  <c r="HI19" i="21"/>
  <c r="HP18" i="21" s="1"/>
  <c r="EX18" i="21"/>
  <c r="JC38" i="21"/>
  <c r="KP39" i="21"/>
  <c r="JB38" i="21"/>
  <c r="KQ39" i="21"/>
  <c r="JR40" i="21"/>
  <c r="KF38" i="21"/>
  <c r="KG38" i="21"/>
  <c r="KE38" i="21"/>
  <c r="KD39" i="21"/>
  <c r="KC41" i="21"/>
  <c r="KB40" i="21"/>
  <c r="KH38" i="21"/>
  <c r="KA40" i="21"/>
  <c r="KV20" i="21"/>
  <c r="HM17" i="21"/>
  <c r="JA38" i="21"/>
  <c r="JK39" i="21"/>
  <c r="KM42" i="21"/>
  <c r="KL41" i="21"/>
  <c r="KR39" i="21"/>
  <c r="KK41" i="21"/>
  <c r="KN40" i="21"/>
  <c r="KO39" i="21"/>
  <c r="JS41" i="21"/>
  <c r="JT39" i="21"/>
  <c r="JV38" i="21"/>
  <c r="JU38" i="21"/>
  <c r="JW38" i="21"/>
  <c r="JX38" i="21"/>
  <c r="JQ40" i="21"/>
  <c r="JN39" i="21"/>
  <c r="JG41" i="21"/>
  <c r="JI42" i="21"/>
  <c r="JH41" i="21"/>
  <c r="JJ40" i="21"/>
  <c r="JM39" i="21"/>
  <c r="JD38" i="21"/>
  <c r="IW40" i="21"/>
  <c r="IZ39" i="21"/>
  <c r="IY41" i="21"/>
  <c r="IX40" i="21"/>
  <c r="AQ20" i="25"/>
  <c r="BB20" i="25" s="1"/>
  <c r="HN17" i="21"/>
  <c r="BT17" i="21"/>
  <c r="HO17" i="21"/>
  <c r="HL18" i="21"/>
  <c r="DQ17" i="21"/>
  <c r="AT36" i="20"/>
  <c r="AT37" i="20" s="1"/>
  <c r="K10" i="20" s="1"/>
  <c r="P10" i="20" s="1"/>
  <c r="L24" i="8" s="1"/>
  <c r="AS20" i="25"/>
  <c r="AY20" i="25" s="1"/>
  <c r="BD20" i="25" s="1"/>
  <c r="BE20" i="25"/>
  <c r="V28" i="25"/>
  <c r="AZ27" i="25"/>
  <c r="M26" i="30"/>
  <c r="X8" i="20"/>
  <c r="Y8" i="20" s="1"/>
  <c r="Z8" i="20" s="1"/>
  <c r="S9" i="20"/>
  <c r="U9" i="20" s="1"/>
  <c r="I23" i="8"/>
  <c r="R9" i="20"/>
  <c r="T9" i="20" s="1"/>
  <c r="W9" i="20" s="1"/>
  <c r="X9" i="20"/>
  <c r="V9" i="20" s="1"/>
  <c r="K101" i="30"/>
  <c r="L101" i="30" s="1"/>
  <c r="H10" i="20"/>
  <c r="M10" i="20" s="1"/>
  <c r="K9" i="20"/>
  <c r="P9" i="20" s="1"/>
  <c r="L23" i="8" s="1"/>
  <c r="C27" i="30"/>
  <c r="AX20" i="25"/>
  <c r="BH20" i="25" s="1"/>
  <c r="AR21" i="25"/>
  <c r="AW21" i="25"/>
  <c r="AT22" i="25"/>
  <c r="BG22" i="25" s="1"/>
  <c r="AU21" i="25"/>
  <c r="AV27" i="25"/>
  <c r="BF27" i="25" s="1"/>
  <c r="AN22" i="25"/>
  <c r="AL22" i="25"/>
  <c r="BC22" i="25" s="1"/>
  <c r="AH24" i="25"/>
  <c r="AJ24" i="25" s="1"/>
  <c r="X25" i="25"/>
  <c r="AB25" i="25" s="1"/>
  <c r="Z25" i="25"/>
  <c r="AH25" i="25" s="1"/>
  <c r="AO22" i="25"/>
  <c r="AM22" i="25"/>
  <c r="AP22" i="25" s="1"/>
  <c r="BA22" i="25" s="1"/>
  <c r="AK23" i="25"/>
  <c r="AE25" i="25"/>
  <c r="AG25" i="25"/>
  <c r="AC25" i="25"/>
  <c r="Y26" i="25"/>
  <c r="AD24" i="25"/>
  <c r="AI24" i="25" s="1"/>
  <c r="W26" i="25"/>
  <c r="AA26" i="25" s="1"/>
  <c r="C13" i="24"/>
  <c r="B14" i="24"/>
  <c r="AR18" i="21"/>
  <c r="DI17" i="21"/>
  <c r="LB18" i="21"/>
  <c r="FH18" i="21"/>
  <c r="GV18" i="21"/>
  <c r="GB18" i="21"/>
  <c r="GU18" i="21"/>
  <c r="HE17" i="21"/>
  <c r="AB19" i="21"/>
  <c r="AB20" i="21" s="1"/>
  <c r="AB21" i="21" s="1"/>
  <c r="AB22" i="21" s="1"/>
  <c r="AB23" i="21" s="1"/>
  <c r="AB24" i="21" s="1"/>
  <c r="AB25" i="21" s="1"/>
  <c r="AB26" i="21" s="1"/>
  <c r="AB27" i="21" s="1"/>
  <c r="AB28" i="21" s="1"/>
  <c r="AB29" i="21" s="1"/>
  <c r="AB30" i="21" s="1"/>
  <c r="AB31" i="21" s="1"/>
  <c r="AB32" i="21" s="1"/>
  <c r="AB33" i="21" s="1"/>
  <c r="AB34" i="21" s="1"/>
  <c r="AB35" i="21" s="1"/>
  <c r="AB36" i="21" s="1"/>
  <c r="AB37" i="21" s="1"/>
  <c r="AB38" i="21" s="1"/>
  <c r="AB39" i="21" s="1"/>
  <c r="AB40" i="21" s="1"/>
  <c r="AB41" i="21" s="1"/>
  <c r="AB42" i="21" s="1"/>
  <c r="AB43" i="21" s="1"/>
  <c r="AB44" i="21" s="1"/>
  <c r="AB45" i="21" s="1"/>
  <c r="AB46" i="21" s="1"/>
  <c r="AB47" i="21" s="1"/>
  <c r="AB48" i="21" s="1"/>
  <c r="AB49" i="21" s="1"/>
  <c r="AB50" i="21" s="1"/>
  <c r="AB51" i="21" s="1"/>
  <c r="AB52" i="21" s="1"/>
  <c r="AB53" i="21" s="1"/>
  <c r="AB54" i="21" s="1"/>
  <c r="AB55" i="21" s="1"/>
  <c r="AB56" i="21" s="1"/>
  <c r="AB57" i="21" s="1"/>
  <c r="AB58" i="21" s="1"/>
  <c r="AB59" i="21" s="1"/>
  <c r="AB60" i="21" s="1"/>
  <c r="AB61" i="21" s="1"/>
  <c r="AB62" i="21" s="1"/>
  <c r="AB63" i="21" s="1"/>
  <c r="AB64" i="21" s="1"/>
  <c r="AB65" i="21" s="1"/>
  <c r="AB66" i="21" s="1"/>
  <c r="AB67" i="21" s="1"/>
  <c r="AB68" i="21" s="1"/>
  <c r="AB69" i="21" s="1"/>
  <c r="AB70" i="21" s="1"/>
  <c r="AB71" i="21" s="1"/>
  <c r="AB72" i="21" s="1"/>
  <c r="AB73" i="21" s="1"/>
  <c r="AB74" i="21" s="1"/>
  <c r="AB75" i="21" s="1"/>
  <c r="AB76" i="21" s="1"/>
  <c r="AB77" i="21" s="1"/>
  <c r="AB78" i="21" s="1"/>
  <c r="AB79" i="21" s="1"/>
  <c r="AB80" i="21" s="1"/>
  <c r="AB81" i="21" s="1"/>
  <c r="AB82" i="21" s="1"/>
  <c r="AB83" i="21" s="1"/>
  <c r="AB84" i="21" s="1"/>
  <c r="AB85" i="21" s="1"/>
  <c r="AB86" i="21" s="1"/>
  <c r="AB87" i="21" s="1"/>
  <c r="AB88" i="21" s="1"/>
  <c r="AB89" i="21" s="1"/>
  <c r="AB90" i="21" s="1"/>
  <c r="AB91" i="21" s="1"/>
  <c r="AB92" i="21" s="1"/>
  <c r="AB93" i="21" s="1"/>
  <c r="AB94" i="21" s="1"/>
  <c r="AB95" i="21" s="1"/>
  <c r="AB96" i="21" s="1"/>
  <c r="AB97" i="21" s="1"/>
  <c r="AB98" i="21" s="1"/>
  <c r="AB99" i="21" s="1"/>
  <c r="AB100" i="21" s="1"/>
  <c r="LA18" i="21"/>
  <c r="KX19" i="21"/>
  <c r="KZ18" i="21"/>
  <c r="KY18" i="21"/>
  <c r="AP18" i="21"/>
  <c r="GJ18" i="21"/>
  <c r="KW21" i="21"/>
  <c r="KU20" i="21"/>
  <c r="CW17" i="21"/>
  <c r="GZ19" i="21"/>
  <c r="DH17" i="21"/>
  <c r="HX17" i="21"/>
  <c r="GT18" i="21"/>
  <c r="AF17" i="21"/>
  <c r="GS18" i="21"/>
  <c r="IP19" i="21"/>
  <c r="IQ18" i="21"/>
  <c r="FF18" i="21"/>
  <c r="IS18" i="21"/>
  <c r="IN20" i="21"/>
  <c r="IM20" i="21"/>
  <c r="IT19" i="21" s="1"/>
  <c r="IO21" i="21"/>
  <c r="IR18" i="21"/>
  <c r="HD17" i="21"/>
  <c r="HC17" i="21"/>
  <c r="BS17" i="21"/>
  <c r="FL19" i="21"/>
  <c r="HW17" i="21"/>
  <c r="IE21" i="21"/>
  <c r="IF19" i="21"/>
  <c r="IH18" i="21"/>
  <c r="IG18" i="21"/>
  <c r="II18" i="21"/>
  <c r="IC20" i="21"/>
  <c r="IJ19" i="21" s="1"/>
  <c r="ID20" i="21"/>
  <c r="HU20" i="21"/>
  <c r="HT19" i="21"/>
  <c r="HS19" i="21"/>
  <c r="HZ18" i="21" s="1"/>
  <c r="HV18" i="21"/>
  <c r="HY17" i="21"/>
  <c r="HI20" i="21"/>
  <c r="HP19" i="21" s="1"/>
  <c r="HJ20" i="21"/>
  <c r="HK21" i="21"/>
  <c r="GY19" i="21"/>
  <c r="HF18" i="21" s="1"/>
  <c r="HA20" i="21"/>
  <c r="HB18" i="21"/>
  <c r="GF20" i="21"/>
  <c r="GQ21" i="21"/>
  <c r="GO20" i="21"/>
  <c r="GR19" i="21"/>
  <c r="GP20" i="21"/>
  <c r="DX19" i="21"/>
  <c r="BU17" i="21"/>
  <c r="DG17" i="21"/>
  <c r="FN18" i="21"/>
  <c r="FX19" i="21"/>
  <c r="CX17" i="21"/>
  <c r="EK17" i="21"/>
  <c r="FE18" i="21"/>
  <c r="EM17" i="21"/>
  <c r="FB20" i="21"/>
  <c r="GA18" i="21"/>
  <c r="GK18" i="21"/>
  <c r="GI18" i="21"/>
  <c r="GH19" i="21"/>
  <c r="GE20" i="21"/>
  <c r="GL19" i="21" s="1"/>
  <c r="GG21" i="21"/>
  <c r="FY18" i="21"/>
  <c r="FW21" i="21"/>
  <c r="FZ18" i="21"/>
  <c r="FU20" i="21"/>
  <c r="FV20" i="21"/>
  <c r="CJ19" i="21"/>
  <c r="DS17" i="21"/>
  <c r="DD19" i="21"/>
  <c r="DN19" i="21"/>
  <c r="FP17" i="21"/>
  <c r="FK19" i="21"/>
  <c r="FR18" i="21" s="1"/>
  <c r="FO17" i="21"/>
  <c r="FM20" i="21"/>
  <c r="FQ17" i="21"/>
  <c r="FA20" i="21"/>
  <c r="FC21" i="21"/>
  <c r="FD19" i="21"/>
  <c r="FG18" i="21"/>
  <c r="ES21" i="21"/>
  <c r="EQ20" i="21"/>
  <c r="EX19" i="21" s="1"/>
  <c r="ET19" i="21"/>
  <c r="EV18" i="21"/>
  <c r="ER20" i="21"/>
  <c r="EU18" i="21"/>
  <c r="EW18" i="21"/>
  <c r="EL17" i="21"/>
  <c r="EI20" i="21"/>
  <c r="EG19" i="21"/>
  <c r="EN18" i="21" s="1"/>
  <c r="EH19" i="21"/>
  <c r="EJ18" i="21"/>
  <c r="DY20" i="21"/>
  <c r="EB17" i="21"/>
  <c r="EA17" i="21"/>
  <c r="DZ18" i="21"/>
  <c r="DW19" i="21"/>
  <c r="ED18" i="21" s="1"/>
  <c r="EC17" i="21"/>
  <c r="DO20" i="21"/>
  <c r="DM19" i="21"/>
  <c r="DT18" i="21" s="1"/>
  <c r="DP18" i="21"/>
  <c r="DR17" i="21"/>
  <c r="DE20" i="21"/>
  <c r="DC19" i="21"/>
  <c r="DJ18" i="21" s="1"/>
  <c r="DF18" i="21"/>
  <c r="CS19" i="21"/>
  <c r="CZ18" i="21" s="1"/>
  <c r="CU20" i="21"/>
  <c r="CT19" i="21"/>
  <c r="CV18" i="21"/>
  <c r="CL18" i="21"/>
  <c r="CM17" i="21"/>
  <c r="CN17" i="21"/>
  <c r="CO17" i="21"/>
  <c r="CK20" i="21"/>
  <c r="CI19" i="21"/>
  <c r="CP18" i="21" s="1"/>
  <c r="CA20" i="21"/>
  <c r="CB18" i="21"/>
  <c r="CD17" i="21"/>
  <c r="CE17" i="21"/>
  <c r="CC17" i="21"/>
  <c r="BY19" i="21"/>
  <c r="CF18" i="21" s="1"/>
  <c r="BZ19" i="21"/>
  <c r="BO19" i="21"/>
  <c r="BV18" i="21" s="1"/>
  <c r="BR18" i="21"/>
  <c r="BQ20" i="21"/>
  <c r="BP19" i="21"/>
  <c r="BH19" i="21"/>
  <c r="BE20" i="21"/>
  <c r="BL19" i="21" s="1"/>
  <c r="BI18" i="21"/>
  <c r="BK18" i="21"/>
  <c r="BJ18" i="21"/>
  <c r="BG21" i="21"/>
  <c r="BF20" i="21"/>
  <c r="AX18" i="21"/>
  <c r="AU19" i="21"/>
  <c r="BB18" i="21" s="1"/>
  <c r="AZ17" i="21"/>
  <c r="AW20" i="21"/>
  <c r="BA17" i="21"/>
  <c r="AV19" i="21"/>
  <c r="AY17" i="21"/>
  <c r="AN19" i="21"/>
  <c r="AM21" i="21"/>
  <c r="AO18" i="21"/>
  <c r="AK20" i="21"/>
  <c r="AQ18" i="21"/>
  <c r="AL20" i="21"/>
  <c r="AE17" i="21"/>
  <c r="AG17" i="21"/>
  <c r="AD18" i="21"/>
  <c r="AA19" i="21"/>
  <c r="AH18" i="21" s="1"/>
  <c r="B20" i="21"/>
  <c r="C20" i="21" s="1"/>
  <c r="S102" i="25"/>
  <c r="N104" i="25"/>
  <c r="Q104" i="25"/>
  <c r="O104" i="25"/>
  <c r="P103" i="25"/>
  <c r="R103" i="25"/>
  <c r="M105" i="25"/>
  <c r="KE39" i="21" l="1"/>
  <c r="FH19" i="21"/>
  <c r="JR41" i="21"/>
  <c r="DI18" i="21"/>
  <c r="IX41" i="21"/>
  <c r="KN41" i="21"/>
  <c r="KG39" i="21"/>
  <c r="KB41" i="21"/>
  <c r="KC42" i="21"/>
  <c r="KD40" i="21"/>
  <c r="KH39" i="21"/>
  <c r="KA41" i="21"/>
  <c r="KF39" i="21"/>
  <c r="JU39" i="21"/>
  <c r="JH42" i="21"/>
  <c r="JV39" i="21"/>
  <c r="KL42" i="21"/>
  <c r="HN18" i="21"/>
  <c r="JW39" i="21"/>
  <c r="JK40" i="21"/>
  <c r="JT40" i="21"/>
  <c r="KR40" i="21"/>
  <c r="KK42" i="21"/>
  <c r="KP40" i="21"/>
  <c r="KP41" i="21" s="1"/>
  <c r="KQ40" i="21"/>
  <c r="KM43" i="21"/>
  <c r="KO40" i="21"/>
  <c r="JS42" i="21"/>
  <c r="JX39" i="21"/>
  <c r="JQ41" i="21"/>
  <c r="JI43" i="21"/>
  <c r="JL40" i="21"/>
  <c r="JN40" i="21"/>
  <c r="JG42" i="21"/>
  <c r="JM40" i="21"/>
  <c r="JJ41" i="21"/>
  <c r="IY42" i="21"/>
  <c r="IZ40" i="21"/>
  <c r="JA39" i="21"/>
  <c r="JB39" i="21"/>
  <c r="JD39" i="21"/>
  <c r="IW41" i="21"/>
  <c r="JC39" i="21"/>
  <c r="HO18" i="21"/>
  <c r="HM18" i="21"/>
  <c r="HL19" i="21"/>
  <c r="HO19" i="21" s="1"/>
  <c r="AQ21" i="25"/>
  <c r="BB21" i="25" s="1"/>
  <c r="AR19" i="21"/>
  <c r="AS21" i="25"/>
  <c r="AY21" i="25" s="1"/>
  <c r="BD21" i="25" s="1"/>
  <c r="BE21" i="25"/>
  <c r="V29" i="25"/>
  <c r="AZ28" i="25"/>
  <c r="LB19" i="21"/>
  <c r="M27" i="30"/>
  <c r="V8" i="20"/>
  <c r="AA8" i="20"/>
  <c r="AA9" i="20"/>
  <c r="Y9" i="20"/>
  <c r="Z9" i="20" s="1"/>
  <c r="I24" i="8"/>
  <c r="R10" i="20"/>
  <c r="T10" i="20" s="1"/>
  <c r="W10" i="20" s="1"/>
  <c r="X10" i="20"/>
  <c r="V10" i="20" s="1"/>
  <c r="S10" i="20"/>
  <c r="U10" i="20" s="1"/>
  <c r="K102" i="30"/>
  <c r="L102" i="30" s="1"/>
  <c r="C28" i="30"/>
  <c r="AX21" i="25"/>
  <c r="BH21" i="25" s="1"/>
  <c r="AR22" i="25"/>
  <c r="AW22" i="25"/>
  <c r="AU22" i="25"/>
  <c r="AT23" i="25"/>
  <c r="BG23" i="25" s="1"/>
  <c r="AV28" i="25"/>
  <c r="BF28" i="25" s="1"/>
  <c r="AN23" i="25"/>
  <c r="AL23" i="25"/>
  <c r="BC23" i="25" s="1"/>
  <c r="AF25" i="25"/>
  <c r="AJ25" i="25" s="1"/>
  <c r="X26" i="25"/>
  <c r="AB26" i="25" s="1"/>
  <c r="Z26" i="25"/>
  <c r="AH26" i="25" s="1"/>
  <c r="AO23" i="25"/>
  <c r="AM23" i="25"/>
  <c r="AP23" i="25" s="1"/>
  <c r="BA23" i="25" s="1"/>
  <c r="AK24" i="25"/>
  <c r="AG26" i="25"/>
  <c r="AE26" i="25"/>
  <c r="AC26" i="25"/>
  <c r="Y27" i="25"/>
  <c r="AD25" i="25"/>
  <c r="AI25" i="25" s="1"/>
  <c r="W27" i="25"/>
  <c r="AA27" i="25" s="1"/>
  <c r="B15" i="24"/>
  <c r="C14" i="24"/>
  <c r="D13" i="24"/>
  <c r="E13" i="24"/>
  <c r="GB19" i="21"/>
  <c r="GV19" i="21"/>
  <c r="AP19" i="21"/>
  <c r="LA19" i="21"/>
  <c r="FP18" i="21"/>
  <c r="HE18" i="21"/>
  <c r="AA3" i="21" a="1"/>
  <c r="AA3" i="21" s="1"/>
  <c r="AA2" i="21" s="1"/>
  <c r="D10" i="21" s="1"/>
  <c r="KZ19" i="21"/>
  <c r="KY19" i="21"/>
  <c r="IR19" i="21"/>
  <c r="CW18" i="21"/>
  <c r="EK18" i="21"/>
  <c r="KU21" i="21"/>
  <c r="KV21" i="21"/>
  <c r="KW22" i="21"/>
  <c r="KX20" i="21"/>
  <c r="AF18" i="21"/>
  <c r="HY18" i="21"/>
  <c r="IS19" i="21"/>
  <c r="IQ19" i="21"/>
  <c r="HW18" i="21"/>
  <c r="HD18" i="21"/>
  <c r="IH19" i="21"/>
  <c r="GF21" i="21"/>
  <c r="HT20" i="21"/>
  <c r="IO22" i="21"/>
  <c r="IM21" i="21"/>
  <c r="IT20" i="21" s="1"/>
  <c r="IN21" i="21"/>
  <c r="IP20" i="21"/>
  <c r="GP21" i="21"/>
  <c r="II19" i="21"/>
  <c r="IG19" i="21"/>
  <c r="IC21" i="21"/>
  <c r="IJ20" i="21" s="1"/>
  <c r="ID21" i="21"/>
  <c r="IE22" i="21"/>
  <c r="IF20" i="21"/>
  <c r="HS20" i="21"/>
  <c r="HZ19" i="21" s="1"/>
  <c r="HU21" i="21"/>
  <c r="HV19" i="21"/>
  <c r="HX18" i="21"/>
  <c r="HK22" i="21"/>
  <c r="HJ21" i="21"/>
  <c r="HI21" i="21"/>
  <c r="HP20" i="21" s="1"/>
  <c r="GY20" i="21"/>
  <c r="HF19" i="21" s="1"/>
  <c r="HA21" i="21"/>
  <c r="GZ20" i="21"/>
  <c r="HB19" i="21"/>
  <c r="HC18" i="21"/>
  <c r="DX20" i="21"/>
  <c r="GK19" i="21"/>
  <c r="CM18" i="21"/>
  <c r="EV19" i="21"/>
  <c r="GS19" i="21"/>
  <c r="GU19" i="21"/>
  <c r="GR20" i="21"/>
  <c r="GO21" i="21"/>
  <c r="GT19" i="21"/>
  <c r="GQ22" i="21"/>
  <c r="GA19" i="21"/>
  <c r="FY19" i="21"/>
  <c r="FQ18" i="21"/>
  <c r="FZ19" i="21"/>
  <c r="FO18" i="21"/>
  <c r="FD20" i="21"/>
  <c r="DN20" i="21"/>
  <c r="GE21" i="21"/>
  <c r="GL20" i="21" s="1"/>
  <c r="GH20" i="21"/>
  <c r="GI19" i="21"/>
  <c r="GG22" i="21"/>
  <c r="GJ19" i="21"/>
  <c r="FU21" i="21"/>
  <c r="FW22" i="21"/>
  <c r="FV21" i="21"/>
  <c r="FX20" i="21"/>
  <c r="ER21" i="21"/>
  <c r="DP19" i="21"/>
  <c r="FM21" i="21"/>
  <c r="FK20" i="21"/>
  <c r="FR19" i="21" s="1"/>
  <c r="FL20" i="21"/>
  <c r="FN19" i="21"/>
  <c r="FC22" i="21"/>
  <c r="FE19" i="21"/>
  <c r="FF19" i="21"/>
  <c r="FA21" i="21"/>
  <c r="FG19" i="21"/>
  <c r="FB21" i="21"/>
  <c r="ET20" i="21"/>
  <c r="EQ21" i="21"/>
  <c r="EX20" i="21" s="1"/>
  <c r="EW19" i="21"/>
  <c r="ES22" i="21"/>
  <c r="EU19" i="21"/>
  <c r="EM18" i="21"/>
  <c r="CC18" i="21"/>
  <c r="CO18" i="21"/>
  <c r="EG20" i="21"/>
  <c r="EN19" i="21" s="1"/>
  <c r="EI21" i="21"/>
  <c r="EJ19" i="21"/>
  <c r="EH20" i="21"/>
  <c r="EL18" i="21"/>
  <c r="EA18" i="21"/>
  <c r="EB18" i="21"/>
  <c r="DW20" i="21"/>
  <c r="ED19" i="21" s="1"/>
  <c r="DY21" i="21"/>
  <c r="DZ19" i="21"/>
  <c r="EC18" i="21"/>
  <c r="DM20" i="21"/>
  <c r="DT19" i="21" s="1"/>
  <c r="DO21" i="21"/>
  <c r="DS18" i="21"/>
  <c r="DR18" i="21"/>
  <c r="DQ18" i="21"/>
  <c r="BP20" i="21"/>
  <c r="DG18" i="21"/>
  <c r="CT20" i="21"/>
  <c r="CY18" i="21"/>
  <c r="DE21" i="21"/>
  <c r="DC20" i="21"/>
  <c r="DJ19" i="21" s="1"/>
  <c r="DF19" i="21"/>
  <c r="DH18" i="21"/>
  <c r="DD20" i="21"/>
  <c r="CU21" i="21"/>
  <c r="CV19" i="21"/>
  <c r="CX18" i="21"/>
  <c r="CS20" i="21"/>
  <c r="CZ19" i="21" s="1"/>
  <c r="BZ20" i="21"/>
  <c r="CE18" i="21"/>
  <c r="CN18" i="21"/>
  <c r="CK21" i="21"/>
  <c r="CJ20" i="21"/>
  <c r="CI20" i="21"/>
  <c r="CP19" i="21" s="1"/>
  <c r="CL19" i="21"/>
  <c r="CD18" i="21"/>
  <c r="BY20" i="21"/>
  <c r="CF19" i="21" s="1"/>
  <c r="CB19" i="21"/>
  <c r="CA21" i="21"/>
  <c r="BT18" i="21"/>
  <c r="BR19" i="21"/>
  <c r="BS18" i="21"/>
  <c r="BU18" i="21"/>
  <c r="BO20" i="21"/>
  <c r="BV19" i="21" s="1"/>
  <c r="BQ21" i="21"/>
  <c r="BA18" i="21"/>
  <c r="BJ19" i="21"/>
  <c r="AY18" i="21"/>
  <c r="BK19" i="21"/>
  <c r="AZ18" i="21"/>
  <c r="BI19" i="21"/>
  <c r="BG22" i="21"/>
  <c r="BE21" i="21"/>
  <c r="BL20" i="21" s="1"/>
  <c r="BF21" i="21"/>
  <c r="BH20" i="21"/>
  <c r="AW21" i="21"/>
  <c r="AU20" i="21"/>
  <c r="BB19" i="21" s="1"/>
  <c r="AV20" i="21"/>
  <c r="AX19" i="21"/>
  <c r="AO19" i="21"/>
  <c r="AQ19" i="21"/>
  <c r="AN20" i="21"/>
  <c r="AM22" i="21"/>
  <c r="AK21" i="21"/>
  <c r="AL21" i="21"/>
  <c r="AG18" i="21"/>
  <c r="AE18" i="21"/>
  <c r="AA20" i="21"/>
  <c r="AH19" i="21" s="1"/>
  <c r="AD19" i="21"/>
  <c r="B21" i="21"/>
  <c r="C21" i="21" s="1"/>
  <c r="S103" i="25"/>
  <c r="M106" i="25"/>
  <c r="P104" i="25"/>
  <c r="R104" i="25"/>
  <c r="O105" i="25"/>
  <c r="Q105" i="25"/>
  <c r="N105" i="25"/>
  <c r="AR20" i="21" l="1"/>
  <c r="FH20" i="21"/>
  <c r="AQ22" i="25"/>
  <c r="BB22" i="25" s="1"/>
  <c r="KE40" i="21"/>
  <c r="KQ41" i="21"/>
  <c r="KO41" i="21"/>
  <c r="KG40" i="21"/>
  <c r="IZ41" i="21"/>
  <c r="HM19" i="21"/>
  <c r="IX42" i="21"/>
  <c r="JW40" i="21"/>
  <c r="KF40" i="21"/>
  <c r="JA40" i="21"/>
  <c r="KH40" i="21"/>
  <c r="KA42" i="21"/>
  <c r="KD41" i="21"/>
  <c r="KC43" i="21"/>
  <c r="KB42" i="21"/>
  <c r="HN19" i="21"/>
  <c r="JM41" i="21"/>
  <c r="HL20" i="21"/>
  <c r="HO20" i="21" s="1"/>
  <c r="JL41" i="21"/>
  <c r="JB40" i="21"/>
  <c r="JV40" i="21"/>
  <c r="JU40" i="21"/>
  <c r="KM44" i="21"/>
  <c r="KL43" i="21"/>
  <c r="KR41" i="21"/>
  <c r="KK43" i="21"/>
  <c r="KN42" i="21"/>
  <c r="KQ42" i="21" s="1"/>
  <c r="JS43" i="21"/>
  <c r="JR42" i="21"/>
  <c r="JX40" i="21"/>
  <c r="JQ42" i="21"/>
  <c r="JT41" i="21"/>
  <c r="JI44" i="21"/>
  <c r="JN41" i="21"/>
  <c r="JG43" i="21"/>
  <c r="JH43" i="21"/>
  <c r="JJ42" i="21"/>
  <c r="JK41" i="21"/>
  <c r="JC40" i="21"/>
  <c r="IY43" i="21"/>
  <c r="JD40" i="21"/>
  <c r="IW42" i="21"/>
  <c r="LB20" i="21"/>
  <c r="AS22" i="25"/>
  <c r="AY22" i="25" s="1"/>
  <c r="BD22" i="25" s="1"/>
  <c r="BE22" i="25"/>
  <c r="V30" i="25"/>
  <c r="AZ29" i="25"/>
  <c r="M28" i="30"/>
  <c r="AA10" i="20"/>
  <c r="Y10" i="20"/>
  <c r="Z10" i="20" s="1"/>
  <c r="K103" i="30"/>
  <c r="L103" i="30" s="1"/>
  <c r="C29" i="30"/>
  <c r="AX22" i="25"/>
  <c r="BH22" i="25" s="1"/>
  <c r="AR23" i="25"/>
  <c r="AQ23" i="25"/>
  <c r="BB23" i="25" s="1"/>
  <c r="AW23" i="25"/>
  <c r="AN24" i="25"/>
  <c r="AV29" i="25"/>
  <c r="BF29" i="25" s="1"/>
  <c r="AU23" i="25"/>
  <c r="AT24" i="25"/>
  <c r="BG24" i="25" s="1"/>
  <c r="AL24" i="25"/>
  <c r="BC24" i="25" s="1"/>
  <c r="AF26" i="25"/>
  <c r="AJ26" i="25" s="1"/>
  <c r="AC27" i="25"/>
  <c r="X27" i="25"/>
  <c r="AB27" i="25" s="1"/>
  <c r="Z27" i="25"/>
  <c r="AH27" i="25" s="1"/>
  <c r="AO24" i="25"/>
  <c r="AM24" i="25"/>
  <c r="AP24" i="25" s="1"/>
  <c r="BA24" i="25" s="1"/>
  <c r="AK25" i="25"/>
  <c r="AE27" i="25"/>
  <c r="AG27" i="25"/>
  <c r="Y28" i="25"/>
  <c r="AD26" i="25"/>
  <c r="AI26" i="25" s="1"/>
  <c r="W28" i="25"/>
  <c r="AA28" i="25" s="1"/>
  <c r="I13" i="24"/>
  <c r="L13" i="24"/>
  <c r="H13" i="24"/>
  <c r="K13" i="24"/>
  <c r="P13" i="24"/>
  <c r="J13" i="24"/>
  <c r="G13" i="24"/>
  <c r="R13" i="24"/>
  <c r="F13" i="24"/>
  <c r="O13" i="24"/>
  <c r="M13" i="24"/>
  <c r="N13" i="24"/>
  <c r="D14" i="24"/>
  <c r="E14" i="24"/>
  <c r="C15" i="24"/>
  <c r="B16" i="24"/>
  <c r="GV20" i="21"/>
  <c r="AP20" i="21"/>
  <c r="FY20" i="21"/>
  <c r="CY19" i="21"/>
  <c r="FP19" i="21"/>
  <c r="GB20" i="21"/>
  <c r="EV20" i="21"/>
  <c r="IR20" i="21"/>
  <c r="KY20" i="21"/>
  <c r="HD19" i="21"/>
  <c r="AF19" i="21"/>
  <c r="KV22" i="21"/>
  <c r="KX21" i="21"/>
  <c r="KZ20" i="21"/>
  <c r="KU22" i="21"/>
  <c r="LA20" i="21"/>
  <c r="KW23" i="21"/>
  <c r="HV20" i="21"/>
  <c r="GP22" i="21"/>
  <c r="FF20" i="21"/>
  <c r="IF21" i="21"/>
  <c r="IN22" i="21"/>
  <c r="IQ20" i="21"/>
  <c r="IS20" i="21"/>
  <c r="IP21" i="21"/>
  <c r="IM22" i="21"/>
  <c r="IT21" i="21" s="1"/>
  <c r="IO23" i="21"/>
  <c r="FG20" i="21"/>
  <c r="HC19" i="21"/>
  <c r="FE20" i="21"/>
  <c r="GU20" i="21"/>
  <c r="GZ21" i="21"/>
  <c r="HJ22" i="21"/>
  <c r="GH21" i="21"/>
  <c r="IH20" i="21"/>
  <c r="ID22" i="21"/>
  <c r="IE23" i="21"/>
  <c r="II20" i="21"/>
  <c r="IC22" i="21"/>
  <c r="IJ21" i="21" s="1"/>
  <c r="IG20" i="21"/>
  <c r="HY19" i="21"/>
  <c r="HU22" i="21"/>
  <c r="HW19" i="21"/>
  <c r="HS21" i="21"/>
  <c r="HZ20" i="21" s="1"/>
  <c r="HX19" i="21"/>
  <c r="HT21" i="21"/>
  <c r="HK23" i="21"/>
  <c r="HI22" i="21"/>
  <c r="HP21" i="21" s="1"/>
  <c r="HA22" i="21"/>
  <c r="GY21" i="21"/>
  <c r="HF20" i="21" s="1"/>
  <c r="HB20" i="21"/>
  <c r="HE19" i="21"/>
  <c r="CX19" i="21"/>
  <c r="GT20" i="21"/>
  <c r="DZ20" i="21"/>
  <c r="GO22" i="21"/>
  <c r="GR21" i="21"/>
  <c r="GQ23" i="21"/>
  <c r="GS20" i="21"/>
  <c r="GI20" i="21"/>
  <c r="FV22" i="21"/>
  <c r="FL21" i="21"/>
  <c r="FO19" i="21"/>
  <c r="DQ19" i="21"/>
  <c r="EW20" i="21"/>
  <c r="DR19" i="21"/>
  <c r="DS19" i="21"/>
  <c r="GG23" i="21"/>
  <c r="GF22" i="21"/>
  <c r="GK20" i="21"/>
  <c r="GJ20" i="21"/>
  <c r="GE22" i="21"/>
  <c r="GL21" i="21" s="1"/>
  <c r="FW23" i="21"/>
  <c r="FU22" i="21"/>
  <c r="FX21" i="21"/>
  <c r="GA20" i="21"/>
  <c r="FZ20" i="21"/>
  <c r="CN19" i="21"/>
  <c r="FN20" i="21"/>
  <c r="FM22" i="21"/>
  <c r="FK21" i="21"/>
  <c r="FR20" i="21" s="1"/>
  <c r="FQ19" i="21"/>
  <c r="FC23" i="21"/>
  <c r="FA22" i="21"/>
  <c r="FH21" i="21" s="1"/>
  <c r="FB22" i="21"/>
  <c r="FD21" i="21"/>
  <c r="EQ22" i="21"/>
  <c r="EX21" i="21" s="1"/>
  <c r="ET21" i="21"/>
  <c r="ES23" i="21"/>
  <c r="EU20" i="21"/>
  <c r="ER22" i="21"/>
  <c r="BP21" i="21"/>
  <c r="BK20" i="21"/>
  <c r="BJ20" i="21"/>
  <c r="CJ21" i="21"/>
  <c r="EJ20" i="21"/>
  <c r="EI22" i="21"/>
  <c r="EM19" i="21"/>
  <c r="EK19" i="21"/>
  <c r="EG21" i="21"/>
  <c r="EN20" i="21" s="1"/>
  <c r="EH21" i="21"/>
  <c r="EL19" i="21"/>
  <c r="DY22" i="21"/>
  <c r="EB19" i="21"/>
  <c r="EA19" i="21"/>
  <c r="DW21" i="21"/>
  <c r="ED20" i="21" s="1"/>
  <c r="EC19" i="21"/>
  <c r="DX21" i="21"/>
  <c r="DO22" i="21"/>
  <c r="DM21" i="21"/>
  <c r="DT20" i="21" s="1"/>
  <c r="DN21" i="21"/>
  <c r="DP20" i="21"/>
  <c r="DF20" i="21"/>
  <c r="CB20" i="21"/>
  <c r="CO19" i="21"/>
  <c r="CV20" i="21"/>
  <c r="DH19" i="21"/>
  <c r="DC21" i="21"/>
  <c r="DJ20" i="21" s="1"/>
  <c r="DE22" i="21"/>
  <c r="DG19" i="21"/>
  <c r="DD21" i="21"/>
  <c r="DI19" i="21"/>
  <c r="CU22" i="21"/>
  <c r="CT21" i="21"/>
  <c r="CS21" i="21"/>
  <c r="CZ20" i="21" s="1"/>
  <c r="CW19" i="21"/>
  <c r="BI20" i="21"/>
  <c r="BU19" i="21"/>
  <c r="BS19" i="21"/>
  <c r="CK22" i="21"/>
  <c r="CI21" i="21"/>
  <c r="CP20" i="21" s="1"/>
  <c r="CM19" i="21"/>
  <c r="CL20" i="21"/>
  <c r="BY21" i="21"/>
  <c r="CF20" i="21" s="1"/>
  <c r="CA22" i="21"/>
  <c r="CD19" i="21"/>
  <c r="BZ21" i="21"/>
  <c r="CC19" i="21"/>
  <c r="CE19" i="21"/>
  <c r="BO21" i="21"/>
  <c r="BV20" i="21" s="1"/>
  <c r="BR20" i="21"/>
  <c r="BQ22" i="21"/>
  <c r="BT19" i="21"/>
  <c r="AZ19" i="21"/>
  <c r="AL22" i="21"/>
  <c r="AV21" i="21"/>
  <c r="BH21" i="21"/>
  <c r="BG23" i="21"/>
  <c r="BE22" i="21"/>
  <c r="BL21" i="21" s="1"/>
  <c r="BF22" i="21"/>
  <c r="AY19" i="21"/>
  <c r="BA19" i="21"/>
  <c r="AU21" i="21"/>
  <c r="BB20" i="21" s="1"/>
  <c r="AW22" i="21"/>
  <c r="AX20" i="21"/>
  <c r="AO20" i="21"/>
  <c r="AQ20" i="21"/>
  <c r="AK22" i="21"/>
  <c r="AR21" i="21" s="1"/>
  <c r="AN21" i="21"/>
  <c r="AM23" i="21"/>
  <c r="AG19" i="21"/>
  <c r="AE19" i="21"/>
  <c r="AD20" i="21"/>
  <c r="AA21" i="21"/>
  <c r="AH20" i="21" s="1"/>
  <c r="B22" i="21"/>
  <c r="C22" i="21" s="1"/>
  <c r="S104" i="25"/>
  <c r="N106" i="25"/>
  <c r="Q106" i="25"/>
  <c r="O106" i="25"/>
  <c r="M107" i="25"/>
  <c r="P105" i="25"/>
  <c r="R105" i="25"/>
  <c r="JC41" i="21" l="1"/>
  <c r="JA41" i="21"/>
  <c r="JK42" i="21"/>
  <c r="JB41" i="21"/>
  <c r="HN20" i="21"/>
  <c r="HL21" i="21"/>
  <c r="HO21" i="21" s="1"/>
  <c r="HM20" i="21"/>
  <c r="JL42" i="21"/>
  <c r="KD42" i="21"/>
  <c r="KC44" i="21"/>
  <c r="KE41" i="21"/>
  <c r="KG41" i="21"/>
  <c r="KB43" i="21"/>
  <c r="KH41" i="21"/>
  <c r="KA43" i="21"/>
  <c r="KF41" i="21"/>
  <c r="LB21" i="21"/>
  <c r="KL44" i="21"/>
  <c r="KP42" i="21"/>
  <c r="JH44" i="21"/>
  <c r="JR43" i="21"/>
  <c r="KR42" i="21"/>
  <c r="KK44" i="21"/>
  <c r="KN43" i="21"/>
  <c r="KM45" i="21"/>
  <c r="KO42" i="21"/>
  <c r="JW41" i="21"/>
  <c r="JU41" i="21"/>
  <c r="JV41" i="21"/>
  <c r="JT42" i="21"/>
  <c r="JX41" i="21"/>
  <c r="JQ43" i="21"/>
  <c r="JS44" i="21"/>
  <c r="JN42" i="21"/>
  <c r="JG44" i="21"/>
  <c r="JI45" i="21"/>
  <c r="JJ43" i="21"/>
  <c r="JM42" i="21"/>
  <c r="IY44" i="21"/>
  <c r="IX43" i="21"/>
  <c r="JD41" i="21"/>
  <c r="IW43" i="21"/>
  <c r="IZ42" i="21"/>
  <c r="AP21" i="21"/>
  <c r="HX20" i="21"/>
  <c r="AS23" i="25"/>
  <c r="AY23" i="25" s="1"/>
  <c r="BD23" i="25" s="1"/>
  <c r="BE23" i="25"/>
  <c r="V31" i="25"/>
  <c r="AZ30" i="25"/>
  <c r="EB20" i="21"/>
  <c r="M29" i="30"/>
  <c r="GV21" i="21"/>
  <c r="K104" i="30"/>
  <c r="L104" i="30" s="1"/>
  <c r="C30" i="30"/>
  <c r="AX23" i="25"/>
  <c r="BH23" i="25" s="1"/>
  <c r="AR24" i="25"/>
  <c r="AQ24" i="25"/>
  <c r="BB24" i="25" s="1"/>
  <c r="AW24" i="25"/>
  <c r="AV30" i="25"/>
  <c r="BF30" i="25" s="1"/>
  <c r="AT25" i="25"/>
  <c r="BG25" i="25" s="1"/>
  <c r="AN25" i="25"/>
  <c r="AU24" i="25"/>
  <c r="AL25" i="25"/>
  <c r="BC25" i="25" s="1"/>
  <c r="Z28" i="25"/>
  <c r="AH28" i="25" s="1"/>
  <c r="AF27" i="25"/>
  <c r="AJ27" i="25" s="1"/>
  <c r="AC28" i="25"/>
  <c r="X28" i="25"/>
  <c r="AB28" i="25" s="1"/>
  <c r="AM25" i="25"/>
  <c r="AP25" i="25" s="1"/>
  <c r="BA25" i="25" s="1"/>
  <c r="AO25" i="25"/>
  <c r="AK26" i="25"/>
  <c r="AG28" i="25"/>
  <c r="AE28" i="25"/>
  <c r="Y29" i="25"/>
  <c r="AD27" i="25"/>
  <c r="AI27" i="25" s="1"/>
  <c r="W29" i="25"/>
  <c r="AA29" i="25" s="1"/>
  <c r="S13" i="24"/>
  <c r="Q13" i="24"/>
  <c r="E15" i="24"/>
  <c r="D15" i="24"/>
  <c r="H14" i="24"/>
  <c r="L14" i="24"/>
  <c r="J14" i="24"/>
  <c r="P14" i="24"/>
  <c r="K14" i="24"/>
  <c r="G14" i="24"/>
  <c r="R14" i="24"/>
  <c r="N14" i="24"/>
  <c r="F14" i="24"/>
  <c r="O14" i="24"/>
  <c r="I14" i="24"/>
  <c r="M14" i="24"/>
  <c r="B17" i="24"/>
  <c r="C16" i="24"/>
  <c r="AF20" i="21"/>
  <c r="FP20" i="21"/>
  <c r="GB21" i="21"/>
  <c r="CY20" i="21"/>
  <c r="GK21" i="21"/>
  <c r="FG21" i="21"/>
  <c r="KX22" i="21"/>
  <c r="KZ21" i="21"/>
  <c r="EA20" i="21"/>
  <c r="GJ21" i="21"/>
  <c r="DG20" i="21"/>
  <c r="EC20" i="21"/>
  <c r="KW24" i="21"/>
  <c r="LA21" i="21"/>
  <c r="KY21" i="21"/>
  <c r="KU23" i="21"/>
  <c r="LB22" i="21" s="1"/>
  <c r="KV23" i="21"/>
  <c r="HW20" i="21"/>
  <c r="HY20" i="21"/>
  <c r="IP22" i="21"/>
  <c r="FV23" i="21"/>
  <c r="IG21" i="21"/>
  <c r="II21" i="21"/>
  <c r="IH21" i="21"/>
  <c r="GR22" i="21"/>
  <c r="IN23" i="21"/>
  <c r="GZ22" i="21"/>
  <c r="GF23" i="21"/>
  <c r="HB21" i="21"/>
  <c r="IM23" i="21"/>
  <c r="IT22" i="21" s="1"/>
  <c r="IS21" i="21"/>
  <c r="IQ21" i="21"/>
  <c r="IO24" i="21"/>
  <c r="IR21" i="21"/>
  <c r="DR20" i="21"/>
  <c r="GI21" i="21"/>
  <c r="IE24" i="21"/>
  <c r="ID23" i="21"/>
  <c r="IC23" i="21"/>
  <c r="IJ22" i="21" s="1"/>
  <c r="IF22" i="21"/>
  <c r="HU23" i="21"/>
  <c r="HS22" i="21"/>
  <c r="HZ21" i="21" s="1"/>
  <c r="HT22" i="21"/>
  <c r="HV21" i="21"/>
  <c r="HI23" i="21"/>
  <c r="HP22" i="21" s="1"/>
  <c r="HK24" i="21"/>
  <c r="HJ23" i="21"/>
  <c r="HC20" i="21"/>
  <c r="HD20" i="21"/>
  <c r="HA23" i="21"/>
  <c r="GY22" i="21"/>
  <c r="HF21" i="21" s="1"/>
  <c r="HE20" i="21"/>
  <c r="GU21" i="21"/>
  <c r="FQ20" i="21"/>
  <c r="BJ21" i="21"/>
  <c r="GQ24" i="21"/>
  <c r="GT21" i="21"/>
  <c r="GO23" i="21"/>
  <c r="GS21" i="21"/>
  <c r="GP23" i="21"/>
  <c r="FX22" i="21"/>
  <c r="DQ20" i="21"/>
  <c r="GH22" i="21"/>
  <c r="CD20" i="21"/>
  <c r="DI20" i="21"/>
  <c r="ET22" i="21"/>
  <c r="GA21" i="21"/>
  <c r="GG24" i="21"/>
  <c r="GE23" i="21"/>
  <c r="GL22" i="21" s="1"/>
  <c r="FU23" i="21"/>
  <c r="FY21" i="21"/>
  <c r="FW24" i="21"/>
  <c r="FZ21" i="21"/>
  <c r="CE20" i="21"/>
  <c r="FB23" i="21"/>
  <c r="CC20" i="21"/>
  <c r="DN22" i="21"/>
  <c r="EK20" i="21"/>
  <c r="DH20" i="21"/>
  <c r="EU21" i="21"/>
  <c r="FK22" i="21"/>
  <c r="FR21" i="21" s="1"/>
  <c r="FN21" i="21"/>
  <c r="FM23" i="21"/>
  <c r="FO20" i="21"/>
  <c r="FL22" i="21"/>
  <c r="FA23" i="21"/>
  <c r="FH22" i="21" s="1"/>
  <c r="FC24" i="21"/>
  <c r="FF21" i="21"/>
  <c r="FD22" i="21"/>
  <c r="FE21" i="21"/>
  <c r="ES24" i="21"/>
  <c r="EV21" i="21"/>
  <c r="EQ23" i="21"/>
  <c r="EX22" i="21" s="1"/>
  <c r="ER23" i="21"/>
  <c r="EW21" i="21"/>
  <c r="BZ22" i="21"/>
  <c r="CT22" i="21"/>
  <c r="EM20" i="21"/>
  <c r="EH22" i="21"/>
  <c r="EG22" i="21"/>
  <c r="EN21" i="21" s="1"/>
  <c r="EI23" i="21"/>
  <c r="EL20" i="21"/>
  <c r="EJ21" i="21"/>
  <c r="DY23" i="21"/>
  <c r="DW22" i="21"/>
  <c r="ED21" i="21" s="1"/>
  <c r="DX22" i="21"/>
  <c r="DZ21" i="21"/>
  <c r="DM22" i="21"/>
  <c r="DT21" i="21" s="1"/>
  <c r="DO23" i="21"/>
  <c r="DP21" i="21"/>
  <c r="DS20" i="21"/>
  <c r="CX20" i="21"/>
  <c r="CB21" i="21"/>
  <c r="AL23" i="21"/>
  <c r="CL21" i="21"/>
  <c r="CW20" i="21"/>
  <c r="DE23" i="21"/>
  <c r="DC22" i="21"/>
  <c r="DJ21" i="21" s="1"/>
  <c r="DD22" i="21"/>
  <c r="DF21" i="21"/>
  <c r="CS22" i="21"/>
  <c r="CZ21" i="21" s="1"/>
  <c r="CV21" i="21"/>
  <c r="CU23" i="21"/>
  <c r="BR21" i="21"/>
  <c r="CK23" i="21"/>
  <c r="CJ22" i="21"/>
  <c r="CI22" i="21"/>
  <c r="CP21" i="21" s="1"/>
  <c r="CO20" i="21"/>
  <c r="CM20" i="21"/>
  <c r="CN20" i="21"/>
  <c r="CA23" i="21"/>
  <c r="BY22" i="21"/>
  <c r="CF21" i="21" s="1"/>
  <c r="BQ23" i="21"/>
  <c r="BP22" i="21"/>
  <c r="BS20" i="21"/>
  <c r="BU20" i="21"/>
  <c r="BO22" i="21"/>
  <c r="BV21" i="21" s="1"/>
  <c r="BT20" i="21"/>
  <c r="AY20" i="21"/>
  <c r="BE23" i="21"/>
  <c r="BL22" i="21" s="1"/>
  <c r="BG24" i="21"/>
  <c r="BH22" i="21"/>
  <c r="BI21" i="21"/>
  <c r="BF23" i="21"/>
  <c r="BK21" i="21"/>
  <c r="BA20" i="21"/>
  <c r="AW23" i="21"/>
  <c r="AV22" i="21"/>
  <c r="AU22" i="21"/>
  <c r="BB21" i="21" s="1"/>
  <c r="AX21" i="21"/>
  <c r="AZ20" i="21"/>
  <c r="AO21" i="21"/>
  <c r="AQ21" i="21"/>
  <c r="AN22" i="21"/>
  <c r="AK23" i="21"/>
  <c r="AR22" i="21" s="1"/>
  <c r="AM24" i="21"/>
  <c r="AG20" i="21"/>
  <c r="AE20" i="21"/>
  <c r="AA22" i="21"/>
  <c r="AH21" i="21" s="1"/>
  <c r="AD21" i="21"/>
  <c r="B23" i="21"/>
  <c r="C23" i="21" s="1"/>
  <c r="S105" i="25"/>
  <c r="O107" i="25"/>
  <c r="Q107" i="25"/>
  <c r="N107" i="25"/>
  <c r="M108" i="25"/>
  <c r="P106" i="25"/>
  <c r="R106" i="25"/>
  <c r="HL22" i="21" l="1"/>
  <c r="KE42" i="21"/>
  <c r="KG42" i="21"/>
  <c r="HM21" i="21"/>
  <c r="HN21" i="21"/>
  <c r="HN22" i="21" s="1"/>
  <c r="KF42" i="21"/>
  <c r="JR44" i="21"/>
  <c r="KN44" i="21"/>
  <c r="KB44" i="21"/>
  <c r="EA21" i="21"/>
  <c r="KH42" i="21"/>
  <c r="KA44" i="21"/>
  <c r="KD43" i="21"/>
  <c r="KC45" i="21"/>
  <c r="IX44" i="21"/>
  <c r="JJ44" i="21"/>
  <c r="JH45" i="21"/>
  <c r="LA22" i="21"/>
  <c r="AP22" i="21"/>
  <c r="KM46" i="21"/>
  <c r="KQ43" i="21"/>
  <c r="KR43" i="21"/>
  <c r="KK45" i="21"/>
  <c r="KP43" i="21"/>
  <c r="KP44" i="21" s="1"/>
  <c r="KO43" i="21"/>
  <c r="KL45" i="21"/>
  <c r="JX42" i="21"/>
  <c r="JQ44" i="21"/>
  <c r="JT43" i="21"/>
  <c r="JV42" i="21"/>
  <c r="JU42" i="21"/>
  <c r="JS45" i="21"/>
  <c r="JR45" i="21" s="1"/>
  <c r="JW42" i="21"/>
  <c r="JL43" i="21"/>
  <c r="JK43" i="21"/>
  <c r="JI46" i="21"/>
  <c r="JN43" i="21"/>
  <c r="JG45" i="21"/>
  <c r="JM43" i="21"/>
  <c r="JB42" i="21"/>
  <c r="JA42" i="21"/>
  <c r="IZ43" i="21"/>
  <c r="JD42" i="21"/>
  <c r="IW44" i="21"/>
  <c r="JC42" i="21"/>
  <c r="IY45" i="21"/>
  <c r="GV22" i="21"/>
  <c r="AS24" i="25"/>
  <c r="AY24" i="25" s="1"/>
  <c r="BD24" i="25" s="1"/>
  <c r="BE24" i="25"/>
  <c r="V32" i="25"/>
  <c r="AZ31" i="25"/>
  <c r="M30" i="30"/>
  <c r="K105" i="30"/>
  <c r="L105" i="30" s="1"/>
  <c r="CO21" i="21"/>
  <c r="GK22" i="21"/>
  <c r="C31" i="30"/>
  <c r="AX24" i="25"/>
  <c r="BH24" i="25" s="1"/>
  <c r="AR25" i="25"/>
  <c r="AQ25" i="25"/>
  <c r="BB25" i="25" s="1"/>
  <c r="AW25" i="25"/>
  <c r="AV31" i="25"/>
  <c r="BF31" i="25" s="1"/>
  <c r="AT26" i="25"/>
  <c r="BG26" i="25" s="1"/>
  <c r="AU25" i="25"/>
  <c r="AN26" i="25"/>
  <c r="AL26" i="25"/>
  <c r="BC26" i="25" s="1"/>
  <c r="AF28" i="25"/>
  <c r="AJ28" i="25" s="1"/>
  <c r="AC29" i="25"/>
  <c r="X29" i="25"/>
  <c r="AB29" i="25" s="1"/>
  <c r="Z29" i="25"/>
  <c r="AF29" i="25" s="1"/>
  <c r="AM26" i="25"/>
  <c r="AP26" i="25" s="1"/>
  <c r="BA26" i="25" s="1"/>
  <c r="AO26" i="25"/>
  <c r="AK27" i="25"/>
  <c r="AE29" i="25"/>
  <c r="AG29" i="25"/>
  <c r="Y30" i="25"/>
  <c r="AD28" i="25"/>
  <c r="AI28" i="25" s="1"/>
  <c r="W30" i="25"/>
  <c r="AA30" i="25" s="1"/>
  <c r="S14" i="24"/>
  <c r="Q14" i="24"/>
  <c r="D16" i="24"/>
  <c r="E16" i="24"/>
  <c r="O15" i="24"/>
  <c r="L15" i="24"/>
  <c r="K15" i="24"/>
  <c r="F15" i="24"/>
  <c r="I15" i="24"/>
  <c r="J15" i="24"/>
  <c r="N15" i="24"/>
  <c r="R15" i="24"/>
  <c r="M15" i="24"/>
  <c r="H15" i="24"/>
  <c r="P15" i="24"/>
  <c r="G15" i="24"/>
  <c r="C17" i="24"/>
  <c r="B18" i="24"/>
  <c r="AF21" i="21"/>
  <c r="CW21" i="21"/>
  <c r="GT22" i="21"/>
  <c r="IR22" i="21"/>
  <c r="GB22" i="21"/>
  <c r="IQ22" i="21"/>
  <c r="KZ22" i="21"/>
  <c r="KV24" i="21"/>
  <c r="KY22" i="21"/>
  <c r="HD21" i="21"/>
  <c r="IS22" i="21"/>
  <c r="KU24" i="21"/>
  <c r="LB23" i="21" s="1"/>
  <c r="KX23" i="21"/>
  <c r="KW25" i="21"/>
  <c r="GU22" i="21"/>
  <c r="GS22" i="21"/>
  <c r="GR23" i="21"/>
  <c r="IG22" i="21"/>
  <c r="ID24" i="21"/>
  <c r="FY22" i="21"/>
  <c r="HB22" i="21"/>
  <c r="FX23" i="21"/>
  <c r="HC21" i="21"/>
  <c r="FZ22" i="21"/>
  <c r="GA22" i="21"/>
  <c r="HE21" i="21"/>
  <c r="IM24" i="21"/>
  <c r="IT23" i="21" s="1"/>
  <c r="IO25" i="21"/>
  <c r="IP23" i="21"/>
  <c r="IN24" i="21"/>
  <c r="HL23" i="21"/>
  <c r="DP22" i="21"/>
  <c r="HV22" i="21"/>
  <c r="ET23" i="21"/>
  <c r="HO22" i="21"/>
  <c r="IH22" i="21"/>
  <c r="IC24" i="21"/>
  <c r="IJ23" i="21" s="1"/>
  <c r="IE25" i="21"/>
  <c r="IF23" i="21"/>
  <c r="II22" i="21"/>
  <c r="HT23" i="21"/>
  <c r="HX21" i="21"/>
  <c r="HS23" i="21"/>
  <c r="HZ22" i="21" s="1"/>
  <c r="HW21" i="21"/>
  <c r="HY21" i="21"/>
  <c r="HU24" i="21"/>
  <c r="HK25" i="21"/>
  <c r="HM22" i="21"/>
  <c r="HI24" i="21"/>
  <c r="HP23" i="21" s="1"/>
  <c r="HJ24" i="21"/>
  <c r="GY23" i="21"/>
  <c r="HF22" i="21" s="1"/>
  <c r="HA24" i="21"/>
  <c r="GZ23" i="21"/>
  <c r="EV22" i="21"/>
  <c r="CN21" i="21"/>
  <c r="EW22" i="21"/>
  <c r="GJ22" i="21"/>
  <c r="GP24" i="21"/>
  <c r="CE21" i="21"/>
  <c r="GO24" i="21"/>
  <c r="GQ25" i="21"/>
  <c r="DN23" i="21"/>
  <c r="CT23" i="21"/>
  <c r="GI22" i="21"/>
  <c r="EK21" i="21"/>
  <c r="BU21" i="21"/>
  <c r="FD23" i="21"/>
  <c r="FN22" i="21"/>
  <c r="DX23" i="21"/>
  <c r="EU22" i="21"/>
  <c r="GG25" i="21"/>
  <c r="GF24" i="21"/>
  <c r="GE24" i="21"/>
  <c r="GL23" i="21" s="1"/>
  <c r="GH23" i="21"/>
  <c r="FW25" i="21"/>
  <c r="FU24" i="21"/>
  <c r="FV24" i="21"/>
  <c r="CJ23" i="21"/>
  <c r="AZ21" i="21"/>
  <c r="CM21" i="21"/>
  <c r="EL21" i="21"/>
  <c r="FF22" i="21"/>
  <c r="FM24" i="21"/>
  <c r="FQ21" i="21"/>
  <c r="FO21" i="21"/>
  <c r="FK23" i="21"/>
  <c r="FR22" i="21" s="1"/>
  <c r="FL23" i="21"/>
  <c r="FP21" i="21"/>
  <c r="FC25" i="21"/>
  <c r="FA24" i="21"/>
  <c r="FH23" i="21" s="1"/>
  <c r="FE22" i="21"/>
  <c r="FB24" i="21"/>
  <c r="FG22" i="21"/>
  <c r="EQ24" i="21"/>
  <c r="EX23" i="21" s="1"/>
  <c r="ES25" i="21"/>
  <c r="ER24" i="21"/>
  <c r="EC21" i="21"/>
  <c r="CC21" i="21"/>
  <c r="DQ21" i="21"/>
  <c r="CD21" i="21"/>
  <c r="CL22" i="21"/>
  <c r="EJ22" i="21"/>
  <c r="EI24" i="21"/>
  <c r="EM21" i="21"/>
  <c r="EH23" i="21"/>
  <c r="EG23" i="21"/>
  <c r="EN22" i="21" s="1"/>
  <c r="DY24" i="21"/>
  <c r="DW23" i="21"/>
  <c r="ED22" i="21" s="1"/>
  <c r="DZ22" i="21"/>
  <c r="EB21" i="21"/>
  <c r="DR21" i="21"/>
  <c r="DM23" i="21"/>
  <c r="DT22" i="21" s="1"/>
  <c r="DO24" i="21"/>
  <c r="DS21" i="21"/>
  <c r="BT21" i="21"/>
  <c r="BF24" i="21"/>
  <c r="BS21" i="21"/>
  <c r="AX22" i="21"/>
  <c r="DD23" i="21"/>
  <c r="DC23" i="21"/>
  <c r="DJ22" i="21" s="1"/>
  <c r="DH21" i="21"/>
  <c r="DF22" i="21"/>
  <c r="DI21" i="21"/>
  <c r="DG21" i="21"/>
  <c r="DE24" i="21"/>
  <c r="CU24" i="21"/>
  <c r="CS23" i="21"/>
  <c r="CZ22" i="21" s="1"/>
  <c r="CY21" i="21"/>
  <c r="CX21" i="21"/>
  <c r="CV22" i="21"/>
  <c r="BI22" i="21"/>
  <c r="BP23" i="21"/>
  <c r="CI23" i="21"/>
  <c r="CP22" i="21" s="1"/>
  <c r="CK24" i="21"/>
  <c r="BY23" i="21"/>
  <c r="CF22" i="21" s="1"/>
  <c r="CA24" i="21"/>
  <c r="BZ23" i="21"/>
  <c r="CB22" i="21"/>
  <c r="BQ24" i="21"/>
  <c r="BO23" i="21"/>
  <c r="BV22" i="21" s="1"/>
  <c r="BR22" i="21"/>
  <c r="BH23" i="21"/>
  <c r="BG25" i="21"/>
  <c r="BJ22" i="21"/>
  <c r="BK22" i="21"/>
  <c r="BE24" i="21"/>
  <c r="BL23" i="21" s="1"/>
  <c r="AU23" i="21"/>
  <c r="BB22" i="21" s="1"/>
  <c r="AV23" i="21"/>
  <c r="BA21" i="21"/>
  <c r="AY21" i="21"/>
  <c r="AW24" i="21"/>
  <c r="AG21" i="21"/>
  <c r="AQ22" i="21"/>
  <c r="AK24" i="21"/>
  <c r="AR23" i="21" s="1"/>
  <c r="AN23" i="21"/>
  <c r="AP23" i="21" s="1"/>
  <c r="AO22" i="21"/>
  <c r="AM25" i="21"/>
  <c r="AL24" i="21"/>
  <c r="AE21" i="21"/>
  <c r="AA23" i="21"/>
  <c r="AH22" i="21" s="1"/>
  <c r="AD22" i="21"/>
  <c r="B24" i="21"/>
  <c r="C24" i="21" s="1"/>
  <c r="S106" i="25"/>
  <c r="P107" i="25"/>
  <c r="R107" i="25"/>
  <c r="O108" i="25"/>
  <c r="Q108" i="25"/>
  <c r="N108" i="25"/>
  <c r="M109" i="25"/>
  <c r="GV23" i="21" l="1"/>
  <c r="KO44" i="21"/>
  <c r="KB45" i="21"/>
  <c r="KD44" i="21"/>
  <c r="JT44" i="21"/>
  <c r="JK44" i="21"/>
  <c r="JL44" i="21"/>
  <c r="JM44" i="21"/>
  <c r="KQ44" i="21"/>
  <c r="IX45" i="21"/>
  <c r="JC43" i="21"/>
  <c r="LA23" i="21"/>
  <c r="KE43" i="21"/>
  <c r="KG43" i="21"/>
  <c r="KC46" i="21"/>
  <c r="KF43" i="21"/>
  <c r="KF44" i="21" s="1"/>
  <c r="KH43" i="21"/>
  <c r="KA45" i="21"/>
  <c r="JU43" i="21"/>
  <c r="JU44" i="21" s="1"/>
  <c r="JA43" i="21"/>
  <c r="JV43" i="21"/>
  <c r="JV44" i="21" s="1"/>
  <c r="KR44" i="21"/>
  <c r="KK46" i="21"/>
  <c r="KM47" i="21"/>
  <c r="KL46" i="21"/>
  <c r="KN45" i="21"/>
  <c r="KQ45" i="21" s="1"/>
  <c r="JS46" i="21"/>
  <c r="JX43" i="21"/>
  <c r="JQ45" i="21"/>
  <c r="JT45" i="21" s="1"/>
  <c r="JW43" i="21"/>
  <c r="JI47" i="21"/>
  <c r="JH46" i="21"/>
  <c r="JN44" i="21"/>
  <c r="JG46" i="21"/>
  <c r="JJ45" i="21"/>
  <c r="JD43" i="21"/>
  <c r="IW45" i="21"/>
  <c r="IZ44" i="21"/>
  <c r="IY46" i="21"/>
  <c r="JB43" i="21"/>
  <c r="AS25" i="25"/>
  <c r="AY25" i="25" s="1"/>
  <c r="BD25" i="25" s="1"/>
  <c r="BE25" i="25"/>
  <c r="V33" i="25"/>
  <c r="AZ32" i="25"/>
  <c r="CW22" i="21"/>
  <c r="M31" i="30"/>
  <c r="K106" i="30"/>
  <c r="L106" i="30" s="1"/>
  <c r="C32" i="30"/>
  <c r="AX25" i="25"/>
  <c r="BH25" i="25" s="1"/>
  <c r="AR26" i="25"/>
  <c r="AQ26" i="25"/>
  <c r="BB26" i="25" s="1"/>
  <c r="AW26" i="25"/>
  <c r="AV32" i="25"/>
  <c r="BF32" i="25" s="1"/>
  <c r="AT27" i="25"/>
  <c r="BG27" i="25" s="1"/>
  <c r="AU26" i="25"/>
  <c r="AN27" i="25"/>
  <c r="AL27" i="25"/>
  <c r="BC27" i="25" s="1"/>
  <c r="AH29" i="25"/>
  <c r="AJ29" i="25" s="1"/>
  <c r="X30" i="25"/>
  <c r="AB30" i="25" s="1"/>
  <c r="Z30" i="25"/>
  <c r="AF30" i="25" s="1"/>
  <c r="AM27" i="25"/>
  <c r="AP27" i="25" s="1"/>
  <c r="BA27" i="25" s="1"/>
  <c r="AO27" i="25"/>
  <c r="AK28" i="25"/>
  <c r="AG30" i="25"/>
  <c r="AE30" i="25"/>
  <c r="AC30" i="25"/>
  <c r="Y31" i="25"/>
  <c r="AD29" i="25"/>
  <c r="AI29" i="25" s="1"/>
  <c r="W31" i="25"/>
  <c r="AA31" i="25" s="1"/>
  <c r="S15" i="24"/>
  <c r="Q15" i="24"/>
  <c r="E17" i="24"/>
  <c r="D17" i="24"/>
  <c r="C18" i="24"/>
  <c r="B3" i="24"/>
  <c r="B2" i="24" s="1"/>
  <c r="H16" i="24"/>
  <c r="N16" i="24"/>
  <c r="P16" i="24"/>
  <c r="J16" i="24"/>
  <c r="G16" i="24"/>
  <c r="O16" i="24"/>
  <c r="F16" i="24"/>
  <c r="K16" i="24"/>
  <c r="R16" i="24"/>
  <c r="M16" i="24"/>
  <c r="I16" i="24"/>
  <c r="L16" i="24"/>
  <c r="AF22" i="21"/>
  <c r="GT23" i="21"/>
  <c r="GB23" i="21"/>
  <c r="HC22" i="21"/>
  <c r="HD22" i="21"/>
  <c r="AZ22" i="21"/>
  <c r="DQ22" i="21"/>
  <c r="GS23" i="21"/>
  <c r="HN23" i="21"/>
  <c r="FZ23" i="21"/>
  <c r="FP22" i="21"/>
  <c r="HM23" i="21"/>
  <c r="KW26" i="21"/>
  <c r="KV25" i="21"/>
  <c r="KZ23" i="21"/>
  <c r="KX24" i="21"/>
  <c r="KU25" i="21"/>
  <c r="LB24" i="21" s="1"/>
  <c r="KY23" i="21"/>
  <c r="CN22" i="21"/>
  <c r="GU23" i="21"/>
  <c r="AY22" i="21"/>
  <c r="EW23" i="21"/>
  <c r="GA23" i="21"/>
  <c r="FG23" i="21"/>
  <c r="HO23" i="21"/>
  <c r="EV23" i="21"/>
  <c r="FY23" i="21"/>
  <c r="EU23" i="21"/>
  <c r="HE22" i="21"/>
  <c r="IP24" i="21"/>
  <c r="HW22" i="21"/>
  <c r="HY22" i="21"/>
  <c r="CD22" i="21"/>
  <c r="DR22" i="21"/>
  <c r="GR24" i="21"/>
  <c r="HX22" i="21"/>
  <c r="FQ22" i="21"/>
  <c r="HT24" i="21"/>
  <c r="DS22" i="21"/>
  <c r="IO26" i="21"/>
  <c r="IM25" i="21"/>
  <c r="IT24" i="21" s="1"/>
  <c r="IN25" i="21"/>
  <c r="IS23" i="21"/>
  <c r="IR23" i="21"/>
  <c r="IQ23" i="21"/>
  <c r="GP25" i="21"/>
  <c r="HJ25" i="21"/>
  <c r="IF24" i="21"/>
  <c r="IG23" i="21"/>
  <c r="IE26" i="21"/>
  <c r="ID25" i="21"/>
  <c r="IH23" i="21"/>
  <c r="IC25" i="21"/>
  <c r="IJ24" i="21" s="1"/>
  <c r="II23" i="21"/>
  <c r="HS24" i="21"/>
  <c r="HZ23" i="21" s="1"/>
  <c r="HU25" i="21"/>
  <c r="HV23" i="21"/>
  <c r="HI25" i="21"/>
  <c r="HP24" i="21" s="1"/>
  <c r="HK26" i="21"/>
  <c r="HL24" i="21"/>
  <c r="HA25" i="21"/>
  <c r="GY24" i="21"/>
  <c r="HF23" i="21" s="1"/>
  <c r="GZ24" i="21"/>
  <c r="HB23" i="21"/>
  <c r="EL22" i="21"/>
  <c r="EC22" i="21"/>
  <c r="FE23" i="21"/>
  <c r="FO22" i="21"/>
  <c r="GQ26" i="21"/>
  <c r="GO25" i="21"/>
  <c r="BI23" i="21"/>
  <c r="EK22" i="21"/>
  <c r="GF25" i="21"/>
  <c r="DN24" i="21"/>
  <c r="DX24" i="21"/>
  <c r="FF23" i="21"/>
  <c r="CM22" i="21"/>
  <c r="EH24" i="21"/>
  <c r="GH24" i="21"/>
  <c r="AX23" i="21"/>
  <c r="BS22" i="21"/>
  <c r="GI23" i="21"/>
  <c r="GJ23" i="21"/>
  <c r="GK23" i="21"/>
  <c r="GG26" i="21"/>
  <c r="GE25" i="21"/>
  <c r="GL24" i="21" s="1"/>
  <c r="FU25" i="21"/>
  <c r="FW26" i="21"/>
  <c r="FV25" i="21"/>
  <c r="FX24" i="21"/>
  <c r="CO22" i="21"/>
  <c r="FM25" i="21"/>
  <c r="FK24" i="21"/>
  <c r="FR23" i="21" s="1"/>
  <c r="FL24" i="21"/>
  <c r="FN23" i="21"/>
  <c r="FC26" i="21"/>
  <c r="FA25" i="21"/>
  <c r="FH24" i="21" s="1"/>
  <c r="FB25" i="21"/>
  <c r="FD24" i="21"/>
  <c r="EQ25" i="21"/>
  <c r="EX24" i="21" s="1"/>
  <c r="ES26" i="21"/>
  <c r="ER25" i="21"/>
  <c r="ET24" i="21"/>
  <c r="BU22" i="21"/>
  <c r="EB22" i="21"/>
  <c r="DI22" i="21"/>
  <c r="EM22" i="21"/>
  <c r="EI25" i="21"/>
  <c r="EG24" i="21"/>
  <c r="EN23" i="21" s="1"/>
  <c r="EJ23" i="21"/>
  <c r="DY25" i="21"/>
  <c r="DW24" i="21"/>
  <c r="ED23" i="21" s="1"/>
  <c r="DZ23" i="21"/>
  <c r="EA22" i="21"/>
  <c r="DM24" i="21"/>
  <c r="DT23" i="21" s="1"/>
  <c r="DO25" i="21"/>
  <c r="DP23" i="21"/>
  <c r="DG22" i="21"/>
  <c r="BT22" i="21"/>
  <c r="CX22" i="21"/>
  <c r="DF23" i="21"/>
  <c r="BA22" i="21"/>
  <c r="CY22" i="21"/>
  <c r="DH22" i="21"/>
  <c r="DC24" i="21"/>
  <c r="DJ23" i="21" s="1"/>
  <c r="DE25" i="21"/>
  <c r="DD24" i="21"/>
  <c r="CS24" i="21"/>
  <c r="CZ23" i="21" s="1"/>
  <c r="CU25" i="21"/>
  <c r="CV23" i="21"/>
  <c r="CT24" i="21"/>
  <c r="CE22" i="21"/>
  <c r="BK23" i="21"/>
  <c r="BJ23" i="21"/>
  <c r="CI24" i="21"/>
  <c r="CP23" i="21" s="1"/>
  <c r="CK25" i="21"/>
  <c r="CJ24" i="21"/>
  <c r="CL23" i="21"/>
  <c r="CA25" i="21"/>
  <c r="BZ24" i="21"/>
  <c r="BY24" i="21"/>
  <c r="CF23" i="21" s="1"/>
  <c r="CC22" i="21"/>
  <c r="CB23" i="21"/>
  <c r="BQ25" i="21"/>
  <c r="BO24" i="21"/>
  <c r="BV23" i="21" s="1"/>
  <c r="BR23" i="21"/>
  <c r="BP24" i="21"/>
  <c r="BG26" i="21"/>
  <c r="BF25" i="21"/>
  <c r="BE25" i="21"/>
  <c r="BL24" i="21" s="1"/>
  <c r="BH24" i="21"/>
  <c r="AV24" i="21"/>
  <c r="AW25" i="21"/>
  <c r="AU24" i="21"/>
  <c r="BB23" i="21" s="1"/>
  <c r="AO23" i="21"/>
  <c r="AG22" i="21"/>
  <c r="AE22" i="21"/>
  <c r="AN24" i="21"/>
  <c r="AP24" i="21" s="1"/>
  <c r="AQ23" i="21"/>
  <c r="AM26" i="21"/>
  <c r="AK25" i="21"/>
  <c r="AR24" i="21" s="1"/>
  <c r="AL25" i="21"/>
  <c r="AD23" i="21"/>
  <c r="AA24" i="21"/>
  <c r="AH23" i="21" s="1"/>
  <c r="B25" i="21"/>
  <c r="C25" i="21" s="1"/>
  <c r="O109" i="25"/>
  <c r="Q109" i="25"/>
  <c r="N109" i="25"/>
  <c r="R108" i="25"/>
  <c r="P108" i="25"/>
  <c r="M110" i="25"/>
  <c r="S107" i="25"/>
  <c r="GV24" i="21" l="1"/>
  <c r="KD45" i="21"/>
  <c r="KG44" i="21"/>
  <c r="KE44" i="21"/>
  <c r="KE45" i="21" s="1"/>
  <c r="JW44" i="21"/>
  <c r="JW45" i="21" s="1"/>
  <c r="JL45" i="21"/>
  <c r="IZ45" i="21"/>
  <c r="KL47" i="21"/>
  <c r="JK45" i="21"/>
  <c r="KF45" i="21"/>
  <c r="KC47" i="21"/>
  <c r="KG45" i="21"/>
  <c r="KH44" i="21"/>
  <c r="KA46" i="21"/>
  <c r="KB46" i="21"/>
  <c r="JM45" i="21"/>
  <c r="KO45" i="21"/>
  <c r="JH47" i="21"/>
  <c r="KM48" i="21"/>
  <c r="KR45" i="21"/>
  <c r="KK47" i="21"/>
  <c r="KN46" i="21"/>
  <c r="KP45" i="21"/>
  <c r="JU45" i="21"/>
  <c r="JV45" i="21"/>
  <c r="JS47" i="21"/>
  <c r="JX44" i="21"/>
  <c r="JQ46" i="21"/>
  <c r="JR46" i="21"/>
  <c r="JN45" i="21"/>
  <c r="JG47" i="21"/>
  <c r="JI48" i="21"/>
  <c r="JJ46" i="21"/>
  <c r="JA44" i="21"/>
  <c r="JD44" i="21"/>
  <c r="IW46" i="21"/>
  <c r="IY47" i="21"/>
  <c r="JB44" i="21"/>
  <c r="JC44" i="21"/>
  <c r="IX46" i="21"/>
  <c r="GT24" i="21"/>
  <c r="AS26" i="25"/>
  <c r="AY26" i="25" s="1"/>
  <c r="BD26" i="25" s="1"/>
  <c r="BE26" i="25"/>
  <c r="V34" i="25"/>
  <c r="AZ33" i="25"/>
  <c r="M32" i="30"/>
  <c r="K107" i="30"/>
  <c r="L107" i="30" s="1"/>
  <c r="C33" i="30"/>
  <c r="AX26" i="25"/>
  <c r="BH26" i="25" s="1"/>
  <c r="AR27" i="25"/>
  <c r="AQ27" i="25"/>
  <c r="BB27" i="25" s="1"/>
  <c r="AW27" i="25"/>
  <c r="AT28" i="25"/>
  <c r="BG28" i="25" s="1"/>
  <c r="AV33" i="25"/>
  <c r="BF33" i="25" s="1"/>
  <c r="AU27" i="25"/>
  <c r="AN28" i="25"/>
  <c r="AL28" i="25"/>
  <c r="BC28" i="25" s="1"/>
  <c r="AH30" i="25"/>
  <c r="AJ30" i="25" s="1"/>
  <c r="AC31" i="25"/>
  <c r="X31" i="25"/>
  <c r="AB31" i="25" s="1"/>
  <c r="Z31" i="25"/>
  <c r="AF31" i="25" s="1"/>
  <c r="AM28" i="25"/>
  <c r="AP28" i="25" s="1"/>
  <c r="AO28" i="25"/>
  <c r="AK29" i="25"/>
  <c r="AE31" i="25"/>
  <c r="AG31" i="25"/>
  <c r="Y32" i="25"/>
  <c r="AD30" i="25"/>
  <c r="AI30" i="25" s="1"/>
  <c r="W32" i="25"/>
  <c r="AA32" i="25" s="1"/>
  <c r="S16" i="24"/>
  <c r="S108" i="25"/>
  <c r="Q16" i="24"/>
  <c r="E18" i="24"/>
  <c r="D18" i="24"/>
  <c r="L17" i="24"/>
  <c r="G17" i="24"/>
  <c r="K17" i="24"/>
  <c r="O17" i="24"/>
  <c r="J17" i="24"/>
  <c r="F17" i="24"/>
  <c r="P17" i="24"/>
  <c r="R17" i="24"/>
  <c r="N17" i="24"/>
  <c r="I17" i="24"/>
  <c r="M17" i="24"/>
  <c r="H17" i="24"/>
  <c r="GB24" i="21"/>
  <c r="CN23" i="21"/>
  <c r="AZ23" i="21"/>
  <c r="HD23" i="21"/>
  <c r="BT23" i="21"/>
  <c r="HN24" i="21"/>
  <c r="KY24" i="21"/>
  <c r="FY24" i="21"/>
  <c r="FG24" i="21"/>
  <c r="HW23" i="21"/>
  <c r="GU24" i="21"/>
  <c r="KV26" i="21"/>
  <c r="KZ24" i="21"/>
  <c r="KX25" i="21"/>
  <c r="LA24" i="21"/>
  <c r="KW27" i="21"/>
  <c r="KU26" i="21"/>
  <c r="LB25" i="21" s="1"/>
  <c r="FQ23" i="21"/>
  <c r="GS24" i="21"/>
  <c r="GR25" i="21"/>
  <c r="EU24" i="21"/>
  <c r="DR23" i="21"/>
  <c r="IH24" i="21"/>
  <c r="EM23" i="21"/>
  <c r="GK24" i="21"/>
  <c r="IQ24" i="21"/>
  <c r="IR24" i="21"/>
  <c r="IS24" i="21"/>
  <c r="HX23" i="21"/>
  <c r="ID26" i="21"/>
  <c r="II24" i="21"/>
  <c r="IN26" i="21"/>
  <c r="IM26" i="21"/>
  <c r="IT25" i="21" s="1"/>
  <c r="IO27" i="21"/>
  <c r="IP25" i="21"/>
  <c r="GZ25" i="21"/>
  <c r="IG24" i="21"/>
  <c r="IC26" i="21"/>
  <c r="IJ25" i="21" s="1"/>
  <c r="IE27" i="21"/>
  <c r="IF25" i="21"/>
  <c r="HS25" i="21"/>
  <c r="HZ24" i="21" s="1"/>
  <c r="HU26" i="21"/>
  <c r="HT25" i="21"/>
  <c r="HV24" i="21"/>
  <c r="HY23" i="21"/>
  <c r="HO24" i="21"/>
  <c r="HL25" i="21"/>
  <c r="HK27" i="21"/>
  <c r="HM24" i="21"/>
  <c r="HJ26" i="21"/>
  <c r="HI26" i="21"/>
  <c r="HP25" i="21" s="1"/>
  <c r="HC23" i="21"/>
  <c r="GY25" i="21"/>
  <c r="HF24" i="21" s="1"/>
  <c r="HE23" i="21"/>
  <c r="HB24" i="21"/>
  <c r="HA26" i="21"/>
  <c r="DZ24" i="21"/>
  <c r="DX25" i="21"/>
  <c r="GP26" i="21"/>
  <c r="GQ27" i="21"/>
  <c r="GO26" i="21"/>
  <c r="GV25" i="21" s="1"/>
  <c r="DD25" i="21"/>
  <c r="AY23" i="21"/>
  <c r="BA23" i="21"/>
  <c r="FZ24" i="21"/>
  <c r="DI23" i="21"/>
  <c r="FL25" i="21"/>
  <c r="GI24" i="21"/>
  <c r="GJ24" i="21"/>
  <c r="GG27" i="21"/>
  <c r="GF26" i="21"/>
  <c r="GE26" i="21"/>
  <c r="GL25" i="21" s="1"/>
  <c r="GH25" i="21"/>
  <c r="FV26" i="21"/>
  <c r="FW27" i="21"/>
  <c r="GA24" i="21"/>
  <c r="FX25" i="21"/>
  <c r="FU26" i="21"/>
  <c r="CX23" i="21"/>
  <c r="FP23" i="21"/>
  <c r="FB26" i="21"/>
  <c r="FM26" i="21"/>
  <c r="FK25" i="21"/>
  <c r="FR24" i="21" s="1"/>
  <c r="FN24" i="21"/>
  <c r="FO23" i="21"/>
  <c r="FA26" i="21"/>
  <c r="FH25" i="21" s="1"/>
  <c r="FC27" i="21"/>
  <c r="FF24" i="21"/>
  <c r="FD25" i="21"/>
  <c r="FE24" i="21"/>
  <c r="EQ26" i="21"/>
  <c r="EX25" i="21" s="1"/>
  <c r="ES27" i="21"/>
  <c r="ET25" i="21"/>
  <c r="EV24" i="21"/>
  <c r="ER26" i="21"/>
  <c r="EW24" i="21"/>
  <c r="CY23" i="21"/>
  <c r="DS23" i="21"/>
  <c r="EL23" i="21"/>
  <c r="EJ24" i="21"/>
  <c r="EK23" i="21"/>
  <c r="EG25" i="21"/>
  <c r="EN24" i="21" s="1"/>
  <c r="EI26" i="21"/>
  <c r="EH25" i="21"/>
  <c r="EB23" i="21"/>
  <c r="EC23" i="21"/>
  <c r="DW25" i="21"/>
  <c r="ED24" i="21" s="1"/>
  <c r="DY26" i="21"/>
  <c r="EA23" i="21"/>
  <c r="DM25" i="21"/>
  <c r="DT24" i="21" s="1"/>
  <c r="DO26" i="21"/>
  <c r="DQ23" i="21"/>
  <c r="DP24" i="21"/>
  <c r="DN25" i="21"/>
  <c r="BJ24" i="21"/>
  <c r="CE23" i="21"/>
  <c r="BF26" i="21"/>
  <c r="DH23" i="21"/>
  <c r="DG23" i="21"/>
  <c r="DE26" i="21"/>
  <c r="DC25" i="21"/>
  <c r="DJ24" i="21" s="1"/>
  <c r="DF24" i="21"/>
  <c r="CU26" i="21"/>
  <c r="CT25" i="21"/>
  <c r="CS25" i="21"/>
  <c r="CZ24" i="21" s="1"/>
  <c r="CV24" i="21"/>
  <c r="CW23" i="21"/>
  <c r="CJ25" i="21"/>
  <c r="BS23" i="21"/>
  <c r="CL24" i="21"/>
  <c r="CO23" i="21"/>
  <c r="CM23" i="21"/>
  <c r="CK26" i="21"/>
  <c r="CI25" i="21"/>
  <c r="CP24" i="21" s="1"/>
  <c r="BY25" i="21"/>
  <c r="CF24" i="21" s="1"/>
  <c r="CA26" i="21"/>
  <c r="BZ25" i="21"/>
  <c r="CB24" i="21"/>
  <c r="CC23" i="21"/>
  <c r="CD23" i="21"/>
  <c r="BQ26" i="21"/>
  <c r="BO25" i="21"/>
  <c r="BV24" i="21" s="1"/>
  <c r="BP25" i="21"/>
  <c r="BR24" i="21"/>
  <c r="BU23" i="21"/>
  <c r="AX24" i="21"/>
  <c r="BG27" i="21"/>
  <c r="BE26" i="21"/>
  <c r="BL25" i="21" s="1"/>
  <c r="BI24" i="21"/>
  <c r="BH25" i="21"/>
  <c r="BK24" i="21"/>
  <c r="AV25" i="21"/>
  <c r="AW26" i="21"/>
  <c r="AU25" i="21"/>
  <c r="BB24" i="21" s="1"/>
  <c r="AE23" i="21"/>
  <c r="AL26" i="21"/>
  <c r="AF23" i="21"/>
  <c r="AO24" i="21"/>
  <c r="AQ24" i="21"/>
  <c r="AM27" i="21"/>
  <c r="AK26" i="21"/>
  <c r="AR25" i="21" s="1"/>
  <c r="AN25" i="21"/>
  <c r="AP25" i="21" s="1"/>
  <c r="AG23" i="21"/>
  <c r="AD24" i="21"/>
  <c r="AA25" i="21"/>
  <c r="AH24" i="21" s="1"/>
  <c r="B26" i="21"/>
  <c r="C26" i="21" s="1"/>
  <c r="M111" i="25"/>
  <c r="P109" i="25"/>
  <c r="R109" i="25"/>
  <c r="O110" i="25"/>
  <c r="Q110" i="25"/>
  <c r="N110" i="25"/>
  <c r="GB25" i="21" l="1"/>
  <c r="JA45" i="21"/>
  <c r="KL48" i="21"/>
  <c r="JL46" i="21"/>
  <c r="JC45" i="21"/>
  <c r="JB45" i="21"/>
  <c r="KC48" i="21"/>
  <c r="KB47" i="21"/>
  <c r="KH45" i="21"/>
  <c r="KA47" i="21"/>
  <c r="KD46" i="21"/>
  <c r="JJ47" i="21"/>
  <c r="JL47" i="21" s="1"/>
  <c r="JH48" i="21"/>
  <c r="JK46" i="21"/>
  <c r="KN47" i="21"/>
  <c r="KR46" i="21"/>
  <c r="KK48" i="21"/>
  <c r="KO46" i="21"/>
  <c r="KM49" i="21"/>
  <c r="KP46" i="21"/>
  <c r="KQ46" i="21"/>
  <c r="JX45" i="21"/>
  <c r="JQ47" i="21"/>
  <c r="JS48" i="21"/>
  <c r="JT46" i="21"/>
  <c r="JV46" i="21"/>
  <c r="JR47" i="21"/>
  <c r="JI49" i="21"/>
  <c r="JM46" i="21"/>
  <c r="JN46" i="21"/>
  <c r="JG48" i="21"/>
  <c r="IY48" i="21"/>
  <c r="JD45" i="21"/>
  <c r="IW47" i="21"/>
  <c r="IX47" i="21"/>
  <c r="IZ46" i="21"/>
  <c r="BA28" i="25"/>
  <c r="AS27" i="25"/>
  <c r="AY27" i="25" s="1"/>
  <c r="BD27" i="25" s="1"/>
  <c r="BE27" i="25"/>
  <c r="V35" i="25"/>
  <c r="AZ34" i="25"/>
  <c r="M33" i="30"/>
  <c r="K108" i="30"/>
  <c r="L108" i="30" s="1"/>
  <c r="C34" i="30"/>
  <c r="AX27" i="25"/>
  <c r="BH27" i="25" s="1"/>
  <c r="AR28" i="25"/>
  <c r="AQ28" i="25"/>
  <c r="BB28" i="25" s="1"/>
  <c r="AW28" i="25"/>
  <c r="AT29" i="25"/>
  <c r="BG29" i="25" s="1"/>
  <c r="AV34" i="25"/>
  <c r="BF34" i="25" s="1"/>
  <c r="AU28" i="25"/>
  <c r="AN29" i="25"/>
  <c r="AL29" i="25"/>
  <c r="BC29" i="25" s="1"/>
  <c r="AH31" i="25"/>
  <c r="AJ31" i="25" s="1"/>
  <c r="X32" i="25"/>
  <c r="AB32" i="25" s="1"/>
  <c r="Z32" i="25"/>
  <c r="AF32" i="25" s="1"/>
  <c r="AO29" i="25"/>
  <c r="AM29" i="25"/>
  <c r="AP29" i="25" s="1"/>
  <c r="BA29" i="25" s="1"/>
  <c r="AK30" i="25"/>
  <c r="AE32" i="25"/>
  <c r="AG32" i="25"/>
  <c r="AC32" i="25"/>
  <c r="AD31" i="25"/>
  <c r="AI31" i="25" s="1"/>
  <c r="Y33" i="25"/>
  <c r="W33" i="25"/>
  <c r="AA33" i="25" s="1"/>
  <c r="S17" i="24"/>
  <c r="Q17" i="24"/>
  <c r="L18" i="24"/>
  <c r="K18" i="24"/>
  <c r="H18" i="24"/>
  <c r="J18" i="24"/>
  <c r="O18" i="24"/>
  <c r="R18" i="24"/>
  <c r="G18" i="24"/>
  <c r="I18" i="24"/>
  <c r="M18" i="24"/>
  <c r="N18" i="24"/>
  <c r="P18" i="24"/>
  <c r="F18" i="24"/>
  <c r="AZ24" i="21"/>
  <c r="GU25" i="21"/>
  <c r="GT25" i="21"/>
  <c r="HW24" i="21"/>
  <c r="HN25" i="21"/>
  <c r="KV27" i="21"/>
  <c r="IG25" i="21"/>
  <c r="KX26" i="21"/>
  <c r="EB24" i="21"/>
  <c r="EM24" i="21"/>
  <c r="GR26" i="21"/>
  <c r="GS25" i="21"/>
  <c r="KZ25" i="21"/>
  <c r="KW28" i="21"/>
  <c r="LA25" i="21"/>
  <c r="KY25" i="21"/>
  <c r="KU27" i="21"/>
  <c r="LB26" i="21" s="1"/>
  <c r="EV25" i="21"/>
  <c r="EC24" i="21"/>
  <c r="HY24" i="21"/>
  <c r="GZ26" i="21"/>
  <c r="HB25" i="21"/>
  <c r="HM25" i="21"/>
  <c r="EA24" i="21"/>
  <c r="IQ25" i="21"/>
  <c r="IR25" i="21"/>
  <c r="IO28" i="21"/>
  <c r="IM27" i="21"/>
  <c r="IT26" i="21" s="1"/>
  <c r="IP26" i="21"/>
  <c r="IN27" i="21"/>
  <c r="IS25" i="21"/>
  <c r="HJ27" i="21"/>
  <c r="DX26" i="21"/>
  <c r="IE28" i="21"/>
  <c r="IC27" i="21"/>
  <c r="IJ26" i="21" s="1"/>
  <c r="IF26" i="21"/>
  <c r="ID27" i="21"/>
  <c r="II25" i="21"/>
  <c r="IH25" i="21"/>
  <c r="HU27" i="21"/>
  <c r="HS26" i="21"/>
  <c r="HZ25" i="21" s="1"/>
  <c r="HT26" i="21"/>
  <c r="HV25" i="21"/>
  <c r="HX24" i="21"/>
  <c r="HK28" i="21"/>
  <c r="HL26" i="21"/>
  <c r="HI27" i="21"/>
  <c r="HP26" i="21" s="1"/>
  <c r="HO25" i="21"/>
  <c r="HE24" i="21"/>
  <c r="GY26" i="21"/>
  <c r="HF25" i="21" s="1"/>
  <c r="HC24" i="21"/>
  <c r="HA27" i="21"/>
  <c r="HD24" i="21"/>
  <c r="BF27" i="21"/>
  <c r="GQ28" i="21"/>
  <c r="GP27" i="21"/>
  <c r="GO27" i="21"/>
  <c r="GV26" i="21" s="1"/>
  <c r="FP24" i="21"/>
  <c r="FX26" i="21"/>
  <c r="FD26" i="21"/>
  <c r="EK24" i="21"/>
  <c r="CC24" i="21"/>
  <c r="GF27" i="21"/>
  <c r="GI25" i="21"/>
  <c r="GJ25" i="21"/>
  <c r="GK25" i="21"/>
  <c r="GH26" i="21"/>
  <c r="GG28" i="21"/>
  <c r="GE27" i="21"/>
  <c r="GL26" i="21" s="1"/>
  <c r="GA25" i="21"/>
  <c r="FZ25" i="21"/>
  <c r="FW28" i="21"/>
  <c r="FU27" i="21"/>
  <c r="GB26" i="21" s="1"/>
  <c r="FV27" i="21"/>
  <c r="FY25" i="21"/>
  <c r="ET26" i="21"/>
  <c r="CW24" i="21"/>
  <c r="FO24" i="21"/>
  <c r="FM27" i="21"/>
  <c r="FK26" i="21"/>
  <c r="FR25" i="21" s="1"/>
  <c r="FL26" i="21"/>
  <c r="FN25" i="21"/>
  <c r="FQ24" i="21"/>
  <c r="FC28" i="21"/>
  <c r="FA27" i="21"/>
  <c r="FH26" i="21" s="1"/>
  <c r="FF25" i="21"/>
  <c r="FB27" i="21"/>
  <c r="FE25" i="21"/>
  <c r="FG25" i="21"/>
  <c r="EQ27" i="21"/>
  <c r="EX26" i="21" s="1"/>
  <c r="ES28" i="21"/>
  <c r="EW25" i="21"/>
  <c r="ER27" i="21"/>
  <c r="EU25" i="21"/>
  <c r="DP25" i="21"/>
  <c r="CV25" i="21"/>
  <c r="EL24" i="21"/>
  <c r="CM24" i="21"/>
  <c r="EI27" i="21"/>
  <c r="EG26" i="21"/>
  <c r="EN25" i="21" s="1"/>
  <c r="EJ25" i="21"/>
  <c r="EH26" i="21"/>
  <c r="DW26" i="21"/>
  <c r="ED25" i="21" s="1"/>
  <c r="DY27" i="21"/>
  <c r="DZ25" i="21"/>
  <c r="DO27" i="21"/>
  <c r="DQ24" i="21"/>
  <c r="DM26" i="21"/>
  <c r="DT25" i="21" s="1"/>
  <c r="DS24" i="21"/>
  <c r="DN26" i="21"/>
  <c r="DR24" i="21"/>
  <c r="BK25" i="21"/>
  <c r="BR25" i="21"/>
  <c r="CT26" i="21"/>
  <c r="BH26" i="21"/>
  <c r="DC26" i="21"/>
  <c r="DJ25" i="21" s="1"/>
  <c r="DI24" i="21"/>
  <c r="DH24" i="21"/>
  <c r="DG24" i="21"/>
  <c r="DF25" i="21"/>
  <c r="DE27" i="21"/>
  <c r="DD26" i="21"/>
  <c r="CX24" i="21"/>
  <c r="CS26" i="21"/>
  <c r="CZ25" i="21" s="1"/>
  <c r="CY24" i="21"/>
  <c r="CU27" i="21"/>
  <c r="BA24" i="21"/>
  <c r="CB25" i="21"/>
  <c r="BP26" i="21"/>
  <c r="CL25" i="21"/>
  <c r="CJ26" i="21"/>
  <c r="CK27" i="21"/>
  <c r="CO24" i="21"/>
  <c r="CI26" i="21"/>
  <c r="CP25" i="21" s="1"/>
  <c r="CN24" i="21"/>
  <c r="BZ26" i="21"/>
  <c r="BY26" i="21"/>
  <c r="CF25" i="21" s="1"/>
  <c r="CA27" i="21"/>
  <c r="CD24" i="21"/>
  <c r="CE24" i="21"/>
  <c r="BO26" i="21"/>
  <c r="BV25" i="21" s="1"/>
  <c r="BQ27" i="21"/>
  <c r="BS24" i="21"/>
  <c r="BU24" i="21"/>
  <c r="BT24" i="21"/>
  <c r="AX25" i="21"/>
  <c r="AY24" i="21"/>
  <c r="BJ25" i="21"/>
  <c r="BI25" i="21"/>
  <c r="BE27" i="21"/>
  <c r="BL26" i="21" s="1"/>
  <c r="BG28" i="21"/>
  <c r="AV26" i="21"/>
  <c r="AW27" i="21"/>
  <c r="AU26" i="21"/>
  <c r="BB25" i="21" s="1"/>
  <c r="AE24" i="21"/>
  <c r="AL27" i="21"/>
  <c r="AF24" i="21"/>
  <c r="AN26" i="21"/>
  <c r="AP26" i="21" s="1"/>
  <c r="AO25" i="21"/>
  <c r="AQ25" i="21"/>
  <c r="AK27" i="21"/>
  <c r="AR26" i="21" s="1"/>
  <c r="AM28" i="21"/>
  <c r="AG24" i="21"/>
  <c r="AD25" i="21"/>
  <c r="AA26" i="21"/>
  <c r="AH25" i="21" s="1"/>
  <c r="B27" i="21"/>
  <c r="C27" i="21" s="1"/>
  <c r="S109" i="25"/>
  <c r="N111" i="25"/>
  <c r="Q111" i="25"/>
  <c r="O111" i="25"/>
  <c r="P110" i="25"/>
  <c r="R110" i="25"/>
  <c r="M112" i="25"/>
  <c r="KO47" i="21" l="1"/>
  <c r="JK47" i="21"/>
  <c r="JM47" i="21"/>
  <c r="JB46" i="21"/>
  <c r="JA46" i="21"/>
  <c r="JT47" i="21"/>
  <c r="JV47" i="21" s="1"/>
  <c r="JJ48" i="21"/>
  <c r="JL48" i="21" s="1"/>
  <c r="KH46" i="21"/>
  <c r="KA48" i="21"/>
  <c r="KF46" i="21"/>
  <c r="KD47" i="21"/>
  <c r="KG46" i="21"/>
  <c r="KB48" i="21"/>
  <c r="KC49" i="21"/>
  <c r="KE46" i="21"/>
  <c r="KQ47" i="21"/>
  <c r="IX48" i="21"/>
  <c r="KP47" i="21"/>
  <c r="KM50" i="21"/>
  <c r="KL49" i="21"/>
  <c r="KR47" i="21"/>
  <c r="KK49" i="21"/>
  <c r="KN48" i="21"/>
  <c r="KO48" i="21" s="1"/>
  <c r="JS49" i="21"/>
  <c r="JX46" i="21"/>
  <c r="JQ48" i="21"/>
  <c r="JU46" i="21"/>
  <c r="JR48" i="21"/>
  <c r="JW46" i="21"/>
  <c r="JI50" i="21"/>
  <c r="JN47" i="21"/>
  <c r="JG49" i="21"/>
  <c r="JH49" i="21"/>
  <c r="JD46" i="21"/>
  <c r="IW48" i="21"/>
  <c r="IY49" i="21"/>
  <c r="IZ47" i="21"/>
  <c r="JC46" i="21"/>
  <c r="AS28" i="25"/>
  <c r="BE28" i="25"/>
  <c r="V36" i="25"/>
  <c r="AZ35" i="25"/>
  <c r="M34" i="30"/>
  <c r="K109" i="30"/>
  <c r="L109" i="30" s="1"/>
  <c r="C35" i="30"/>
  <c r="AX28" i="25"/>
  <c r="BH28" i="25" s="1"/>
  <c r="AR29" i="25"/>
  <c r="AQ29" i="25"/>
  <c r="BB29" i="25" s="1"/>
  <c r="AW29" i="25"/>
  <c r="AU29" i="25"/>
  <c r="AT30" i="25"/>
  <c r="BG30" i="25" s="1"/>
  <c r="AV35" i="25"/>
  <c r="BF35" i="25" s="1"/>
  <c r="AN30" i="25"/>
  <c r="AL30" i="25"/>
  <c r="BC30" i="25" s="1"/>
  <c r="AH32" i="25"/>
  <c r="AJ32" i="25" s="1"/>
  <c r="X33" i="25"/>
  <c r="AB33" i="25" s="1"/>
  <c r="Z33" i="25"/>
  <c r="AH33" i="25" s="1"/>
  <c r="AO30" i="25"/>
  <c r="AM30" i="25"/>
  <c r="AP30" i="25" s="1"/>
  <c r="BA30" i="25" s="1"/>
  <c r="AK31" i="25"/>
  <c r="AE33" i="25"/>
  <c r="AG33" i="25"/>
  <c r="AC33" i="25"/>
  <c r="Y34" i="25"/>
  <c r="AD32" i="25"/>
  <c r="AI32" i="25" s="1"/>
  <c r="W34" i="25"/>
  <c r="AA34" i="25" s="1"/>
  <c r="S18" i="24"/>
  <c r="Q18" i="24"/>
  <c r="GU26" i="21"/>
  <c r="FE26" i="21"/>
  <c r="HW25" i="21"/>
  <c r="EV26" i="21"/>
  <c r="KZ26" i="21"/>
  <c r="KY26" i="21"/>
  <c r="LA26" i="21"/>
  <c r="GT26" i="21"/>
  <c r="GS26" i="21"/>
  <c r="CX25" i="21"/>
  <c r="EC25" i="21"/>
  <c r="KU28" i="21"/>
  <c r="LB27" i="21" s="1"/>
  <c r="KX27" i="21"/>
  <c r="KW29" i="21"/>
  <c r="KV28" i="21"/>
  <c r="HD25" i="21"/>
  <c r="HC25" i="21"/>
  <c r="HE25" i="21"/>
  <c r="CY25" i="21"/>
  <c r="IQ26" i="21"/>
  <c r="IR26" i="21"/>
  <c r="ID28" i="21"/>
  <c r="IN28" i="21"/>
  <c r="HO26" i="21"/>
  <c r="IP27" i="21"/>
  <c r="IM28" i="21"/>
  <c r="IT27" i="21" s="1"/>
  <c r="IO29" i="21"/>
  <c r="IS26" i="21"/>
  <c r="BF28" i="21"/>
  <c r="HY25" i="21"/>
  <c r="HT27" i="21"/>
  <c r="CM25" i="21"/>
  <c r="IF27" i="21"/>
  <c r="II26" i="21"/>
  <c r="IG26" i="21"/>
  <c r="IC28" i="21"/>
  <c r="IJ27" i="21" s="1"/>
  <c r="IE29" i="21"/>
  <c r="IH26" i="21"/>
  <c r="HS27" i="21"/>
  <c r="HZ26" i="21" s="1"/>
  <c r="HX25" i="21"/>
  <c r="HU28" i="21"/>
  <c r="HV26" i="21"/>
  <c r="HL27" i="21"/>
  <c r="HK29" i="21"/>
  <c r="HI28" i="21"/>
  <c r="HP27" i="21" s="1"/>
  <c r="HJ28" i="21"/>
  <c r="HN26" i="21"/>
  <c r="HM26" i="21"/>
  <c r="HA28" i="21"/>
  <c r="GY27" i="21"/>
  <c r="HF26" i="21" s="1"/>
  <c r="HB26" i="21"/>
  <c r="GZ27" i="21"/>
  <c r="CT27" i="21"/>
  <c r="FL27" i="21"/>
  <c r="FV28" i="21"/>
  <c r="FB28" i="21"/>
  <c r="GP28" i="21"/>
  <c r="GR27" i="21"/>
  <c r="GQ29" i="21"/>
  <c r="GO28" i="21"/>
  <c r="GV27" i="21" s="1"/>
  <c r="EU26" i="21"/>
  <c r="GH27" i="21"/>
  <c r="CC25" i="21"/>
  <c r="FF26" i="21"/>
  <c r="EW26" i="21"/>
  <c r="BI26" i="21"/>
  <c r="GK26" i="21"/>
  <c r="BJ26" i="21"/>
  <c r="FZ26" i="21"/>
  <c r="GA26" i="21"/>
  <c r="CW25" i="21"/>
  <c r="FG26" i="21"/>
  <c r="FY26" i="21"/>
  <c r="GG29" i="21"/>
  <c r="GJ26" i="21"/>
  <c r="GI26" i="21"/>
  <c r="GE28" i="21"/>
  <c r="GL27" i="21" s="1"/>
  <c r="GF28" i="21"/>
  <c r="FX27" i="21"/>
  <c r="FW29" i="21"/>
  <c r="FU28" i="21"/>
  <c r="GB27" i="21" s="1"/>
  <c r="BA25" i="21"/>
  <c r="DR25" i="21"/>
  <c r="ER28" i="21"/>
  <c r="BT25" i="21"/>
  <c r="DN27" i="21"/>
  <c r="EA25" i="21"/>
  <c r="BU25" i="21"/>
  <c r="DS25" i="21"/>
  <c r="EB25" i="21"/>
  <c r="BS25" i="21"/>
  <c r="DP26" i="21"/>
  <c r="BR26" i="21"/>
  <c r="DQ25" i="21"/>
  <c r="FN26" i="21"/>
  <c r="FP25" i="21"/>
  <c r="FO25" i="21"/>
  <c r="FM28" i="21"/>
  <c r="FK27" i="21"/>
  <c r="FR26" i="21" s="1"/>
  <c r="FQ25" i="21"/>
  <c r="FA28" i="21"/>
  <c r="FH27" i="21" s="1"/>
  <c r="FC29" i="21"/>
  <c r="FD27" i="21"/>
  <c r="ES29" i="21"/>
  <c r="ET27" i="21"/>
  <c r="EQ28" i="21"/>
  <c r="EX27" i="21" s="1"/>
  <c r="EH27" i="21"/>
  <c r="EJ26" i="21"/>
  <c r="EL25" i="21"/>
  <c r="EK25" i="21"/>
  <c r="EG27" i="21"/>
  <c r="EN26" i="21" s="1"/>
  <c r="EM25" i="21"/>
  <c r="EI28" i="21"/>
  <c r="DW27" i="21"/>
  <c r="ED26" i="21" s="1"/>
  <c r="DY28" i="21"/>
  <c r="DZ26" i="21"/>
  <c r="DX27" i="21"/>
  <c r="DM27" i="21"/>
  <c r="DT26" i="21" s="1"/>
  <c r="DO28" i="21"/>
  <c r="AZ25" i="21"/>
  <c r="AY25" i="21"/>
  <c r="DF26" i="21"/>
  <c r="BK26" i="21"/>
  <c r="DG25" i="21"/>
  <c r="DE28" i="21"/>
  <c r="DH25" i="21"/>
  <c r="DI25" i="21"/>
  <c r="DC27" i="21"/>
  <c r="DJ26" i="21" s="1"/>
  <c r="DD27" i="21"/>
  <c r="CU28" i="21"/>
  <c r="CS27" i="21"/>
  <c r="CZ26" i="21" s="1"/>
  <c r="CV26" i="21"/>
  <c r="CN25" i="21"/>
  <c r="CE25" i="21"/>
  <c r="CD25" i="21"/>
  <c r="CO25" i="21"/>
  <c r="CK28" i="21"/>
  <c r="CI27" i="21"/>
  <c r="CP26" i="21" s="1"/>
  <c r="CJ27" i="21"/>
  <c r="CL26" i="21"/>
  <c r="CA28" i="21"/>
  <c r="BY27" i="21"/>
  <c r="CF26" i="21" s="1"/>
  <c r="BZ27" i="21"/>
  <c r="CB26" i="21"/>
  <c r="BQ28" i="21"/>
  <c r="BO27" i="21"/>
  <c r="BV26" i="21" s="1"/>
  <c r="BP27" i="21"/>
  <c r="BE28" i="21"/>
  <c r="BL27" i="21" s="1"/>
  <c r="BG29" i="21"/>
  <c r="BH27" i="21"/>
  <c r="AV27" i="21"/>
  <c r="AU27" i="21"/>
  <c r="BB26" i="21" s="1"/>
  <c r="AX26" i="21"/>
  <c r="AW28" i="21"/>
  <c r="AE25" i="21"/>
  <c r="AF25" i="21"/>
  <c r="AO26" i="21"/>
  <c r="AQ26" i="21"/>
  <c r="AK28" i="21"/>
  <c r="AR27" i="21" s="1"/>
  <c r="AN27" i="21"/>
  <c r="AP27" i="21" s="1"/>
  <c r="AM29" i="21"/>
  <c r="AL28" i="21"/>
  <c r="AG25" i="21"/>
  <c r="AA27" i="21"/>
  <c r="AH26" i="21" s="1"/>
  <c r="AD26" i="21"/>
  <c r="B28" i="21"/>
  <c r="C28" i="21" s="1"/>
  <c r="S110" i="25"/>
  <c r="P111" i="25"/>
  <c r="R111" i="25"/>
  <c r="M113" i="25"/>
  <c r="Q112" i="25"/>
  <c r="O112" i="25"/>
  <c r="N112" i="25"/>
  <c r="JW47" i="21" l="1"/>
  <c r="JU47" i="21"/>
  <c r="JJ49" i="21"/>
  <c r="JL49" i="21" s="1"/>
  <c r="JK48" i="21"/>
  <c r="JM48" i="21"/>
  <c r="KF47" i="21"/>
  <c r="KE47" i="21"/>
  <c r="KP48" i="21"/>
  <c r="KB49" i="21"/>
  <c r="KG47" i="21"/>
  <c r="KH47" i="21"/>
  <c r="KA49" i="21"/>
  <c r="KC50" i="21"/>
  <c r="KD48" i="21"/>
  <c r="IZ48" i="21"/>
  <c r="KL50" i="21"/>
  <c r="IX49" i="21"/>
  <c r="KQ48" i="21"/>
  <c r="JH50" i="21"/>
  <c r="JR49" i="21"/>
  <c r="KR48" i="21"/>
  <c r="KK50" i="21"/>
  <c r="KM51" i="21"/>
  <c r="KN49" i="21"/>
  <c r="KO49" i="21" s="1"/>
  <c r="JX47" i="21"/>
  <c r="JQ49" i="21"/>
  <c r="JS50" i="21"/>
  <c r="JT48" i="21"/>
  <c r="JI51" i="21"/>
  <c r="JN48" i="21"/>
  <c r="JG50" i="21"/>
  <c r="JD47" i="21"/>
  <c r="IW49" i="21"/>
  <c r="IY50" i="21"/>
  <c r="JC47" i="21"/>
  <c r="JA47" i="21"/>
  <c r="JB47" i="21"/>
  <c r="AY28" i="25"/>
  <c r="BD28" i="25" s="1"/>
  <c r="AS29" i="25"/>
  <c r="AY29" i="25" s="1"/>
  <c r="BD29" i="25" s="1"/>
  <c r="BE29" i="25"/>
  <c r="V37" i="25"/>
  <c r="AZ36" i="25"/>
  <c r="M35" i="30"/>
  <c r="K110" i="30"/>
  <c r="L110" i="30" s="1"/>
  <c r="C36" i="30"/>
  <c r="AX29" i="25"/>
  <c r="BH29" i="25" s="1"/>
  <c r="AR30" i="25"/>
  <c r="AQ30" i="25"/>
  <c r="BB30" i="25" s="1"/>
  <c r="AW30" i="25"/>
  <c r="AT31" i="25"/>
  <c r="BG31" i="25" s="1"/>
  <c r="AV36" i="25"/>
  <c r="BF36" i="25" s="1"/>
  <c r="AU30" i="25"/>
  <c r="AN31" i="25"/>
  <c r="AL31" i="25"/>
  <c r="BC31" i="25" s="1"/>
  <c r="AF33" i="25"/>
  <c r="AJ33" i="25" s="1"/>
  <c r="X34" i="25"/>
  <c r="AB34" i="25" s="1"/>
  <c r="Z34" i="25"/>
  <c r="AH34" i="25" s="1"/>
  <c r="AO31" i="25"/>
  <c r="AM31" i="25"/>
  <c r="AP31" i="25" s="1"/>
  <c r="BA31" i="25" s="1"/>
  <c r="AK32" i="25"/>
  <c r="AG34" i="25"/>
  <c r="AE34" i="25"/>
  <c r="AC34" i="25"/>
  <c r="AD33" i="25"/>
  <c r="AI33" i="25" s="1"/>
  <c r="Y35" i="25"/>
  <c r="W35" i="25"/>
  <c r="AA35" i="25" s="1"/>
  <c r="HW26" i="21"/>
  <c r="LA27" i="21"/>
  <c r="GS27" i="21"/>
  <c r="EC26" i="21"/>
  <c r="DQ26" i="21"/>
  <c r="HD26" i="21"/>
  <c r="KY27" i="21"/>
  <c r="CN26" i="21"/>
  <c r="KV29" i="21"/>
  <c r="KZ27" i="21"/>
  <c r="KX28" i="21"/>
  <c r="KW30" i="21"/>
  <c r="KU29" i="21"/>
  <c r="LB28" i="21" s="1"/>
  <c r="ID29" i="21"/>
  <c r="HN27" i="21"/>
  <c r="FP26" i="21"/>
  <c r="HE26" i="21"/>
  <c r="HJ29" i="21"/>
  <c r="CY26" i="21"/>
  <c r="IQ27" i="21"/>
  <c r="IN29" i="21"/>
  <c r="IR27" i="21"/>
  <c r="IS27" i="21"/>
  <c r="IO30" i="21"/>
  <c r="IM29" i="21"/>
  <c r="IT28" i="21" s="1"/>
  <c r="IP28" i="21"/>
  <c r="GZ28" i="21"/>
  <c r="HX26" i="21"/>
  <c r="FZ27" i="21"/>
  <c r="HB27" i="21"/>
  <c r="BS26" i="21"/>
  <c r="HL28" i="21"/>
  <c r="II27" i="21"/>
  <c r="IH27" i="21"/>
  <c r="IG27" i="21"/>
  <c r="IC29" i="21"/>
  <c r="IJ28" i="21" s="1"/>
  <c r="IE30" i="21"/>
  <c r="IF28" i="21"/>
  <c r="HU29" i="21"/>
  <c r="HS28" i="21"/>
  <c r="HZ27" i="21" s="1"/>
  <c r="HT28" i="21"/>
  <c r="HV27" i="21"/>
  <c r="HY26" i="21"/>
  <c r="HI29" i="21"/>
  <c r="HP28" i="21" s="1"/>
  <c r="HK30" i="21"/>
  <c r="HM27" i="21"/>
  <c r="HO27" i="21"/>
  <c r="GY28" i="21"/>
  <c r="HF27" i="21" s="1"/>
  <c r="HC26" i="21"/>
  <c r="HA29" i="21"/>
  <c r="FQ26" i="21"/>
  <c r="BI27" i="21"/>
  <c r="EW27" i="21"/>
  <c r="ER29" i="21"/>
  <c r="GI27" i="21"/>
  <c r="EK26" i="21"/>
  <c r="FG27" i="21"/>
  <c r="FO26" i="21"/>
  <c r="GJ27" i="21"/>
  <c r="GK27" i="21"/>
  <c r="GQ30" i="21"/>
  <c r="GU27" i="21"/>
  <c r="GR28" i="21"/>
  <c r="GP29" i="21"/>
  <c r="GO29" i="21"/>
  <c r="GV28" i="21" s="1"/>
  <c r="GT27" i="21"/>
  <c r="BT26" i="21"/>
  <c r="GH28" i="21"/>
  <c r="DH26" i="21"/>
  <c r="DR26" i="21"/>
  <c r="CE26" i="21"/>
  <c r="DS26" i="21"/>
  <c r="BU26" i="21"/>
  <c r="GG30" i="21"/>
  <c r="GF29" i="21"/>
  <c r="GE29" i="21"/>
  <c r="GL28" i="21" s="1"/>
  <c r="FU29" i="21"/>
  <c r="GB28" i="21" s="1"/>
  <c r="FV29" i="21"/>
  <c r="FX28" i="21"/>
  <c r="FW30" i="21"/>
  <c r="GA27" i="21"/>
  <c r="FY27" i="21"/>
  <c r="EM26" i="21"/>
  <c r="FF27" i="21"/>
  <c r="BZ28" i="21"/>
  <c r="CX26" i="21"/>
  <c r="EL26" i="21"/>
  <c r="AZ26" i="21"/>
  <c r="FM29" i="21"/>
  <c r="FL28" i="21"/>
  <c r="FK28" i="21"/>
  <c r="FR27" i="21" s="1"/>
  <c r="FN27" i="21"/>
  <c r="FC30" i="21"/>
  <c r="FA29" i="21"/>
  <c r="FH28" i="21" s="1"/>
  <c r="FD28" i="21"/>
  <c r="FE27" i="21"/>
  <c r="FB29" i="21"/>
  <c r="EQ29" i="21"/>
  <c r="EX28" i="21" s="1"/>
  <c r="ET28" i="21"/>
  <c r="EV27" i="21"/>
  <c r="ES30" i="21"/>
  <c r="EU27" i="21"/>
  <c r="DZ27" i="21"/>
  <c r="EB26" i="21"/>
  <c r="DI26" i="21"/>
  <c r="BP28" i="21"/>
  <c r="CD26" i="21"/>
  <c r="DG26" i="21"/>
  <c r="EG28" i="21"/>
  <c r="EN27" i="21" s="1"/>
  <c r="EI29" i="21"/>
  <c r="EH28" i="21"/>
  <c r="EJ27" i="21"/>
  <c r="DY29" i="21"/>
  <c r="DW28" i="21"/>
  <c r="ED27" i="21" s="1"/>
  <c r="DX28" i="21"/>
  <c r="EA26" i="21"/>
  <c r="DM28" i="21"/>
  <c r="DT27" i="21" s="1"/>
  <c r="DO29" i="21"/>
  <c r="DN28" i="21"/>
  <c r="DP27" i="21"/>
  <c r="DE29" i="21"/>
  <c r="DD28" i="21"/>
  <c r="DC28" i="21"/>
  <c r="DJ27" i="21" s="1"/>
  <c r="DF27" i="21"/>
  <c r="CS28" i="21"/>
  <c r="CZ27" i="21" s="1"/>
  <c r="CU29" i="21"/>
  <c r="CV27" i="21"/>
  <c r="CW26" i="21"/>
  <c r="CT28" i="21"/>
  <c r="AV28" i="21"/>
  <c r="CJ28" i="21"/>
  <c r="CM26" i="21"/>
  <c r="CL27" i="21"/>
  <c r="CI28" i="21"/>
  <c r="CP27" i="21" s="1"/>
  <c r="CO26" i="21"/>
  <c r="CK29" i="21"/>
  <c r="BY28" i="21"/>
  <c r="CF27" i="21" s="1"/>
  <c r="CA29" i="21"/>
  <c r="CC26" i="21"/>
  <c r="CB27" i="21"/>
  <c r="BO28" i="21"/>
  <c r="BV27" i="21" s="1"/>
  <c r="BQ29" i="21"/>
  <c r="BR27" i="21"/>
  <c r="BG30" i="21"/>
  <c r="BF29" i="21"/>
  <c r="BJ27" i="21"/>
  <c r="BK27" i="21"/>
  <c r="BH28" i="21"/>
  <c r="BE29" i="21"/>
  <c r="BL28" i="21" s="1"/>
  <c r="AX27" i="21"/>
  <c r="AU28" i="21"/>
  <c r="BB27" i="21" s="1"/>
  <c r="AW29" i="21"/>
  <c r="AY26" i="21"/>
  <c r="BA26" i="21"/>
  <c r="AF26" i="21"/>
  <c r="AL29" i="21"/>
  <c r="AK29" i="21"/>
  <c r="AR28" i="21" s="1"/>
  <c r="AN28" i="21"/>
  <c r="AP28" i="21" s="1"/>
  <c r="AM30" i="21"/>
  <c r="AO27" i="21"/>
  <c r="AQ27" i="21"/>
  <c r="AE26" i="21"/>
  <c r="AG26" i="21"/>
  <c r="AA28" i="21"/>
  <c r="AH27" i="21" s="1"/>
  <c r="AD27" i="21"/>
  <c r="B29" i="21"/>
  <c r="C29" i="21" s="1"/>
  <c r="S111" i="25"/>
  <c r="M114" i="25"/>
  <c r="N113" i="25"/>
  <c r="O113" i="25"/>
  <c r="Q113" i="25"/>
  <c r="R112" i="25"/>
  <c r="P112" i="25"/>
  <c r="JC48" i="21" l="1"/>
  <c r="JK49" i="21"/>
  <c r="JU48" i="21"/>
  <c r="JM49" i="21"/>
  <c r="JB48" i="21"/>
  <c r="JA48" i="21"/>
  <c r="KB50" i="21"/>
  <c r="JW48" i="21"/>
  <c r="KD49" i="21"/>
  <c r="KG48" i="21"/>
  <c r="KE48" i="21"/>
  <c r="KC51" i="21"/>
  <c r="KH48" i="21"/>
  <c r="KA50" i="21"/>
  <c r="KF48" i="21"/>
  <c r="KQ49" i="21"/>
  <c r="KM52" i="21"/>
  <c r="KL51" i="21"/>
  <c r="KR49" i="21"/>
  <c r="KK51" i="21"/>
  <c r="KN50" i="21"/>
  <c r="KP49" i="21"/>
  <c r="JS51" i="21"/>
  <c r="JX48" i="21"/>
  <c r="JQ50" i="21"/>
  <c r="JT49" i="21"/>
  <c r="JV48" i="21"/>
  <c r="JR50" i="21"/>
  <c r="JI52" i="21"/>
  <c r="JH51" i="21"/>
  <c r="JN49" i="21"/>
  <c r="JG51" i="21"/>
  <c r="JJ50" i="21"/>
  <c r="IY51" i="21"/>
  <c r="JD48" i="21"/>
  <c r="IW50" i="21"/>
  <c r="IX50" i="21"/>
  <c r="IZ49" i="21"/>
  <c r="JC49" i="21" s="1"/>
  <c r="CD27" i="21"/>
  <c r="AS30" i="25"/>
  <c r="AY30" i="25" s="1"/>
  <c r="BD30" i="25" s="1"/>
  <c r="BE30" i="25"/>
  <c r="V38" i="25"/>
  <c r="AZ37" i="25"/>
  <c r="M36" i="30"/>
  <c r="K111" i="30"/>
  <c r="L111" i="30" s="1"/>
  <c r="C37" i="30"/>
  <c r="AX30" i="25"/>
  <c r="BH30" i="25" s="1"/>
  <c r="AR31" i="25"/>
  <c r="AQ31" i="25"/>
  <c r="BB31" i="25" s="1"/>
  <c r="AW31" i="25"/>
  <c r="AT32" i="25"/>
  <c r="BG32" i="25" s="1"/>
  <c r="AV37" i="25"/>
  <c r="BF37" i="25" s="1"/>
  <c r="AU31" i="25"/>
  <c r="AN32" i="25"/>
  <c r="AL32" i="25"/>
  <c r="BC32" i="25" s="1"/>
  <c r="AF34" i="25"/>
  <c r="AJ34" i="25" s="1"/>
  <c r="AC35" i="25"/>
  <c r="X35" i="25"/>
  <c r="AB35" i="25" s="1"/>
  <c r="Z35" i="25"/>
  <c r="AH35" i="25" s="1"/>
  <c r="AO32" i="25"/>
  <c r="AM32" i="25"/>
  <c r="AP32" i="25" s="1"/>
  <c r="BA32" i="25" s="1"/>
  <c r="AK33" i="25"/>
  <c r="AG35" i="25"/>
  <c r="AE35" i="25"/>
  <c r="Y36" i="25"/>
  <c r="AD34" i="25"/>
  <c r="AI34" i="25" s="1"/>
  <c r="W36" i="25"/>
  <c r="AA36" i="25" s="1"/>
  <c r="EC27" i="21"/>
  <c r="HD27" i="21"/>
  <c r="EW28" i="21"/>
  <c r="KX29" i="21"/>
  <c r="KZ28" i="21"/>
  <c r="LA28" i="21"/>
  <c r="KV30" i="21"/>
  <c r="KW31" i="21"/>
  <c r="KU30" i="21"/>
  <c r="LB29" i="21" s="1"/>
  <c r="KY28" i="21"/>
  <c r="HJ30" i="21"/>
  <c r="HN28" i="21"/>
  <c r="GI28" i="21"/>
  <c r="HE27" i="21"/>
  <c r="EK27" i="21"/>
  <c r="GZ29" i="21"/>
  <c r="HC27" i="21"/>
  <c r="AZ27" i="21"/>
  <c r="BT27" i="21"/>
  <c r="GK28" i="21"/>
  <c r="HM28" i="21"/>
  <c r="IP29" i="21"/>
  <c r="IN30" i="21"/>
  <c r="HX27" i="21"/>
  <c r="IM30" i="21"/>
  <c r="IT29" i="21" s="1"/>
  <c r="IQ28" i="21"/>
  <c r="IR28" i="21"/>
  <c r="IO31" i="21"/>
  <c r="IS28" i="21"/>
  <c r="GP30" i="21"/>
  <c r="HY27" i="21"/>
  <c r="HO28" i="21"/>
  <c r="HT29" i="21"/>
  <c r="GA28" i="21"/>
  <c r="IG28" i="21"/>
  <c r="II28" i="21"/>
  <c r="IF29" i="21"/>
  <c r="IH28" i="21"/>
  <c r="IE31" i="21"/>
  <c r="IC30" i="21"/>
  <c r="IJ29" i="21" s="1"/>
  <c r="ID30" i="21"/>
  <c r="HS29" i="21"/>
  <c r="HZ28" i="21" s="1"/>
  <c r="HU30" i="21"/>
  <c r="HV28" i="21"/>
  <c r="HW27" i="21"/>
  <c r="HK31" i="21"/>
  <c r="HI30" i="21"/>
  <c r="HP29" i="21" s="1"/>
  <c r="HL29" i="21"/>
  <c r="HA30" i="21"/>
  <c r="GY29" i="21"/>
  <c r="HF28" i="21" s="1"/>
  <c r="HB28" i="21"/>
  <c r="FO27" i="21"/>
  <c r="GU28" i="21"/>
  <c r="CX27" i="21"/>
  <c r="EV28" i="21"/>
  <c r="GR29" i="21"/>
  <c r="GQ31" i="21"/>
  <c r="GT28" i="21"/>
  <c r="GO30" i="21"/>
  <c r="GV29" i="21" s="1"/>
  <c r="GS28" i="21"/>
  <c r="CW27" i="21"/>
  <c r="FD29" i="21"/>
  <c r="FQ27" i="21"/>
  <c r="GJ28" i="21"/>
  <c r="DH27" i="21"/>
  <c r="GH29" i="21"/>
  <c r="GF30" i="21"/>
  <c r="GG31" i="21"/>
  <c r="GE30" i="21"/>
  <c r="GL29" i="21" s="1"/>
  <c r="FX29" i="21"/>
  <c r="FW31" i="21"/>
  <c r="FV30" i="21"/>
  <c r="FU30" i="21"/>
  <c r="GB29" i="21" s="1"/>
  <c r="FY28" i="21"/>
  <c r="FZ28" i="21"/>
  <c r="ET29" i="21"/>
  <c r="FG28" i="21"/>
  <c r="FE28" i="21"/>
  <c r="FL29" i="21"/>
  <c r="FP27" i="21"/>
  <c r="FM30" i="21"/>
  <c r="FK29" i="21"/>
  <c r="FR28" i="21" s="1"/>
  <c r="FN28" i="21"/>
  <c r="FA30" i="21"/>
  <c r="FH29" i="21" s="1"/>
  <c r="FF28" i="21"/>
  <c r="FC31" i="21"/>
  <c r="FB30" i="21"/>
  <c r="ES31" i="21"/>
  <c r="EQ30" i="21"/>
  <c r="EX29" i="21" s="1"/>
  <c r="EU28" i="21"/>
  <c r="ER30" i="21"/>
  <c r="CM27" i="21"/>
  <c r="DN29" i="21"/>
  <c r="CJ29" i="21"/>
  <c r="CT29" i="21"/>
  <c r="EL27" i="21"/>
  <c r="EA27" i="21"/>
  <c r="EB27" i="21"/>
  <c r="EI30" i="21"/>
  <c r="EG29" i="21"/>
  <c r="EN28" i="21" s="1"/>
  <c r="EJ28" i="21"/>
  <c r="EH29" i="21"/>
  <c r="EM27" i="21"/>
  <c r="DW29" i="21"/>
  <c r="ED28" i="21" s="1"/>
  <c r="DY30" i="21"/>
  <c r="DX29" i="21"/>
  <c r="DZ28" i="21"/>
  <c r="DR27" i="21"/>
  <c r="DP28" i="21"/>
  <c r="DM29" i="21"/>
  <c r="DT28" i="21" s="1"/>
  <c r="DQ27" i="21"/>
  <c r="DO30" i="21"/>
  <c r="DS27" i="21"/>
  <c r="CO27" i="21"/>
  <c r="BH29" i="21"/>
  <c r="DG27" i="21"/>
  <c r="DE30" i="21"/>
  <c r="DC29" i="21"/>
  <c r="DJ28" i="21" s="1"/>
  <c r="DD29" i="21"/>
  <c r="DF28" i="21"/>
  <c r="DI27" i="21"/>
  <c r="CV28" i="21"/>
  <c r="CY27" i="21"/>
  <c r="CU30" i="21"/>
  <c r="CS29" i="21"/>
  <c r="CZ28" i="21" s="1"/>
  <c r="CC27" i="21"/>
  <c r="CI29" i="21"/>
  <c r="CP28" i="21" s="1"/>
  <c r="CL28" i="21"/>
  <c r="CK30" i="21"/>
  <c r="CN27" i="21"/>
  <c r="BY29" i="21"/>
  <c r="CF28" i="21" s="1"/>
  <c r="CA30" i="21"/>
  <c r="BZ29" i="21"/>
  <c r="CB28" i="21"/>
  <c r="CE27" i="21"/>
  <c r="BQ30" i="21"/>
  <c r="BR28" i="21"/>
  <c r="BS27" i="21"/>
  <c r="BU27" i="21"/>
  <c r="BP29" i="21"/>
  <c r="BO29" i="21"/>
  <c r="BV28" i="21" s="1"/>
  <c r="AY27" i="21"/>
  <c r="BJ28" i="21"/>
  <c r="BF30" i="21"/>
  <c r="BE30" i="21"/>
  <c r="BL29" i="21" s="1"/>
  <c r="BK28" i="21"/>
  <c r="BG31" i="21"/>
  <c r="BI28" i="21"/>
  <c r="AU29" i="21"/>
  <c r="BB28" i="21" s="1"/>
  <c r="AW30" i="21"/>
  <c r="AX28" i="21"/>
  <c r="BA27" i="21"/>
  <c r="AV29" i="21"/>
  <c r="AF27" i="21"/>
  <c r="AE27" i="21"/>
  <c r="AO28" i="21"/>
  <c r="AM31" i="21"/>
  <c r="AK30" i="21"/>
  <c r="AR29" i="21" s="1"/>
  <c r="AN29" i="21"/>
  <c r="AP29" i="21" s="1"/>
  <c r="AQ28" i="21"/>
  <c r="AL30" i="21"/>
  <c r="AG27" i="21"/>
  <c r="AD28" i="21"/>
  <c r="AA29" i="21"/>
  <c r="AH28" i="21" s="1"/>
  <c r="B30" i="21"/>
  <c r="C30" i="21" s="1"/>
  <c r="R113" i="25"/>
  <c r="P113" i="25"/>
  <c r="M115" i="25"/>
  <c r="S112" i="25"/>
  <c r="N114" i="25"/>
  <c r="O114" i="25"/>
  <c r="Q114" i="25"/>
  <c r="JH52" i="21" l="1"/>
  <c r="KF49" i="21"/>
  <c r="KE49" i="21"/>
  <c r="KG49" i="21"/>
  <c r="KH49" i="21"/>
  <c r="KA51" i="21"/>
  <c r="KC52" i="21"/>
  <c r="KB51" i="21"/>
  <c r="KD50" i="21"/>
  <c r="KE50" i="21" s="1"/>
  <c r="IX51" i="21"/>
  <c r="JB49" i="21"/>
  <c r="JT50" i="21"/>
  <c r="KL52" i="21"/>
  <c r="KN51" i="21"/>
  <c r="KR50" i="21"/>
  <c r="KK52" i="21"/>
  <c r="KQ50" i="21"/>
  <c r="KO50" i="21"/>
  <c r="KP50" i="21"/>
  <c r="KM53" i="21"/>
  <c r="JV49" i="21"/>
  <c r="JX49" i="21"/>
  <c r="JQ51" i="21"/>
  <c r="JS52" i="21"/>
  <c r="JW49" i="21"/>
  <c r="JR51" i="21"/>
  <c r="JU49" i="21"/>
  <c r="JM50" i="21"/>
  <c r="JK50" i="21"/>
  <c r="JJ51" i="21"/>
  <c r="JN50" i="21"/>
  <c r="JG52" i="21"/>
  <c r="JL50" i="21"/>
  <c r="JI53" i="21"/>
  <c r="JD49" i="21"/>
  <c r="IW51" i="21"/>
  <c r="IY52" i="21"/>
  <c r="IZ50" i="21"/>
  <c r="JA49" i="21"/>
  <c r="AS31" i="25"/>
  <c r="AY31" i="25" s="1"/>
  <c r="BD31" i="25" s="1"/>
  <c r="BE31" i="25"/>
  <c r="V39" i="25"/>
  <c r="AZ38" i="25"/>
  <c r="KY29" i="21"/>
  <c r="M37" i="30"/>
  <c r="K112" i="30"/>
  <c r="L112" i="30" s="1"/>
  <c r="C38" i="30"/>
  <c r="AX31" i="25"/>
  <c r="BH31" i="25" s="1"/>
  <c r="AR32" i="25"/>
  <c r="AQ32" i="25"/>
  <c r="BB32" i="25" s="1"/>
  <c r="AW32" i="25"/>
  <c r="AV38" i="25"/>
  <c r="BF38" i="25" s="1"/>
  <c r="AT33" i="25"/>
  <c r="BG33" i="25" s="1"/>
  <c r="AU32" i="25"/>
  <c r="AN33" i="25"/>
  <c r="AL33" i="25"/>
  <c r="BC33" i="25" s="1"/>
  <c r="AF35" i="25"/>
  <c r="AJ35" i="25" s="1"/>
  <c r="AC36" i="25"/>
  <c r="X36" i="25"/>
  <c r="AB36" i="25" s="1"/>
  <c r="Z36" i="25"/>
  <c r="AF36" i="25" s="1"/>
  <c r="AO33" i="25"/>
  <c r="AM33" i="25"/>
  <c r="AP33" i="25" s="1"/>
  <c r="BA33" i="25" s="1"/>
  <c r="AK34" i="25"/>
  <c r="AG36" i="25"/>
  <c r="AE36" i="25"/>
  <c r="Y37" i="25"/>
  <c r="AD35" i="25"/>
  <c r="AI35" i="25" s="1"/>
  <c r="W37" i="25"/>
  <c r="AA37" i="25" s="1"/>
  <c r="EW29" i="21"/>
  <c r="LA29" i="21"/>
  <c r="KZ29" i="21"/>
  <c r="KU31" i="21"/>
  <c r="LB30" i="21" s="1"/>
  <c r="KX30" i="21"/>
  <c r="KV31" i="21"/>
  <c r="KW32" i="21"/>
  <c r="GZ30" i="21"/>
  <c r="HM29" i="21"/>
  <c r="GK29" i="21"/>
  <c r="FF29" i="21"/>
  <c r="EU29" i="21"/>
  <c r="FG29" i="21"/>
  <c r="IS29" i="21"/>
  <c r="IR29" i="21"/>
  <c r="IQ29" i="21"/>
  <c r="GT29" i="21"/>
  <c r="ID31" i="21"/>
  <c r="GU29" i="21"/>
  <c r="IM31" i="21"/>
  <c r="IT30" i="21" s="1"/>
  <c r="IO32" i="21"/>
  <c r="IN31" i="21"/>
  <c r="IP30" i="21"/>
  <c r="CX28" i="21"/>
  <c r="HO29" i="21"/>
  <c r="GJ29" i="21"/>
  <c r="DQ28" i="21"/>
  <c r="GH30" i="21"/>
  <c r="HV29" i="21"/>
  <c r="IH29" i="21"/>
  <c r="IG29" i="21"/>
  <c r="IE32" i="21"/>
  <c r="IC31" i="21"/>
  <c r="IJ30" i="21" s="1"/>
  <c r="IF30" i="21"/>
  <c r="II29" i="21"/>
  <c r="HU31" i="21"/>
  <c r="HY28" i="21"/>
  <c r="HX28" i="21"/>
  <c r="HS30" i="21"/>
  <c r="HZ29" i="21" s="1"/>
  <c r="HW28" i="21"/>
  <c r="HT30" i="21"/>
  <c r="HI31" i="21"/>
  <c r="HP30" i="21" s="1"/>
  <c r="HK32" i="21"/>
  <c r="HN29" i="21"/>
  <c r="HL30" i="21"/>
  <c r="HJ31" i="21"/>
  <c r="GY30" i="21"/>
  <c r="HF29" i="21" s="1"/>
  <c r="HA31" i="21"/>
  <c r="HD28" i="21"/>
  <c r="HE28" i="21"/>
  <c r="HB29" i="21"/>
  <c r="HC28" i="21"/>
  <c r="GS29" i="21"/>
  <c r="GQ32" i="21"/>
  <c r="GO31" i="21"/>
  <c r="GV30" i="21" s="1"/>
  <c r="GR30" i="21"/>
  <c r="GP31" i="21"/>
  <c r="FE29" i="21"/>
  <c r="GI29" i="21"/>
  <c r="BJ29" i="21"/>
  <c r="EV29" i="21"/>
  <c r="FY29" i="21"/>
  <c r="EA28" i="21"/>
  <c r="BI29" i="21"/>
  <c r="BK29" i="21"/>
  <c r="DD30" i="21"/>
  <c r="ER31" i="21"/>
  <c r="GG32" i="21"/>
  <c r="GF31" i="21"/>
  <c r="GE31" i="21"/>
  <c r="GL30" i="21" s="1"/>
  <c r="FU31" i="21"/>
  <c r="GB30" i="21" s="1"/>
  <c r="FV31" i="21"/>
  <c r="FW32" i="21"/>
  <c r="FX30" i="21"/>
  <c r="FZ29" i="21"/>
  <c r="GA29" i="21"/>
  <c r="DN30" i="21"/>
  <c r="ET30" i="21"/>
  <c r="FN29" i="21"/>
  <c r="CW28" i="21"/>
  <c r="FP28" i="21"/>
  <c r="FM31" i="21"/>
  <c r="FQ28" i="21"/>
  <c r="FL30" i="21"/>
  <c r="FK30" i="21"/>
  <c r="FR29" i="21" s="1"/>
  <c r="FO28" i="21"/>
  <c r="FC32" i="21"/>
  <c r="FA31" i="21"/>
  <c r="FH30" i="21" s="1"/>
  <c r="FB31" i="21"/>
  <c r="FD30" i="21"/>
  <c r="EQ31" i="21"/>
  <c r="EX30" i="21" s="1"/>
  <c r="ES32" i="21"/>
  <c r="CE28" i="21"/>
  <c r="CL29" i="21"/>
  <c r="CY28" i="21"/>
  <c r="EH30" i="21"/>
  <c r="EJ29" i="21"/>
  <c r="DF29" i="21"/>
  <c r="DS28" i="21"/>
  <c r="DX30" i="21"/>
  <c r="EK28" i="21"/>
  <c r="EL28" i="21"/>
  <c r="EI31" i="21"/>
  <c r="EG30" i="21"/>
  <c r="EN29" i="21" s="1"/>
  <c r="EM28" i="21"/>
  <c r="DY31" i="21"/>
  <c r="DW30" i="21"/>
  <c r="ED29" i="21" s="1"/>
  <c r="DZ29" i="21"/>
  <c r="EC28" i="21"/>
  <c r="EB28" i="21"/>
  <c r="DM30" i="21"/>
  <c r="DT29" i="21" s="1"/>
  <c r="DO31" i="21"/>
  <c r="DP29" i="21"/>
  <c r="DR28" i="21"/>
  <c r="CC28" i="21"/>
  <c r="DC30" i="21"/>
  <c r="DJ29" i="21" s="1"/>
  <c r="DE31" i="21"/>
  <c r="DG28" i="21"/>
  <c r="DI28" i="21"/>
  <c r="DH28" i="21"/>
  <c r="CU31" i="21"/>
  <c r="CV29" i="21"/>
  <c r="CS30" i="21"/>
  <c r="CZ29" i="21" s="1"/>
  <c r="CT30" i="21"/>
  <c r="BZ30" i="21"/>
  <c r="AF28" i="21"/>
  <c r="BU28" i="21"/>
  <c r="CD28" i="21"/>
  <c r="BP30" i="21"/>
  <c r="BS28" i="21"/>
  <c r="CO28" i="21"/>
  <c r="CI30" i="21"/>
  <c r="CP29" i="21" s="1"/>
  <c r="CM28" i="21"/>
  <c r="CN28" i="21"/>
  <c r="CK31" i="21"/>
  <c r="CJ30" i="21"/>
  <c r="BY30" i="21"/>
  <c r="CF29" i="21" s="1"/>
  <c r="CA31" i="21"/>
  <c r="CB29" i="21"/>
  <c r="BR29" i="21"/>
  <c r="BQ31" i="21"/>
  <c r="BO30" i="21"/>
  <c r="BV29" i="21" s="1"/>
  <c r="BT28" i="21"/>
  <c r="BF31" i="21"/>
  <c r="BE31" i="21"/>
  <c r="BL30" i="21" s="1"/>
  <c r="BG32" i="21"/>
  <c r="BH30" i="21"/>
  <c r="AX29" i="21"/>
  <c r="AZ28" i="21"/>
  <c r="AW31" i="21"/>
  <c r="AU30" i="21"/>
  <c r="BB29" i="21" s="1"/>
  <c r="AV30" i="21"/>
  <c r="BA28" i="21"/>
  <c r="AY28" i="21"/>
  <c r="AN30" i="21"/>
  <c r="AP30" i="21" s="1"/>
  <c r="AK31" i="21"/>
  <c r="AR30" i="21" s="1"/>
  <c r="AO29" i="21"/>
  <c r="AM32" i="21"/>
  <c r="AL31" i="21"/>
  <c r="AQ29" i="21"/>
  <c r="AE28" i="21"/>
  <c r="AG28" i="21"/>
  <c r="AA30" i="21"/>
  <c r="AH29" i="21" s="1"/>
  <c r="AD29" i="21"/>
  <c r="B31" i="21"/>
  <c r="C31" i="21" s="1"/>
  <c r="S113" i="25"/>
  <c r="Q115" i="25"/>
  <c r="N115" i="25"/>
  <c r="O115" i="25"/>
  <c r="M116" i="25"/>
  <c r="P114" i="25"/>
  <c r="R114" i="25"/>
  <c r="KG50" i="21" l="1"/>
  <c r="JH53" i="21"/>
  <c r="IZ51" i="21"/>
  <c r="JV50" i="21"/>
  <c r="KL53" i="21"/>
  <c r="JU50" i="21"/>
  <c r="KB52" i="21"/>
  <c r="KC53" i="21"/>
  <c r="KD51" i="21"/>
  <c r="KH50" i="21"/>
  <c r="KA52" i="21"/>
  <c r="KF50" i="21"/>
  <c r="KP51" i="21"/>
  <c r="KQ51" i="21"/>
  <c r="KO51" i="21"/>
  <c r="JL51" i="21"/>
  <c r="JW50" i="21"/>
  <c r="KR51" i="21"/>
  <c r="KK53" i="21"/>
  <c r="KM54" i="21"/>
  <c r="KN52" i="21"/>
  <c r="JS53" i="21"/>
  <c r="JX50" i="21"/>
  <c r="JQ52" i="21"/>
  <c r="JR52" i="21"/>
  <c r="JT51" i="21"/>
  <c r="JN51" i="21"/>
  <c r="JG53" i="21"/>
  <c r="JJ52" i="21"/>
  <c r="JK51" i="21"/>
  <c r="JI54" i="21"/>
  <c r="JM51" i="21"/>
  <c r="IY53" i="21"/>
  <c r="IX52" i="21"/>
  <c r="JD50" i="21"/>
  <c r="IW52" i="21"/>
  <c r="JA50" i="21"/>
  <c r="JB50" i="21"/>
  <c r="JB51" i="21" s="1"/>
  <c r="JC50" i="21"/>
  <c r="JC51" i="21" s="1"/>
  <c r="KY30" i="21"/>
  <c r="AS32" i="25"/>
  <c r="AY32" i="25" s="1"/>
  <c r="BD32" i="25" s="1"/>
  <c r="BE32" i="25"/>
  <c r="V40" i="25"/>
  <c r="AZ39" i="25"/>
  <c r="M38" i="30"/>
  <c r="K113" i="30"/>
  <c r="L113" i="30" s="1"/>
  <c r="C39" i="30"/>
  <c r="AX32" i="25"/>
  <c r="BH32" i="25" s="1"/>
  <c r="AR33" i="25"/>
  <c r="AQ33" i="25"/>
  <c r="BB33" i="25" s="1"/>
  <c r="AW33" i="25"/>
  <c r="AV39" i="25"/>
  <c r="BF39" i="25" s="1"/>
  <c r="AT34" i="25"/>
  <c r="BG34" i="25" s="1"/>
  <c r="AU33" i="25"/>
  <c r="AN34" i="25"/>
  <c r="AL34" i="25"/>
  <c r="BC34" i="25" s="1"/>
  <c r="AH36" i="25"/>
  <c r="AJ36" i="25" s="1"/>
  <c r="AC37" i="25"/>
  <c r="X37" i="25"/>
  <c r="AB37" i="25" s="1"/>
  <c r="Z37" i="25"/>
  <c r="AF37" i="25" s="1"/>
  <c r="AO34" i="25"/>
  <c r="AM34" i="25"/>
  <c r="AP34" i="25" s="1"/>
  <c r="BA34" i="25" s="1"/>
  <c r="AK35" i="25"/>
  <c r="AG37" i="25"/>
  <c r="AE37" i="25"/>
  <c r="Y38" i="25"/>
  <c r="AD36" i="25"/>
  <c r="AI36" i="25" s="1"/>
  <c r="W38" i="25"/>
  <c r="AA38" i="25" s="1"/>
  <c r="IR30" i="21"/>
  <c r="EW30" i="21"/>
  <c r="GK30" i="21"/>
  <c r="KZ30" i="21"/>
  <c r="KV32" i="21"/>
  <c r="KW33" i="21"/>
  <c r="KU32" i="21"/>
  <c r="LB31" i="21" s="1"/>
  <c r="KX31" i="21"/>
  <c r="LA30" i="21"/>
  <c r="HB30" i="21"/>
  <c r="GZ31" i="21"/>
  <c r="DG29" i="21"/>
  <c r="IN32" i="21"/>
  <c r="HD29" i="21"/>
  <c r="FO29" i="21"/>
  <c r="IF31" i="21"/>
  <c r="GJ30" i="21"/>
  <c r="GI30" i="21"/>
  <c r="HX29" i="21"/>
  <c r="IO33" i="21"/>
  <c r="IM32" i="21"/>
  <c r="IT31" i="21" s="1"/>
  <c r="IP31" i="21"/>
  <c r="IS30" i="21"/>
  <c r="IQ30" i="21"/>
  <c r="EV30" i="21"/>
  <c r="HY29" i="21"/>
  <c r="HW29" i="21"/>
  <c r="HJ32" i="21"/>
  <c r="DI29" i="21"/>
  <c r="II30" i="21"/>
  <c r="IH30" i="21"/>
  <c r="IC32" i="21"/>
  <c r="IJ31" i="21" s="1"/>
  <c r="IG30" i="21"/>
  <c r="IE33" i="21"/>
  <c r="ID32" i="21"/>
  <c r="HS31" i="21"/>
  <c r="HZ30" i="21" s="1"/>
  <c r="HU32" i="21"/>
  <c r="HT31" i="21"/>
  <c r="HV30" i="21"/>
  <c r="HI32" i="21"/>
  <c r="HP31" i="21" s="1"/>
  <c r="HL31" i="21"/>
  <c r="HN30" i="21"/>
  <c r="HO30" i="21"/>
  <c r="HK33" i="21"/>
  <c r="HM30" i="21"/>
  <c r="HE29" i="21"/>
  <c r="HA32" i="21"/>
  <c r="HC29" i="21"/>
  <c r="GY31" i="21"/>
  <c r="HF30" i="21" s="1"/>
  <c r="GR31" i="21"/>
  <c r="FB32" i="21"/>
  <c r="GF32" i="21"/>
  <c r="DH29" i="21"/>
  <c r="GU30" i="21"/>
  <c r="GO32" i="21"/>
  <c r="GV31" i="21" s="1"/>
  <c r="GQ33" i="21"/>
  <c r="GP32" i="21"/>
  <c r="GS30" i="21"/>
  <c r="GT30" i="21"/>
  <c r="EU30" i="21"/>
  <c r="FL31" i="21"/>
  <c r="EK29" i="21"/>
  <c r="FQ29" i="21"/>
  <c r="FX31" i="21"/>
  <c r="FP29" i="21"/>
  <c r="EM29" i="21"/>
  <c r="GG33" i="21"/>
  <c r="GE32" i="21"/>
  <c r="GL31" i="21" s="1"/>
  <c r="GH31" i="21"/>
  <c r="FW33" i="21"/>
  <c r="FY30" i="21"/>
  <c r="FV32" i="21"/>
  <c r="GA30" i="21"/>
  <c r="FU32" i="21"/>
  <c r="GB31" i="21" s="1"/>
  <c r="FZ30" i="21"/>
  <c r="DP30" i="21"/>
  <c r="BA29" i="21"/>
  <c r="BS29" i="21"/>
  <c r="CM29" i="21"/>
  <c r="CC29" i="21"/>
  <c r="CN29" i="21"/>
  <c r="CO29" i="21"/>
  <c r="FM32" i="21"/>
  <c r="FK31" i="21"/>
  <c r="FR30" i="21" s="1"/>
  <c r="FN30" i="21"/>
  <c r="FA32" i="21"/>
  <c r="FH31" i="21" s="1"/>
  <c r="FE30" i="21"/>
  <c r="FG30" i="21"/>
  <c r="FD31" i="21"/>
  <c r="FF30" i="21"/>
  <c r="FC33" i="21"/>
  <c r="EQ32" i="21"/>
  <c r="EX31" i="21" s="1"/>
  <c r="ET31" i="21"/>
  <c r="ES33" i="21"/>
  <c r="ER32" i="21"/>
  <c r="DX31" i="21"/>
  <c r="AZ29" i="21"/>
  <c r="EL29" i="21"/>
  <c r="EG31" i="21"/>
  <c r="EN30" i="21" s="1"/>
  <c r="EI32" i="21"/>
  <c r="EH31" i="21"/>
  <c r="EJ30" i="21"/>
  <c r="DW31" i="21"/>
  <c r="ED30" i="21" s="1"/>
  <c r="DZ30" i="21"/>
  <c r="DY32" i="21"/>
  <c r="EB29" i="21"/>
  <c r="EC29" i="21"/>
  <c r="EA29" i="21"/>
  <c r="DS29" i="21"/>
  <c r="DQ29" i="21"/>
  <c r="DO32" i="21"/>
  <c r="DM31" i="21"/>
  <c r="DT30" i="21" s="1"/>
  <c r="DR29" i="21"/>
  <c r="DN31" i="21"/>
  <c r="AF29" i="21"/>
  <c r="CE29" i="21"/>
  <c r="AY29" i="21"/>
  <c r="BH31" i="21"/>
  <c r="CV30" i="21"/>
  <c r="BF32" i="21"/>
  <c r="AV31" i="21"/>
  <c r="DE32" i="21"/>
  <c r="DC31" i="21"/>
  <c r="DJ30" i="21" s="1"/>
  <c r="DD31" i="21"/>
  <c r="DF30" i="21"/>
  <c r="CU32" i="21"/>
  <c r="CT31" i="21"/>
  <c r="CW29" i="21"/>
  <c r="CY29" i="21"/>
  <c r="CS31" i="21"/>
  <c r="CZ30" i="21" s="1"/>
  <c r="CX29" i="21"/>
  <c r="CJ31" i="21"/>
  <c r="BR30" i="21"/>
  <c r="CI31" i="21"/>
  <c r="CP30" i="21" s="1"/>
  <c r="CL30" i="21"/>
  <c r="CK32" i="21"/>
  <c r="CA32" i="21"/>
  <c r="BY31" i="21"/>
  <c r="CF30" i="21" s="1"/>
  <c r="BZ31" i="21"/>
  <c r="CB30" i="21"/>
  <c r="CD29" i="21"/>
  <c r="BQ32" i="21"/>
  <c r="BT29" i="21"/>
  <c r="BP31" i="21"/>
  <c r="BO31" i="21"/>
  <c r="BV30" i="21" s="1"/>
  <c r="BU29" i="21"/>
  <c r="BK30" i="21"/>
  <c r="BJ30" i="21"/>
  <c r="BI30" i="21"/>
  <c r="AX30" i="21"/>
  <c r="BE32" i="21"/>
  <c r="BL31" i="21" s="1"/>
  <c r="BG33" i="21"/>
  <c r="AU31" i="21"/>
  <c r="BB30" i="21" s="1"/>
  <c r="AW32" i="21"/>
  <c r="AL32" i="21"/>
  <c r="AQ30" i="21"/>
  <c r="AO30" i="21"/>
  <c r="AK32" i="21"/>
  <c r="AR31" i="21" s="1"/>
  <c r="AM33" i="21"/>
  <c r="AN31" i="21"/>
  <c r="AP31" i="21" s="1"/>
  <c r="AE29" i="21"/>
  <c r="AG29" i="21"/>
  <c r="AD30" i="21"/>
  <c r="AA31" i="21"/>
  <c r="AH30" i="21" s="1"/>
  <c r="M117" i="25"/>
  <c r="O116" i="25"/>
  <c r="Q116" i="25"/>
  <c r="N116" i="25"/>
  <c r="R115" i="25"/>
  <c r="P115" i="25"/>
  <c r="S114" i="25"/>
  <c r="JA51" i="21" l="1"/>
  <c r="JR53" i="21"/>
  <c r="KB53" i="21"/>
  <c r="JU51" i="21"/>
  <c r="KQ52" i="21"/>
  <c r="IX53" i="21"/>
  <c r="KD52" i="21"/>
  <c r="KC54" i="21"/>
  <c r="KE51" i="21"/>
  <c r="KH51" i="21"/>
  <c r="KA53" i="21"/>
  <c r="KF51" i="21"/>
  <c r="KG51" i="21"/>
  <c r="JJ53" i="21"/>
  <c r="JV51" i="21"/>
  <c r="JK52" i="21"/>
  <c r="KM55" i="21"/>
  <c r="KR52" i="21"/>
  <c r="KK54" i="21"/>
  <c r="KL54" i="21"/>
  <c r="KN53" i="21"/>
  <c r="KP52" i="21"/>
  <c r="KO52" i="21"/>
  <c r="JX51" i="21"/>
  <c r="JQ53" i="21"/>
  <c r="JS54" i="21"/>
  <c r="JT52" i="21"/>
  <c r="JW51" i="21"/>
  <c r="JI55" i="21"/>
  <c r="JH54" i="21"/>
  <c r="JN52" i="21"/>
  <c r="JG54" i="21"/>
  <c r="JM52" i="21"/>
  <c r="JL52" i="21"/>
  <c r="JD51" i="21"/>
  <c r="IW53" i="21"/>
  <c r="IY54" i="21"/>
  <c r="IZ52" i="21"/>
  <c r="JC52" i="21" s="1"/>
  <c r="KY31" i="21"/>
  <c r="GZ32" i="21"/>
  <c r="AS33" i="25"/>
  <c r="AY33" i="25" s="1"/>
  <c r="BD33" i="25" s="1"/>
  <c r="BE33" i="25"/>
  <c r="V41" i="25"/>
  <c r="AZ40" i="25"/>
  <c r="M39" i="30"/>
  <c r="HE30" i="21"/>
  <c r="K114" i="30"/>
  <c r="L114" i="30" s="1"/>
  <c r="C40" i="30"/>
  <c r="AX33" i="25"/>
  <c r="BH33" i="25" s="1"/>
  <c r="AR34" i="25"/>
  <c r="AQ34" i="25"/>
  <c r="BB34" i="25" s="1"/>
  <c r="AW34" i="25"/>
  <c r="AV40" i="25"/>
  <c r="BF40" i="25" s="1"/>
  <c r="AT35" i="25"/>
  <c r="BG35" i="25" s="1"/>
  <c r="AU34" i="25"/>
  <c r="AN35" i="25"/>
  <c r="AL35" i="25"/>
  <c r="BC35" i="25" s="1"/>
  <c r="AH37" i="25"/>
  <c r="AJ37" i="25" s="1"/>
  <c r="X38" i="25"/>
  <c r="AB38" i="25" s="1"/>
  <c r="Z38" i="25"/>
  <c r="AH38" i="25" s="1"/>
  <c r="AK36" i="25"/>
  <c r="AO35" i="25"/>
  <c r="AM35" i="25"/>
  <c r="AP35" i="25" s="1"/>
  <c r="BA35" i="25" s="1"/>
  <c r="AG38" i="25"/>
  <c r="AE38" i="25"/>
  <c r="AC38" i="25"/>
  <c r="Y39" i="25"/>
  <c r="AD37" i="25"/>
  <c r="AI37" i="25" s="1"/>
  <c r="W39" i="25"/>
  <c r="AA39" i="25" s="1"/>
  <c r="IG31" i="21"/>
  <c r="GF33" i="21"/>
  <c r="KV33" i="21"/>
  <c r="IH31" i="21"/>
  <c r="HD30" i="21"/>
  <c r="KZ31" i="21"/>
  <c r="LA31" i="21"/>
  <c r="HC30" i="21"/>
  <c r="IN33" i="21"/>
  <c r="KU33" i="21"/>
  <c r="LB32" i="21" s="1"/>
  <c r="KX32" i="21"/>
  <c r="KW34" i="21"/>
  <c r="EV31" i="21"/>
  <c r="DH30" i="21"/>
  <c r="II31" i="21"/>
  <c r="FB33" i="21"/>
  <c r="HL32" i="21"/>
  <c r="ID33" i="21"/>
  <c r="BU30" i="21"/>
  <c r="AZ30" i="21"/>
  <c r="IS31" i="21"/>
  <c r="CE30" i="21"/>
  <c r="FP30" i="21"/>
  <c r="HO31" i="21"/>
  <c r="BZ32" i="21"/>
  <c r="EL30" i="21"/>
  <c r="HJ33" i="21"/>
  <c r="IP32" i="21"/>
  <c r="IM33" i="21"/>
  <c r="IT32" i="21" s="1"/>
  <c r="IR31" i="21"/>
  <c r="IO34" i="21"/>
  <c r="IQ31" i="21"/>
  <c r="BS30" i="21"/>
  <c r="DZ31" i="21"/>
  <c r="HN31" i="21"/>
  <c r="GU31" i="21"/>
  <c r="GT31" i="21"/>
  <c r="GS31" i="21"/>
  <c r="HM31" i="21"/>
  <c r="HV31" i="21"/>
  <c r="IC33" i="21"/>
  <c r="IJ32" i="21" s="1"/>
  <c r="IE34" i="21"/>
  <c r="IF32" i="21"/>
  <c r="HU33" i="21"/>
  <c r="HY30" i="21"/>
  <c r="HW30" i="21"/>
  <c r="HX30" i="21"/>
  <c r="HS32" i="21"/>
  <c r="HZ31" i="21" s="1"/>
  <c r="HT32" i="21"/>
  <c r="HK34" i="21"/>
  <c r="HI33" i="21"/>
  <c r="HP32" i="21" s="1"/>
  <c r="HA33" i="21"/>
  <c r="GY32" i="21"/>
  <c r="HF31" i="21" s="1"/>
  <c r="HB31" i="21"/>
  <c r="DQ30" i="21"/>
  <c r="FZ31" i="21"/>
  <c r="DR30" i="21"/>
  <c r="BK31" i="21"/>
  <c r="GP33" i="21"/>
  <c r="GQ34" i="21"/>
  <c r="GO33" i="21"/>
  <c r="GV32" i="21" s="1"/>
  <c r="GR32" i="21"/>
  <c r="GA31" i="21"/>
  <c r="FY31" i="21"/>
  <c r="EK30" i="21"/>
  <c r="FX32" i="21"/>
  <c r="CX30" i="21"/>
  <c r="BI31" i="21"/>
  <c r="FD32" i="21"/>
  <c r="BJ31" i="21"/>
  <c r="EB30" i="21"/>
  <c r="GK31" i="21"/>
  <c r="GH32" i="21"/>
  <c r="GJ31" i="21"/>
  <c r="GI31" i="21"/>
  <c r="GE33" i="21"/>
  <c r="GL32" i="21" s="1"/>
  <c r="GG34" i="21"/>
  <c r="FV33" i="21"/>
  <c r="FU33" i="21"/>
  <c r="GB32" i="21" s="1"/>
  <c r="FW34" i="21"/>
  <c r="AF30" i="21"/>
  <c r="DS30" i="21"/>
  <c r="BA30" i="21"/>
  <c r="FF31" i="21"/>
  <c r="FK32" i="21"/>
  <c r="FR31" i="21" s="1"/>
  <c r="FN31" i="21"/>
  <c r="FQ30" i="21"/>
  <c r="FM33" i="21"/>
  <c r="FO30" i="21"/>
  <c r="FL32" i="21"/>
  <c r="FG31" i="21"/>
  <c r="FE31" i="21"/>
  <c r="FC34" i="21"/>
  <c r="FA33" i="21"/>
  <c r="FH32" i="21" s="1"/>
  <c r="ER33" i="21"/>
  <c r="ET32" i="21"/>
  <c r="EQ33" i="21"/>
  <c r="EX32" i="21" s="1"/>
  <c r="ES34" i="21"/>
  <c r="EW31" i="21"/>
  <c r="EU31" i="21"/>
  <c r="DI30" i="21"/>
  <c r="EH32" i="21"/>
  <c r="EI33" i="21"/>
  <c r="EJ31" i="21"/>
  <c r="EG32" i="21"/>
  <c r="EN31" i="21" s="1"/>
  <c r="EM30" i="21"/>
  <c r="DW32" i="21"/>
  <c r="ED31" i="21" s="1"/>
  <c r="DY33" i="21"/>
  <c r="EA30" i="21"/>
  <c r="EC30" i="21"/>
  <c r="DX32" i="21"/>
  <c r="DO33" i="21"/>
  <c r="DM32" i="21"/>
  <c r="DT31" i="21" s="1"/>
  <c r="DN32" i="21"/>
  <c r="DP31" i="21"/>
  <c r="DG30" i="21"/>
  <c r="DD32" i="21"/>
  <c r="CL31" i="21"/>
  <c r="CY30" i="21"/>
  <c r="CD30" i="21"/>
  <c r="CW30" i="21"/>
  <c r="AY30" i="21"/>
  <c r="CT32" i="21"/>
  <c r="DC32" i="21"/>
  <c r="DJ31" i="21" s="1"/>
  <c r="DE33" i="21"/>
  <c r="DF31" i="21"/>
  <c r="CU33" i="21"/>
  <c r="CS32" i="21"/>
  <c r="CZ31" i="21" s="1"/>
  <c r="CV31" i="21"/>
  <c r="CN30" i="21"/>
  <c r="CC30" i="21"/>
  <c r="BT30" i="21"/>
  <c r="CI32" i="21"/>
  <c r="CP31" i="21" s="1"/>
  <c r="CK33" i="21"/>
  <c r="CO30" i="21"/>
  <c r="CJ32" i="21"/>
  <c r="CM30" i="21"/>
  <c r="CA33" i="21"/>
  <c r="BY32" i="21"/>
  <c r="CF31" i="21" s="1"/>
  <c r="CB31" i="21"/>
  <c r="BP32" i="21"/>
  <c r="BQ33" i="21"/>
  <c r="BO32" i="21"/>
  <c r="BV31" i="21" s="1"/>
  <c r="BR31" i="21"/>
  <c r="BG34" i="21"/>
  <c r="BE33" i="21"/>
  <c r="BL32" i="21" s="1"/>
  <c r="BH32" i="21"/>
  <c r="BF33" i="21"/>
  <c r="AU32" i="21"/>
  <c r="BB31" i="21" s="1"/>
  <c r="AV32" i="21"/>
  <c r="AW33" i="21"/>
  <c r="AX31" i="21"/>
  <c r="AO31" i="21"/>
  <c r="AK33" i="21"/>
  <c r="AR32" i="21" s="1"/>
  <c r="AM34" i="21"/>
  <c r="AN32" i="21"/>
  <c r="AP32" i="21" s="1"/>
  <c r="AQ31" i="21"/>
  <c r="AL33" i="21"/>
  <c r="AG30" i="21"/>
  <c r="AE30" i="21"/>
  <c r="AD31" i="21"/>
  <c r="AA32" i="21"/>
  <c r="AH31" i="21" s="1"/>
  <c r="S115" i="25"/>
  <c r="P116" i="25"/>
  <c r="R116" i="25"/>
  <c r="N117" i="25"/>
  <c r="O117" i="25"/>
  <c r="Q117" i="25"/>
  <c r="M118" i="25"/>
  <c r="KG52" i="21" l="1"/>
  <c r="KE52" i="21"/>
  <c r="JU52" i="21"/>
  <c r="IX54" i="21"/>
  <c r="JB52" i="21"/>
  <c r="KF52" i="21"/>
  <c r="JL53" i="21"/>
  <c r="JM53" i="21"/>
  <c r="JK53" i="21"/>
  <c r="KH52" i="21"/>
  <c r="KA54" i="21"/>
  <c r="KC55" i="21"/>
  <c r="KD53" i="21"/>
  <c r="KB54" i="21"/>
  <c r="JH55" i="21"/>
  <c r="KN54" i="21"/>
  <c r="KL55" i="21"/>
  <c r="JW52" i="21"/>
  <c r="JV52" i="21"/>
  <c r="IZ53" i="21"/>
  <c r="JC53" i="21" s="1"/>
  <c r="KP53" i="21"/>
  <c r="KQ53" i="21"/>
  <c r="KR53" i="21"/>
  <c r="KK55" i="21"/>
  <c r="KO53" i="21"/>
  <c r="KM56" i="21"/>
  <c r="JS55" i="21"/>
  <c r="JX52" i="21"/>
  <c r="JQ54" i="21"/>
  <c r="JT53" i="21"/>
  <c r="JR54" i="21"/>
  <c r="JN53" i="21"/>
  <c r="JG55" i="21"/>
  <c r="JJ54" i="21"/>
  <c r="JI56" i="21"/>
  <c r="IY55" i="21"/>
  <c r="JD52" i="21"/>
  <c r="IW54" i="21"/>
  <c r="JA52" i="21"/>
  <c r="GZ33" i="21"/>
  <c r="AS34" i="25"/>
  <c r="AY34" i="25" s="1"/>
  <c r="BD34" i="25" s="1"/>
  <c r="BE34" i="25"/>
  <c r="V42" i="25"/>
  <c r="AZ41" i="25"/>
  <c r="M40" i="30"/>
  <c r="GF34" i="21"/>
  <c r="K115" i="30"/>
  <c r="L115" i="30" s="1"/>
  <c r="C41" i="30"/>
  <c r="AX34" i="25"/>
  <c r="BH34" i="25" s="1"/>
  <c r="AR35" i="25"/>
  <c r="AQ35" i="25"/>
  <c r="BB35" i="25" s="1"/>
  <c r="AW35" i="25"/>
  <c r="AT36" i="25"/>
  <c r="BG36" i="25" s="1"/>
  <c r="AV41" i="25"/>
  <c r="BF41" i="25" s="1"/>
  <c r="AU35" i="25"/>
  <c r="AN36" i="25"/>
  <c r="AL36" i="25"/>
  <c r="BC36" i="25" s="1"/>
  <c r="AF38" i="25"/>
  <c r="AJ38" i="25" s="1"/>
  <c r="AC39" i="25"/>
  <c r="X39" i="25"/>
  <c r="AB39" i="25" s="1"/>
  <c r="AM36" i="25"/>
  <c r="AO36" i="25"/>
  <c r="Z39" i="25"/>
  <c r="AF39" i="25" s="1"/>
  <c r="AK37" i="25"/>
  <c r="AE39" i="25"/>
  <c r="AG39" i="25"/>
  <c r="AD38" i="25"/>
  <c r="AI38" i="25" s="1"/>
  <c r="Y40" i="25"/>
  <c r="W40" i="25"/>
  <c r="AA40" i="25" s="1"/>
  <c r="CE31" i="21"/>
  <c r="ID34" i="21"/>
  <c r="EC31" i="21"/>
  <c r="HX31" i="21"/>
  <c r="FP31" i="21"/>
  <c r="HC31" i="21"/>
  <c r="IH32" i="21"/>
  <c r="KZ32" i="21"/>
  <c r="LA32" i="21"/>
  <c r="KY32" i="21"/>
  <c r="KU34" i="21"/>
  <c r="LB33" i="21" s="1"/>
  <c r="KW35" i="21"/>
  <c r="KX33" i="21"/>
  <c r="KV34" i="21"/>
  <c r="HM32" i="21"/>
  <c r="BZ33" i="21"/>
  <c r="HO32" i="21"/>
  <c r="AF31" i="21"/>
  <c r="EB31" i="21"/>
  <c r="GS32" i="21"/>
  <c r="HN32" i="21"/>
  <c r="EA31" i="21"/>
  <c r="GA32" i="21"/>
  <c r="FZ32" i="21"/>
  <c r="HJ34" i="21"/>
  <c r="IQ32" i="21"/>
  <c r="FG32" i="21"/>
  <c r="FF32" i="21"/>
  <c r="FY32" i="21"/>
  <c r="IR32" i="21"/>
  <c r="IM34" i="21"/>
  <c r="IT33" i="21" s="1"/>
  <c r="IO35" i="21"/>
  <c r="IN34" i="21"/>
  <c r="IP33" i="21"/>
  <c r="IS32" i="21"/>
  <c r="HY31" i="21"/>
  <c r="DR31" i="21"/>
  <c r="GP34" i="21"/>
  <c r="HW31" i="21"/>
  <c r="FE32" i="21"/>
  <c r="IE35" i="21"/>
  <c r="IC34" i="21"/>
  <c r="IJ33" i="21" s="1"/>
  <c r="II32" i="21"/>
  <c r="IF33" i="21"/>
  <c r="IG32" i="21"/>
  <c r="HS33" i="21"/>
  <c r="HZ32" i="21" s="1"/>
  <c r="HV32" i="21"/>
  <c r="HU34" i="21"/>
  <c r="HT33" i="21"/>
  <c r="HI34" i="21"/>
  <c r="HP33" i="21" s="1"/>
  <c r="HL33" i="21"/>
  <c r="HK35" i="21"/>
  <c r="GY33" i="21"/>
  <c r="HF32" i="21" s="1"/>
  <c r="HB32" i="21"/>
  <c r="HD31" i="21"/>
  <c r="HA34" i="21"/>
  <c r="HE31" i="21"/>
  <c r="GT32" i="21"/>
  <c r="GU32" i="21"/>
  <c r="GO34" i="21"/>
  <c r="GV33" i="21" s="1"/>
  <c r="GQ35" i="21"/>
  <c r="GR33" i="21"/>
  <c r="DQ31" i="21"/>
  <c r="EW32" i="21"/>
  <c r="FV34" i="21"/>
  <c r="DS31" i="21"/>
  <c r="GI32" i="21"/>
  <c r="CJ33" i="21"/>
  <c r="CM31" i="21"/>
  <c r="CO31" i="21"/>
  <c r="CN31" i="21"/>
  <c r="DF32" i="21"/>
  <c r="GJ32" i="21"/>
  <c r="GE34" i="21"/>
  <c r="GL33" i="21" s="1"/>
  <c r="GH33" i="21"/>
  <c r="GG35" i="21"/>
  <c r="GK32" i="21"/>
  <c r="FU34" i="21"/>
  <c r="GB33" i="21" s="1"/>
  <c r="FW35" i="21"/>
  <c r="FX33" i="21"/>
  <c r="BT31" i="21"/>
  <c r="FO31" i="21"/>
  <c r="FQ31" i="21"/>
  <c r="FN32" i="21"/>
  <c r="FM34" i="21"/>
  <c r="FK33" i="21"/>
  <c r="FR32" i="21" s="1"/>
  <c r="FL33" i="21"/>
  <c r="FA34" i="21"/>
  <c r="FH33" i="21" s="1"/>
  <c r="FD33" i="21"/>
  <c r="FC35" i="21"/>
  <c r="FB34" i="21"/>
  <c r="EQ34" i="21"/>
  <c r="EX33" i="21" s="1"/>
  <c r="ES35" i="21"/>
  <c r="ET33" i="21"/>
  <c r="ER34" i="21"/>
  <c r="EU32" i="21"/>
  <c r="EV32" i="21"/>
  <c r="CY31" i="21"/>
  <c r="DN33" i="21"/>
  <c r="EJ32" i="21"/>
  <c r="EI34" i="21"/>
  <c r="EG33" i="21"/>
  <c r="EN32" i="21" s="1"/>
  <c r="EL31" i="21"/>
  <c r="EH33" i="21"/>
  <c r="EM31" i="21"/>
  <c r="EK31" i="21"/>
  <c r="DY34" i="21"/>
  <c r="DW33" i="21"/>
  <c r="ED32" i="21" s="1"/>
  <c r="DX33" i="21"/>
  <c r="DZ32" i="21"/>
  <c r="DM33" i="21"/>
  <c r="DT32" i="21" s="1"/>
  <c r="DP32" i="21"/>
  <c r="DO34" i="21"/>
  <c r="DE34" i="21"/>
  <c r="DG31" i="21"/>
  <c r="DI31" i="21"/>
  <c r="DH31" i="21"/>
  <c r="DD33" i="21"/>
  <c r="DC33" i="21"/>
  <c r="DJ32" i="21" s="1"/>
  <c r="CU34" i="21"/>
  <c r="CS33" i="21"/>
  <c r="CZ32" i="21" s="1"/>
  <c r="CV32" i="21"/>
  <c r="CT33" i="21"/>
  <c r="CX31" i="21"/>
  <c r="CW31" i="21"/>
  <c r="BU31" i="21"/>
  <c r="BF34" i="21"/>
  <c r="CD31" i="21"/>
  <c r="CI33" i="21"/>
  <c r="CP32" i="21" s="1"/>
  <c r="CK34" i="21"/>
  <c r="CL32" i="21"/>
  <c r="CA34" i="21"/>
  <c r="BY33" i="21"/>
  <c r="CF32" i="21" s="1"/>
  <c r="CB32" i="21"/>
  <c r="CC31" i="21"/>
  <c r="BO33" i="21"/>
  <c r="BV32" i="21" s="1"/>
  <c r="BQ34" i="21"/>
  <c r="BS31" i="21"/>
  <c r="BR32" i="21"/>
  <c r="BP33" i="21"/>
  <c r="BE34" i="21"/>
  <c r="BL33" i="21" s="1"/>
  <c r="BI32" i="21"/>
  <c r="BH33" i="21"/>
  <c r="BK32" i="21"/>
  <c r="BJ32" i="21"/>
  <c r="BG35" i="21"/>
  <c r="AZ31" i="21"/>
  <c r="AX32" i="21"/>
  <c r="AY31" i="21"/>
  <c r="BA31" i="21"/>
  <c r="AV33" i="21"/>
  <c r="AW34" i="21"/>
  <c r="AU33" i="21"/>
  <c r="BB32" i="21" s="1"/>
  <c r="AN33" i="21"/>
  <c r="AP33" i="21" s="1"/>
  <c r="AO32" i="21"/>
  <c r="AM35" i="21"/>
  <c r="AL34" i="21"/>
  <c r="AK34" i="21"/>
  <c r="AR33" i="21" s="1"/>
  <c r="AQ32" i="21"/>
  <c r="AE31" i="21"/>
  <c r="AG31" i="21"/>
  <c r="AD32" i="21"/>
  <c r="AA33" i="21"/>
  <c r="AH32" i="21" s="1"/>
  <c r="P117" i="25"/>
  <c r="R117" i="25"/>
  <c r="O118" i="25"/>
  <c r="Q118" i="25"/>
  <c r="N118" i="25"/>
  <c r="M119" i="25"/>
  <c r="S116" i="25"/>
  <c r="JL54" i="21" l="1"/>
  <c r="IX55" i="21"/>
  <c r="KD54" i="21"/>
  <c r="KQ54" i="21"/>
  <c r="JM54" i="21"/>
  <c r="KP54" i="21"/>
  <c r="KO54" i="21"/>
  <c r="KF53" i="21"/>
  <c r="KF54" i="21" s="1"/>
  <c r="KG53" i="21"/>
  <c r="KC56" i="21"/>
  <c r="KE53" i="21"/>
  <c r="KE54" i="21" s="1"/>
  <c r="KH53" i="21"/>
  <c r="KA55" i="21"/>
  <c r="KB55" i="21"/>
  <c r="KL56" i="21"/>
  <c r="JB53" i="21"/>
  <c r="JA53" i="21"/>
  <c r="JT54" i="21"/>
  <c r="GF35" i="21"/>
  <c r="KR54" i="21"/>
  <c r="KK56" i="21"/>
  <c r="KM57" i="21"/>
  <c r="KN55" i="21"/>
  <c r="KO55" i="21" s="1"/>
  <c r="JU53" i="21"/>
  <c r="JW53" i="21"/>
  <c r="JX53" i="21"/>
  <c r="JQ55" i="21"/>
  <c r="JS56" i="21"/>
  <c r="JR55" i="21"/>
  <c r="JV53" i="21"/>
  <c r="JI57" i="21"/>
  <c r="JH56" i="21"/>
  <c r="JJ55" i="21"/>
  <c r="JK54" i="21"/>
  <c r="JN54" i="21"/>
  <c r="JG56" i="21"/>
  <c r="JD53" i="21"/>
  <c r="IW55" i="21"/>
  <c r="IZ54" i="21"/>
  <c r="IY56" i="21"/>
  <c r="GS33" i="21"/>
  <c r="AS35" i="25"/>
  <c r="AY35" i="25" s="1"/>
  <c r="BD35" i="25" s="1"/>
  <c r="BE35" i="25"/>
  <c r="V43" i="25"/>
  <c r="AZ42" i="25"/>
  <c r="M41" i="30"/>
  <c r="K116" i="30"/>
  <c r="L116" i="30" s="1"/>
  <c r="C42" i="30"/>
  <c r="AX35" i="25"/>
  <c r="BH35" i="25" s="1"/>
  <c r="AV42" i="25"/>
  <c r="BF42" i="25" s="1"/>
  <c r="AT37" i="25"/>
  <c r="BG37" i="25" s="1"/>
  <c r="AM37" i="25"/>
  <c r="AN37" i="25"/>
  <c r="AH39" i="25"/>
  <c r="AJ39" i="25" s="1"/>
  <c r="AL37" i="25"/>
  <c r="BC37" i="25" s="1"/>
  <c r="AP36" i="25"/>
  <c r="BA36" i="25" s="1"/>
  <c r="X40" i="25"/>
  <c r="AB40" i="25" s="1"/>
  <c r="Z40" i="25"/>
  <c r="AF40" i="25" s="1"/>
  <c r="AO37" i="25"/>
  <c r="AK38" i="25"/>
  <c r="AE40" i="25"/>
  <c r="AG40" i="25"/>
  <c r="AC40" i="25"/>
  <c r="Y41" i="25"/>
  <c r="AD39" i="25"/>
  <c r="AI39" i="25" s="1"/>
  <c r="W41" i="25"/>
  <c r="AA41" i="25" s="1"/>
  <c r="HC32" i="21"/>
  <c r="FP32" i="21"/>
  <c r="KY33" i="21"/>
  <c r="KV35" i="21"/>
  <c r="KW36" i="21"/>
  <c r="KU35" i="21"/>
  <c r="LB34" i="21" s="1"/>
  <c r="KX34" i="21"/>
  <c r="KZ33" i="21"/>
  <c r="LA33" i="21"/>
  <c r="DH32" i="21"/>
  <c r="EA32" i="21"/>
  <c r="DI32" i="21"/>
  <c r="DG32" i="21"/>
  <c r="FE33" i="21"/>
  <c r="HV33" i="21"/>
  <c r="DN34" i="21"/>
  <c r="GT33" i="21"/>
  <c r="CJ34" i="21"/>
  <c r="IP34" i="21"/>
  <c r="IQ33" i="21"/>
  <c r="IN35" i="21"/>
  <c r="IO36" i="21"/>
  <c r="IM35" i="21"/>
  <c r="IT34" i="21" s="1"/>
  <c r="IS33" i="21"/>
  <c r="IR33" i="21"/>
  <c r="GU33" i="21"/>
  <c r="HY32" i="21"/>
  <c r="HE32" i="21"/>
  <c r="IF34" i="21"/>
  <c r="HD32" i="21"/>
  <c r="II33" i="21"/>
  <c r="IC35" i="21"/>
  <c r="IJ34" i="21" s="1"/>
  <c r="IE36" i="21"/>
  <c r="ID35" i="21"/>
  <c r="IG33" i="21"/>
  <c r="IH33" i="21"/>
  <c r="HU35" i="21"/>
  <c r="HX32" i="21"/>
  <c r="HW32" i="21"/>
  <c r="HT34" i="21"/>
  <c r="HS34" i="21"/>
  <c r="HZ33" i="21" s="1"/>
  <c r="HK36" i="21"/>
  <c r="HJ35" i="21"/>
  <c r="HL34" i="21"/>
  <c r="HO33" i="21"/>
  <c r="HN33" i="21"/>
  <c r="HM33" i="21"/>
  <c r="HI35" i="21"/>
  <c r="HP34" i="21" s="1"/>
  <c r="HA35" i="21"/>
  <c r="HB33" i="21"/>
  <c r="GY34" i="21"/>
  <c r="HF33" i="21" s="1"/>
  <c r="GZ34" i="21"/>
  <c r="CM32" i="21"/>
  <c r="GQ36" i="21"/>
  <c r="GO35" i="21"/>
  <c r="GV34" i="21" s="1"/>
  <c r="GR34" i="21"/>
  <c r="GP35" i="21"/>
  <c r="EW33" i="21"/>
  <c r="FV35" i="21"/>
  <c r="DP33" i="21"/>
  <c r="BA32" i="21"/>
  <c r="GH34" i="21"/>
  <c r="GJ33" i="21"/>
  <c r="GI33" i="21"/>
  <c r="GE35" i="21"/>
  <c r="GL34" i="21" s="1"/>
  <c r="GG36" i="21"/>
  <c r="GK33" i="21"/>
  <c r="FZ33" i="21"/>
  <c r="FX34" i="21"/>
  <c r="GA33" i="21"/>
  <c r="FY33" i="21"/>
  <c r="FU35" i="21"/>
  <c r="GB34" i="21" s="1"/>
  <c r="FW36" i="21"/>
  <c r="EM32" i="21"/>
  <c r="EL32" i="21"/>
  <c r="ER35" i="21"/>
  <c r="FM35" i="21"/>
  <c r="FN33" i="21"/>
  <c r="FQ32" i="21"/>
  <c r="FK34" i="21"/>
  <c r="FR33" i="21" s="1"/>
  <c r="FL34" i="21"/>
  <c r="FO32" i="21"/>
  <c r="FG33" i="21"/>
  <c r="FF33" i="21"/>
  <c r="FD34" i="21"/>
  <c r="FB35" i="21"/>
  <c r="FA35" i="21"/>
  <c r="FH34" i="21" s="1"/>
  <c r="FC36" i="21"/>
  <c r="ET34" i="21"/>
  <c r="ES36" i="21"/>
  <c r="EV33" i="21"/>
  <c r="EQ35" i="21"/>
  <c r="EX34" i="21" s="1"/>
  <c r="EU33" i="21"/>
  <c r="EH34" i="21"/>
  <c r="EC32" i="21"/>
  <c r="CX32" i="21"/>
  <c r="DD34" i="21"/>
  <c r="EG34" i="21"/>
  <c r="EN33" i="21" s="1"/>
  <c r="EI35" i="21"/>
  <c r="EK32" i="21"/>
  <c r="EJ33" i="21"/>
  <c r="DX34" i="21"/>
  <c r="DW34" i="21"/>
  <c r="ED33" i="21" s="1"/>
  <c r="DY35" i="21"/>
  <c r="EB32" i="21"/>
  <c r="DZ33" i="21"/>
  <c r="DS32" i="21"/>
  <c r="DQ32" i="21"/>
  <c r="DM34" i="21"/>
  <c r="DT33" i="21" s="1"/>
  <c r="DO35" i="21"/>
  <c r="DR32" i="21"/>
  <c r="BJ33" i="21"/>
  <c r="BH34" i="21"/>
  <c r="CT34" i="21"/>
  <c r="CV33" i="21"/>
  <c r="CB33" i="21"/>
  <c r="DC34" i="21"/>
  <c r="DJ33" i="21" s="1"/>
  <c r="DE35" i="21"/>
  <c r="DF33" i="21"/>
  <c r="CS34" i="21"/>
  <c r="CZ33" i="21" s="1"/>
  <c r="CU35" i="21"/>
  <c r="CW32" i="21"/>
  <c r="CY32" i="21"/>
  <c r="AY32" i="21"/>
  <c r="BR33" i="21"/>
  <c r="CI34" i="21"/>
  <c r="CP33" i="21" s="1"/>
  <c r="CK35" i="21"/>
  <c r="CN32" i="21"/>
  <c r="CL33" i="21"/>
  <c r="CO32" i="21"/>
  <c r="CE32" i="21"/>
  <c r="BY34" i="21"/>
  <c r="CF33" i="21" s="1"/>
  <c r="CD32" i="21"/>
  <c r="CA35" i="21"/>
  <c r="CC32" i="21"/>
  <c r="BZ34" i="21"/>
  <c r="BT32" i="21"/>
  <c r="BQ35" i="21"/>
  <c r="BS32" i="21"/>
  <c r="BO34" i="21"/>
  <c r="BV33" i="21" s="1"/>
  <c r="BP34" i="21"/>
  <c r="BU32" i="21"/>
  <c r="BK33" i="21"/>
  <c r="BE35" i="21"/>
  <c r="BL34" i="21" s="1"/>
  <c r="BI33" i="21"/>
  <c r="BG36" i="21"/>
  <c r="BF35" i="21"/>
  <c r="AL35" i="21"/>
  <c r="AV34" i="21"/>
  <c r="AW35" i="21"/>
  <c r="AX33" i="21"/>
  <c r="AU34" i="21"/>
  <c r="BB33" i="21" s="1"/>
  <c r="AZ32" i="21"/>
  <c r="AE32" i="21"/>
  <c r="AF32" i="21"/>
  <c r="AO33" i="21"/>
  <c r="AQ33" i="21"/>
  <c r="AM36" i="21"/>
  <c r="AK35" i="21"/>
  <c r="AR34" i="21" s="1"/>
  <c r="AN34" i="21"/>
  <c r="AP34" i="21" s="1"/>
  <c r="AG32" i="21"/>
  <c r="AD33" i="21"/>
  <c r="AA34" i="21"/>
  <c r="AH33" i="21" s="1"/>
  <c r="P118" i="25"/>
  <c r="R118" i="25"/>
  <c r="O119" i="25"/>
  <c r="N119" i="25"/>
  <c r="Q119" i="25"/>
  <c r="M120" i="25"/>
  <c r="S117" i="25"/>
  <c r="DI33" i="21" l="1"/>
  <c r="KG54" i="21"/>
  <c r="JW54" i="21"/>
  <c r="JA54" i="21"/>
  <c r="JV54" i="21"/>
  <c r="JR56" i="21"/>
  <c r="KC57" i="21"/>
  <c r="KB56" i="21"/>
  <c r="KH54" i="21"/>
  <c r="KA56" i="21"/>
  <c r="KD55" i="21"/>
  <c r="KE55" i="21" s="1"/>
  <c r="JU54" i="21"/>
  <c r="KP55" i="21"/>
  <c r="KQ55" i="21"/>
  <c r="JJ56" i="21"/>
  <c r="JH57" i="21"/>
  <c r="IX3" i="21"/>
  <c r="IY4" i="21" s="1"/>
  <c r="IX5" i="21" s="1"/>
  <c r="JH3" i="21"/>
  <c r="JI4" i="21" s="1"/>
  <c r="JH5" i="21" s="1"/>
  <c r="KM58" i="21"/>
  <c r="KR55" i="21"/>
  <c r="KK57" i="21"/>
  <c r="KN56" i="21"/>
  <c r="KL57" i="21"/>
  <c r="JS57" i="21"/>
  <c r="JX54" i="21"/>
  <c r="JQ56" i="21"/>
  <c r="JT55" i="21"/>
  <c r="JK55" i="21"/>
  <c r="JI58" i="21"/>
  <c r="JN55" i="21"/>
  <c r="JG57" i="21"/>
  <c r="JM55" i="21"/>
  <c r="JL55" i="21"/>
  <c r="IY57" i="21"/>
  <c r="IZ55" i="21"/>
  <c r="JC54" i="21"/>
  <c r="JB54" i="21"/>
  <c r="IX56" i="21"/>
  <c r="JD54" i="21"/>
  <c r="IW56" i="21"/>
  <c r="V44" i="25"/>
  <c r="AZ43" i="25"/>
  <c r="M42" i="30"/>
  <c r="K117" i="30"/>
  <c r="L117" i="30" s="1"/>
  <c r="C43" i="30"/>
  <c r="AR36" i="25"/>
  <c r="AQ36" i="25"/>
  <c r="BB36" i="25" s="1"/>
  <c r="AW36" i="25"/>
  <c r="AT38" i="25"/>
  <c r="BG38" i="25" s="1"/>
  <c r="AV43" i="25"/>
  <c r="BF43" i="25" s="1"/>
  <c r="AU36" i="25"/>
  <c r="AN38" i="25"/>
  <c r="AL38" i="25"/>
  <c r="BC38" i="25" s="1"/>
  <c r="AH40" i="25"/>
  <c r="AJ40" i="25" s="1"/>
  <c r="AP37" i="25"/>
  <c r="BA37" i="25" s="1"/>
  <c r="AM38" i="25"/>
  <c r="X41" i="25"/>
  <c r="AB41" i="25" s="1"/>
  <c r="Z41" i="25"/>
  <c r="AH41" i="25" s="1"/>
  <c r="AO38" i="25"/>
  <c r="AK39" i="25"/>
  <c r="AG41" i="25"/>
  <c r="AE41" i="25"/>
  <c r="AC41" i="25"/>
  <c r="Y42" i="25"/>
  <c r="AD40" i="25"/>
  <c r="AI40" i="25" s="1"/>
  <c r="W42" i="25"/>
  <c r="AA42" i="25" s="1"/>
  <c r="HX33" i="21"/>
  <c r="IH34" i="21"/>
  <c r="AE33" i="21"/>
  <c r="KY34" i="21"/>
  <c r="HW33" i="21"/>
  <c r="GT34" i="21"/>
  <c r="LA34" i="21"/>
  <c r="EA33" i="21"/>
  <c r="GA34" i="21"/>
  <c r="GJ34" i="21"/>
  <c r="KZ34" i="21"/>
  <c r="KW37" i="21"/>
  <c r="KU36" i="21"/>
  <c r="LB35" i="21" s="1"/>
  <c r="KX35" i="21"/>
  <c r="KV36" i="21"/>
  <c r="DR33" i="21"/>
  <c r="HE33" i="21"/>
  <c r="HY33" i="21"/>
  <c r="HJ36" i="21"/>
  <c r="DQ33" i="21"/>
  <c r="GI34" i="21"/>
  <c r="ID36" i="21"/>
  <c r="IS34" i="21"/>
  <c r="IR34" i="21"/>
  <c r="IP35" i="21"/>
  <c r="IQ34" i="21"/>
  <c r="GZ35" i="21"/>
  <c r="HM34" i="21"/>
  <c r="HT35" i="21"/>
  <c r="HN34" i="21"/>
  <c r="FB36" i="21"/>
  <c r="II34" i="21"/>
  <c r="IM36" i="21"/>
  <c r="IT35" i="21" s="1"/>
  <c r="IO37" i="21"/>
  <c r="IN36" i="21"/>
  <c r="FQ33" i="21"/>
  <c r="GP36" i="21"/>
  <c r="HL35" i="21"/>
  <c r="IG34" i="21"/>
  <c r="HV34" i="21"/>
  <c r="IE37" i="21"/>
  <c r="IC36" i="21"/>
  <c r="IJ35" i="21" s="1"/>
  <c r="IF35" i="21"/>
  <c r="HU36" i="21"/>
  <c r="HS35" i="21"/>
  <c r="HZ34" i="21" s="1"/>
  <c r="HO34" i="21"/>
  <c r="HI36" i="21"/>
  <c r="HP35" i="21" s="1"/>
  <c r="HK37" i="21"/>
  <c r="GY35" i="21"/>
  <c r="HF34" i="21" s="1"/>
  <c r="HB34" i="21"/>
  <c r="HD33" i="21"/>
  <c r="HC33" i="21"/>
  <c r="HA36" i="21"/>
  <c r="GU34" i="21"/>
  <c r="GS34" i="21"/>
  <c r="CW33" i="21"/>
  <c r="EM33" i="21"/>
  <c r="GO36" i="21"/>
  <c r="GV35" i="21" s="1"/>
  <c r="GQ37" i="21"/>
  <c r="GR35" i="21"/>
  <c r="BS33" i="21"/>
  <c r="EV34" i="21"/>
  <c r="CY33" i="21"/>
  <c r="CX33" i="21"/>
  <c r="DS33" i="21"/>
  <c r="EK33" i="21"/>
  <c r="BI34" i="21"/>
  <c r="BK34" i="21"/>
  <c r="FZ34" i="21"/>
  <c r="GK34" i="21"/>
  <c r="GG37" i="21"/>
  <c r="GE36" i="21"/>
  <c r="GL35" i="21" s="1"/>
  <c r="GH35" i="21"/>
  <c r="GF36" i="21"/>
  <c r="FU36" i="21"/>
  <c r="GB35" i="21" s="1"/>
  <c r="FY34" i="21"/>
  <c r="FX35" i="21"/>
  <c r="FW37" i="21"/>
  <c r="FV36" i="21"/>
  <c r="BJ34" i="21"/>
  <c r="EB33" i="21"/>
  <c r="CL34" i="21"/>
  <c r="FO33" i="21"/>
  <c r="FK35" i="21"/>
  <c r="FR34" i="21" s="1"/>
  <c r="FN34" i="21"/>
  <c r="FP33" i="21"/>
  <c r="FM36" i="21"/>
  <c r="FL35" i="21"/>
  <c r="FA36" i="21"/>
  <c r="FH35" i="21" s="1"/>
  <c r="FD35" i="21"/>
  <c r="FF34" i="21"/>
  <c r="FG34" i="21"/>
  <c r="FC37" i="21"/>
  <c r="FE34" i="21"/>
  <c r="ES37" i="21"/>
  <c r="ET35" i="21"/>
  <c r="EQ36" i="21"/>
  <c r="EX35" i="21" s="1"/>
  <c r="ER36" i="21"/>
  <c r="EU34" i="21"/>
  <c r="EW34" i="21"/>
  <c r="BT33" i="21"/>
  <c r="DH33" i="21"/>
  <c r="BU33" i="21"/>
  <c r="BP35" i="21"/>
  <c r="EI36" i="21"/>
  <c r="EG35" i="21"/>
  <c r="EN34" i="21" s="1"/>
  <c r="EH35" i="21"/>
  <c r="EJ34" i="21"/>
  <c r="EL33" i="21"/>
  <c r="DW35" i="21"/>
  <c r="ED34" i="21" s="1"/>
  <c r="DX35" i="21"/>
  <c r="DY36" i="21"/>
  <c r="DZ34" i="21"/>
  <c r="EC33" i="21"/>
  <c r="DO36" i="21"/>
  <c r="DM35" i="21"/>
  <c r="DT34" i="21" s="1"/>
  <c r="DN35" i="21"/>
  <c r="DP34" i="21"/>
  <c r="CC33" i="21"/>
  <c r="CN33" i="21"/>
  <c r="DG33" i="21"/>
  <c r="CD33" i="21"/>
  <c r="CE33" i="21"/>
  <c r="DC35" i="21"/>
  <c r="DJ34" i="21" s="1"/>
  <c r="DE36" i="21"/>
  <c r="DF34" i="21"/>
  <c r="DD35" i="21"/>
  <c r="CU36" i="21"/>
  <c r="CS35" i="21"/>
  <c r="CZ34" i="21" s="1"/>
  <c r="CT35" i="21"/>
  <c r="CV34" i="21"/>
  <c r="CM33" i="21"/>
  <c r="CK36" i="21"/>
  <c r="CI35" i="21"/>
  <c r="CP34" i="21" s="1"/>
  <c r="CO33" i="21"/>
  <c r="CJ35" i="21"/>
  <c r="CA36" i="21"/>
  <c r="BY35" i="21"/>
  <c r="CF34" i="21" s="1"/>
  <c r="BZ35" i="21"/>
  <c r="CB34" i="21"/>
  <c r="BO35" i="21"/>
  <c r="BV34" i="21" s="1"/>
  <c r="BQ36" i="21"/>
  <c r="BR34" i="21"/>
  <c r="BE36" i="21"/>
  <c r="BL35" i="21" s="1"/>
  <c r="BG37" i="21"/>
  <c r="BF36" i="21"/>
  <c r="BH35" i="21"/>
  <c r="AX34" i="21"/>
  <c r="AY33" i="21"/>
  <c r="AW36" i="21"/>
  <c r="AZ33" i="21"/>
  <c r="AU35" i="21"/>
  <c r="BB34" i="21" s="1"/>
  <c r="BA33" i="21"/>
  <c r="AV35" i="21"/>
  <c r="AF33" i="21"/>
  <c r="AO34" i="21"/>
  <c r="AM37" i="21"/>
  <c r="AN35" i="21"/>
  <c r="AP35" i="21" s="1"/>
  <c r="AK36" i="21"/>
  <c r="AR35" i="21" s="1"/>
  <c r="AL36" i="21"/>
  <c r="AQ34" i="21"/>
  <c r="AG33" i="21"/>
  <c r="AD34" i="21"/>
  <c r="AA35" i="21"/>
  <c r="AH34" i="21" s="1"/>
  <c r="S118" i="25"/>
  <c r="R119" i="25"/>
  <c r="P119" i="25"/>
  <c r="N120" i="25"/>
  <c r="Q120" i="25"/>
  <c r="O120" i="25"/>
  <c r="M121" i="25"/>
  <c r="JW55" i="21" l="1"/>
  <c r="JL56" i="21"/>
  <c r="JM56" i="21"/>
  <c r="JR57" i="21"/>
  <c r="KF55" i="21"/>
  <c r="JK56" i="21"/>
  <c r="JA55" i="21"/>
  <c r="KB57" i="21"/>
  <c r="JC55" i="21"/>
  <c r="KH55" i="21"/>
  <c r="KA57" i="21"/>
  <c r="KG55" i="21"/>
  <c r="KC58" i="21"/>
  <c r="KD56" i="21"/>
  <c r="IX57" i="21"/>
  <c r="JN5" i="21"/>
  <c r="JM5" i="21"/>
  <c r="JG5" i="21"/>
  <c r="JK5" i="21"/>
  <c r="JL5" i="21"/>
  <c r="JI5" i="21"/>
  <c r="JH6" i="21"/>
  <c r="JJ5" i="21"/>
  <c r="IX6" i="21"/>
  <c r="JB5" i="21"/>
  <c r="JD5" i="21"/>
  <c r="IW5" i="21"/>
  <c r="JC5" i="21"/>
  <c r="IZ5" i="21"/>
  <c r="JA5" i="21"/>
  <c r="IY5" i="21"/>
  <c r="KL58" i="21"/>
  <c r="JU55" i="21"/>
  <c r="HX34" i="21"/>
  <c r="KN57" i="21"/>
  <c r="KO56" i="21"/>
  <c r="KR56" i="21"/>
  <c r="KK58" i="21"/>
  <c r="KQ56" i="21"/>
  <c r="KP56" i="21"/>
  <c r="KM59" i="21"/>
  <c r="JX55" i="21"/>
  <c r="JQ57" i="21"/>
  <c r="JT56" i="21"/>
  <c r="JS58" i="21"/>
  <c r="JV55" i="21"/>
  <c r="JI59" i="21"/>
  <c r="JN56" i="21"/>
  <c r="JG58" i="21"/>
  <c r="JH58" i="21"/>
  <c r="JJ57" i="21"/>
  <c r="JB55" i="21"/>
  <c r="IZ56" i="21"/>
  <c r="JD55" i="21"/>
  <c r="IW57" i="21"/>
  <c r="IY58" i="21"/>
  <c r="IH35" i="21"/>
  <c r="AS36" i="25"/>
  <c r="AY36" i="25" s="1"/>
  <c r="BD36" i="25" s="1"/>
  <c r="BE36" i="25"/>
  <c r="V45" i="25"/>
  <c r="AZ44" i="25"/>
  <c r="M43" i="30"/>
  <c r="K118" i="30"/>
  <c r="L118" i="30" s="1"/>
  <c r="C44" i="30"/>
  <c r="AX36" i="25"/>
  <c r="BH36" i="25" s="1"/>
  <c r="AW37" i="25"/>
  <c r="AQ37" i="25"/>
  <c r="BB37" i="25" s="1"/>
  <c r="AV44" i="25"/>
  <c r="BF44" i="25" s="1"/>
  <c r="AR37" i="25"/>
  <c r="AT39" i="25"/>
  <c r="BG39" i="25" s="1"/>
  <c r="AN39" i="25"/>
  <c r="AU37" i="25"/>
  <c r="AL39" i="25"/>
  <c r="BC39" i="25" s="1"/>
  <c r="AP38" i="25"/>
  <c r="BA38" i="25" s="1"/>
  <c r="AF41" i="25"/>
  <c r="AJ41" i="25" s="1"/>
  <c r="X42" i="25"/>
  <c r="AB42" i="25" s="1"/>
  <c r="Z42" i="25"/>
  <c r="AF42" i="25" s="1"/>
  <c r="AO39" i="25"/>
  <c r="AM39" i="25"/>
  <c r="AK40" i="25"/>
  <c r="AG42" i="25"/>
  <c r="AE42" i="25"/>
  <c r="AC42" i="25"/>
  <c r="Y43" i="25"/>
  <c r="AD41" i="25"/>
  <c r="AI41" i="25" s="1"/>
  <c r="S119" i="25"/>
  <c r="W43" i="25"/>
  <c r="AA43" i="25" s="1"/>
  <c r="KV37" i="21"/>
  <c r="DQ34" i="21"/>
  <c r="KY35" i="21"/>
  <c r="FB37" i="21"/>
  <c r="AE34" i="21"/>
  <c r="KZ35" i="21"/>
  <c r="KX36" i="21"/>
  <c r="LA35" i="21"/>
  <c r="KW38" i="21"/>
  <c r="KU37" i="21"/>
  <c r="LB36" i="21" s="1"/>
  <c r="HC34" i="21"/>
  <c r="FX36" i="21"/>
  <c r="BS34" i="21"/>
  <c r="GR36" i="21"/>
  <c r="GZ36" i="21"/>
  <c r="ID37" i="21"/>
  <c r="HM35" i="21"/>
  <c r="IQ35" i="21"/>
  <c r="IR35" i="21"/>
  <c r="IS35" i="21"/>
  <c r="HO35" i="21"/>
  <c r="HD34" i="21"/>
  <c r="HN35" i="21"/>
  <c r="IN37" i="21"/>
  <c r="IO38" i="21"/>
  <c r="IM37" i="21"/>
  <c r="IT36" i="21" s="1"/>
  <c r="IP36" i="21"/>
  <c r="CY34" i="21"/>
  <c r="HW34" i="21"/>
  <c r="HY34" i="21"/>
  <c r="HB35" i="21"/>
  <c r="II35" i="21"/>
  <c r="IG35" i="21"/>
  <c r="IC37" i="21"/>
  <c r="IJ36" i="21" s="1"/>
  <c r="IE38" i="21"/>
  <c r="IE39" i="21" s="1"/>
  <c r="IF36" i="21"/>
  <c r="HU37" i="21"/>
  <c r="HT36" i="21"/>
  <c r="HS36" i="21"/>
  <c r="HZ35" i="21" s="1"/>
  <c r="HV35" i="21"/>
  <c r="HJ37" i="21"/>
  <c r="HI37" i="21"/>
  <c r="HP36" i="21" s="1"/>
  <c r="HK38" i="21"/>
  <c r="HL36" i="21"/>
  <c r="HE34" i="21"/>
  <c r="HA37" i="21"/>
  <c r="GY36" i="21"/>
  <c r="HF35" i="21" s="1"/>
  <c r="CO34" i="21"/>
  <c r="EC34" i="21"/>
  <c r="FN35" i="21"/>
  <c r="ER37" i="21"/>
  <c r="CM34" i="21"/>
  <c r="FD36" i="21"/>
  <c r="FZ35" i="21"/>
  <c r="GQ38" i="21"/>
  <c r="GP37" i="21"/>
  <c r="GU35" i="21"/>
  <c r="GO37" i="21"/>
  <c r="GV36" i="21" s="1"/>
  <c r="GS35" i="21"/>
  <c r="GT35" i="21"/>
  <c r="CN34" i="21"/>
  <c r="FF35" i="21"/>
  <c r="DN36" i="21"/>
  <c r="GH36" i="21"/>
  <c r="FO34" i="21"/>
  <c r="GA35" i="21"/>
  <c r="FY35" i="21"/>
  <c r="FQ34" i="21"/>
  <c r="GF37" i="21"/>
  <c r="GK35" i="21"/>
  <c r="GJ35" i="21"/>
  <c r="GI35" i="21"/>
  <c r="GE37" i="21"/>
  <c r="GL36" i="21" s="1"/>
  <c r="GG38" i="21"/>
  <c r="FW38" i="21"/>
  <c r="FU37" i="21"/>
  <c r="GB36" i="21" s="1"/>
  <c r="FV37" i="21"/>
  <c r="EH36" i="21"/>
  <c r="BF37" i="21"/>
  <c r="CE34" i="21"/>
  <c r="DZ35" i="21"/>
  <c r="FP34" i="21"/>
  <c r="FM37" i="21"/>
  <c r="FK36" i="21"/>
  <c r="FR35" i="21" s="1"/>
  <c r="FL36" i="21"/>
  <c r="FG35" i="21"/>
  <c r="FC38" i="21"/>
  <c r="FE35" i="21"/>
  <c r="FA37" i="21"/>
  <c r="FH36" i="21" s="1"/>
  <c r="EQ37" i="21"/>
  <c r="EX36" i="21" s="1"/>
  <c r="ET36" i="21"/>
  <c r="ES38" i="21"/>
  <c r="EW35" i="21"/>
  <c r="EU35" i="21"/>
  <c r="EV35" i="21"/>
  <c r="CD34" i="21"/>
  <c r="EJ35" i="21"/>
  <c r="EK34" i="21"/>
  <c r="EM34" i="21"/>
  <c r="EG36" i="21"/>
  <c r="EN35" i="21" s="1"/>
  <c r="EI37" i="21"/>
  <c r="EL34" i="21"/>
  <c r="DY37" i="21"/>
  <c r="DX36" i="21"/>
  <c r="DW36" i="21"/>
  <c r="ED35" i="21" s="1"/>
  <c r="EA34" i="21"/>
  <c r="EB34" i="21"/>
  <c r="DS34" i="21"/>
  <c r="DM36" i="21"/>
  <c r="DT35" i="21" s="1"/>
  <c r="DP35" i="21"/>
  <c r="DO37" i="21"/>
  <c r="DN37" i="21" s="1"/>
  <c r="DR34" i="21"/>
  <c r="BT34" i="21"/>
  <c r="DF35" i="21"/>
  <c r="DE37" i="21"/>
  <c r="DI34" i="21"/>
  <c r="DG34" i="21"/>
  <c r="DC36" i="21"/>
  <c r="DJ35" i="21" s="1"/>
  <c r="DD36" i="21"/>
  <c r="DH34" i="21"/>
  <c r="CW34" i="21"/>
  <c r="CT36" i="21"/>
  <c r="CX34" i="21"/>
  <c r="CV35" i="21"/>
  <c r="CS36" i="21"/>
  <c r="CZ35" i="21" s="1"/>
  <c r="CU37" i="21"/>
  <c r="CC34" i="21"/>
  <c r="BZ36" i="21"/>
  <c r="CK37" i="21"/>
  <c r="CI36" i="21"/>
  <c r="CP35" i="21" s="1"/>
  <c r="CJ36" i="21"/>
  <c r="CL35" i="21"/>
  <c r="BY36" i="21"/>
  <c r="CF35" i="21" s="1"/>
  <c r="CA37" i="21"/>
  <c r="CB35" i="21"/>
  <c r="BO36" i="21"/>
  <c r="BV35" i="21" s="1"/>
  <c r="BQ37" i="21"/>
  <c r="BR35" i="21"/>
  <c r="BU34" i="21"/>
  <c r="BP36" i="21"/>
  <c r="BJ35" i="21"/>
  <c r="BK35" i="21"/>
  <c r="BH36" i="21"/>
  <c r="BG38" i="21"/>
  <c r="BE37" i="21"/>
  <c r="BL36" i="21" s="1"/>
  <c r="BI35" i="21"/>
  <c r="BA34" i="21"/>
  <c r="AZ34" i="21"/>
  <c r="AY34" i="21"/>
  <c r="AU36" i="21"/>
  <c r="BB35" i="21" s="1"/>
  <c r="AW37" i="21"/>
  <c r="AV36" i="21"/>
  <c r="AX35" i="21"/>
  <c r="AF34" i="21"/>
  <c r="AQ35" i="21"/>
  <c r="AL37" i="21"/>
  <c r="AK37" i="21"/>
  <c r="AR36" i="21" s="1"/>
  <c r="AM38" i="21"/>
  <c r="AN36" i="21"/>
  <c r="AP36" i="21" s="1"/>
  <c r="AO35" i="21"/>
  <c r="AG34" i="21"/>
  <c r="AD35" i="21"/>
  <c r="AA36" i="21"/>
  <c r="AH35" i="21" s="1"/>
  <c r="R120" i="25"/>
  <c r="P120" i="25"/>
  <c r="O121" i="25"/>
  <c r="N121" i="25"/>
  <c r="Q121" i="25"/>
  <c r="M122" i="25"/>
  <c r="KL59" i="21" l="1"/>
  <c r="KB58" i="21"/>
  <c r="JC56" i="21"/>
  <c r="IX58" i="21"/>
  <c r="JK57" i="21"/>
  <c r="JH59" i="21"/>
  <c r="JR3" i="21"/>
  <c r="JS4" i="21" s="1"/>
  <c r="JR5" i="21" s="1"/>
  <c r="KB3" i="21"/>
  <c r="KC4" i="21" s="1"/>
  <c r="KB5" i="21" s="1"/>
  <c r="KD57" i="21"/>
  <c r="KG56" i="21"/>
  <c r="KF56" i="21"/>
  <c r="KC59" i="21"/>
  <c r="KH56" i="21"/>
  <c r="KA58" i="21"/>
  <c r="KE56" i="21"/>
  <c r="KO57" i="21"/>
  <c r="JT57" i="21"/>
  <c r="JN6" i="21"/>
  <c r="JK6" i="21"/>
  <c r="JJ6" i="21"/>
  <c r="JM6" i="21"/>
  <c r="JL6" i="21"/>
  <c r="JI6" i="21"/>
  <c r="JG6" i="21"/>
  <c r="KP57" i="21"/>
  <c r="JD6" i="21"/>
  <c r="JA6" i="21"/>
  <c r="JC6" i="21"/>
  <c r="JB6" i="21"/>
  <c r="IZ6" i="21"/>
  <c r="IW6" i="21"/>
  <c r="IY6" i="21"/>
  <c r="KQ57" i="21"/>
  <c r="KR57" i="21"/>
  <c r="KK59" i="21"/>
  <c r="KM60" i="21"/>
  <c r="KN58" i="21"/>
  <c r="JS59" i="21"/>
  <c r="JX56" i="21"/>
  <c r="JQ58" i="21"/>
  <c r="JR58" i="21"/>
  <c r="JW56" i="21"/>
  <c r="JV56" i="21"/>
  <c r="JU56" i="21"/>
  <c r="JN57" i="21"/>
  <c r="JG59" i="21"/>
  <c r="JI60" i="21"/>
  <c r="JJ58" i="21"/>
  <c r="JL57" i="21"/>
  <c r="JM57" i="21"/>
  <c r="JD56" i="21"/>
  <c r="IW58" i="21"/>
  <c r="IZ57" i="21"/>
  <c r="JB56" i="21"/>
  <c r="IY59" i="21"/>
  <c r="IX59" i="21" s="1"/>
  <c r="JA56" i="21"/>
  <c r="AS37" i="25"/>
  <c r="AY37" i="25" s="1"/>
  <c r="BD37" i="25" s="1"/>
  <c r="BE37" i="25"/>
  <c r="V46" i="25"/>
  <c r="AZ45" i="25"/>
  <c r="M44" i="30"/>
  <c r="K119" i="30"/>
  <c r="L119" i="30" s="1"/>
  <c r="GI36" i="21"/>
  <c r="KV38" i="21"/>
  <c r="C45" i="30"/>
  <c r="AX37" i="25"/>
  <c r="BH37" i="25" s="1"/>
  <c r="AR38" i="25"/>
  <c r="AQ38" i="25"/>
  <c r="BB38" i="25" s="1"/>
  <c r="AW38" i="25"/>
  <c r="AV45" i="25"/>
  <c r="BF45" i="25" s="1"/>
  <c r="AT40" i="25"/>
  <c r="BG40" i="25" s="1"/>
  <c r="AU38" i="25"/>
  <c r="AN40" i="25"/>
  <c r="AL40" i="25"/>
  <c r="BC40" i="25" s="1"/>
  <c r="AP39" i="25"/>
  <c r="BA39" i="25" s="1"/>
  <c r="AH42" i="25"/>
  <c r="AJ42" i="25" s="1"/>
  <c r="AC43" i="25"/>
  <c r="X43" i="25"/>
  <c r="AB43" i="25" s="1"/>
  <c r="Z43" i="25"/>
  <c r="AH43" i="25" s="1"/>
  <c r="AO40" i="25"/>
  <c r="AM40" i="25"/>
  <c r="AK41" i="25"/>
  <c r="AG43" i="25"/>
  <c r="AE43" i="25"/>
  <c r="Y44" i="25"/>
  <c r="AD42" i="25"/>
  <c r="AI42" i="25" s="1"/>
  <c r="W44" i="25"/>
  <c r="AA44" i="25" s="1"/>
  <c r="FB38" i="21"/>
  <c r="GT36" i="21"/>
  <c r="GA36" i="21"/>
  <c r="KY36" i="21"/>
  <c r="AE35" i="21"/>
  <c r="KZ36" i="21"/>
  <c r="LA36" i="21"/>
  <c r="FO35" i="21"/>
  <c r="FZ36" i="21"/>
  <c r="FY36" i="21"/>
  <c r="KU38" i="21"/>
  <c r="LB37" i="21" s="1"/>
  <c r="KW39" i="21"/>
  <c r="KX37" i="21"/>
  <c r="HC35" i="21"/>
  <c r="BF38" i="21"/>
  <c r="FP35" i="21"/>
  <c r="FQ35" i="21"/>
  <c r="CT37" i="21"/>
  <c r="EU36" i="21"/>
  <c r="EC35" i="21"/>
  <c r="EW36" i="21"/>
  <c r="GU36" i="21"/>
  <c r="CM35" i="21"/>
  <c r="GJ36" i="21"/>
  <c r="GK36" i="21"/>
  <c r="GS36" i="21"/>
  <c r="IS36" i="21"/>
  <c r="IF37" i="21"/>
  <c r="IO39" i="21"/>
  <c r="IP37" i="21"/>
  <c r="IN38" i="21"/>
  <c r="IM38" i="21"/>
  <c r="IT37" i="21" s="1"/>
  <c r="IQ36" i="21"/>
  <c r="IR36" i="21"/>
  <c r="FE36" i="21"/>
  <c r="HE35" i="21"/>
  <c r="FG36" i="21"/>
  <c r="HD35" i="21"/>
  <c r="FF36" i="21"/>
  <c r="HV36" i="21"/>
  <c r="IH36" i="21"/>
  <c r="IC38" i="21"/>
  <c r="IC39" i="21" s="1"/>
  <c r="ID38" i="21"/>
  <c r="ID39" i="21" s="1"/>
  <c r="IG36" i="21"/>
  <c r="II36" i="21"/>
  <c r="HY35" i="21"/>
  <c r="HW35" i="21"/>
  <c r="HX35" i="21"/>
  <c r="HT37" i="21"/>
  <c r="HU38" i="21"/>
  <c r="HS37" i="21"/>
  <c r="HZ36" i="21" s="1"/>
  <c r="HL37" i="21"/>
  <c r="HM36" i="21"/>
  <c r="HN36" i="21"/>
  <c r="HO36" i="21"/>
  <c r="HK39" i="21"/>
  <c r="HI38" i="21"/>
  <c r="HP37" i="21" s="1"/>
  <c r="HJ38" i="21"/>
  <c r="HA38" i="21"/>
  <c r="GY37" i="21"/>
  <c r="HF36" i="21" s="1"/>
  <c r="HB36" i="21"/>
  <c r="GZ37" i="21"/>
  <c r="ER38" i="21"/>
  <c r="EK35" i="21"/>
  <c r="FV38" i="21"/>
  <c r="GO38" i="21"/>
  <c r="GV37" i="21" s="1"/>
  <c r="GP38" i="21"/>
  <c r="GQ39" i="21"/>
  <c r="GR37" i="21"/>
  <c r="DH35" i="21"/>
  <c r="EA35" i="21"/>
  <c r="GF38" i="21"/>
  <c r="DI35" i="21"/>
  <c r="EB35" i="21"/>
  <c r="EL35" i="21"/>
  <c r="DS35" i="21"/>
  <c r="BU35" i="21"/>
  <c r="EM35" i="21"/>
  <c r="GE38" i="21"/>
  <c r="GL37" i="21" s="1"/>
  <c r="GG39" i="21"/>
  <c r="GH37" i="21"/>
  <c r="FU38" i="21"/>
  <c r="GB37" i="21" s="1"/>
  <c r="FW39" i="21"/>
  <c r="FX37" i="21"/>
  <c r="FL37" i="21"/>
  <c r="DF36" i="21"/>
  <c r="DP36" i="21"/>
  <c r="FN36" i="21"/>
  <c r="FM38" i="21"/>
  <c r="FK37" i="21"/>
  <c r="FR36" i="21" s="1"/>
  <c r="FA38" i="21"/>
  <c r="FH37" i="21" s="1"/>
  <c r="FC39" i="21"/>
  <c r="FD37" i="21"/>
  <c r="ES39" i="21"/>
  <c r="ET37" i="21"/>
  <c r="EQ38" i="21"/>
  <c r="EX37" i="21" s="1"/>
  <c r="EV36" i="21"/>
  <c r="CD35" i="21"/>
  <c r="CJ37" i="21"/>
  <c r="DG35" i="21"/>
  <c r="EI38" i="21"/>
  <c r="EG37" i="21"/>
  <c r="EN36" i="21" s="1"/>
  <c r="EH37" i="21"/>
  <c r="EJ36" i="21"/>
  <c r="DX37" i="21"/>
  <c r="DW37" i="21"/>
  <c r="ED36" i="21" s="1"/>
  <c r="DY38" i="21"/>
  <c r="DZ36" i="21"/>
  <c r="DM37" i="21"/>
  <c r="DT36" i="21" s="1"/>
  <c r="DR35" i="21"/>
  <c r="DO38" i="21"/>
  <c r="DN38" i="21" s="1"/>
  <c r="DQ35" i="21"/>
  <c r="CX35" i="21"/>
  <c r="CE35" i="21"/>
  <c r="DD37" i="21"/>
  <c r="DC37" i="21"/>
  <c r="DJ36" i="21" s="1"/>
  <c r="DE38" i="21"/>
  <c r="CV36" i="21"/>
  <c r="CS37" i="21"/>
  <c r="CZ36" i="21" s="1"/>
  <c r="CW35" i="21"/>
  <c r="CU38" i="21"/>
  <c r="CY35" i="21"/>
  <c r="CC35" i="21"/>
  <c r="AX36" i="21"/>
  <c r="BR36" i="21"/>
  <c r="CO35" i="21"/>
  <c r="CI37" i="21"/>
  <c r="CP36" i="21" s="1"/>
  <c r="CN35" i="21"/>
  <c r="CL36" i="21"/>
  <c r="CK38" i="21"/>
  <c r="CA38" i="21"/>
  <c r="BY37" i="21"/>
  <c r="CF36" i="21" s="1"/>
  <c r="CB36" i="21"/>
  <c r="BZ37" i="21"/>
  <c r="BT35" i="21"/>
  <c r="BS35" i="21"/>
  <c r="BQ38" i="21"/>
  <c r="BO37" i="21"/>
  <c r="BV36" i="21" s="1"/>
  <c r="BP37" i="21"/>
  <c r="AV37" i="21"/>
  <c r="BK36" i="21"/>
  <c r="BG39" i="21"/>
  <c r="BH37" i="21"/>
  <c r="BE38" i="21"/>
  <c r="BL37" i="21" s="1"/>
  <c r="BI36" i="21"/>
  <c r="BJ36" i="21"/>
  <c r="AF35" i="21"/>
  <c r="AZ35" i="21"/>
  <c r="AY35" i="21"/>
  <c r="AU37" i="21"/>
  <c r="BB36" i="21" s="1"/>
  <c r="AW38" i="21"/>
  <c r="BA35" i="21"/>
  <c r="AN37" i="21"/>
  <c r="AP37" i="21" s="1"/>
  <c r="AO36" i="21"/>
  <c r="AM39" i="21"/>
  <c r="AK38" i="21"/>
  <c r="AR37" i="21" s="1"/>
  <c r="AL38" i="21"/>
  <c r="AQ36" i="21"/>
  <c r="AG35" i="21"/>
  <c r="AD36" i="21"/>
  <c r="AA37" i="21"/>
  <c r="AH36" i="21" s="1"/>
  <c r="S120" i="25"/>
  <c r="R121" i="25"/>
  <c r="P121" i="25"/>
  <c r="M123" i="25"/>
  <c r="O122" i="25"/>
  <c r="Q122" i="25"/>
  <c r="N122" i="25"/>
  <c r="JB57" i="21" l="1"/>
  <c r="JW57" i="21"/>
  <c r="JU57" i="21"/>
  <c r="JV57" i="21"/>
  <c r="KG57" i="21"/>
  <c r="IZ58" i="21"/>
  <c r="KL3" i="21"/>
  <c r="KM4" i="21" s="1"/>
  <c r="KL5" i="21" s="1"/>
  <c r="KF5" i="21"/>
  <c r="KE5" i="21"/>
  <c r="KD5" i="21"/>
  <c r="KB6" i="21"/>
  <c r="KC5" i="21"/>
  <c r="KG5" i="21"/>
  <c r="KA5" i="21"/>
  <c r="KH5" i="21"/>
  <c r="KE57" i="21"/>
  <c r="JT5" i="21"/>
  <c r="JS5" i="21"/>
  <c r="JQ5" i="21"/>
  <c r="JW5" i="21"/>
  <c r="JV5" i="21"/>
  <c r="JU5" i="21"/>
  <c r="JR6" i="21"/>
  <c r="JX5" i="21"/>
  <c r="KQ58" i="21"/>
  <c r="KF57" i="21"/>
  <c r="KH57" i="21"/>
  <c r="KA59" i="21"/>
  <c r="KC60" i="21"/>
  <c r="KD58" i="21"/>
  <c r="KB59" i="21"/>
  <c r="IZ4" i="21"/>
  <c r="IX2" i="21" s="1"/>
  <c r="IW4" i="21"/>
  <c r="JD4" i="21"/>
  <c r="JB4" i="21"/>
  <c r="JA4" i="21"/>
  <c r="JC4" i="21"/>
  <c r="KO58" i="21"/>
  <c r="JL4" i="21"/>
  <c r="JK4" i="21"/>
  <c r="JM4" i="21"/>
  <c r="JJ4" i="21"/>
  <c r="JH2" i="21" s="1"/>
  <c r="JG4" i="21"/>
  <c r="JN4" i="21"/>
  <c r="JR59" i="21"/>
  <c r="GT37" i="21"/>
  <c r="JJ59" i="21"/>
  <c r="KM61" i="21"/>
  <c r="KR58" i="21"/>
  <c r="KK60" i="21"/>
  <c r="KN59" i="21"/>
  <c r="KL60" i="21"/>
  <c r="KP58" i="21"/>
  <c r="JX57" i="21"/>
  <c r="JQ59" i="21"/>
  <c r="JS60" i="21"/>
  <c r="JT58" i="21"/>
  <c r="JU58" i="21" s="1"/>
  <c r="JL58" i="21"/>
  <c r="JI61" i="21"/>
  <c r="JN58" i="21"/>
  <c r="JG60" i="21"/>
  <c r="JH60" i="21"/>
  <c r="JM58" i="21"/>
  <c r="JK58" i="21"/>
  <c r="IY60" i="21"/>
  <c r="JD57" i="21"/>
  <c r="IW59" i="21"/>
  <c r="JA57" i="21"/>
  <c r="JC57" i="21"/>
  <c r="AS38" i="25"/>
  <c r="AY38" i="25" s="1"/>
  <c r="BD38" i="25" s="1"/>
  <c r="BE38" i="25"/>
  <c r="V47" i="25"/>
  <c r="AZ46" i="25"/>
  <c r="M45" i="30"/>
  <c r="K120" i="30"/>
  <c r="L120" i="30" s="1"/>
  <c r="KV39" i="21"/>
  <c r="C46" i="30"/>
  <c r="AX38" i="25"/>
  <c r="BH38" i="25" s="1"/>
  <c r="AQ39" i="25"/>
  <c r="BB39" i="25" s="1"/>
  <c r="AW39" i="25"/>
  <c r="AV46" i="25"/>
  <c r="BF46" i="25" s="1"/>
  <c r="AT41" i="25"/>
  <c r="BG41" i="25" s="1"/>
  <c r="AR39" i="25"/>
  <c r="AU39" i="25"/>
  <c r="AN41" i="25"/>
  <c r="AL41" i="25"/>
  <c r="BC41" i="25" s="1"/>
  <c r="AP40" i="25"/>
  <c r="BA40" i="25" s="1"/>
  <c r="AF43" i="25"/>
  <c r="AJ43" i="25" s="1"/>
  <c r="AC44" i="25"/>
  <c r="X44" i="25"/>
  <c r="AB44" i="25" s="1"/>
  <c r="Z44" i="25"/>
  <c r="AH44" i="25" s="1"/>
  <c r="AO41" i="25"/>
  <c r="AM41" i="25"/>
  <c r="AK42" i="25"/>
  <c r="AG44" i="25"/>
  <c r="AE44" i="25"/>
  <c r="Y45" i="25"/>
  <c r="AD43" i="25"/>
  <c r="AI43" i="25" s="1"/>
  <c r="W45" i="25"/>
  <c r="AA45" i="25" s="1"/>
  <c r="AE36" i="21"/>
  <c r="IJ37" i="21"/>
  <c r="IJ38" i="21" s="1"/>
  <c r="GK37" i="21"/>
  <c r="BF39" i="21"/>
  <c r="FB39" i="21"/>
  <c r="IH37" i="21"/>
  <c r="BU36" i="21"/>
  <c r="IG37" i="21"/>
  <c r="HW36" i="21"/>
  <c r="KW40" i="21"/>
  <c r="LA37" i="21"/>
  <c r="KZ37" i="21"/>
  <c r="KX38" i="21"/>
  <c r="KY37" i="21"/>
  <c r="KU39" i="21"/>
  <c r="LB38" i="21" s="1"/>
  <c r="ET38" i="21"/>
  <c r="FG37" i="21"/>
  <c r="GU37" i="21"/>
  <c r="HY36" i="21"/>
  <c r="EK36" i="21"/>
  <c r="HO37" i="21"/>
  <c r="HX36" i="21"/>
  <c r="HN37" i="21"/>
  <c r="FV39" i="21"/>
  <c r="EA36" i="21"/>
  <c r="IQ37" i="21"/>
  <c r="DI36" i="21"/>
  <c r="II37" i="21"/>
  <c r="IN39" i="21"/>
  <c r="GJ37" i="21"/>
  <c r="HM37" i="21"/>
  <c r="GZ38" i="21"/>
  <c r="IM39" i="21"/>
  <c r="IT38" i="21" s="1"/>
  <c r="IP38" i="21"/>
  <c r="IO40" i="21"/>
  <c r="IR37" i="21"/>
  <c r="IS37" i="21"/>
  <c r="GI37" i="21"/>
  <c r="DR36" i="21"/>
  <c r="DQ36" i="21"/>
  <c r="DH36" i="21"/>
  <c r="IF38" i="21"/>
  <c r="IF39" i="21" s="1"/>
  <c r="IE40" i="21"/>
  <c r="HU39" i="21"/>
  <c r="HT38" i="21"/>
  <c r="HS38" i="21"/>
  <c r="HZ37" i="21" s="1"/>
  <c r="HV37" i="21"/>
  <c r="HI39" i="21"/>
  <c r="HP38" i="21" s="1"/>
  <c r="HK40" i="21"/>
  <c r="HJ39" i="21"/>
  <c r="HL38" i="21"/>
  <c r="HD36" i="21"/>
  <c r="HC36" i="21"/>
  <c r="HB37" i="21"/>
  <c r="HE36" i="21"/>
  <c r="HA39" i="21"/>
  <c r="GY38" i="21"/>
  <c r="HF37" i="21" s="1"/>
  <c r="GP39" i="21"/>
  <c r="CJ38" i="21"/>
  <c r="GS37" i="21"/>
  <c r="GQ40" i="21"/>
  <c r="GO39" i="21"/>
  <c r="GV38" i="21" s="1"/>
  <c r="GR38" i="21"/>
  <c r="FL38" i="21"/>
  <c r="BA36" i="21"/>
  <c r="DG36" i="21"/>
  <c r="DS36" i="21"/>
  <c r="GG40" i="21"/>
  <c r="GE39" i="21"/>
  <c r="GL38" i="21" s="1"/>
  <c r="GH38" i="21"/>
  <c r="GF39" i="21"/>
  <c r="FX38" i="21"/>
  <c r="GA37" i="21"/>
  <c r="FZ37" i="21"/>
  <c r="FY37" i="21"/>
  <c r="FW40" i="21"/>
  <c r="FV40" i="21" s="1"/>
  <c r="FU39" i="21"/>
  <c r="GB38" i="21" s="1"/>
  <c r="CX36" i="21"/>
  <c r="CN36" i="21"/>
  <c r="BT36" i="21"/>
  <c r="EM36" i="21"/>
  <c r="FK38" i="21"/>
  <c r="FR37" i="21" s="1"/>
  <c r="FM39" i="21"/>
  <c r="FN37" i="21"/>
  <c r="FQ36" i="21"/>
  <c r="FP36" i="21"/>
  <c r="FO36" i="21"/>
  <c r="FD38" i="21"/>
  <c r="FF37" i="21"/>
  <c r="FE37" i="21"/>
  <c r="FA39" i="21"/>
  <c r="FH38" i="21" s="1"/>
  <c r="FC40" i="21"/>
  <c r="ES40" i="21"/>
  <c r="EV37" i="21"/>
  <c r="EW37" i="21"/>
  <c r="EU37" i="21"/>
  <c r="EQ39" i="21"/>
  <c r="EX38" i="21" s="1"/>
  <c r="ER39" i="21"/>
  <c r="CY36" i="21"/>
  <c r="DD38" i="21"/>
  <c r="BK37" i="21"/>
  <c r="AZ36" i="21"/>
  <c r="BZ38" i="21"/>
  <c r="EH38" i="21"/>
  <c r="EG38" i="21"/>
  <c r="EN37" i="21" s="1"/>
  <c r="EI39" i="21"/>
  <c r="EJ37" i="21"/>
  <c r="EL36" i="21"/>
  <c r="DY39" i="21"/>
  <c r="DW38" i="21"/>
  <c r="ED37" i="21" s="1"/>
  <c r="DZ37" i="21"/>
  <c r="EC36" i="21"/>
  <c r="EB36" i="21"/>
  <c r="DX38" i="21"/>
  <c r="DO39" i="21"/>
  <c r="DM38" i="21"/>
  <c r="DT37" i="21" s="1"/>
  <c r="DP37" i="21"/>
  <c r="CW36" i="21"/>
  <c r="AY36" i="21"/>
  <c r="BS36" i="21"/>
  <c r="DC38" i="21"/>
  <c r="DJ37" i="21" s="1"/>
  <c r="DE39" i="21"/>
  <c r="DF37" i="21"/>
  <c r="CU39" i="21"/>
  <c r="CS38" i="21"/>
  <c r="CZ37" i="21" s="1"/>
  <c r="CT38" i="21"/>
  <c r="CV37" i="21"/>
  <c r="CB37" i="21"/>
  <c r="CL37" i="21"/>
  <c r="CI38" i="21"/>
  <c r="CP37" i="21" s="1"/>
  <c r="CO36" i="21"/>
  <c r="CK39" i="21"/>
  <c r="CM36" i="21"/>
  <c r="CC36" i="21"/>
  <c r="CA39" i="21"/>
  <c r="BY38" i="21"/>
  <c r="CF37" i="21" s="1"/>
  <c r="CE36" i="21"/>
  <c r="CD36" i="21"/>
  <c r="BQ39" i="21"/>
  <c r="BP38" i="21"/>
  <c r="BO38" i="21"/>
  <c r="BV37" i="21" s="1"/>
  <c r="BR37" i="21"/>
  <c r="BJ37" i="21"/>
  <c r="BI37" i="21"/>
  <c r="BE39" i="21"/>
  <c r="BL38" i="21" s="1"/>
  <c r="BH38" i="21"/>
  <c r="BG40" i="21"/>
  <c r="AO37" i="21"/>
  <c r="AW39" i="21"/>
  <c r="AU38" i="21"/>
  <c r="BB37" i="21" s="1"/>
  <c r="AV38" i="21"/>
  <c r="AX37" i="21"/>
  <c r="AQ37" i="21"/>
  <c r="AF36" i="21"/>
  <c r="AK39" i="21"/>
  <c r="AR38" i="21" s="1"/>
  <c r="AM40" i="21"/>
  <c r="AL39" i="21"/>
  <c r="AN38" i="21"/>
  <c r="AP38" i="21" s="1"/>
  <c r="AG36" i="21"/>
  <c r="AA38" i="21"/>
  <c r="AH37" i="21" s="1"/>
  <c r="AD37" i="21"/>
  <c r="S121" i="25"/>
  <c r="N123" i="25"/>
  <c r="Q123" i="25"/>
  <c r="O123" i="25"/>
  <c r="M124" i="25"/>
  <c r="P122" i="25"/>
  <c r="R122" i="25"/>
  <c r="JB58" i="21" l="1"/>
  <c r="GT38" i="21"/>
  <c r="JC58" i="21"/>
  <c r="KN60" i="21"/>
  <c r="KF58" i="21"/>
  <c r="JA58" i="21"/>
  <c r="JV6" i="21"/>
  <c r="JU6" i="21"/>
  <c r="JT6" i="21"/>
  <c r="JQ6" i="21"/>
  <c r="JS6" i="21"/>
  <c r="JX6" i="21"/>
  <c r="JW6" i="21"/>
  <c r="KP5" i="21"/>
  <c r="KO5" i="21"/>
  <c r="KR5" i="21"/>
  <c r="KN5" i="21"/>
  <c r="KM5" i="21"/>
  <c r="KK5" i="21"/>
  <c r="KL6" i="21"/>
  <c r="KQ5" i="21"/>
  <c r="KF6" i="21"/>
  <c r="KE6" i="21"/>
  <c r="KG6" i="21"/>
  <c r="KD6" i="21"/>
  <c r="KA6" i="21"/>
  <c r="KC6" i="21"/>
  <c r="KH6" i="21"/>
  <c r="KL61" i="21"/>
  <c r="KC61" i="21"/>
  <c r="KH58" i="21"/>
  <c r="KA60" i="21"/>
  <c r="KG58" i="21"/>
  <c r="KD59" i="21"/>
  <c r="KB60" i="21"/>
  <c r="KE58" i="21"/>
  <c r="JL59" i="21"/>
  <c r="JK59" i="21"/>
  <c r="JV58" i="21"/>
  <c r="JM59" i="21"/>
  <c r="JH61" i="21"/>
  <c r="KR59" i="21"/>
  <c r="KK61" i="21"/>
  <c r="KO59" i="21"/>
  <c r="KO60" i="21" s="1"/>
  <c r="KM62" i="21"/>
  <c r="KP59" i="21"/>
  <c r="KP60" i="21" s="1"/>
  <c r="KQ59" i="21"/>
  <c r="KQ60" i="21" s="1"/>
  <c r="JS61" i="21"/>
  <c r="JX58" i="21"/>
  <c r="JQ60" i="21"/>
  <c r="JR60" i="21"/>
  <c r="JT59" i="21"/>
  <c r="JU59" i="21" s="1"/>
  <c r="JW58" i="21"/>
  <c r="JN59" i="21"/>
  <c r="JG61" i="21"/>
  <c r="JI62" i="21"/>
  <c r="JJ60" i="21"/>
  <c r="JD58" i="21"/>
  <c r="IW60" i="21"/>
  <c r="IY61" i="21"/>
  <c r="IZ59" i="21"/>
  <c r="JC59" i="21" s="1"/>
  <c r="IX60" i="21"/>
  <c r="KV40" i="21"/>
  <c r="EU38" i="21"/>
  <c r="AE37" i="21"/>
  <c r="AS39" i="25"/>
  <c r="AY39" i="25" s="1"/>
  <c r="BD39" i="25" s="1"/>
  <c r="BE39" i="25"/>
  <c r="V48" i="25"/>
  <c r="AZ47" i="25"/>
  <c r="M46" i="30"/>
  <c r="K121" i="30"/>
  <c r="L121" i="30" s="1"/>
  <c r="C47" i="30"/>
  <c r="AX39" i="25"/>
  <c r="BH39" i="25" s="1"/>
  <c r="AR40" i="25"/>
  <c r="AQ40" i="25"/>
  <c r="BB40" i="25" s="1"/>
  <c r="AW40" i="25"/>
  <c r="AT42" i="25"/>
  <c r="BG42" i="25" s="1"/>
  <c r="AV47" i="25"/>
  <c r="BF47" i="25" s="1"/>
  <c r="AU40" i="25"/>
  <c r="AN42" i="25"/>
  <c r="AL42" i="25"/>
  <c r="BC42" i="25" s="1"/>
  <c r="AP41" i="25"/>
  <c r="BA41" i="25" s="1"/>
  <c r="AF44" i="25"/>
  <c r="AJ44" i="25" s="1"/>
  <c r="AC45" i="25"/>
  <c r="X45" i="25"/>
  <c r="AB45" i="25" s="1"/>
  <c r="Z45" i="25"/>
  <c r="AF45" i="25" s="1"/>
  <c r="AO42" i="25"/>
  <c r="AM42" i="25"/>
  <c r="AK43" i="25"/>
  <c r="AG45" i="25"/>
  <c r="AE45" i="25"/>
  <c r="Y46" i="25"/>
  <c r="AD44" i="25"/>
  <c r="AI44" i="25" s="1"/>
  <c r="W46" i="25"/>
  <c r="AA46" i="25" s="1"/>
  <c r="GJ38" i="21"/>
  <c r="EW38" i="21"/>
  <c r="EV38" i="21"/>
  <c r="HN38" i="21"/>
  <c r="FG38" i="21"/>
  <c r="KX39" i="21"/>
  <c r="CJ39" i="21"/>
  <c r="KY38" i="21"/>
  <c r="DG37" i="21"/>
  <c r="BT37" i="21"/>
  <c r="HX37" i="21"/>
  <c r="LA38" i="21"/>
  <c r="KZ38" i="21"/>
  <c r="KW41" i="21"/>
  <c r="KU40" i="21"/>
  <c r="LB39" i="21" s="1"/>
  <c r="FN38" i="21"/>
  <c r="IQ38" i="21"/>
  <c r="IR38" i="21"/>
  <c r="GP40" i="21"/>
  <c r="IP39" i="21"/>
  <c r="HE37" i="21"/>
  <c r="IO41" i="21"/>
  <c r="IN40" i="21"/>
  <c r="IM40" i="21"/>
  <c r="IT39" i="21" s="1"/>
  <c r="IS38" i="21"/>
  <c r="HL39" i="21"/>
  <c r="HY37" i="21"/>
  <c r="DR37" i="21"/>
  <c r="HM38" i="21"/>
  <c r="HT39" i="21"/>
  <c r="IG38" i="21"/>
  <c r="IG39" i="21" s="1"/>
  <c r="IE41" i="21"/>
  <c r="IH38" i="21"/>
  <c r="IH39" i="21" s="1"/>
  <c r="IC40" i="21"/>
  <c r="IJ39" i="21" s="1"/>
  <c r="II38" i="21"/>
  <c r="II39" i="21" s="1"/>
  <c r="ID40" i="21"/>
  <c r="HS39" i="21"/>
  <c r="HZ38" i="21" s="1"/>
  <c r="HW37" i="21"/>
  <c r="HU40" i="21"/>
  <c r="HV38" i="21"/>
  <c r="HO38" i="21"/>
  <c r="HI40" i="21"/>
  <c r="HP39" i="21" s="1"/>
  <c r="HK41" i="21"/>
  <c r="HJ40" i="21"/>
  <c r="HA40" i="21"/>
  <c r="GY39" i="21"/>
  <c r="HF38" i="21" s="1"/>
  <c r="GZ39" i="21"/>
  <c r="HB38" i="21"/>
  <c r="HC37" i="21"/>
  <c r="HD37" i="21"/>
  <c r="BZ39" i="21"/>
  <c r="CT39" i="21"/>
  <c r="GO40" i="21"/>
  <c r="GV39" i="21" s="1"/>
  <c r="GU38" i="21"/>
  <c r="GS38" i="21"/>
  <c r="GQ41" i="21"/>
  <c r="GR39" i="21"/>
  <c r="CM37" i="21"/>
  <c r="FX39" i="21"/>
  <c r="FE38" i="21"/>
  <c r="EC37" i="21"/>
  <c r="CN37" i="21"/>
  <c r="FY38" i="21"/>
  <c r="GI38" i="21"/>
  <c r="FZ38" i="21"/>
  <c r="GG41" i="21"/>
  <c r="GF40" i="21"/>
  <c r="GE40" i="21"/>
  <c r="GL39" i="21" s="1"/>
  <c r="GH39" i="21"/>
  <c r="GK38" i="21"/>
  <c r="FW41" i="21"/>
  <c r="FU40" i="21"/>
  <c r="GB39" i="21" s="1"/>
  <c r="GA38" i="21"/>
  <c r="CW37" i="21"/>
  <c r="FP37" i="21"/>
  <c r="FQ37" i="21"/>
  <c r="FM40" i="21"/>
  <c r="FK39" i="21"/>
  <c r="FR38" i="21" s="1"/>
  <c r="FO37" i="21"/>
  <c r="FL39" i="21"/>
  <c r="FA40" i="21"/>
  <c r="FH39" i="21" s="1"/>
  <c r="FB40" i="21"/>
  <c r="FF38" i="21"/>
  <c r="FC41" i="21"/>
  <c r="FD39" i="21"/>
  <c r="ES41" i="21"/>
  <c r="ER40" i="21"/>
  <c r="EQ40" i="21"/>
  <c r="EX39" i="21" s="1"/>
  <c r="ET39" i="21"/>
  <c r="DI37" i="21"/>
  <c r="DZ38" i="21"/>
  <c r="CC37" i="21"/>
  <c r="DQ37" i="21"/>
  <c r="CD37" i="21"/>
  <c r="EJ38" i="21"/>
  <c r="CE37" i="21"/>
  <c r="EB37" i="21"/>
  <c r="EH39" i="21"/>
  <c r="EG39" i="21"/>
  <c r="EN38" i="21" s="1"/>
  <c r="EM37" i="21"/>
  <c r="EI40" i="21"/>
  <c r="EL37" i="21"/>
  <c r="EK37" i="21"/>
  <c r="DW39" i="21"/>
  <c r="ED38" i="21" s="1"/>
  <c r="DY40" i="21"/>
  <c r="DX39" i="21"/>
  <c r="EA37" i="21"/>
  <c r="DO40" i="21"/>
  <c r="DM39" i="21"/>
  <c r="DT38" i="21" s="1"/>
  <c r="DS37" i="21"/>
  <c r="DP38" i="21"/>
  <c r="DN39" i="21"/>
  <c r="CY37" i="21"/>
  <c r="CO37" i="21"/>
  <c r="DE40" i="21"/>
  <c r="DC39" i="21"/>
  <c r="DJ38" i="21" s="1"/>
  <c r="DH37" i="21"/>
  <c r="DF38" i="21"/>
  <c r="DD39" i="21"/>
  <c r="CU40" i="21"/>
  <c r="CS39" i="21"/>
  <c r="CZ38" i="21" s="1"/>
  <c r="CV38" i="21"/>
  <c r="CX37" i="21"/>
  <c r="BP39" i="21"/>
  <c r="CK40" i="21"/>
  <c r="CI39" i="21"/>
  <c r="CP38" i="21" s="1"/>
  <c r="CL38" i="21"/>
  <c r="CA40" i="21"/>
  <c r="BY39" i="21"/>
  <c r="CF38" i="21" s="1"/>
  <c r="CB38" i="21"/>
  <c r="BO39" i="21"/>
  <c r="BV38" i="21" s="1"/>
  <c r="BQ40" i="21"/>
  <c r="BU37" i="21"/>
  <c r="BR38" i="21"/>
  <c r="BS37" i="21"/>
  <c r="BH39" i="21"/>
  <c r="AV39" i="21"/>
  <c r="BG41" i="21"/>
  <c r="BK38" i="21"/>
  <c r="BI38" i="21"/>
  <c r="BF40" i="21"/>
  <c r="BE40" i="21"/>
  <c r="BL39" i="21" s="1"/>
  <c r="BJ38" i="21"/>
  <c r="AW40" i="21"/>
  <c r="AU39" i="21"/>
  <c r="BB38" i="21" s="1"/>
  <c r="AX38" i="21"/>
  <c r="BA37" i="21"/>
  <c r="AY37" i="21"/>
  <c r="AZ37" i="21"/>
  <c r="AF37" i="21"/>
  <c r="AN39" i="21"/>
  <c r="AP39" i="21" s="1"/>
  <c r="AO38" i="21"/>
  <c r="AM41" i="21"/>
  <c r="AK40" i="21"/>
  <c r="AR39" i="21" s="1"/>
  <c r="AL40" i="21"/>
  <c r="AQ38" i="21"/>
  <c r="AG37" i="21"/>
  <c r="AD38" i="21"/>
  <c r="AA39" i="21"/>
  <c r="AH38" i="21" s="1"/>
  <c r="S122" i="25"/>
  <c r="M125" i="25"/>
  <c r="O124" i="25"/>
  <c r="N124" i="25"/>
  <c r="Q124" i="25"/>
  <c r="P123" i="25"/>
  <c r="R123" i="25"/>
  <c r="JL60" i="21" l="1"/>
  <c r="GT39" i="21"/>
  <c r="JH62" i="21"/>
  <c r="JK60" i="21"/>
  <c r="JV4" i="21"/>
  <c r="JX4" i="21"/>
  <c r="JU4" i="21"/>
  <c r="JT4" i="21"/>
  <c r="JR2" i="21" s="1"/>
  <c r="JW4" i="21"/>
  <c r="JQ4" i="21"/>
  <c r="KR6" i="21"/>
  <c r="KO6" i="21"/>
  <c r="KN6" i="21"/>
  <c r="KK6" i="21"/>
  <c r="KM6" i="21"/>
  <c r="KQ6" i="21"/>
  <c r="KP6" i="21"/>
  <c r="KB61" i="21"/>
  <c r="KF4" i="21"/>
  <c r="KE4" i="21"/>
  <c r="KD4" i="21"/>
  <c r="KB2" i="21" s="1"/>
  <c r="KA4" i="21"/>
  <c r="KH4" i="21"/>
  <c r="KG4" i="21"/>
  <c r="IX61" i="21"/>
  <c r="KD60" i="21"/>
  <c r="KH59" i="21"/>
  <c r="KA61" i="21"/>
  <c r="KG59" i="21"/>
  <c r="KC62" i="21"/>
  <c r="KE59" i="21"/>
  <c r="KF59" i="21"/>
  <c r="AE38" i="21"/>
  <c r="JW59" i="21"/>
  <c r="JJ61" i="21"/>
  <c r="JL61" i="21" s="1"/>
  <c r="JA59" i="21"/>
  <c r="JM60" i="21"/>
  <c r="JR61" i="21"/>
  <c r="KR60" i="21"/>
  <c r="KK62" i="21"/>
  <c r="KM63" i="21"/>
  <c r="KL62" i="21"/>
  <c r="KN61" i="21"/>
  <c r="KP61" i="21" s="1"/>
  <c r="JX59" i="21"/>
  <c r="JQ61" i="21"/>
  <c r="JS62" i="21"/>
  <c r="JT60" i="21"/>
  <c r="JV59" i="21"/>
  <c r="JI63" i="21"/>
  <c r="JN60" i="21"/>
  <c r="JG62" i="21"/>
  <c r="JB59" i="21"/>
  <c r="IZ60" i="21"/>
  <c r="IY62" i="21"/>
  <c r="JD59" i="21"/>
  <c r="IW61" i="21"/>
  <c r="AS40" i="25"/>
  <c r="AY40" i="25" s="1"/>
  <c r="BD40" i="25" s="1"/>
  <c r="BE40" i="25"/>
  <c r="V49" i="25"/>
  <c r="AZ48" i="25"/>
  <c r="M47" i="30"/>
  <c r="IQ39" i="21"/>
  <c r="K122" i="30"/>
  <c r="L122" i="30" s="1"/>
  <c r="C48" i="30"/>
  <c r="AX40" i="25"/>
  <c r="BH40" i="25" s="1"/>
  <c r="AQ41" i="25"/>
  <c r="BB41" i="25" s="1"/>
  <c r="AW41" i="25"/>
  <c r="AT43" i="25"/>
  <c r="BG43" i="25" s="1"/>
  <c r="AR41" i="25"/>
  <c r="AV48" i="25"/>
  <c r="BF48" i="25" s="1"/>
  <c r="AU41" i="25"/>
  <c r="AN43" i="25"/>
  <c r="AH45" i="25"/>
  <c r="AJ45" i="25" s="1"/>
  <c r="AL43" i="25"/>
  <c r="BC43" i="25" s="1"/>
  <c r="AP42" i="25"/>
  <c r="BA42" i="25" s="1"/>
  <c r="AC46" i="25"/>
  <c r="X46" i="25"/>
  <c r="AB46" i="25" s="1"/>
  <c r="Z46" i="25"/>
  <c r="AF46" i="25" s="1"/>
  <c r="AO43" i="25"/>
  <c r="AM43" i="25"/>
  <c r="AK44" i="25"/>
  <c r="AG46" i="25"/>
  <c r="AE46" i="25"/>
  <c r="Y47" i="25"/>
  <c r="AD45" i="25"/>
  <c r="AI45" i="25" s="1"/>
  <c r="W47" i="25"/>
  <c r="AA47" i="25" s="1"/>
  <c r="S123" i="25"/>
  <c r="FP38" i="21"/>
  <c r="GA39" i="21"/>
  <c r="EW39" i="21"/>
  <c r="HN39" i="21"/>
  <c r="CT40" i="21"/>
  <c r="FQ38" i="21"/>
  <c r="KY39" i="21"/>
  <c r="KZ39" i="21"/>
  <c r="LA39" i="21"/>
  <c r="FO38" i="21"/>
  <c r="KU41" i="21"/>
  <c r="LB40" i="21" s="1"/>
  <c r="KW42" i="21"/>
  <c r="KX40" i="21"/>
  <c r="KV41" i="21"/>
  <c r="HO39" i="21"/>
  <c r="CN38" i="21"/>
  <c r="FY39" i="21"/>
  <c r="HB39" i="21"/>
  <c r="HY38" i="21"/>
  <c r="HC38" i="21"/>
  <c r="HM39" i="21"/>
  <c r="IS39" i="21"/>
  <c r="IR39" i="21"/>
  <c r="HW38" i="21"/>
  <c r="IN41" i="21"/>
  <c r="IO42" i="21"/>
  <c r="IM41" i="21"/>
  <c r="IT40" i="21" s="1"/>
  <c r="IP40" i="21"/>
  <c r="GU39" i="21"/>
  <c r="CY38" i="21"/>
  <c r="GZ40" i="21"/>
  <c r="FF39" i="21"/>
  <c r="BJ39" i="21"/>
  <c r="BZ40" i="21"/>
  <c r="GS39" i="21"/>
  <c r="AV40" i="21"/>
  <c r="IF40" i="21"/>
  <c r="IG40" i="21" s="1"/>
  <c r="IC41" i="21"/>
  <c r="IJ40" i="21" s="1"/>
  <c r="IE42" i="21"/>
  <c r="ID41" i="21"/>
  <c r="HU41" i="21"/>
  <c r="HT40" i="21"/>
  <c r="HS40" i="21"/>
  <c r="HZ39" i="21" s="1"/>
  <c r="HV39" i="21"/>
  <c r="HX38" i="21"/>
  <c r="HK42" i="21"/>
  <c r="HI41" i="21"/>
  <c r="HP40" i="21" s="1"/>
  <c r="HJ41" i="21"/>
  <c r="HL40" i="21"/>
  <c r="GY40" i="21"/>
  <c r="HF39" i="21" s="1"/>
  <c r="HE38" i="21"/>
  <c r="HA41" i="21"/>
  <c r="HD38" i="21"/>
  <c r="EB38" i="21"/>
  <c r="ER41" i="21"/>
  <c r="GF41" i="21"/>
  <c r="EA38" i="21"/>
  <c r="FZ39" i="21"/>
  <c r="GQ42" i="21"/>
  <c r="GO41" i="21"/>
  <c r="GV40" i="21" s="1"/>
  <c r="GR40" i="21"/>
  <c r="GP41" i="21"/>
  <c r="EC38" i="21"/>
  <c r="BI39" i="21"/>
  <c r="BK39" i="21"/>
  <c r="EV39" i="21"/>
  <c r="CD38" i="21"/>
  <c r="DQ38" i="21"/>
  <c r="FD40" i="21"/>
  <c r="GH40" i="21"/>
  <c r="GE41" i="21"/>
  <c r="GL40" i="21" s="1"/>
  <c r="GG42" i="21"/>
  <c r="GI39" i="21"/>
  <c r="GK39" i="21"/>
  <c r="GJ39" i="21"/>
  <c r="FU41" i="21"/>
  <c r="GB40" i="21" s="1"/>
  <c r="FX40" i="21"/>
  <c r="FW42" i="21"/>
  <c r="FV41" i="21"/>
  <c r="FB41" i="21"/>
  <c r="FK40" i="21"/>
  <c r="FR39" i="21" s="1"/>
  <c r="FM41" i="21"/>
  <c r="FL40" i="21"/>
  <c r="FN39" i="21"/>
  <c r="FE39" i="21"/>
  <c r="FA41" i="21"/>
  <c r="FH40" i="21" s="1"/>
  <c r="FC42" i="21"/>
  <c r="FG39" i="21"/>
  <c r="ES42" i="21"/>
  <c r="EQ41" i="21"/>
  <c r="EX40" i="21" s="1"/>
  <c r="ET40" i="21"/>
  <c r="EU39" i="21"/>
  <c r="EK38" i="21"/>
  <c r="EL38" i="21"/>
  <c r="EM38" i="21"/>
  <c r="DX40" i="21"/>
  <c r="CC38" i="21"/>
  <c r="CX38" i="21"/>
  <c r="DS38" i="21"/>
  <c r="BA38" i="21"/>
  <c r="BF41" i="21"/>
  <c r="EG40" i="21"/>
  <c r="EN39" i="21" s="1"/>
  <c r="EI41" i="21"/>
  <c r="EH40" i="21"/>
  <c r="EJ39" i="21"/>
  <c r="DY41" i="21"/>
  <c r="DW40" i="21"/>
  <c r="ED39" i="21" s="1"/>
  <c r="DZ39" i="21"/>
  <c r="DM40" i="21"/>
  <c r="DT39" i="21" s="1"/>
  <c r="DO41" i="21"/>
  <c r="DN40" i="21"/>
  <c r="DP39" i="21"/>
  <c r="DR38" i="21"/>
  <c r="DF39" i="21"/>
  <c r="CV39" i="21"/>
  <c r="CE38" i="21"/>
  <c r="DC40" i="21"/>
  <c r="DJ39" i="21" s="1"/>
  <c r="DG38" i="21"/>
  <c r="DH38" i="21"/>
  <c r="DE41" i="21"/>
  <c r="DI38" i="21"/>
  <c r="DD40" i="21"/>
  <c r="CS40" i="21"/>
  <c r="CZ39" i="21" s="1"/>
  <c r="CW38" i="21"/>
  <c r="CU41" i="21"/>
  <c r="CO38" i="21"/>
  <c r="BR39" i="21"/>
  <c r="CK41" i="21"/>
  <c r="CI40" i="21"/>
  <c r="CP39" i="21" s="1"/>
  <c r="CL39" i="21"/>
  <c r="CM38" i="21"/>
  <c r="CJ40" i="21"/>
  <c r="CA41" i="21"/>
  <c r="BY40" i="21"/>
  <c r="CF39" i="21" s="1"/>
  <c r="CB39" i="21"/>
  <c r="BQ41" i="21"/>
  <c r="BP40" i="21"/>
  <c r="BO40" i="21"/>
  <c r="BV39" i="21" s="1"/>
  <c r="BU38" i="21"/>
  <c r="BS38" i="21"/>
  <c r="BT38" i="21"/>
  <c r="BG42" i="21"/>
  <c r="BE41" i="21"/>
  <c r="BL40" i="21" s="1"/>
  <c r="BH40" i="21"/>
  <c r="AX39" i="21"/>
  <c r="AU40" i="21"/>
  <c r="BB39" i="21" s="1"/>
  <c r="AZ38" i="21"/>
  <c r="AW41" i="21"/>
  <c r="AY38" i="21"/>
  <c r="AF38" i="21"/>
  <c r="AO39" i="21"/>
  <c r="AQ39" i="21"/>
  <c r="AM42" i="21"/>
  <c r="AK41" i="21"/>
  <c r="AR40" i="21" s="1"/>
  <c r="AL41" i="21"/>
  <c r="AN40" i="21"/>
  <c r="AG38" i="21"/>
  <c r="AD39" i="21"/>
  <c r="AA40" i="21"/>
  <c r="AH39" i="21" s="1"/>
  <c r="P124" i="25"/>
  <c r="R124" i="25"/>
  <c r="M126" i="25"/>
  <c r="Q125" i="25"/>
  <c r="N125" i="25"/>
  <c r="O125" i="25"/>
  <c r="IX62" i="21" l="1"/>
  <c r="KF60" i="21"/>
  <c r="KB62" i="21"/>
  <c r="KG60" i="21"/>
  <c r="JK61" i="21"/>
  <c r="KN4" i="21"/>
  <c r="KL2" i="21" s="1"/>
  <c r="KK4" i="21"/>
  <c r="KR4" i="21"/>
  <c r="KQ4" i="21"/>
  <c r="KO4" i="21"/>
  <c r="KP4" i="21"/>
  <c r="JM61" i="21"/>
  <c r="KE60" i="21"/>
  <c r="KC63" i="21"/>
  <c r="KB63" i="21" s="1"/>
  <c r="KH60" i="21"/>
  <c r="KA62" i="21"/>
  <c r="KD61" i="21"/>
  <c r="KF61" i="21" s="1"/>
  <c r="KQ61" i="21"/>
  <c r="JT61" i="21"/>
  <c r="IZ61" i="21"/>
  <c r="KL63" i="21"/>
  <c r="KM64" i="21"/>
  <c r="KR61" i="21"/>
  <c r="KK63" i="21"/>
  <c r="KN62" i="21"/>
  <c r="KO61" i="21"/>
  <c r="JW60" i="21"/>
  <c r="JW61" i="21" s="1"/>
  <c r="JS63" i="21"/>
  <c r="JX60" i="21"/>
  <c r="JQ62" i="21"/>
  <c r="JU60" i="21"/>
  <c r="JV60" i="21"/>
  <c r="JR62" i="21"/>
  <c r="JI64" i="21"/>
  <c r="JH63" i="21"/>
  <c r="JN61" i="21"/>
  <c r="JG63" i="21"/>
  <c r="JJ62" i="21"/>
  <c r="IY63" i="21"/>
  <c r="JC60" i="21"/>
  <c r="JB60" i="21"/>
  <c r="JD60" i="21"/>
  <c r="IW62" i="21"/>
  <c r="JA60" i="21"/>
  <c r="JA61" i="21" s="1"/>
  <c r="BS39" i="21"/>
  <c r="AS41" i="25"/>
  <c r="AY41" i="25" s="1"/>
  <c r="BD41" i="25" s="1"/>
  <c r="BE41" i="25"/>
  <c r="V50" i="25"/>
  <c r="AZ49" i="25"/>
  <c r="AX41" i="25"/>
  <c r="BH41" i="25" s="1"/>
  <c r="M48" i="30"/>
  <c r="K123" i="30"/>
  <c r="L123" i="30" s="1"/>
  <c r="C49" i="30"/>
  <c r="AR42" i="25"/>
  <c r="AQ42" i="25"/>
  <c r="BB42" i="25" s="1"/>
  <c r="AW42" i="25"/>
  <c r="AT44" i="25"/>
  <c r="BG44" i="25" s="1"/>
  <c r="AV49" i="25"/>
  <c r="BF49" i="25" s="1"/>
  <c r="AU42" i="25"/>
  <c r="AN44" i="25"/>
  <c r="AL44" i="25"/>
  <c r="BC44" i="25" s="1"/>
  <c r="AP43" i="25"/>
  <c r="BA43" i="25" s="1"/>
  <c r="AH46" i="25"/>
  <c r="AJ46" i="25" s="1"/>
  <c r="AC47" i="25"/>
  <c r="X47" i="25"/>
  <c r="AB47" i="25" s="1"/>
  <c r="Z47" i="25"/>
  <c r="AH47" i="25" s="1"/>
  <c r="AO44" i="25"/>
  <c r="AM44" i="25"/>
  <c r="AK45" i="25"/>
  <c r="AD46" i="25"/>
  <c r="AI46" i="25" s="1"/>
  <c r="AE47" i="25"/>
  <c r="AG47" i="25"/>
  <c r="Y48" i="25"/>
  <c r="W48" i="25"/>
  <c r="AA48" i="25" s="1"/>
  <c r="AG39" i="21"/>
  <c r="HO40" i="21"/>
  <c r="HD39" i="21"/>
  <c r="HE39" i="21"/>
  <c r="LA40" i="21"/>
  <c r="FF40" i="21"/>
  <c r="HC39" i="21"/>
  <c r="KY40" i="21"/>
  <c r="KX41" i="21"/>
  <c r="KU42" i="21"/>
  <c r="LB41" i="21" s="1"/>
  <c r="KW43" i="21"/>
  <c r="KZ40" i="21"/>
  <c r="KV42" i="21"/>
  <c r="BT39" i="21"/>
  <c r="BI40" i="21"/>
  <c r="HY39" i="21"/>
  <c r="FG40" i="21"/>
  <c r="HW39" i="21"/>
  <c r="DI39" i="21"/>
  <c r="BU39" i="21"/>
  <c r="FE40" i="21"/>
  <c r="HJ42" i="21"/>
  <c r="DH39" i="21"/>
  <c r="IQ40" i="21"/>
  <c r="IP41" i="21"/>
  <c r="IR40" i="21"/>
  <c r="IM42" i="21"/>
  <c r="IT41" i="21" s="1"/>
  <c r="IS40" i="21"/>
  <c r="IO43" i="21"/>
  <c r="IN42" i="21"/>
  <c r="HT41" i="21"/>
  <c r="CX39" i="21"/>
  <c r="ET41" i="21"/>
  <c r="IH40" i="21"/>
  <c r="II40" i="21"/>
  <c r="IC42" i="21"/>
  <c r="IJ41" i="21" s="1"/>
  <c r="IF41" i="21"/>
  <c r="IE43" i="21"/>
  <c r="ID42" i="21"/>
  <c r="HS41" i="21"/>
  <c r="HZ40" i="21" s="1"/>
  <c r="HX39" i="21"/>
  <c r="HU42" i="21"/>
  <c r="HV40" i="21"/>
  <c r="HI42" i="21"/>
  <c r="HP41" i="21" s="1"/>
  <c r="HM40" i="21"/>
  <c r="HN40" i="21"/>
  <c r="HL41" i="21"/>
  <c r="HK43" i="21"/>
  <c r="GY41" i="21"/>
  <c r="HF40" i="21" s="1"/>
  <c r="HA42" i="21"/>
  <c r="GZ41" i="21"/>
  <c r="HB40" i="21"/>
  <c r="DQ39" i="21"/>
  <c r="GP42" i="21"/>
  <c r="GR41" i="21"/>
  <c r="GO42" i="21"/>
  <c r="GV41" i="21" s="1"/>
  <c r="GU40" i="21"/>
  <c r="GS40" i="21"/>
  <c r="GQ43" i="21"/>
  <c r="GT40" i="21"/>
  <c r="DG39" i="21"/>
  <c r="EK39" i="21"/>
  <c r="EH41" i="21"/>
  <c r="FL41" i="21"/>
  <c r="DN41" i="21"/>
  <c r="GJ40" i="21"/>
  <c r="GK40" i="21"/>
  <c r="CC39" i="21"/>
  <c r="GI40" i="21"/>
  <c r="GG43" i="21"/>
  <c r="GF42" i="21"/>
  <c r="GE42" i="21"/>
  <c r="GL41" i="21" s="1"/>
  <c r="GH41" i="21"/>
  <c r="FX41" i="21"/>
  <c r="FY40" i="21"/>
  <c r="FZ40" i="21"/>
  <c r="FW43" i="21"/>
  <c r="GA40" i="21"/>
  <c r="FV42" i="21"/>
  <c r="FU42" i="21"/>
  <c r="GB41" i="21" s="1"/>
  <c r="DS39" i="21"/>
  <c r="DX41" i="21"/>
  <c r="DR39" i="21"/>
  <c r="FN40" i="21"/>
  <c r="FQ39" i="21"/>
  <c r="FP39" i="21"/>
  <c r="FO39" i="21"/>
  <c r="FM42" i="21"/>
  <c r="FK41" i="21"/>
  <c r="FR40" i="21" s="1"/>
  <c r="FA42" i="21"/>
  <c r="FH41" i="21" s="1"/>
  <c r="FD41" i="21"/>
  <c r="FC43" i="21"/>
  <c r="FB42" i="21"/>
  <c r="EW40" i="21"/>
  <c r="EQ42" i="21"/>
  <c r="EX41" i="21" s="1"/>
  <c r="EV40" i="21"/>
  <c r="ES43" i="21"/>
  <c r="EU40" i="21"/>
  <c r="ER42" i="21"/>
  <c r="EL39" i="21"/>
  <c r="CY39" i="21"/>
  <c r="CW39" i="21"/>
  <c r="BA39" i="21"/>
  <c r="CV40" i="21"/>
  <c r="EI42" i="21"/>
  <c r="EG41" i="21"/>
  <c r="EN40" i="21" s="1"/>
  <c r="EJ40" i="21"/>
  <c r="EM39" i="21"/>
  <c r="EC39" i="21"/>
  <c r="EB39" i="21"/>
  <c r="DZ40" i="21"/>
  <c r="EA39" i="21"/>
  <c r="DW41" i="21"/>
  <c r="ED40" i="21" s="1"/>
  <c r="DY42" i="21"/>
  <c r="DO42" i="21"/>
  <c r="DM41" i="21"/>
  <c r="DT40" i="21" s="1"/>
  <c r="DP40" i="21"/>
  <c r="BP41" i="21"/>
  <c r="DE42" i="21"/>
  <c r="DC41" i="21"/>
  <c r="DJ40" i="21" s="1"/>
  <c r="DD41" i="21"/>
  <c r="DF40" i="21"/>
  <c r="CU42" i="21"/>
  <c r="CT41" i="21"/>
  <c r="CS41" i="21"/>
  <c r="CZ40" i="21" s="1"/>
  <c r="CM39" i="21"/>
  <c r="CL40" i="21"/>
  <c r="CE39" i="21"/>
  <c r="CK42" i="21"/>
  <c r="CO39" i="21"/>
  <c r="CI41" i="21"/>
  <c r="CP40" i="21" s="1"/>
  <c r="CJ41" i="21"/>
  <c r="CN39" i="21"/>
  <c r="CA42" i="21"/>
  <c r="CB40" i="21"/>
  <c r="CD39" i="21"/>
  <c r="BY41" i="21"/>
  <c r="CF40" i="21" s="1"/>
  <c r="BZ41" i="21"/>
  <c r="BQ42" i="21"/>
  <c r="BO41" i="21"/>
  <c r="BV40" i="21" s="1"/>
  <c r="BR40" i="21"/>
  <c r="AY39" i="21"/>
  <c r="BK40" i="21"/>
  <c r="AZ39" i="21"/>
  <c r="BJ40" i="21"/>
  <c r="BE42" i="21"/>
  <c r="BL41" i="21" s="1"/>
  <c r="BG43" i="21"/>
  <c r="BH41" i="21"/>
  <c r="BF42" i="21"/>
  <c r="AW42" i="21"/>
  <c r="AU41" i="21"/>
  <c r="BB40" i="21" s="1"/>
  <c r="AX40" i="21"/>
  <c r="AV41" i="21"/>
  <c r="AO40" i="21"/>
  <c r="AF39" i="21"/>
  <c r="AP40" i="21"/>
  <c r="AL42" i="21"/>
  <c r="AQ40" i="21"/>
  <c r="AK42" i="21"/>
  <c r="AR41" i="21" s="1"/>
  <c r="AM43" i="21"/>
  <c r="AN41" i="21"/>
  <c r="AE39" i="21"/>
  <c r="AA41" i="21"/>
  <c r="AH40" i="21" s="1"/>
  <c r="AD40" i="21"/>
  <c r="Q126" i="25"/>
  <c r="N126" i="25"/>
  <c r="O126" i="25"/>
  <c r="M127" i="25"/>
  <c r="P125" i="25"/>
  <c r="R125" i="25"/>
  <c r="S124" i="25"/>
  <c r="KE61" i="21" l="1"/>
  <c r="JV61" i="21"/>
  <c r="JB61" i="21"/>
  <c r="KG61" i="21"/>
  <c r="JU61" i="21"/>
  <c r="KH61" i="21"/>
  <c r="KA63" i="21"/>
  <c r="KC64" i="21"/>
  <c r="KD62" i="21"/>
  <c r="KF62" i="21" s="1"/>
  <c r="IZ62" i="21"/>
  <c r="KN63" i="21"/>
  <c r="JC61" i="21"/>
  <c r="JH64" i="21"/>
  <c r="KO62" i="21"/>
  <c r="KR62" i="21"/>
  <c r="KK64" i="21"/>
  <c r="KQ62" i="21"/>
  <c r="KM65" i="21"/>
  <c r="KP62" i="21"/>
  <c r="KL64" i="21"/>
  <c r="JX61" i="21"/>
  <c r="JQ63" i="21"/>
  <c r="JS64" i="21"/>
  <c r="JR63" i="21"/>
  <c r="JT62" i="21"/>
  <c r="JL62" i="21"/>
  <c r="JM62" i="21"/>
  <c r="JK62" i="21"/>
  <c r="JJ63" i="21"/>
  <c r="JN62" i="21"/>
  <c r="JG64" i="21"/>
  <c r="JI65" i="21"/>
  <c r="IY64" i="21"/>
  <c r="JD61" i="21"/>
  <c r="IW63" i="21"/>
  <c r="IX63" i="21"/>
  <c r="AF47" i="25"/>
  <c r="AJ47" i="25" s="1"/>
  <c r="AS42" i="25"/>
  <c r="AY42" i="25" s="1"/>
  <c r="BD42" i="25" s="1"/>
  <c r="BE42" i="25"/>
  <c r="V51" i="25"/>
  <c r="AZ50" i="25"/>
  <c r="M49" i="30"/>
  <c r="K124" i="30"/>
  <c r="L124" i="30" s="1"/>
  <c r="C50" i="30"/>
  <c r="AX42" i="25"/>
  <c r="BH42" i="25" s="1"/>
  <c r="AQ43" i="25"/>
  <c r="BB43" i="25" s="1"/>
  <c r="AW43" i="25"/>
  <c r="AT45" i="25"/>
  <c r="BG45" i="25" s="1"/>
  <c r="AR43" i="25"/>
  <c r="AV50" i="25"/>
  <c r="BF50" i="25" s="1"/>
  <c r="AU43" i="25"/>
  <c r="AN45" i="25"/>
  <c r="AL45" i="25"/>
  <c r="BC45" i="25" s="1"/>
  <c r="AP44" i="25"/>
  <c r="BA44" i="25" s="1"/>
  <c r="X48" i="25"/>
  <c r="AB48" i="25" s="1"/>
  <c r="Z48" i="25"/>
  <c r="AH48" i="25" s="1"/>
  <c r="AO45" i="25"/>
  <c r="AM45" i="25"/>
  <c r="AK46" i="25"/>
  <c r="AE48" i="25"/>
  <c r="AG48" i="25"/>
  <c r="AD47" i="25"/>
  <c r="AI47" i="25" s="1"/>
  <c r="AC48" i="25"/>
  <c r="Y49" i="25"/>
  <c r="W49" i="25"/>
  <c r="AA49" i="25" s="1"/>
  <c r="HD40" i="21"/>
  <c r="KZ41" i="21"/>
  <c r="BU40" i="21"/>
  <c r="GK41" i="21"/>
  <c r="EW41" i="21"/>
  <c r="FG41" i="21"/>
  <c r="KU43" i="21"/>
  <c r="LB42" i="21" s="1"/>
  <c r="KX42" i="21"/>
  <c r="KW44" i="21"/>
  <c r="KV43" i="21"/>
  <c r="KY41" i="21"/>
  <c r="LA41" i="21"/>
  <c r="EL40" i="21"/>
  <c r="FL42" i="21"/>
  <c r="DN42" i="21"/>
  <c r="EU41" i="21"/>
  <c r="EV41" i="21"/>
  <c r="IR41" i="21"/>
  <c r="IS41" i="21"/>
  <c r="DG40" i="21"/>
  <c r="GP43" i="21"/>
  <c r="GZ42" i="21"/>
  <c r="HE40" i="21"/>
  <c r="GA41" i="21"/>
  <c r="GF43" i="21"/>
  <c r="HV41" i="21"/>
  <c r="IO44" i="21"/>
  <c r="IM43" i="21"/>
  <c r="IT42" i="21" s="1"/>
  <c r="IN43" i="21"/>
  <c r="IP42" i="21"/>
  <c r="IQ41" i="21"/>
  <c r="EH42" i="21"/>
  <c r="FZ41" i="21"/>
  <c r="HX40" i="21"/>
  <c r="GS41" i="21"/>
  <c r="GU41" i="21"/>
  <c r="IE44" i="21"/>
  <c r="IF42" i="21"/>
  <c r="II41" i="21"/>
  <c r="ID43" i="21"/>
  <c r="IC43" i="21"/>
  <c r="IJ42" i="21" s="1"/>
  <c r="IG41" i="21"/>
  <c r="IH41" i="21"/>
  <c r="HU43" i="21"/>
  <c r="HT42" i="21"/>
  <c r="HY40" i="21"/>
  <c r="HS42" i="21"/>
  <c r="HZ41" i="21" s="1"/>
  <c r="HW40" i="21"/>
  <c r="HL42" i="21"/>
  <c r="HN41" i="21"/>
  <c r="HM41" i="21"/>
  <c r="HK44" i="21"/>
  <c r="HJ43" i="21"/>
  <c r="HI43" i="21"/>
  <c r="HP42" i="21" s="1"/>
  <c r="HO41" i="21"/>
  <c r="HA43" i="21"/>
  <c r="HC40" i="21"/>
  <c r="HB41" i="21"/>
  <c r="GY42" i="21"/>
  <c r="HF41" i="21" s="1"/>
  <c r="CY40" i="21"/>
  <c r="GR42" i="21"/>
  <c r="GQ44" i="21"/>
  <c r="GO43" i="21"/>
  <c r="GV42" i="21" s="1"/>
  <c r="GT41" i="21"/>
  <c r="CW40" i="21"/>
  <c r="FE41" i="21"/>
  <c r="FY41" i="21"/>
  <c r="GI41" i="21"/>
  <c r="FO40" i="21"/>
  <c r="CX40" i="21"/>
  <c r="DP41" i="21"/>
  <c r="FP40" i="21"/>
  <c r="FV43" i="21"/>
  <c r="GJ41" i="21"/>
  <c r="FQ40" i="21"/>
  <c r="GE43" i="21"/>
  <c r="GL42" i="21" s="1"/>
  <c r="GG44" i="21"/>
  <c r="GH42" i="21"/>
  <c r="FW44" i="21"/>
  <c r="FU43" i="21"/>
  <c r="GB42" i="21" s="1"/>
  <c r="FX42" i="21"/>
  <c r="BK41" i="21"/>
  <c r="DZ41" i="21"/>
  <c r="DD42" i="21"/>
  <c r="CV41" i="21"/>
  <c r="FB43" i="21"/>
  <c r="FM43" i="21"/>
  <c r="FK42" i="21"/>
  <c r="FR41" i="21" s="1"/>
  <c r="FN41" i="21"/>
  <c r="FC44" i="21"/>
  <c r="FF41" i="21"/>
  <c r="FD42" i="21"/>
  <c r="FA43" i="21"/>
  <c r="FH42" i="21" s="1"/>
  <c r="ES44" i="21"/>
  <c r="EQ43" i="21"/>
  <c r="EX42" i="21" s="1"/>
  <c r="ER43" i="21"/>
  <c r="ET42" i="21"/>
  <c r="CD40" i="21"/>
  <c r="EM40" i="21"/>
  <c r="CT42" i="21"/>
  <c r="EG42" i="21"/>
  <c r="EN41" i="21" s="1"/>
  <c r="EI43" i="21"/>
  <c r="EJ41" i="21"/>
  <c r="EK40" i="21"/>
  <c r="DY43" i="21"/>
  <c r="DW42" i="21"/>
  <c r="ED41" i="21" s="1"/>
  <c r="EA40" i="21"/>
  <c r="EB40" i="21"/>
  <c r="DX42" i="21"/>
  <c r="EC40" i="21"/>
  <c r="DM42" i="21"/>
  <c r="DT41" i="21" s="1"/>
  <c r="DR40" i="21"/>
  <c r="DQ40" i="21"/>
  <c r="DO43" i="21"/>
  <c r="DS40" i="21"/>
  <c r="CN40" i="21"/>
  <c r="CM40" i="21"/>
  <c r="DI40" i="21"/>
  <c r="AX41" i="21"/>
  <c r="CO40" i="21"/>
  <c r="DC42" i="21"/>
  <c r="DJ41" i="21" s="1"/>
  <c r="DE43" i="21"/>
  <c r="DF41" i="21"/>
  <c r="DH40" i="21"/>
  <c r="CU43" i="21"/>
  <c r="CS42" i="21"/>
  <c r="CZ41" i="21" s="1"/>
  <c r="BS40" i="21"/>
  <c r="BT40" i="21"/>
  <c r="CB41" i="21"/>
  <c r="BJ41" i="21"/>
  <c r="CI42" i="21"/>
  <c r="CP41" i="21" s="1"/>
  <c r="CK43" i="21"/>
  <c r="CJ42" i="21"/>
  <c r="CL41" i="21"/>
  <c r="CC40" i="21"/>
  <c r="CA43" i="21"/>
  <c r="BZ42" i="21"/>
  <c r="BY42" i="21"/>
  <c r="CF41" i="21" s="1"/>
  <c r="CE40" i="21"/>
  <c r="BO42" i="21"/>
  <c r="BV41" i="21" s="1"/>
  <c r="BQ43" i="21"/>
  <c r="BR41" i="21"/>
  <c r="BP42" i="21"/>
  <c r="BG44" i="21"/>
  <c r="BE43" i="21"/>
  <c r="BL42" i="21" s="1"/>
  <c r="BF43" i="21"/>
  <c r="BH42" i="21"/>
  <c r="BI41" i="21"/>
  <c r="AU42" i="21"/>
  <c r="BB41" i="21" s="1"/>
  <c r="AW43" i="21"/>
  <c r="AZ40" i="21"/>
  <c r="AV42" i="21"/>
  <c r="AY40" i="21"/>
  <c r="BA40" i="21"/>
  <c r="AD41" i="21"/>
  <c r="AF40" i="21"/>
  <c r="AO41" i="21"/>
  <c r="AP41" i="21"/>
  <c r="AM44" i="21"/>
  <c r="AK43" i="21"/>
  <c r="AR42" i="21" s="1"/>
  <c r="AN42" i="21"/>
  <c r="AL43" i="21"/>
  <c r="AQ41" i="21"/>
  <c r="AE40" i="21"/>
  <c r="AG40" i="21"/>
  <c r="AA42" i="21"/>
  <c r="AH41" i="21" s="1"/>
  <c r="S125" i="25"/>
  <c r="Q127" i="25"/>
  <c r="N127" i="25"/>
  <c r="O127" i="25"/>
  <c r="M128" i="25"/>
  <c r="R126" i="25"/>
  <c r="P126" i="25"/>
  <c r="KP63" i="21" l="1"/>
  <c r="JB62" i="21"/>
  <c r="JU62" i="21"/>
  <c r="JA62" i="21"/>
  <c r="KQ63" i="21"/>
  <c r="KO63" i="21"/>
  <c r="JH65" i="21"/>
  <c r="KG62" i="21"/>
  <c r="KC65" i="21"/>
  <c r="KH62" i="21"/>
  <c r="KA64" i="21"/>
  <c r="KB64" i="21"/>
  <c r="KD63" i="21"/>
  <c r="KE62" i="21"/>
  <c r="JV62" i="21"/>
  <c r="JC62" i="21"/>
  <c r="JW62" i="21"/>
  <c r="JR64" i="21"/>
  <c r="JK63" i="21"/>
  <c r="KM66" i="21"/>
  <c r="KR63" i="21"/>
  <c r="KK65" i="21"/>
  <c r="KL65" i="21"/>
  <c r="KN64" i="21"/>
  <c r="KP64" i="21" s="1"/>
  <c r="JS65" i="21"/>
  <c r="JX62" i="21"/>
  <c r="JQ64" i="21"/>
  <c r="JT63" i="21"/>
  <c r="JN63" i="21"/>
  <c r="JG65" i="21"/>
  <c r="JJ64" i="21"/>
  <c r="JM63" i="21"/>
  <c r="JI66" i="21"/>
  <c r="JL63" i="21"/>
  <c r="JD62" i="21"/>
  <c r="IW64" i="21"/>
  <c r="IY65" i="21"/>
  <c r="IX64" i="21"/>
  <c r="IZ63" i="21"/>
  <c r="AF48" i="25"/>
  <c r="AJ48" i="25" s="1"/>
  <c r="AS43" i="25"/>
  <c r="AY43" i="25" s="1"/>
  <c r="BD43" i="25" s="1"/>
  <c r="BE43" i="25"/>
  <c r="AX43" i="25"/>
  <c r="BH43" i="25" s="1"/>
  <c r="V52" i="25"/>
  <c r="AZ51" i="25"/>
  <c r="M50" i="30"/>
  <c r="FY42" i="21"/>
  <c r="K125" i="30"/>
  <c r="L125" i="30" s="1"/>
  <c r="EC41" i="21"/>
  <c r="C51" i="30"/>
  <c r="AR44" i="25"/>
  <c r="AW44" i="25"/>
  <c r="AQ44" i="25"/>
  <c r="BB44" i="25" s="1"/>
  <c r="AT46" i="25"/>
  <c r="BG46" i="25" s="1"/>
  <c r="AV51" i="25"/>
  <c r="BF51" i="25" s="1"/>
  <c r="AU44" i="25"/>
  <c r="AN46" i="25"/>
  <c r="AP45" i="25"/>
  <c r="BA45" i="25" s="1"/>
  <c r="X49" i="25"/>
  <c r="AB49" i="25" s="1"/>
  <c r="Z49" i="25"/>
  <c r="AF49" i="25" s="1"/>
  <c r="AO46" i="25"/>
  <c r="AM46" i="25"/>
  <c r="AL46" i="25"/>
  <c r="BC46" i="25" s="1"/>
  <c r="AC49" i="25"/>
  <c r="AG49" i="25"/>
  <c r="AD48" i="25"/>
  <c r="AI48" i="25" s="1"/>
  <c r="AE49" i="25"/>
  <c r="AK47" i="25"/>
  <c r="Y50" i="25"/>
  <c r="W50" i="25"/>
  <c r="AA50" i="25" s="1"/>
  <c r="BU41" i="21"/>
  <c r="EJ42" i="21"/>
  <c r="KV44" i="21"/>
  <c r="HW41" i="21"/>
  <c r="HX41" i="21"/>
  <c r="KX43" i="21"/>
  <c r="EV42" i="21"/>
  <c r="LA42" i="21"/>
  <c r="KZ42" i="21"/>
  <c r="KY42" i="21"/>
  <c r="KU44" i="21"/>
  <c r="LB43" i="21" s="1"/>
  <c r="KW45" i="21"/>
  <c r="HN42" i="21"/>
  <c r="FL43" i="21"/>
  <c r="GP44" i="21"/>
  <c r="HO42" i="21"/>
  <c r="HY41" i="21"/>
  <c r="DR41" i="21"/>
  <c r="HM42" i="21"/>
  <c r="GU42" i="21"/>
  <c r="ID44" i="21"/>
  <c r="HJ44" i="21"/>
  <c r="HT43" i="21"/>
  <c r="IP43" i="21"/>
  <c r="EA41" i="21"/>
  <c r="GT42" i="21"/>
  <c r="IN44" i="21"/>
  <c r="EB41" i="21"/>
  <c r="GF44" i="21"/>
  <c r="IR42" i="21"/>
  <c r="IM44" i="21"/>
  <c r="IT43" i="21" s="1"/>
  <c r="IS42" i="21"/>
  <c r="IQ42" i="21"/>
  <c r="IO45" i="21"/>
  <c r="HB42" i="21"/>
  <c r="IG42" i="21"/>
  <c r="II42" i="21"/>
  <c r="IC44" i="21"/>
  <c r="IJ43" i="21" s="1"/>
  <c r="IF43" i="21"/>
  <c r="IE45" i="21"/>
  <c r="IH42" i="21"/>
  <c r="HU44" i="21"/>
  <c r="HS43" i="21"/>
  <c r="HZ42" i="21" s="1"/>
  <c r="HV42" i="21"/>
  <c r="HK45" i="21"/>
  <c r="HI44" i="21"/>
  <c r="HP43" i="21" s="1"/>
  <c r="HL43" i="21"/>
  <c r="HC41" i="21"/>
  <c r="HE41" i="21"/>
  <c r="HD41" i="21"/>
  <c r="HA44" i="21"/>
  <c r="GY43" i="21"/>
  <c r="HF42" i="21" s="1"/>
  <c r="GZ43" i="21"/>
  <c r="FB44" i="21"/>
  <c r="DS41" i="21"/>
  <c r="DQ41" i="21"/>
  <c r="GS42" i="21"/>
  <c r="GO44" i="21"/>
  <c r="GV43" i="21" s="1"/>
  <c r="GQ45" i="21"/>
  <c r="GR43" i="21"/>
  <c r="FO41" i="21"/>
  <c r="FZ42" i="21"/>
  <c r="CX41" i="21"/>
  <c r="DI41" i="21"/>
  <c r="FN42" i="21"/>
  <c r="GA42" i="21"/>
  <c r="GH43" i="21"/>
  <c r="CW41" i="21"/>
  <c r="CY41" i="21"/>
  <c r="CE41" i="21"/>
  <c r="BZ43" i="21"/>
  <c r="GJ42" i="21"/>
  <c r="GE44" i="21"/>
  <c r="GL43" i="21" s="1"/>
  <c r="GG45" i="21"/>
  <c r="GK42" i="21"/>
  <c r="GI42" i="21"/>
  <c r="FU44" i="21"/>
  <c r="GB43" i="21" s="1"/>
  <c r="FW45" i="21"/>
  <c r="FX43" i="21"/>
  <c r="FV44" i="21"/>
  <c r="CD41" i="21"/>
  <c r="FD43" i="21"/>
  <c r="BA41" i="21"/>
  <c r="DX43" i="21"/>
  <c r="EW42" i="21"/>
  <c r="AY41" i="21"/>
  <c r="AZ41" i="21"/>
  <c r="EU42" i="21"/>
  <c r="FQ41" i="21"/>
  <c r="FK43" i="21"/>
  <c r="FR42" i="21" s="1"/>
  <c r="FM44" i="21"/>
  <c r="FP41" i="21"/>
  <c r="FF42" i="21"/>
  <c r="FC45" i="21"/>
  <c r="FG42" i="21"/>
  <c r="FA44" i="21"/>
  <c r="FH43" i="21" s="1"/>
  <c r="FE42" i="21"/>
  <c r="EQ44" i="21"/>
  <c r="EX43" i="21" s="1"/>
  <c r="ET43" i="21"/>
  <c r="ES45" i="21"/>
  <c r="ER44" i="21"/>
  <c r="EI44" i="21"/>
  <c r="EM41" i="21"/>
  <c r="EG43" i="21"/>
  <c r="EN42" i="21" s="1"/>
  <c r="EL41" i="21"/>
  <c r="EK41" i="21"/>
  <c r="EH43" i="21"/>
  <c r="DW43" i="21"/>
  <c r="ED42" i="21" s="1"/>
  <c r="DY44" i="21"/>
  <c r="DZ42" i="21"/>
  <c r="DO44" i="21"/>
  <c r="DM43" i="21"/>
  <c r="DT42" i="21" s="1"/>
  <c r="DN43" i="21"/>
  <c r="DP42" i="21"/>
  <c r="CC41" i="21"/>
  <c r="CN41" i="21"/>
  <c r="DE44" i="21"/>
  <c r="DC43" i="21"/>
  <c r="DJ42" i="21" s="1"/>
  <c r="DH41" i="21"/>
  <c r="DD43" i="21"/>
  <c r="DF42" i="21"/>
  <c r="DG41" i="21"/>
  <c r="CU44" i="21"/>
  <c r="CT43" i="21"/>
  <c r="CS43" i="21"/>
  <c r="CZ42" i="21" s="1"/>
  <c r="CV42" i="21"/>
  <c r="BT41" i="21"/>
  <c r="BH43" i="21"/>
  <c r="BF44" i="21"/>
  <c r="CJ43" i="21"/>
  <c r="CO41" i="21"/>
  <c r="CK44" i="21"/>
  <c r="CL42" i="21"/>
  <c r="CM41" i="21"/>
  <c r="CI43" i="21"/>
  <c r="CP42" i="21" s="1"/>
  <c r="CA44" i="21"/>
  <c r="BY43" i="21"/>
  <c r="CF42" i="21" s="1"/>
  <c r="CB42" i="21"/>
  <c r="BQ44" i="21"/>
  <c r="BP43" i="21"/>
  <c r="BO43" i="21"/>
  <c r="BV42" i="21" s="1"/>
  <c r="BR42" i="21"/>
  <c r="BS41" i="21"/>
  <c r="BK42" i="21"/>
  <c r="BE44" i="21"/>
  <c r="BL43" i="21" s="1"/>
  <c r="BJ42" i="21"/>
  <c r="BG45" i="21"/>
  <c r="BI42" i="21"/>
  <c r="AE41" i="21"/>
  <c r="AG41" i="21"/>
  <c r="AF41" i="21"/>
  <c r="AW44" i="21"/>
  <c r="AU43" i="21"/>
  <c r="BB42" i="21" s="1"/>
  <c r="AV43" i="21"/>
  <c r="AX42" i="21"/>
  <c r="AP42" i="21"/>
  <c r="AL44" i="21"/>
  <c r="AN43" i="21"/>
  <c r="AK44" i="21"/>
  <c r="AR43" i="21" s="1"/>
  <c r="AM45" i="21"/>
  <c r="AQ42" i="21"/>
  <c r="AO42" i="21"/>
  <c r="AA43" i="21"/>
  <c r="AH42" i="21" s="1"/>
  <c r="AD42" i="21"/>
  <c r="P127" i="25"/>
  <c r="R127" i="25"/>
  <c r="M129" i="25"/>
  <c r="O128" i="25"/>
  <c r="N128" i="25"/>
  <c r="Q128" i="25"/>
  <c r="S126" i="25"/>
  <c r="JU63" i="21" l="1"/>
  <c r="JH66" i="21"/>
  <c r="KG63" i="21"/>
  <c r="JA63" i="21"/>
  <c r="KB65" i="21"/>
  <c r="JW63" i="21"/>
  <c r="KE63" i="21"/>
  <c r="KQ64" i="21"/>
  <c r="KH63" i="21"/>
  <c r="KA65" i="21"/>
  <c r="KC66" i="21"/>
  <c r="KD64" i="21"/>
  <c r="KF63" i="21"/>
  <c r="JJ65" i="21"/>
  <c r="JC63" i="21"/>
  <c r="JM64" i="21"/>
  <c r="IX65" i="21"/>
  <c r="KL66" i="21"/>
  <c r="JB63" i="21"/>
  <c r="JT64" i="21"/>
  <c r="KR64" i="21"/>
  <c r="KK66" i="21"/>
  <c r="KM67" i="21"/>
  <c r="KO64" i="21"/>
  <c r="KN65" i="21"/>
  <c r="JS66" i="21"/>
  <c r="JR65" i="21"/>
  <c r="JX63" i="21"/>
  <c r="JQ65" i="21"/>
  <c r="JV63" i="21"/>
  <c r="JK64" i="21"/>
  <c r="JN64" i="21"/>
  <c r="JG66" i="21"/>
  <c r="JI67" i="21"/>
  <c r="JL64" i="21"/>
  <c r="IY66" i="21"/>
  <c r="JD63" i="21"/>
  <c r="IW65" i="21"/>
  <c r="IZ64" i="21"/>
  <c r="AH49" i="25"/>
  <c r="AJ49" i="25" s="1"/>
  <c r="AS44" i="25"/>
  <c r="AY44" i="25" s="1"/>
  <c r="BD44" i="25" s="1"/>
  <c r="BE44" i="25"/>
  <c r="V53" i="25"/>
  <c r="AZ52" i="25"/>
  <c r="M51" i="30"/>
  <c r="HJ45" i="21"/>
  <c r="K126" i="30"/>
  <c r="L126" i="30" s="1"/>
  <c r="C52" i="30"/>
  <c r="AN47" i="25"/>
  <c r="AX44" i="25"/>
  <c r="BH44" i="25" s="1"/>
  <c r="AW45" i="25"/>
  <c r="AQ45" i="25"/>
  <c r="BB45" i="25" s="1"/>
  <c r="AR45" i="25"/>
  <c r="AV52" i="25"/>
  <c r="BF52" i="25" s="1"/>
  <c r="AU45" i="25"/>
  <c r="AL47" i="25"/>
  <c r="BC47" i="25" s="1"/>
  <c r="AT47" i="25"/>
  <c r="BG47" i="25" s="1"/>
  <c r="AP46" i="25"/>
  <c r="BA46" i="25" s="1"/>
  <c r="X50" i="25"/>
  <c r="AB50" i="25" s="1"/>
  <c r="Z50" i="25"/>
  <c r="AH50" i="25" s="1"/>
  <c r="AO47" i="25"/>
  <c r="AM47" i="25"/>
  <c r="AK48" i="25"/>
  <c r="AC50" i="25"/>
  <c r="AG50" i="25"/>
  <c r="AE50" i="25"/>
  <c r="AD49" i="25"/>
  <c r="AI49" i="25" s="1"/>
  <c r="Y51" i="25"/>
  <c r="W51" i="25"/>
  <c r="AA51" i="25" s="1"/>
  <c r="HC42" i="21"/>
  <c r="EM42" i="21"/>
  <c r="KV45" i="21"/>
  <c r="HW42" i="21"/>
  <c r="EK42" i="21"/>
  <c r="EL42" i="21"/>
  <c r="KY43" i="21"/>
  <c r="KZ43" i="21"/>
  <c r="LA43" i="21"/>
  <c r="EA42" i="21"/>
  <c r="CC42" i="21"/>
  <c r="KU45" i="21"/>
  <c r="LB44" i="21" s="1"/>
  <c r="KX44" i="21"/>
  <c r="KW46" i="21"/>
  <c r="FG43" i="21"/>
  <c r="HE42" i="21"/>
  <c r="IQ43" i="21"/>
  <c r="DS42" i="21"/>
  <c r="HM43" i="21"/>
  <c r="GP45" i="21"/>
  <c r="IS43" i="21"/>
  <c r="HD42" i="21"/>
  <c r="IR43" i="21"/>
  <c r="IN45" i="21"/>
  <c r="FO42" i="21"/>
  <c r="HN43" i="21"/>
  <c r="HO43" i="21"/>
  <c r="IM45" i="21"/>
  <c r="IT44" i="21" s="1"/>
  <c r="IO46" i="21"/>
  <c r="IP44" i="21"/>
  <c r="FP42" i="21"/>
  <c r="GZ44" i="21"/>
  <c r="AZ42" i="21"/>
  <c r="IF44" i="21"/>
  <c r="IE46" i="21"/>
  <c r="II43" i="21"/>
  <c r="ID45" i="21"/>
  <c r="IC45" i="21"/>
  <c r="IJ44" i="21" s="1"/>
  <c r="IH43" i="21"/>
  <c r="IG43" i="21"/>
  <c r="HS44" i="21"/>
  <c r="HZ43" i="21" s="1"/>
  <c r="HU45" i="21"/>
  <c r="HV43" i="21"/>
  <c r="HX42" i="21"/>
  <c r="HT44" i="21"/>
  <c r="HY42" i="21"/>
  <c r="HI45" i="21"/>
  <c r="HP44" i="21" s="1"/>
  <c r="HL44" i="21"/>
  <c r="HK46" i="21"/>
  <c r="GY44" i="21"/>
  <c r="HF43" i="21" s="1"/>
  <c r="HA45" i="21"/>
  <c r="HB43" i="21"/>
  <c r="DQ42" i="21"/>
  <c r="FN43" i="21"/>
  <c r="GI43" i="21"/>
  <c r="BT42" i="21"/>
  <c r="GK43" i="21"/>
  <c r="GQ46" i="21"/>
  <c r="GS43" i="21"/>
  <c r="GR44" i="21"/>
  <c r="GU43" i="21"/>
  <c r="GO45" i="21"/>
  <c r="GV44" i="21" s="1"/>
  <c r="GT43" i="21"/>
  <c r="BZ44" i="21"/>
  <c r="FQ42" i="21"/>
  <c r="FX44" i="21"/>
  <c r="ET44" i="21"/>
  <c r="FF43" i="21"/>
  <c r="GJ43" i="21"/>
  <c r="GE45" i="21"/>
  <c r="GL44" i="21" s="1"/>
  <c r="GG46" i="21"/>
  <c r="GF45" i="21"/>
  <c r="GH44" i="21"/>
  <c r="FW46" i="21"/>
  <c r="GA43" i="21"/>
  <c r="FZ43" i="21"/>
  <c r="FY43" i="21"/>
  <c r="FV45" i="21"/>
  <c r="FU45" i="21"/>
  <c r="GB44" i="21" s="1"/>
  <c r="FE43" i="21"/>
  <c r="BP44" i="21"/>
  <c r="CM42" i="21"/>
  <c r="EH44" i="21"/>
  <c r="FM45" i="21"/>
  <c r="FK44" i="21"/>
  <c r="FR43" i="21" s="1"/>
  <c r="FL44" i="21"/>
  <c r="FC46" i="21"/>
  <c r="FA45" i="21"/>
  <c r="FH44" i="21" s="1"/>
  <c r="FB45" i="21"/>
  <c r="FD44" i="21"/>
  <c r="ES46" i="21"/>
  <c r="EU43" i="21"/>
  <c r="EQ45" i="21"/>
  <c r="EX44" i="21" s="1"/>
  <c r="EW43" i="21"/>
  <c r="ER45" i="21"/>
  <c r="EV43" i="21"/>
  <c r="DF43" i="21"/>
  <c r="EC42" i="21"/>
  <c r="AV44" i="21"/>
  <c r="BF45" i="21"/>
  <c r="DD44" i="21"/>
  <c r="CV43" i="21"/>
  <c r="BJ43" i="21"/>
  <c r="EG44" i="21"/>
  <c r="EN43" i="21" s="1"/>
  <c r="EI45" i="21"/>
  <c r="EJ43" i="21"/>
  <c r="DW44" i="21"/>
  <c r="ED43" i="21" s="1"/>
  <c r="DY45" i="21"/>
  <c r="DX44" i="21"/>
  <c r="DZ43" i="21"/>
  <c r="EB42" i="21"/>
  <c r="DM44" i="21"/>
  <c r="DT43" i="21" s="1"/>
  <c r="DO45" i="21"/>
  <c r="DN44" i="21"/>
  <c r="DP43" i="21"/>
  <c r="DR42" i="21"/>
  <c r="BK43" i="21"/>
  <c r="CE42" i="21"/>
  <c r="CL43" i="21"/>
  <c r="BI43" i="21"/>
  <c r="DC44" i="21"/>
  <c r="DJ43" i="21" s="1"/>
  <c r="DH42" i="21"/>
  <c r="DI42" i="21"/>
  <c r="DE45" i="21"/>
  <c r="DG42" i="21"/>
  <c r="CT44" i="21"/>
  <c r="CS44" i="21"/>
  <c r="CZ43" i="21" s="1"/>
  <c r="CW42" i="21"/>
  <c r="CU45" i="21"/>
  <c r="CY42" i="21"/>
  <c r="CX42" i="21"/>
  <c r="BU42" i="21"/>
  <c r="BS42" i="21"/>
  <c r="CK45" i="21"/>
  <c r="CJ44" i="21"/>
  <c r="CO42" i="21"/>
  <c r="CI44" i="21"/>
  <c r="CP43" i="21" s="1"/>
  <c r="CN42" i="21"/>
  <c r="BY44" i="21"/>
  <c r="CF43" i="21" s="1"/>
  <c r="CA45" i="21"/>
  <c r="CD42" i="21"/>
  <c r="CB43" i="21"/>
  <c r="BO44" i="21"/>
  <c r="BV43" i="21" s="1"/>
  <c r="BQ45" i="21"/>
  <c r="BR43" i="21"/>
  <c r="AY42" i="21"/>
  <c r="BE45" i="21"/>
  <c r="BL44" i="21" s="1"/>
  <c r="BG46" i="21"/>
  <c r="BH44" i="21"/>
  <c r="AU44" i="21"/>
  <c r="BB43" i="21" s="1"/>
  <c r="AW45" i="21"/>
  <c r="AX43" i="21"/>
  <c r="BA42" i="21"/>
  <c r="AL45" i="21"/>
  <c r="AP43" i="21"/>
  <c r="AG42" i="21"/>
  <c r="AF42" i="21"/>
  <c r="AO43" i="21"/>
  <c r="AQ43" i="21"/>
  <c r="AK45" i="21"/>
  <c r="AR44" i="21" s="1"/>
  <c r="AM46" i="21"/>
  <c r="AN44" i="21"/>
  <c r="AD43" i="21"/>
  <c r="AE42" i="21"/>
  <c r="AA44" i="21"/>
  <c r="AH43" i="21" s="1"/>
  <c r="O129" i="25"/>
  <c r="N129" i="25"/>
  <c r="Q129" i="25"/>
  <c r="M130" i="25"/>
  <c r="R128" i="25"/>
  <c r="P128" i="25"/>
  <c r="S127" i="25"/>
  <c r="IX66" i="21" l="1"/>
  <c r="JU64" i="21"/>
  <c r="KD65" i="21"/>
  <c r="JB64" i="21"/>
  <c r="KQ65" i="21"/>
  <c r="JL65" i="21"/>
  <c r="JK65" i="21"/>
  <c r="KG64" i="21"/>
  <c r="KH64" i="21"/>
  <c r="KA66" i="21"/>
  <c r="KC67" i="21"/>
  <c r="KE64" i="21"/>
  <c r="KF64" i="21"/>
  <c r="KB66" i="21"/>
  <c r="JM65" i="21"/>
  <c r="IZ65" i="21"/>
  <c r="JB65" i="21" s="1"/>
  <c r="JR66" i="21"/>
  <c r="KO65" i="21"/>
  <c r="JV64" i="21"/>
  <c r="JW64" i="21"/>
  <c r="KM68" i="21"/>
  <c r="KL67" i="21"/>
  <c r="KR65" i="21"/>
  <c r="KK67" i="21"/>
  <c r="KN66" i="21"/>
  <c r="KP65" i="21"/>
  <c r="JX64" i="21"/>
  <c r="JQ66" i="21"/>
  <c r="JT65" i="21"/>
  <c r="JS67" i="21"/>
  <c r="JI68" i="21"/>
  <c r="JN65" i="21"/>
  <c r="JG67" i="21"/>
  <c r="JJ66" i="21"/>
  <c r="JH67" i="21"/>
  <c r="IY67" i="21"/>
  <c r="JC64" i="21"/>
  <c r="JD64" i="21"/>
  <c r="IW66" i="21"/>
  <c r="JA64" i="21"/>
  <c r="AF50" i="25"/>
  <c r="AJ50" i="25" s="1"/>
  <c r="EM43" i="21"/>
  <c r="AS45" i="25"/>
  <c r="AY45" i="25" s="1"/>
  <c r="BD45" i="25" s="1"/>
  <c r="BE45" i="25"/>
  <c r="V54" i="25"/>
  <c r="AZ53" i="25"/>
  <c r="AX45" i="25"/>
  <c r="BH45" i="25" s="1"/>
  <c r="M52" i="30"/>
  <c r="K127" i="30"/>
  <c r="L127" i="30" s="1"/>
  <c r="C53" i="30"/>
  <c r="AN48" i="25"/>
  <c r="AR46" i="25"/>
  <c r="AQ46" i="25"/>
  <c r="BB46" i="25" s="1"/>
  <c r="AW46" i="25"/>
  <c r="AO48" i="25"/>
  <c r="AV53" i="25"/>
  <c r="BF53" i="25" s="1"/>
  <c r="AU46" i="25"/>
  <c r="AL48" i="25"/>
  <c r="BC48" i="25" s="1"/>
  <c r="AT48" i="25"/>
  <c r="BG48" i="25" s="1"/>
  <c r="AP47" i="25"/>
  <c r="AR47" i="25" s="1"/>
  <c r="AC51" i="25"/>
  <c r="X51" i="25"/>
  <c r="AB51" i="25" s="1"/>
  <c r="Z51" i="25"/>
  <c r="AH51" i="25" s="1"/>
  <c r="AM48" i="25"/>
  <c r="AK49" i="25"/>
  <c r="AG51" i="25"/>
  <c r="AE51" i="25"/>
  <c r="AD50" i="25"/>
  <c r="AI50" i="25" s="1"/>
  <c r="Y52" i="25"/>
  <c r="W52" i="25"/>
  <c r="AA52" i="25" s="1"/>
  <c r="KY44" i="21"/>
  <c r="BZ45" i="21"/>
  <c r="BP45" i="21"/>
  <c r="DG43" i="21"/>
  <c r="AG43" i="21"/>
  <c r="CC43" i="21"/>
  <c r="DI43" i="21"/>
  <c r="FG44" i="21"/>
  <c r="KZ44" i="21"/>
  <c r="KW47" i="21"/>
  <c r="LA44" i="21"/>
  <c r="KX45" i="21"/>
  <c r="KU46" i="21"/>
  <c r="LB45" i="21" s="1"/>
  <c r="KV46" i="21"/>
  <c r="FP43" i="21"/>
  <c r="BT43" i="21"/>
  <c r="FO43" i="21"/>
  <c r="HB44" i="21"/>
  <c r="HX43" i="21"/>
  <c r="II44" i="21"/>
  <c r="IP45" i="21"/>
  <c r="IH44" i="21"/>
  <c r="IG44" i="21"/>
  <c r="GZ45" i="21"/>
  <c r="IO47" i="21"/>
  <c r="IR44" i="21"/>
  <c r="IS44" i="21"/>
  <c r="IM46" i="21"/>
  <c r="IT45" i="21" s="1"/>
  <c r="IQ44" i="21"/>
  <c r="IN46" i="21"/>
  <c r="DH43" i="21"/>
  <c r="EW44" i="21"/>
  <c r="ID46" i="21"/>
  <c r="GK44" i="21"/>
  <c r="HE43" i="21"/>
  <c r="EU44" i="21"/>
  <c r="GF46" i="21"/>
  <c r="FQ43" i="21"/>
  <c r="CM43" i="21"/>
  <c r="HD43" i="21"/>
  <c r="EV44" i="21"/>
  <c r="FB46" i="21"/>
  <c r="HT45" i="21"/>
  <c r="IC46" i="21"/>
  <c r="IJ45" i="21" s="1"/>
  <c r="IE47" i="21"/>
  <c r="IF45" i="21"/>
  <c r="HV44" i="21"/>
  <c r="HU46" i="21"/>
  <c r="HS45" i="21"/>
  <c r="HZ44" i="21" s="1"/>
  <c r="HY43" i="21"/>
  <c r="HW43" i="21"/>
  <c r="HK47" i="21"/>
  <c r="HL45" i="21"/>
  <c r="HI46" i="21"/>
  <c r="HP45" i="21" s="1"/>
  <c r="HJ46" i="21"/>
  <c r="HO44" i="21"/>
  <c r="HN44" i="21"/>
  <c r="HM44" i="21"/>
  <c r="HA46" i="21"/>
  <c r="HC43" i="21"/>
  <c r="GY45" i="21"/>
  <c r="HF44" i="21" s="1"/>
  <c r="GS44" i="21"/>
  <c r="GU44" i="21"/>
  <c r="GR45" i="21"/>
  <c r="GO46" i="21"/>
  <c r="GV45" i="21" s="1"/>
  <c r="GQ47" i="21"/>
  <c r="GT44" i="21"/>
  <c r="GP46" i="21"/>
  <c r="GI44" i="21"/>
  <c r="FY44" i="21"/>
  <c r="FZ44" i="21"/>
  <c r="GJ44" i="21"/>
  <c r="CN43" i="21"/>
  <c r="EC43" i="21"/>
  <c r="FV46" i="21"/>
  <c r="CO43" i="21"/>
  <c r="CW43" i="21"/>
  <c r="DN45" i="21"/>
  <c r="GA44" i="21"/>
  <c r="GG47" i="21"/>
  <c r="GH45" i="21"/>
  <c r="GE46" i="21"/>
  <c r="GL45" i="21" s="1"/>
  <c r="FW47" i="21"/>
  <c r="FU46" i="21"/>
  <c r="GB45" i="21" s="1"/>
  <c r="FX45" i="21"/>
  <c r="FE44" i="21"/>
  <c r="FF44" i="21"/>
  <c r="FL45" i="21"/>
  <c r="FN44" i="21"/>
  <c r="FK45" i="21"/>
  <c r="FR44" i="21" s="1"/>
  <c r="FM46" i="21"/>
  <c r="FA46" i="21"/>
  <c r="FH45" i="21" s="1"/>
  <c r="FC47" i="21"/>
  <c r="FD45" i="21"/>
  <c r="ES47" i="21"/>
  <c r="EQ46" i="21"/>
  <c r="EX45" i="21" s="1"/>
  <c r="ER46" i="21"/>
  <c r="ET45" i="21"/>
  <c r="AX44" i="21"/>
  <c r="BS43" i="21"/>
  <c r="EK43" i="21"/>
  <c r="CX43" i="21"/>
  <c r="EL43" i="21"/>
  <c r="CY43" i="21"/>
  <c r="DR43" i="21"/>
  <c r="DX45" i="21"/>
  <c r="EI46" i="21"/>
  <c r="EH45" i="21"/>
  <c r="EG45" i="21"/>
  <c r="EN44" i="21" s="1"/>
  <c r="EJ44" i="21"/>
  <c r="DY46" i="21"/>
  <c r="DW45" i="21"/>
  <c r="ED44" i="21" s="1"/>
  <c r="EB43" i="21"/>
  <c r="DZ44" i="21"/>
  <c r="EA43" i="21"/>
  <c r="DO46" i="21"/>
  <c r="DP44" i="21"/>
  <c r="DM45" i="21"/>
  <c r="DT44" i="21" s="1"/>
  <c r="DQ43" i="21"/>
  <c r="DS43" i="21"/>
  <c r="BI44" i="21"/>
  <c r="DC45" i="21"/>
  <c r="DJ44" i="21" s="1"/>
  <c r="DE46" i="21"/>
  <c r="DD45" i="21"/>
  <c r="DF44" i="21"/>
  <c r="CU46" i="21"/>
  <c r="CS45" i="21"/>
  <c r="CZ44" i="21" s="1"/>
  <c r="CT45" i="21"/>
  <c r="CV44" i="21"/>
  <c r="CD43" i="21"/>
  <c r="AP44" i="21"/>
  <c r="CI45" i="21"/>
  <c r="CP44" i="21" s="1"/>
  <c r="CJ45" i="21"/>
  <c r="CK46" i="21"/>
  <c r="CL44" i="21"/>
  <c r="BY45" i="21"/>
  <c r="CF44" i="21" s="1"/>
  <c r="CA46" i="21"/>
  <c r="CB44" i="21"/>
  <c r="CE43" i="21"/>
  <c r="BO45" i="21"/>
  <c r="BV44" i="21" s="1"/>
  <c r="BQ46" i="21"/>
  <c r="BR44" i="21"/>
  <c r="BU43" i="21"/>
  <c r="BK44" i="21"/>
  <c r="BE46" i="21"/>
  <c r="BL45" i="21" s="1"/>
  <c r="BG47" i="21"/>
  <c r="BH45" i="21"/>
  <c r="BJ44" i="21"/>
  <c r="BF46" i="21"/>
  <c r="AE43" i="21"/>
  <c r="AF43" i="21"/>
  <c r="AU45" i="21"/>
  <c r="BB44" i="21" s="1"/>
  <c r="AW46" i="21"/>
  <c r="AV45" i="21"/>
  <c r="AY43" i="21"/>
  <c r="BA43" i="21"/>
  <c r="AZ43" i="21"/>
  <c r="AQ44" i="21"/>
  <c r="AO44" i="21"/>
  <c r="AM47" i="21"/>
  <c r="AK46" i="21"/>
  <c r="AR45" i="21" s="1"/>
  <c r="AN45" i="21"/>
  <c r="AL46" i="21"/>
  <c r="AA45" i="21"/>
  <c r="AH44" i="21" s="1"/>
  <c r="AD44" i="21"/>
  <c r="S128" i="25"/>
  <c r="M131" i="25"/>
  <c r="O130" i="25"/>
  <c r="N130" i="25"/>
  <c r="Q130" i="25"/>
  <c r="P129" i="25"/>
  <c r="R129" i="25"/>
  <c r="IX67" i="21" l="1"/>
  <c r="JK66" i="21"/>
  <c r="JA65" i="21"/>
  <c r="KG65" i="21"/>
  <c r="JC65" i="21"/>
  <c r="KF65" i="21"/>
  <c r="KE65" i="21"/>
  <c r="JV65" i="21"/>
  <c r="KC68" i="21"/>
  <c r="KH65" i="21"/>
  <c r="KA67" i="21"/>
  <c r="KB67" i="21"/>
  <c r="KD66" i="21"/>
  <c r="KN67" i="21"/>
  <c r="KO66" i="21"/>
  <c r="KR66" i="21"/>
  <c r="KK68" i="21"/>
  <c r="KQ66" i="21"/>
  <c r="KL68" i="21"/>
  <c r="KM69" i="21"/>
  <c r="KP66" i="21"/>
  <c r="JS68" i="21"/>
  <c r="JW65" i="21"/>
  <c r="JT66" i="21"/>
  <c r="JU65" i="21"/>
  <c r="JR67" i="21"/>
  <c r="JX65" i="21"/>
  <c r="JQ67" i="21"/>
  <c r="JL66" i="21"/>
  <c r="JN66" i="21"/>
  <c r="JG68" i="21"/>
  <c r="JM66" i="21"/>
  <c r="JJ67" i="21"/>
  <c r="JI69" i="21"/>
  <c r="JH68" i="21"/>
  <c r="IY68" i="21"/>
  <c r="JD65" i="21"/>
  <c r="IW67" i="21"/>
  <c r="IZ66" i="21"/>
  <c r="JC66" i="21" s="1"/>
  <c r="AF51" i="25"/>
  <c r="AJ51" i="25" s="1"/>
  <c r="AS46" i="25"/>
  <c r="AY46" i="25" s="1"/>
  <c r="BD46" i="25" s="1"/>
  <c r="BE46" i="25"/>
  <c r="BA47" i="25"/>
  <c r="V55" i="25"/>
  <c r="AZ54" i="25"/>
  <c r="M53" i="30"/>
  <c r="K128" i="30"/>
  <c r="L128" i="30" s="1"/>
  <c r="C54" i="30"/>
  <c r="AX46" i="25"/>
  <c r="BH46" i="25" s="1"/>
  <c r="AN49" i="25"/>
  <c r="AQ47" i="25"/>
  <c r="AW47" i="25"/>
  <c r="AO49" i="25"/>
  <c r="AV54" i="25"/>
  <c r="BF54" i="25" s="1"/>
  <c r="AU47" i="25"/>
  <c r="AS47" i="25" s="1"/>
  <c r="AY47" i="25" s="1"/>
  <c r="BD47" i="25" s="1"/>
  <c r="AL49" i="25"/>
  <c r="BC49" i="25" s="1"/>
  <c r="AT49" i="25"/>
  <c r="BG49" i="25" s="1"/>
  <c r="AP48" i="25"/>
  <c r="AR48" i="25" s="1"/>
  <c r="X52" i="25"/>
  <c r="AB52" i="25" s="1"/>
  <c r="Z52" i="25"/>
  <c r="AF52" i="25" s="1"/>
  <c r="AM49" i="25"/>
  <c r="AC52" i="25"/>
  <c r="AK50" i="25"/>
  <c r="AD51" i="25"/>
  <c r="AI51" i="25" s="1"/>
  <c r="AG52" i="25"/>
  <c r="AE52" i="25"/>
  <c r="Y53" i="25"/>
  <c r="W53" i="25"/>
  <c r="AA53" i="25" s="1"/>
  <c r="CC44" i="21"/>
  <c r="CW44" i="21"/>
  <c r="HD44" i="21"/>
  <c r="HC44" i="21"/>
  <c r="FB47" i="21"/>
  <c r="HE44" i="21"/>
  <c r="KZ45" i="21"/>
  <c r="GS45" i="21"/>
  <c r="KU47" i="21"/>
  <c r="LB46" i="21" s="1"/>
  <c r="KW48" i="21"/>
  <c r="KV47" i="21"/>
  <c r="KX46" i="21"/>
  <c r="LA45" i="21"/>
  <c r="KY45" i="21"/>
  <c r="DH44" i="21"/>
  <c r="IH45" i="21"/>
  <c r="EW45" i="21"/>
  <c r="HM45" i="21"/>
  <c r="HN45" i="21"/>
  <c r="IN47" i="21"/>
  <c r="HW44" i="21"/>
  <c r="HO45" i="21"/>
  <c r="IQ45" i="21"/>
  <c r="IR45" i="21"/>
  <c r="IS45" i="21"/>
  <c r="GF47" i="21"/>
  <c r="IO48" i="21"/>
  <c r="IM47" i="21"/>
  <c r="IT46" i="21" s="1"/>
  <c r="IP46" i="21"/>
  <c r="HJ47" i="21"/>
  <c r="BA44" i="21"/>
  <c r="FQ44" i="21"/>
  <c r="GT45" i="21"/>
  <c r="HT46" i="21"/>
  <c r="AY44" i="21"/>
  <c r="IG45" i="21"/>
  <c r="II45" i="21"/>
  <c r="IE48" i="21"/>
  <c r="ID47" i="21"/>
  <c r="IC47" i="21"/>
  <c r="IJ46" i="21" s="1"/>
  <c r="IF46" i="21"/>
  <c r="HS46" i="21"/>
  <c r="HZ45" i="21" s="1"/>
  <c r="HU47" i="21"/>
  <c r="HV45" i="21"/>
  <c r="HY44" i="21"/>
  <c r="HX44" i="21"/>
  <c r="HI47" i="21"/>
  <c r="HP46" i="21" s="1"/>
  <c r="HL46" i="21"/>
  <c r="HK48" i="21"/>
  <c r="HA47" i="21"/>
  <c r="GY46" i="21"/>
  <c r="HF45" i="21" s="1"/>
  <c r="GZ46" i="21"/>
  <c r="HB45" i="21"/>
  <c r="AZ44" i="21"/>
  <c r="EK44" i="21"/>
  <c r="FV47" i="21"/>
  <c r="GQ48" i="21"/>
  <c r="GO47" i="21"/>
  <c r="GV46" i="21" s="1"/>
  <c r="GP47" i="21"/>
  <c r="GR46" i="21"/>
  <c r="GU45" i="21"/>
  <c r="DX46" i="21"/>
  <c r="EV45" i="21"/>
  <c r="CT46" i="21"/>
  <c r="EH46" i="21"/>
  <c r="FF45" i="21"/>
  <c r="GH46" i="21"/>
  <c r="DR44" i="21"/>
  <c r="ER47" i="21"/>
  <c r="FX46" i="21"/>
  <c r="GG48" i="21"/>
  <c r="GK45" i="21"/>
  <c r="GJ45" i="21"/>
  <c r="GE47" i="21"/>
  <c r="GL46" i="21" s="1"/>
  <c r="GI45" i="21"/>
  <c r="FU47" i="21"/>
  <c r="GB46" i="21" s="1"/>
  <c r="GA45" i="21"/>
  <c r="FZ45" i="21"/>
  <c r="FY45" i="21"/>
  <c r="FW48" i="21"/>
  <c r="DP45" i="21"/>
  <c r="EL44" i="21"/>
  <c r="AP45" i="21"/>
  <c r="FM47" i="21"/>
  <c r="FL46" i="21"/>
  <c r="FK46" i="21"/>
  <c r="FR45" i="21" s="1"/>
  <c r="FO44" i="21"/>
  <c r="FP44" i="21"/>
  <c r="FN45" i="21"/>
  <c r="FA47" i="21"/>
  <c r="FH46" i="21" s="1"/>
  <c r="FD46" i="21"/>
  <c r="FC48" i="21"/>
  <c r="FE45" i="21"/>
  <c r="FG45" i="21"/>
  <c r="EQ47" i="21"/>
  <c r="EX46" i="21" s="1"/>
  <c r="ES48" i="21"/>
  <c r="ET46" i="21"/>
  <c r="EU45" i="21"/>
  <c r="DS44" i="21"/>
  <c r="DZ45" i="21"/>
  <c r="EB44" i="21"/>
  <c r="DD46" i="21"/>
  <c r="EI47" i="21"/>
  <c r="EJ45" i="21"/>
  <c r="EG46" i="21"/>
  <c r="EN45" i="21" s="1"/>
  <c r="EM44" i="21"/>
  <c r="DY47" i="21"/>
  <c r="DW46" i="21"/>
  <c r="ED45" i="21" s="1"/>
  <c r="EA44" i="21"/>
  <c r="EC44" i="21"/>
  <c r="DM46" i="21"/>
  <c r="DT45" i="21" s="1"/>
  <c r="DO47" i="21"/>
  <c r="DQ44" i="21"/>
  <c r="DN46" i="21"/>
  <c r="CY44" i="21"/>
  <c r="DG44" i="21"/>
  <c r="CX44" i="21"/>
  <c r="CE44" i="21"/>
  <c r="DC46" i="21"/>
  <c r="DJ45" i="21" s="1"/>
  <c r="DE47" i="21"/>
  <c r="DF45" i="21"/>
  <c r="DI44" i="21"/>
  <c r="CS46" i="21"/>
  <c r="CZ45" i="21" s="1"/>
  <c r="CU47" i="21"/>
  <c r="CV45" i="21"/>
  <c r="CD44" i="21"/>
  <c r="BR45" i="21"/>
  <c r="BJ45" i="21"/>
  <c r="CL45" i="21"/>
  <c r="CM44" i="21"/>
  <c r="CK47" i="21"/>
  <c r="CJ46" i="21"/>
  <c r="CN44" i="21"/>
  <c r="CO44" i="21"/>
  <c r="CI46" i="21"/>
  <c r="CP45" i="21" s="1"/>
  <c r="BY46" i="21"/>
  <c r="CF45" i="21" s="1"/>
  <c r="CA47" i="21"/>
  <c r="CB45" i="21"/>
  <c r="BZ46" i="21"/>
  <c r="BQ47" i="21"/>
  <c r="BS44" i="21"/>
  <c r="BT44" i="21"/>
  <c r="BO46" i="21"/>
  <c r="BV45" i="21" s="1"/>
  <c r="BU44" i="21"/>
  <c r="BP46" i="21"/>
  <c r="AV46" i="21"/>
  <c r="BH46" i="21"/>
  <c r="BG48" i="21"/>
  <c r="BE47" i="21"/>
  <c r="BL46" i="21" s="1"/>
  <c r="BF47" i="21"/>
  <c r="BK45" i="21"/>
  <c r="BI45" i="21"/>
  <c r="AD45" i="21"/>
  <c r="AU46" i="21"/>
  <c r="BB45" i="21" s="1"/>
  <c r="AW47" i="21"/>
  <c r="AX45" i="21"/>
  <c r="AL47" i="21"/>
  <c r="AF44" i="21"/>
  <c r="AO45" i="21"/>
  <c r="AK47" i="21"/>
  <c r="AR46" i="21" s="1"/>
  <c r="AM48" i="21"/>
  <c r="AN46" i="21"/>
  <c r="AQ45" i="21"/>
  <c r="AE44" i="21"/>
  <c r="AG44" i="21"/>
  <c r="AA46" i="21"/>
  <c r="AH45" i="21" s="1"/>
  <c r="P130" i="25"/>
  <c r="R130" i="25"/>
  <c r="M132" i="25"/>
  <c r="S129" i="25"/>
  <c r="Q131" i="25"/>
  <c r="O131" i="25"/>
  <c r="N131" i="25"/>
  <c r="KE66" i="21" l="1"/>
  <c r="KG66" i="21"/>
  <c r="KF66" i="21"/>
  <c r="JR68" i="21"/>
  <c r="KQ67" i="21"/>
  <c r="KQ68" i="21" s="1"/>
  <c r="KB68" i="21"/>
  <c r="KO67" i="21"/>
  <c r="JU66" i="21"/>
  <c r="KH66" i="21"/>
  <c r="KA68" i="21"/>
  <c r="KC69" i="21"/>
  <c r="KD67" i="21"/>
  <c r="JJ68" i="21"/>
  <c r="JA66" i="21"/>
  <c r="KP67" i="21"/>
  <c r="KP68" i="21" s="1"/>
  <c r="KM70" i="21"/>
  <c r="KL69" i="21"/>
  <c r="KR67" i="21"/>
  <c r="KK69" i="21"/>
  <c r="KN68" i="21"/>
  <c r="JT67" i="21"/>
  <c r="JW66" i="21"/>
  <c r="JS69" i="21"/>
  <c r="JX66" i="21"/>
  <c r="JQ68" i="21"/>
  <c r="JV66" i="21"/>
  <c r="JI70" i="21"/>
  <c r="JM67" i="21"/>
  <c r="JN67" i="21"/>
  <c r="JG69" i="21"/>
  <c r="JL67" i="21"/>
  <c r="JH69" i="21"/>
  <c r="JK67" i="21"/>
  <c r="IY69" i="21"/>
  <c r="JD66" i="21"/>
  <c r="IW68" i="21"/>
  <c r="JB66" i="21"/>
  <c r="IZ67" i="21"/>
  <c r="IX68" i="21"/>
  <c r="AH52" i="25"/>
  <c r="AJ52" i="25" s="1"/>
  <c r="AU48" i="25"/>
  <c r="BE47" i="25"/>
  <c r="BA48" i="25"/>
  <c r="AQ48" i="25"/>
  <c r="BB47" i="25"/>
  <c r="V56" i="25"/>
  <c r="AZ55" i="25"/>
  <c r="M54" i="30"/>
  <c r="K129" i="30"/>
  <c r="L129" i="30" s="1"/>
  <c r="C55" i="30"/>
  <c r="AN50" i="25"/>
  <c r="AW48" i="25"/>
  <c r="AX48" i="25" s="1"/>
  <c r="BH48" i="25" s="1"/>
  <c r="AX47" i="25"/>
  <c r="BH47" i="25" s="1"/>
  <c r="AO50" i="25"/>
  <c r="AV55" i="25"/>
  <c r="BF55" i="25" s="1"/>
  <c r="AL50" i="25"/>
  <c r="BC50" i="25" s="1"/>
  <c r="AT50" i="25"/>
  <c r="BG50" i="25" s="1"/>
  <c r="AP49" i="25"/>
  <c r="AR49" i="25" s="1"/>
  <c r="AC53" i="25"/>
  <c r="X53" i="25"/>
  <c r="AB53" i="25" s="1"/>
  <c r="Z53" i="25"/>
  <c r="AH53" i="25" s="1"/>
  <c r="AM50" i="25"/>
  <c r="AK51" i="25"/>
  <c r="AG53" i="25"/>
  <c r="AE53" i="25"/>
  <c r="AD52" i="25"/>
  <c r="AI52" i="25" s="1"/>
  <c r="W54" i="25"/>
  <c r="AA54" i="25" s="1"/>
  <c r="Y54" i="25"/>
  <c r="BS45" i="21"/>
  <c r="KX47" i="21"/>
  <c r="EL45" i="21"/>
  <c r="KU48" i="21"/>
  <c r="LB47" i="21" s="1"/>
  <c r="KV48" i="21"/>
  <c r="KY46" i="21"/>
  <c r="LA46" i="21"/>
  <c r="KW49" i="21"/>
  <c r="KZ46" i="21"/>
  <c r="ET47" i="21"/>
  <c r="DR45" i="21"/>
  <c r="IN48" i="21"/>
  <c r="HV46" i="21"/>
  <c r="FZ46" i="21"/>
  <c r="IP47" i="21"/>
  <c r="HY45" i="21"/>
  <c r="ID48" i="21"/>
  <c r="HL47" i="21"/>
  <c r="IM48" i="21"/>
  <c r="IT47" i="21" s="1"/>
  <c r="IS46" i="21"/>
  <c r="IO49" i="21"/>
  <c r="IQ46" i="21"/>
  <c r="IR46" i="21"/>
  <c r="CV46" i="21"/>
  <c r="FD47" i="21"/>
  <c r="FL47" i="21"/>
  <c r="GA46" i="21"/>
  <c r="CT47" i="21"/>
  <c r="GR47" i="21"/>
  <c r="GP48" i="21"/>
  <c r="GZ47" i="21"/>
  <c r="FY46" i="21"/>
  <c r="II46" i="21"/>
  <c r="IE49" i="21"/>
  <c r="IF47" i="21"/>
  <c r="IH46" i="21"/>
  <c r="IC48" i="21"/>
  <c r="IJ47" i="21" s="1"/>
  <c r="IG46" i="21"/>
  <c r="HW45" i="21"/>
  <c r="HU48" i="21"/>
  <c r="HS47" i="21"/>
  <c r="HZ46" i="21" s="1"/>
  <c r="HX45" i="21"/>
  <c r="HT47" i="21"/>
  <c r="HN46" i="21"/>
  <c r="HK49" i="21"/>
  <c r="HM46" i="21"/>
  <c r="HI48" i="21"/>
  <c r="HP47" i="21" s="1"/>
  <c r="HO46" i="21"/>
  <c r="HJ48" i="21"/>
  <c r="HB46" i="21"/>
  <c r="HE45" i="21"/>
  <c r="HD45" i="21"/>
  <c r="HC45" i="21"/>
  <c r="GY47" i="21"/>
  <c r="HF46" i="21" s="1"/>
  <c r="HA48" i="21"/>
  <c r="GJ46" i="21"/>
  <c r="GK46" i="21"/>
  <c r="DD47" i="21"/>
  <c r="CN45" i="21"/>
  <c r="DQ45" i="21"/>
  <c r="GT46" i="21"/>
  <c r="GS46" i="21"/>
  <c r="GO48" i="21"/>
  <c r="GV47" i="21" s="1"/>
  <c r="GQ49" i="21"/>
  <c r="GU46" i="21"/>
  <c r="CM45" i="21"/>
  <c r="GI46" i="21"/>
  <c r="BT45" i="21"/>
  <c r="EB45" i="21"/>
  <c r="FO45" i="21"/>
  <c r="GG49" i="21"/>
  <c r="GE48" i="21"/>
  <c r="GL47" i="21" s="1"/>
  <c r="GF48" i="21"/>
  <c r="GH47" i="21"/>
  <c r="FW49" i="21"/>
  <c r="FU48" i="21"/>
  <c r="GB47" i="21" s="1"/>
  <c r="FV48" i="21"/>
  <c r="FX47" i="21"/>
  <c r="DS45" i="21"/>
  <c r="EC45" i="21"/>
  <c r="EA45" i="21"/>
  <c r="FP45" i="21"/>
  <c r="FK47" i="21"/>
  <c r="FR46" i="21" s="1"/>
  <c r="FM48" i="21"/>
  <c r="FN46" i="21"/>
  <c r="FQ45" i="21"/>
  <c r="FC49" i="21"/>
  <c r="FA48" i="21"/>
  <c r="FH47" i="21" s="1"/>
  <c r="FG46" i="21"/>
  <c r="FF46" i="21"/>
  <c r="FE46" i="21"/>
  <c r="FB48" i="21"/>
  <c r="ES49" i="21"/>
  <c r="ER48" i="21"/>
  <c r="EQ48" i="21"/>
  <c r="EX47" i="21" s="1"/>
  <c r="EV46" i="21"/>
  <c r="EU46" i="21"/>
  <c r="EW46" i="21"/>
  <c r="AF45" i="21"/>
  <c r="DF46" i="21"/>
  <c r="AG45" i="21"/>
  <c r="BR46" i="21"/>
  <c r="EG47" i="21"/>
  <c r="EN46" i="21" s="1"/>
  <c r="EI48" i="21"/>
  <c r="EK45" i="21"/>
  <c r="EJ46" i="21"/>
  <c r="EM45" i="21"/>
  <c r="EH47" i="21"/>
  <c r="DW47" i="21"/>
  <c r="ED46" i="21" s="1"/>
  <c r="DY48" i="21"/>
  <c r="DX47" i="21"/>
  <c r="DZ46" i="21"/>
  <c r="DO48" i="21"/>
  <c r="DM47" i="21"/>
  <c r="DT46" i="21" s="1"/>
  <c r="DN47" i="21"/>
  <c r="DP46" i="21"/>
  <c r="BJ46" i="21"/>
  <c r="BK46" i="21"/>
  <c r="BU45" i="21"/>
  <c r="BF48" i="21"/>
  <c r="AE45" i="21"/>
  <c r="AX46" i="21"/>
  <c r="DI45" i="21"/>
  <c r="DE48" i="21"/>
  <c r="DC47" i="21"/>
  <c r="DJ46" i="21" s="1"/>
  <c r="DH45" i="21"/>
  <c r="DG45" i="21"/>
  <c r="CY45" i="21"/>
  <c r="CX45" i="21"/>
  <c r="CU48" i="21"/>
  <c r="CS47" i="21"/>
  <c r="CZ46" i="21" s="1"/>
  <c r="CW45" i="21"/>
  <c r="CB46" i="21"/>
  <c r="CO45" i="21"/>
  <c r="CJ47" i="21"/>
  <c r="CK48" i="21"/>
  <c r="CI47" i="21"/>
  <c r="CP46" i="21" s="1"/>
  <c r="CL46" i="21"/>
  <c r="BY47" i="21"/>
  <c r="CF46" i="21" s="1"/>
  <c r="CA48" i="21"/>
  <c r="CE45" i="21"/>
  <c r="CD45" i="21"/>
  <c r="BZ47" i="21"/>
  <c r="CC45" i="21"/>
  <c r="BO47" i="21"/>
  <c r="BV46" i="21" s="1"/>
  <c r="BQ48" i="21"/>
  <c r="BP47" i="21"/>
  <c r="BI46" i="21"/>
  <c r="BE48" i="21"/>
  <c r="BL47" i="21" s="1"/>
  <c r="BG49" i="21"/>
  <c r="BH47" i="21"/>
  <c r="AL48" i="21"/>
  <c r="AZ45" i="21"/>
  <c r="BA45" i="21"/>
  <c r="AW48" i="21"/>
  <c r="AU47" i="21"/>
  <c r="BB46" i="21" s="1"/>
  <c r="AY45" i="21"/>
  <c r="AV47" i="21"/>
  <c r="AN47" i="21"/>
  <c r="AP46" i="21"/>
  <c r="AK48" i="21"/>
  <c r="AR47" i="21" s="1"/>
  <c r="AO46" i="21"/>
  <c r="AM49" i="21"/>
  <c r="AQ46" i="21"/>
  <c r="AA47" i="21"/>
  <c r="AH46" i="21" s="1"/>
  <c r="AD46" i="21"/>
  <c r="R131" i="25"/>
  <c r="P131" i="25"/>
  <c r="M133" i="25"/>
  <c r="O132" i="25"/>
  <c r="Q132" i="25"/>
  <c r="N132" i="25"/>
  <c r="S130" i="25"/>
  <c r="KG67" i="21" l="1"/>
  <c r="JW67" i="21"/>
  <c r="KO68" i="21"/>
  <c r="JK68" i="21"/>
  <c r="KL70" i="21"/>
  <c r="JL68" i="21"/>
  <c r="KE67" i="21"/>
  <c r="JM68" i="21"/>
  <c r="KC70" i="21"/>
  <c r="KB69" i="21"/>
  <c r="KH67" i="21"/>
  <c r="KA69" i="21"/>
  <c r="KD68" i="21"/>
  <c r="KF67" i="21"/>
  <c r="JJ69" i="21"/>
  <c r="JT68" i="21"/>
  <c r="IZ68" i="21"/>
  <c r="JV67" i="21"/>
  <c r="KR68" i="21"/>
  <c r="KK70" i="21"/>
  <c r="KN69" i="21"/>
  <c r="KM71" i="21"/>
  <c r="JS70" i="21"/>
  <c r="JR69" i="21"/>
  <c r="JX67" i="21"/>
  <c r="JQ69" i="21"/>
  <c r="JU67" i="21"/>
  <c r="JN68" i="21"/>
  <c r="JG70" i="21"/>
  <c r="JI71" i="21"/>
  <c r="JH70" i="21"/>
  <c r="JB67" i="21"/>
  <c r="JD67" i="21"/>
  <c r="IW69" i="21"/>
  <c r="IY70" i="21"/>
  <c r="JA67" i="21"/>
  <c r="IX69" i="21"/>
  <c r="JC67" i="21"/>
  <c r="AF53" i="25"/>
  <c r="AJ53" i="25" s="1"/>
  <c r="AU49" i="25"/>
  <c r="BE48" i="25"/>
  <c r="AS48" i="25"/>
  <c r="AY48" i="25" s="1"/>
  <c r="BD48" i="25" s="1"/>
  <c r="EV47" i="21"/>
  <c r="BA49" i="25"/>
  <c r="AQ49" i="25"/>
  <c r="BB48" i="25"/>
  <c r="V57" i="25"/>
  <c r="AZ56" i="25"/>
  <c r="BS46" i="21"/>
  <c r="M55" i="30"/>
  <c r="K130" i="30"/>
  <c r="L130" i="30" s="1"/>
  <c r="C56" i="30"/>
  <c r="AW49" i="25"/>
  <c r="AX49" i="25" s="1"/>
  <c r="BH49" i="25" s="1"/>
  <c r="AN51" i="25"/>
  <c r="AO51" i="25"/>
  <c r="AV56" i="25"/>
  <c r="BF56" i="25" s="1"/>
  <c r="AL51" i="25"/>
  <c r="BC51" i="25" s="1"/>
  <c r="AT51" i="25"/>
  <c r="BG51" i="25" s="1"/>
  <c r="AP50" i="25"/>
  <c r="AR50" i="25" s="1"/>
  <c r="Z54" i="25"/>
  <c r="AF54" i="25" s="1"/>
  <c r="X54" i="25"/>
  <c r="AB54" i="25" s="1"/>
  <c r="AM51" i="25"/>
  <c r="AK52" i="25"/>
  <c r="AC54" i="25"/>
  <c r="AG54" i="25"/>
  <c r="AE54" i="25"/>
  <c r="AD53" i="25"/>
  <c r="AI53" i="25" s="1"/>
  <c r="W55" i="25"/>
  <c r="AA55" i="25" s="1"/>
  <c r="Y55" i="25"/>
  <c r="CX46" i="21"/>
  <c r="KZ47" i="21"/>
  <c r="CY46" i="21"/>
  <c r="IQ47" i="21"/>
  <c r="CW46" i="21"/>
  <c r="LA47" i="21"/>
  <c r="KY47" i="21"/>
  <c r="GU47" i="21"/>
  <c r="HW46" i="21"/>
  <c r="HX46" i="21"/>
  <c r="KV49" i="21"/>
  <c r="IR47" i="21"/>
  <c r="HY46" i="21"/>
  <c r="EW47" i="21"/>
  <c r="EU47" i="21"/>
  <c r="KW50" i="21"/>
  <c r="KU49" i="21"/>
  <c r="LB48" i="21" s="1"/>
  <c r="KX48" i="21"/>
  <c r="FE47" i="21"/>
  <c r="IS47" i="21"/>
  <c r="FF47" i="21"/>
  <c r="GZ48" i="21"/>
  <c r="HO47" i="21"/>
  <c r="HM47" i="21"/>
  <c r="ID49" i="21"/>
  <c r="HN47" i="21"/>
  <c r="HC46" i="21"/>
  <c r="HD46" i="21"/>
  <c r="IG47" i="21"/>
  <c r="HE46" i="21"/>
  <c r="IO50" i="21"/>
  <c r="IM49" i="21"/>
  <c r="IT48" i="21" s="1"/>
  <c r="IP48" i="21"/>
  <c r="IN49" i="21"/>
  <c r="EA46" i="21"/>
  <c r="BU46" i="21"/>
  <c r="CM46" i="21"/>
  <c r="FG47" i="21"/>
  <c r="GS47" i="21"/>
  <c r="BA46" i="21"/>
  <c r="DQ46" i="21"/>
  <c r="BT46" i="21"/>
  <c r="GT47" i="21"/>
  <c r="II47" i="21"/>
  <c r="IH47" i="21"/>
  <c r="IC49" i="21"/>
  <c r="IJ48" i="21" s="1"/>
  <c r="IE50" i="21"/>
  <c r="IF48" i="21"/>
  <c r="HS48" i="21"/>
  <c r="HZ47" i="21" s="1"/>
  <c r="HU49" i="21"/>
  <c r="HT48" i="21"/>
  <c r="HV47" i="21"/>
  <c r="HI49" i="21"/>
  <c r="HP48" i="21" s="1"/>
  <c r="HK50" i="21"/>
  <c r="HJ49" i="21"/>
  <c r="HL48" i="21"/>
  <c r="GY48" i="21"/>
  <c r="HF47" i="21" s="1"/>
  <c r="HA49" i="21"/>
  <c r="HB47" i="21"/>
  <c r="GO49" i="21"/>
  <c r="GV48" i="21" s="1"/>
  <c r="GQ50" i="21"/>
  <c r="GP49" i="21"/>
  <c r="GR48" i="21"/>
  <c r="DX48" i="21"/>
  <c r="DI46" i="21"/>
  <c r="AE46" i="21"/>
  <c r="DG46" i="21"/>
  <c r="FN47" i="21"/>
  <c r="FX48" i="21"/>
  <c r="DH46" i="21"/>
  <c r="AP47" i="21"/>
  <c r="AZ46" i="21"/>
  <c r="GF49" i="21"/>
  <c r="AY46" i="21"/>
  <c r="FY47" i="21"/>
  <c r="DN48" i="21"/>
  <c r="GE49" i="21"/>
  <c r="GL48" i="21" s="1"/>
  <c r="GG50" i="21"/>
  <c r="GH48" i="21"/>
  <c r="GK47" i="21"/>
  <c r="GI47" i="21"/>
  <c r="GJ47" i="21"/>
  <c r="FU49" i="21"/>
  <c r="GB48" i="21" s="1"/>
  <c r="FW50" i="21"/>
  <c r="GA47" i="21"/>
  <c r="FV49" i="21"/>
  <c r="FZ47" i="21"/>
  <c r="EK46" i="21"/>
  <c r="EC46" i="21"/>
  <c r="CC46" i="21"/>
  <c r="CD46" i="21"/>
  <c r="CE46" i="21"/>
  <c r="FQ46" i="21"/>
  <c r="FO46" i="21"/>
  <c r="FM49" i="21"/>
  <c r="FP46" i="21"/>
  <c r="FL48" i="21"/>
  <c r="FK48" i="21"/>
  <c r="FR47" i="21" s="1"/>
  <c r="FA49" i="21"/>
  <c r="FH48" i="21" s="1"/>
  <c r="FC50" i="21"/>
  <c r="FB49" i="21"/>
  <c r="FD48" i="21"/>
  <c r="ER49" i="21"/>
  <c r="ES50" i="21"/>
  <c r="EQ49" i="21"/>
  <c r="EX48" i="21" s="1"/>
  <c r="ET48" i="21"/>
  <c r="EJ47" i="21"/>
  <c r="EI49" i="21"/>
  <c r="EG48" i="21"/>
  <c r="EN47" i="21" s="1"/>
  <c r="EH48" i="21"/>
  <c r="EM46" i="21"/>
  <c r="EL46" i="21"/>
  <c r="DY49" i="21"/>
  <c r="DW48" i="21"/>
  <c r="ED47" i="21" s="1"/>
  <c r="EB46" i="21"/>
  <c r="DZ47" i="21"/>
  <c r="DP47" i="21"/>
  <c r="DS46" i="21"/>
  <c r="DR46" i="21"/>
  <c r="DO49" i="21"/>
  <c r="DM48" i="21"/>
  <c r="DT47" i="21" s="1"/>
  <c r="BI47" i="21"/>
  <c r="DE49" i="21"/>
  <c r="DD48" i="21"/>
  <c r="DC48" i="21"/>
  <c r="DJ47" i="21" s="1"/>
  <c r="DF47" i="21"/>
  <c r="CU49" i="21"/>
  <c r="CS48" i="21"/>
  <c r="CZ47" i="21" s="1"/>
  <c r="CT48" i="21"/>
  <c r="CV47" i="21"/>
  <c r="AL49" i="21"/>
  <c r="CK49" i="21"/>
  <c r="CJ48" i="21"/>
  <c r="CL47" i="21"/>
  <c r="CO46" i="21"/>
  <c r="CI48" i="21"/>
  <c r="CP47" i="21" s="1"/>
  <c r="CN46" i="21"/>
  <c r="CA49" i="21"/>
  <c r="BY48" i="21"/>
  <c r="CF47" i="21" s="1"/>
  <c r="BZ48" i="21"/>
  <c r="CB47" i="21"/>
  <c r="BQ49" i="21"/>
  <c r="BO48" i="21"/>
  <c r="BV47" i="21" s="1"/>
  <c r="BP48" i="21"/>
  <c r="BR47" i="21"/>
  <c r="AQ47" i="21"/>
  <c r="AO47" i="21"/>
  <c r="BG50" i="21"/>
  <c r="BE49" i="21"/>
  <c r="BL48" i="21" s="1"/>
  <c r="BF49" i="21"/>
  <c r="BH48" i="21"/>
  <c r="BJ47" i="21"/>
  <c r="BK47" i="21"/>
  <c r="AU48" i="21"/>
  <c r="BB47" i="21" s="1"/>
  <c r="AW49" i="21"/>
  <c r="AV48" i="21"/>
  <c r="AX47" i="21"/>
  <c r="AF46" i="21"/>
  <c r="AM50" i="21"/>
  <c r="AK49" i="21"/>
  <c r="AR48" i="21" s="1"/>
  <c r="AN48" i="21"/>
  <c r="AG46" i="21"/>
  <c r="AD47" i="21"/>
  <c r="AA48" i="21"/>
  <c r="AH47" i="21" s="1"/>
  <c r="Q133" i="25"/>
  <c r="N133" i="25"/>
  <c r="O133" i="25"/>
  <c r="M134" i="25"/>
  <c r="P132" i="25"/>
  <c r="R132" i="25"/>
  <c r="S131" i="25"/>
  <c r="JW68" i="21" l="1"/>
  <c r="JL69" i="21"/>
  <c r="KG68" i="21"/>
  <c r="KF68" i="21"/>
  <c r="KB70" i="21"/>
  <c r="KE68" i="21"/>
  <c r="JC68" i="21"/>
  <c r="JU68" i="21"/>
  <c r="JV68" i="21"/>
  <c r="KH68" i="21"/>
  <c r="KA70" i="21"/>
  <c r="KC71" i="21"/>
  <c r="KD69" i="21"/>
  <c r="JB68" i="21"/>
  <c r="JK69" i="21"/>
  <c r="JM69" i="21"/>
  <c r="JA68" i="21"/>
  <c r="KN70" i="21"/>
  <c r="JR70" i="21"/>
  <c r="KM72" i="21"/>
  <c r="KQ69" i="21"/>
  <c r="KR69" i="21"/>
  <c r="KK71" i="21"/>
  <c r="KL71" i="21"/>
  <c r="KP69" i="21"/>
  <c r="KO69" i="21"/>
  <c r="KO70" i="21" s="1"/>
  <c r="JX68" i="21"/>
  <c r="JQ70" i="21"/>
  <c r="JT69" i="21"/>
  <c r="JS71" i="21"/>
  <c r="JI72" i="21"/>
  <c r="JN69" i="21"/>
  <c r="JG71" i="21"/>
  <c r="JH71" i="21"/>
  <c r="JJ70" i="21"/>
  <c r="JD68" i="21"/>
  <c r="IW70" i="21"/>
  <c r="IY71" i="21"/>
  <c r="IX70" i="21"/>
  <c r="IZ69" i="21"/>
  <c r="AH54" i="25"/>
  <c r="AJ54" i="25" s="1"/>
  <c r="AU50" i="25"/>
  <c r="BE49" i="25"/>
  <c r="AS49" i="25"/>
  <c r="AY49" i="25" s="1"/>
  <c r="BD49" i="25" s="1"/>
  <c r="AQ50" i="25"/>
  <c r="BB49" i="25"/>
  <c r="BA50" i="25"/>
  <c r="V58" i="25"/>
  <c r="AZ57" i="25"/>
  <c r="M56" i="30"/>
  <c r="K131" i="30"/>
  <c r="L131" i="30" s="1"/>
  <c r="C57" i="30"/>
  <c r="AW50" i="25"/>
  <c r="AX50" i="25" s="1"/>
  <c r="BH50" i="25" s="1"/>
  <c r="AN52" i="25"/>
  <c r="AO52" i="25"/>
  <c r="AV57" i="25"/>
  <c r="BF57" i="25" s="1"/>
  <c r="AL52" i="25"/>
  <c r="BC52" i="25" s="1"/>
  <c r="AT52" i="25"/>
  <c r="BG52" i="25" s="1"/>
  <c r="AP51" i="25"/>
  <c r="AR51" i="25" s="1"/>
  <c r="AC55" i="25"/>
  <c r="X55" i="25"/>
  <c r="AB55" i="25" s="1"/>
  <c r="Z55" i="25"/>
  <c r="AH55" i="25" s="1"/>
  <c r="AM52" i="25"/>
  <c r="AK53" i="25"/>
  <c r="AD54" i="25"/>
  <c r="AI54" i="25" s="1"/>
  <c r="AE55" i="25"/>
  <c r="AG55" i="25"/>
  <c r="Y56" i="25"/>
  <c r="W56" i="25"/>
  <c r="S132" i="25"/>
  <c r="FE48" i="21"/>
  <c r="FZ48" i="21"/>
  <c r="HX47" i="21"/>
  <c r="GA48" i="21"/>
  <c r="KV50" i="21"/>
  <c r="EU48" i="21"/>
  <c r="EA47" i="21"/>
  <c r="KX49" i="21"/>
  <c r="KY48" i="21"/>
  <c r="KZ48" i="21"/>
  <c r="LA48" i="21"/>
  <c r="KW51" i="21"/>
  <c r="KU50" i="21"/>
  <c r="LB49" i="21" s="1"/>
  <c r="GP50" i="21"/>
  <c r="HN48" i="21"/>
  <c r="HB48" i="21"/>
  <c r="FO47" i="21"/>
  <c r="FQ47" i="21"/>
  <c r="GS48" i="21"/>
  <c r="HJ50" i="21"/>
  <c r="IP49" i="21"/>
  <c r="DG47" i="21"/>
  <c r="IQ48" i="21"/>
  <c r="IM50" i="21"/>
  <c r="IT49" i="21" s="1"/>
  <c r="IR48" i="21"/>
  <c r="IS48" i="21"/>
  <c r="IO51" i="21"/>
  <c r="IN50" i="21"/>
  <c r="BT47" i="21"/>
  <c r="HO48" i="21"/>
  <c r="HM48" i="21"/>
  <c r="AE47" i="21"/>
  <c r="FY48" i="21"/>
  <c r="IF49" i="21"/>
  <c r="IE51" i="21"/>
  <c r="IC50" i="21"/>
  <c r="IJ49" i="21" s="1"/>
  <c r="IH48" i="21"/>
  <c r="ID50" i="21"/>
  <c r="II48" i="21"/>
  <c r="IG48" i="21"/>
  <c r="HY47" i="21"/>
  <c r="HV48" i="21"/>
  <c r="HT49" i="21"/>
  <c r="HW47" i="21"/>
  <c r="HU50" i="21"/>
  <c r="HS49" i="21"/>
  <c r="HZ48" i="21" s="1"/>
  <c r="HK51" i="21"/>
  <c r="HL49" i="21"/>
  <c r="HI50" i="21"/>
  <c r="HP49" i="21" s="1"/>
  <c r="HE47" i="21"/>
  <c r="HD47" i="21"/>
  <c r="HA50" i="21"/>
  <c r="HC47" i="21"/>
  <c r="GY49" i="21"/>
  <c r="HF48" i="21" s="1"/>
  <c r="GZ49" i="21"/>
  <c r="FX49" i="21"/>
  <c r="GU48" i="21"/>
  <c r="DX49" i="21"/>
  <c r="FP47" i="21"/>
  <c r="GF50" i="21"/>
  <c r="GQ51" i="21"/>
  <c r="GO50" i="21"/>
  <c r="GV49" i="21" s="1"/>
  <c r="GR49" i="21"/>
  <c r="GT48" i="21"/>
  <c r="EK47" i="21"/>
  <c r="FB50" i="21"/>
  <c r="FF48" i="21"/>
  <c r="DD49" i="21"/>
  <c r="EM47" i="21"/>
  <c r="FV50" i="21"/>
  <c r="EH49" i="21"/>
  <c r="EW48" i="21"/>
  <c r="GH49" i="21"/>
  <c r="GI48" i="21"/>
  <c r="GK48" i="21"/>
  <c r="GG51" i="21"/>
  <c r="GE50" i="21"/>
  <c r="GL49" i="21" s="1"/>
  <c r="GJ48" i="21"/>
  <c r="FW51" i="21"/>
  <c r="FU50" i="21"/>
  <c r="GB49" i="21" s="1"/>
  <c r="CJ49" i="21"/>
  <c r="FL49" i="21"/>
  <c r="BH49" i="21"/>
  <c r="DS47" i="21"/>
  <c r="EL47" i="21"/>
  <c r="FM50" i="21"/>
  <c r="FK49" i="21"/>
  <c r="FR48" i="21" s="1"/>
  <c r="FN48" i="21"/>
  <c r="FC51" i="21"/>
  <c r="FA50" i="21"/>
  <c r="FH49" i="21" s="1"/>
  <c r="FD49" i="21"/>
  <c r="FG48" i="21"/>
  <c r="EQ50" i="21"/>
  <c r="EX49" i="21" s="1"/>
  <c r="ES51" i="21"/>
  <c r="ER50" i="21"/>
  <c r="ET49" i="21"/>
  <c r="EV48" i="21"/>
  <c r="EB47" i="21"/>
  <c r="AO48" i="21"/>
  <c r="BZ49" i="21"/>
  <c r="DR47" i="21"/>
  <c r="EI50" i="21"/>
  <c r="EG49" i="21"/>
  <c r="EN48" i="21" s="1"/>
  <c r="EJ48" i="21"/>
  <c r="DW49" i="21"/>
  <c r="ED48" i="21" s="1"/>
  <c r="DY50" i="21"/>
  <c r="DZ48" i="21"/>
  <c r="EC47" i="21"/>
  <c r="DP48" i="21"/>
  <c r="DO50" i="21"/>
  <c r="DN49" i="21"/>
  <c r="DM49" i="21"/>
  <c r="DT48" i="21" s="1"/>
  <c r="DQ47" i="21"/>
  <c r="CV48" i="21"/>
  <c r="CT49" i="21"/>
  <c r="DH47" i="21"/>
  <c r="DI47" i="21"/>
  <c r="DF48" i="21"/>
  <c r="DC49" i="21"/>
  <c r="DJ48" i="21" s="1"/>
  <c r="DE50" i="21"/>
  <c r="CS49" i="21"/>
  <c r="CZ48" i="21" s="1"/>
  <c r="CY47" i="21"/>
  <c r="CW47" i="21"/>
  <c r="CX47" i="21"/>
  <c r="CU50" i="21"/>
  <c r="BU47" i="21"/>
  <c r="BJ48" i="21"/>
  <c r="CB48" i="21"/>
  <c r="CO47" i="21"/>
  <c r="BF50" i="21"/>
  <c r="BS47" i="21"/>
  <c r="CL48" i="21"/>
  <c r="CK50" i="21"/>
  <c r="CI49" i="21"/>
  <c r="CP48" i="21" s="1"/>
  <c r="CN47" i="21"/>
  <c r="CM47" i="21"/>
  <c r="BY49" i="21"/>
  <c r="CF48" i="21" s="1"/>
  <c r="CD47" i="21"/>
  <c r="CE47" i="21"/>
  <c r="CC47" i="21"/>
  <c r="CA50" i="21"/>
  <c r="BR48" i="21"/>
  <c r="BQ50" i="21"/>
  <c r="BO49" i="21"/>
  <c r="BV48" i="21" s="1"/>
  <c r="BP49" i="21"/>
  <c r="AV49" i="21"/>
  <c r="BI48" i="21"/>
  <c r="BG51" i="21"/>
  <c r="BE50" i="21"/>
  <c r="BL49" i="21" s="1"/>
  <c r="BK48" i="21"/>
  <c r="AW50" i="21"/>
  <c r="BA47" i="21"/>
  <c r="AZ47" i="21"/>
  <c r="AX48" i="21"/>
  <c r="AY47" i="21"/>
  <c r="AU49" i="21"/>
  <c r="BB48" i="21" s="1"/>
  <c r="AP48" i="21"/>
  <c r="AF47" i="21"/>
  <c r="AQ48" i="21"/>
  <c r="AK50" i="21"/>
  <c r="AR49" i="21" s="1"/>
  <c r="AM51" i="21"/>
  <c r="AN49" i="21"/>
  <c r="AL50" i="21"/>
  <c r="AG47" i="21"/>
  <c r="AA49" i="21"/>
  <c r="AH48" i="21" s="1"/>
  <c r="AD48" i="21"/>
  <c r="M135" i="25"/>
  <c r="N134" i="25"/>
  <c r="Q134" i="25"/>
  <c r="O134" i="25"/>
  <c r="R133" i="25"/>
  <c r="P133" i="25"/>
  <c r="JK70" i="21" l="1"/>
  <c r="KF69" i="21"/>
  <c r="JU69" i="21"/>
  <c r="KG69" i="21"/>
  <c r="JM70" i="21"/>
  <c r="KC72" i="21"/>
  <c r="KB71" i="21"/>
  <c r="KB72" i="21" s="1"/>
  <c r="KH69" i="21"/>
  <c r="KA71" i="21"/>
  <c r="KD70" i="21"/>
  <c r="KE69" i="21"/>
  <c r="KQ70" i="21"/>
  <c r="JB69" i="21"/>
  <c r="JL70" i="21"/>
  <c r="JC69" i="21"/>
  <c r="KP70" i="21"/>
  <c r="KL72" i="21"/>
  <c r="KV51" i="21"/>
  <c r="IX71" i="21"/>
  <c r="KR70" i="21"/>
  <c r="KK72" i="21"/>
  <c r="KM73" i="21"/>
  <c r="KN71" i="21"/>
  <c r="KO71" i="21" s="1"/>
  <c r="JS72" i="21"/>
  <c r="JT70" i="21"/>
  <c r="JW69" i="21"/>
  <c r="JV69" i="21"/>
  <c r="JR71" i="21"/>
  <c r="JX69" i="21"/>
  <c r="JQ71" i="21"/>
  <c r="JN70" i="21"/>
  <c r="JG72" i="21"/>
  <c r="JJ71" i="21"/>
  <c r="JI73" i="21"/>
  <c r="JH72" i="21"/>
  <c r="JD69" i="21"/>
  <c r="IW71" i="21"/>
  <c r="IY72" i="21"/>
  <c r="IZ70" i="21"/>
  <c r="JA69" i="21"/>
  <c r="AD55" i="25"/>
  <c r="AI55" i="25" s="1"/>
  <c r="AF55" i="25"/>
  <c r="AJ55" i="25" s="1"/>
  <c r="BE50" i="25"/>
  <c r="AS50" i="25"/>
  <c r="AY50" i="25" s="1"/>
  <c r="BD50" i="25" s="1"/>
  <c r="X56" i="25"/>
  <c r="AB56" i="25" s="1"/>
  <c r="AA56" i="25"/>
  <c r="AU51" i="25"/>
  <c r="GA49" i="21"/>
  <c r="BA51" i="25"/>
  <c r="AQ51" i="25"/>
  <c r="BB50" i="25"/>
  <c r="V59" i="25"/>
  <c r="AZ58" i="25"/>
  <c r="AW51" i="25"/>
  <c r="AX51" i="25" s="1"/>
  <c r="BH51" i="25" s="1"/>
  <c r="M57" i="30"/>
  <c r="K132" i="30"/>
  <c r="L132" i="30" s="1"/>
  <c r="C58" i="30"/>
  <c r="AN53" i="25"/>
  <c r="AO53" i="25"/>
  <c r="AV58" i="25"/>
  <c r="BF58" i="25" s="1"/>
  <c r="AL53" i="25"/>
  <c r="BC53" i="25" s="1"/>
  <c r="AT53" i="25"/>
  <c r="BG53" i="25" s="1"/>
  <c r="AP52" i="25"/>
  <c r="AR52" i="25" s="1"/>
  <c r="AF56" i="25"/>
  <c r="Z56" i="25"/>
  <c r="AM53" i="25"/>
  <c r="AH56" i="25"/>
  <c r="AE56" i="25"/>
  <c r="AG56" i="25"/>
  <c r="AC56" i="25"/>
  <c r="AK54" i="25"/>
  <c r="Y58" i="25"/>
  <c r="W57" i="25"/>
  <c r="AA57" i="25" s="1"/>
  <c r="Y57" i="25"/>
  <c r="EU49" i="21"/>
  <c r="KY49" i="21"/>
  <c r="KZ49" i="21"/>
  <c r="HE48" i="21"/>
  <c r="LA49" i="21"/>
  <c r="HC48" i="21"/>
  <c r="HD48" i="21"/>
  <c r="BZ50" i="21"/>
  <c r="GP51" i="21"/>
  <c r="KU51" i="21"/>
  <c r="LB50" i="21" s="1"/>
  <c r="KW52" i="21"/>
  <c r="KX50" i="21"/>
  <c r="IQ49" i="21"/>
  <c r="FF49" i="21"/>
  <c r="AE48" i="21"/>
  <c r="GF51" i="21"/>
  <c r="IR49" i="21"/>
  <c r="IS49" i="21"/>
  <c r="FP48" i="21"/>
  <c r="BI49" i="21"/>
  <c r="IO52" i="21"/>
  <c r="IM51" i="21"/>
  <c r="IT50" i="21" s="1"/>
  <c r="IN51" i="21"/>
  <c r="IP50" i="21"/>
  <c r="HL50" i="21"/>
  <c r="HY48" i="21"/>
  <c r="FZ49" i="21"/>
  <c r="IG49" i="21"/>
  <c r="FY49" i="21"/>
  <c r="II49" i="21"/>
  <c r="ID51" i="21"/>
  <c r="IH49" i="21"/>
  <c r="HW48" i="21"/>
  <c r="IC51" i="21"/>
  <c r="IJ50" i="21" s="1"/>
  <c r="IE52" i="21"/>
  <c r="IF50" i="21"/>
  <c r="HU51" i="21"/>
  <c r="HT50" i="21"/>
  <c r="HV49" i="21"/>
  <c r="HS50" i="21"/>
  <c r="HZ49" i="21" s="1"/>
  <c r="HX48" i="21"/>
  <c r="HK52" i="21"/>
  <c r="HN49" i="21"/>
  <c r="HJ51" i="21"/>
  <c r="HO49" i="21"/>
  <c r="HI51" i="21"/>
  <c r="HP50" i="21" s="1"/>
  <c r="HM49" i="21"/>
  <c r="HA51" i="21"/>
  <c r="GZ50" i="21"/>
  <c r="GY50" i="21"/>
  <c r="HF49" i="21" s="1"/>
  <c r="HB49" i="21"/>
  <c r="EL48" i="21"/>
  <c r="GJ49" i="21"/>
  <c r="FB51" i="21"/>
  <c r="GR50" i="21"/>
  <c r="GO51" i="21"/>
  <c r="GV50" i="21" s="1"/>
  <c r="GU49" i="21"/>
  <c r="GS49" i="21"/>
  <c r="GQ52" i="21"/>
  <c r="GT49" i="21"/>
  <c r="CT50" i="21"/>
  <c r="FO48" i="21"/>
  <c r="BK49" i="21"/>
  <c r="ER51" i="21"/>
  <c r="GK49" i="21"/>
  <c r="EW49" i="21"/>
  <c r="FE49" i="21"/>
  <c r="GI49" i="21"/>
  <c r="DZ49" i="21"/>
  <c r="BJ49" i="21"/>
  <c r="GG52" i="21"/>
  <c r="GE51" i="21"/>
  <c r="GL50" i="21" s="1"/>
  <c r="GH50" i="21"/>
  <c r="FW52" i="21"/>
  <c r="FV51" i="21"/>
  <c r="FU51" i="21"/>
  <c r="GB50" i="21" s="1"/>
  <c r="FX50" i="21"/>
  <c r="CC48" i="21"/>
  <c r="CY48" i="21"/>
  <c r="CO48" i="21"/>
  <c r="FK50" i="21"/>
  <c r="FR49" i="21" s="1"/>
  <c r="FM51" i="21"/>
  <c r="FQ48" i="21"/>
  <c r="FN49" i="21"/>
  <c r="FL50" i="21"/>
  <c r="FA51" i="21"/>
  <c r="FH50" i="21" s="1"/>
  <c r="FG49" i="21"/>
  <c r="FC52" i="21"/>
  <c r="FD50" i="21"/>
  <c r="ES52" i="21"/>
  <c r="EV49" i="21"/>
  <c r="EQ51" i="21"/>
  <c r="EX50" i="21" s="1"/>
  <c r="ET50" i="21"/>
  <c r="AY48" i="21"/>
  <c r="DQ48" i="21"/>
  <c r="EB48" i="21"/>
  <c r="CD48" i="21"/>
  <c r="CX48" i="21"/>
  <c r="CW48" i="21"/>
  <c r="EG50" i="21"/>
  <c r="EN49" i="21" s="1"/>
  <c r="EI51" i="21"/>
  <c r="EH50" i="21"/>
  <c r="EK48" i="21"/>
  <c r="EJ49" i="21"/>
  <c r="EM48" i="21"/>
  <c r="DW50" i="21"/>
  <c r="ED49" i="21" s="1"/>
  <c r="DY51" i="21"/>
  <c r="EC48" i="21"/>
  <c r="DX50" i="21"/>
  <c r="EA48" i="21"/>
  <c r="DO51" i="21"/>
  <c r="DN50" i="21"/>
  <c r="DP49" i="21"/>
  <c r="DS48" i="21"/>
  <c r="DM50" i="21"/>
  <c r="DT49" i="21" s="1"/>
  <c r="DR48" i="21"/>
  <c r="BU48" i="21"/>
  <c r="CE48" i="21"/>
  <c r="DC50" i="21"/>
  <c r="DJ49" i="21" s="1"/>
  <c r="DF49" i="21"/>
  <c r="DI48" i="21"/>
  <c r="DE51" i="21"/>
  <c r="DD50" i="21"/>
  <c r="DH48" i="21"/>
  <c r="DG48" i="21"/>
  <c r="CS50" i="21"/>
  <c r="CZ49" i="21" s="1"/>
  <c r="CU51" i="21"/>
  <c r="CV49" i="21"/>
  <c r="CM48" i="21"/>
  <c r="CN48" i="21"/>
  <c r="AV50" i="21"/>
  <c r="CI50" i="21"/>
  <c r="CP49" i="21" s="1"/>
  <c r="CK51" i="21"/>
  <c r="CJ50" i="21"/>
  <c r="CL49" i="21"/>
  <c r="BY50" i="21"/>
  <c r="CF49" i="21" s="1"/>
  <c r="CA51" i="21"/>
  <c r="CB49" i="21"/>
  <c r="BR49" i="21"/>
  <c r="BQ51" i="21"/>
  <c r="BT48" i="21"/>
  <c r="BO50" i="21"/>
  <c r="BV49" i="21" s="1"/>
  <c r="BP50" i="21"/>
  <c r="BS48" i="21"/>
  <c r="BG52" i="21"/>
  <c r="BF51" i="21"/>
  <c r="BE51" i="21"/>
  <c r="BL50" i="21" s="1"/>
  <c r="BH50" i="21"/>
  <c r="AX49" i="21"/>
  <c r="BA48" i="21"/>
  <c r="AW51" i="21"/>
  <c r="AZ48" i="21"/>
  <c r="AU50" i="21"/>
  <c r="BB49" i="21" s="1"/>
  <c r="AP49" i="21"/>
  <c r="AF48" i="21"/>
  <c r="AA50" i="21"/>
  <c r="AH49" i="21" s="1"/>
  <c r="AQ49" i="21"/>
  <c r="AM52" i="21"/>
  <c r="AK51" i="21"/>
  <c r="AR50" i="21" s="1"/>
  <c r="AL51" i="21"/>
  <c r="AN50" i="21"/>
  <c r="AO49" i="21"/>
  <c r="AG48" i="21"/>
  <c r="AD49" i="21"/>
  <c r="S133" i="25"/>
  <c r="R134" i="25"/>
  <c r="P134" i="25"/>
  <c r="M136" i="25"/>
  <c r="O135" i="25"/>
  <c r="N135" i="25"/>
  <c r="Q135" i="25"/>
  <c r="KF70" i="21" l="1"/>
  <c r="KG70" i="21"/>
  <c r="JB70" i="21"/>
  <c r="KE70" i="21"/>
  <c r="KQ71" i="21"/>
  <c r="JV70" i="21"/>
  <c r="JW70" i="21"/>
  <c r="KH70" i="21"/>
  <c r="KA72" i="21"/>
  <c r="KC73" i="21"/>
  <c r="KD71" i="21"/>
  <c r="KP71" i="21"/>
  <c r="JR72" i="21"/>
  <c r="JA70" i="21"/>
  <c r="JJ72" i="21"/>
  <c r="KM74" i="21"/>
  <c r="KR71" i="21"/>
  <c r="KK73" i="21"/>
  <c r="KN72" i="21"/>
  <c r="KL73" i="21"/>
  <c r="JT71" i="21"/>
  <c r="JS73" i="21"/>
  <c r="JX70" i="21"/>
  <c r="JQ72" i="21"/>
  <c r="JU70" i="21"/>
  <c r="JI74" i="21"/>
  <c r="JM71" i="21"/>
  <c r="JL71" i="21"/>
  <c r="JN71" i="21"/>
  <c r="JG73" i="21"/>
  <c r="JH73" i="21"/>
  <c r="JK71" i="21"/>
  <c r="JD70" i="21"/>
  <c r="IW72" i="21"/>
  <c r="IY73" i="21"/>
  <c r="IX72" i="21"/>
  <c r="IZ71" i="21"/>
  <c r="JC70" i="21"/>
  <c r="AU52" i="25"/>
  <c r="BE52" i="25" s="1"/>
  <c r="AJ56" i="25"/>
  <c r="BE51" i="25"/>
  <c r="AS51" i="25"/>
  <c r="AY51" i="25" s="1"/>
  <c r="BD51" i="25" s="1"/>
  <c r="CD49" i="21"/>
  <c r="BA52" i="25"/>
  <c r="AQ52" i="25"/>
  <c r="BB51" i="25"/>
  <c r="V60" i="25"/>
  <c r="AZ59" i="25"/>
  <c r="AW52" i="25"/>
  <c r="AX52" i="25" s="1"/>
  <c r="BH52" i="25" s="1"/>
  <c r="M58" i="30"/>
  <c r="K133" i="30"/>
  <c r="L133" i="30" s="1"/>
  <c r="EW50" i="21"/>
  <c r="C59" i="30"/>
  <c r="AN54" i="25"/>
  <c r="AO54" i="25"/>
  <c r="AV59" i="25"/>
  <c r="BF59" i="25" s="1"/>
  <c r="AL54" i="25"/>
  <c r="BC54" i="25" s="1"/>
  <c r="AT54" i="25"/>
  <c r="BG54" i="25" s="1"/>
  <c r="AP53" i="25"/>
  <c r="AR53" i="25" s="1"/>
  <c r="Z57" i="25"/>
  <c r="AH57" i="25" s="1"/>
  <c r="X57" i="25"/>
  <c r="AB57" i="25" s="1"/>
  <c r="Z58" i="25"/>
  <c r="AF58" i="25" s="1"/>
  <c r="AM54" i="25"/>
  <c r="AK55" i="25"/>
  <c r="AG57" i="25"/>
  <c r="AH58" i="25"/>
  <c r="AE57" i="25"/>
  <c r="AD56" i="25"/>
  <c r="AI56" i="25" s="1"/>
  <c r="AC57" i="25"/>
  <c r="AG58" i="25"/>
  <c r="AE58" i="25"/>
  <c r="W58" i="25"/>
  <c r="CO49" i="21"/>
  <c r="AY49" i="21"/>
  <c r="KY50" i="21"/>
  <c r="HD49" i="21"/>
  <c r="EC49" i="21"/>
  <c r="BZ51" i="21"/>
  <c r="HY49" i="21"/>
  <c r="KX51" i="21"/>
  <c r="LA50" i="21"/>
  <c r="KW53" i="21"/>
  <c r="KZ50" i="21"/>
  <c r="KU52" i="21"/>
  <c r="LB51" i="21" s="1"/>
  <c r="KV52" i="21"/>
  <c r="BI50" i="21"/>
  <c r="DN51" i="21"/>
  <c r="IN52" i="21"/>
  <c r="FY50" i="21"/>
  <c r="GZ51" i="21"/>
  <c r="HO50" i="21"/>
  <c r="HJ52" i="21"/>
  <c r="HN50" i="21"/>
  <c r="HM50" i="21"/>
  <c r="HE49" i="21"/>
  <c r="FB52" i="21"/>
  <c r="GT50" i="21"/>
  <c r="IM52" i="21"/>
  <c r="IT51" i="21" s="1"/>
  <c r="IQ50" i="21"/>
  <c r="IP51" i="21"/>
  <c r="IR50" i="21"/>
  <c r="IS50" i="21"/>
  <c r="IO53" i="21"/>
  <c r="IG50" i="21"/>
  <c r="GJ50" i="21"/>
  <c r="GS50" i="21"/>
  <c r="GU50" i="21"/>
  <c r="II50" i="21"/>
  <c r="IE53" i="21"/>
  <c r="ID52" i="21"/>
  <c r="IC52" i="21"/>
  <c r="IJ51" i="21" s="1"/>
  <c r="IF51" i="21"/>
  <c r="IH50" i="21"/>
  <c r="HV50" i="21"/>
  <c r="HS51" i="21"/>
  <c r="HZ50" i="21" s="1"/>
  <c r="HW49" i="21"/>
  <c r="HT51" i="21"/>
  <c r="HU52" i="21"/>
  <c r="HX49" i="21"/>
  <c r="HK53" i="21"/>
  <c r="HI52" i="21"/>
  <c r="HP51" i="21" s="1"/>
  <c r="HL51" i="21"/>
  <c r="GY51" i="21"/>
  <c r="HF50" i="21" s="1"/>
  <c r="HA52" i="21"/>
  <c r="HB50" i="21"/>
  <c r="HC49" i="21"/>
  <c r="DQ49" i="21"/>
  <c r="FV52" i="21"/>
  <c r="GQ53" i="21"/>
  <c r="GO52" i="21"/>
  <c r="GV51" i="21" s="1"/>
  <c r="GP52" i="21"/>
  <c r="GR51" i="21"/>
  <c r="GK50" i="21"/>
  <c r="BT49" i="21"/>
  <c r="DS49" i="21"/>
  <c r="GI50" i="21"/>
  <c r="FN50" i="21"/>
  <c r="EA49" i="21"/>
  <c r="EB49" i="21"/>
  <c r="FD51" i="21"/>
  <c r="GG53" i="21"/>
  <c r="GE52" i="21"/>
  <c r="GL51" i="21" s="1"/>
  <c r="GH51" i="21"/>
  <c r="GF52" i="21"/>
  <c r="FU52" i="21"/>
  <c r="GB51" i="21" s="1"/>
  <c r="FZ50" i="21"/>
  <c r="FX51" i="21"/>
  <c r="FW53" i="21"/>
  <c r="GA50" i="21"/>
  <c r="EU50" i="21"/>
  <c r="FG50" i="21"/>
  <c r="DP50" i="21"/>
  <c r="FE50" i="21"/>
  <c r="AD50" i="21"/>
  <c r="EV50" i="21"/>
  <c r="FL51" i="21"/>
  <c r="FP49" i="21"/>
  <c r="FO49" i="21"/>
  <c r="FM52" i="21"/>
  <c r="FQ49" i="21"/>
  <c r="FK51" i="21"/>
  <c r="FR50" i="21" s="1"/>
  <c r="FF50" i="21"/>
  <c r="FC53" i="21"/>
  <c r="FA52" i="21"/>
  <c r="FH51" i="21" s="1"/>
  <c r="EQ52" i="21"/>
  <c r="EX51" i="21" s="1"/>
  <c r="ES53" i="21"/>
  <c r="ET51" i="21"/>
  <c r="EW51" i="21" s="1"/>
  <c r="ER52" i="21"/>
  <c r="EJ50" i="21"/>
  <c r="EK49" i="21"/>
  <c r="CW49" i="21"/>
  <c r="DI49" i="21"/>
  <c r="EI52" i="21"/>
  <c r="EL49" i="21"/>
  <c r="EG51" i="21"/>
  <c r="EN50" i="21" s="1"/>
  <c r="EH51" i="21"/>
  <c r="EM49" i="21"/>
  <c r="DW51" i="21"/>
  <c r="ED50" i="21" s="1"/>
  <c r="DY52" i="21"/>
  <c r="DX51" i="21"/>
  <c r="DZ50" i="21"/>
  <c r="DR49" i="21"/>
  <c r="DO52" i="21"/>
  <c r="DM51" i="21"/>
  <c r="DT50" i="21" s="1"/>
  <c r="CN49" i="21"/>
  <c r="BP51" i="21"/>
  <c r="DG49" i="21"/>
  <c r="CM49" i="21"/>
  <c r="DH49" i="21"/>
  <c r="DE52" i="21"/>
  <c r="DD51" i="21"/>
  <c r="DF50" i="21"/>
  <c r="DC51" i="21"/>
  <c r="DJ50" i="21" s="1"/>
  <c r="CS51" i="21"/>
  <c r="CZ50" i="21" s="1"/>
  <c r="CU52" i="21"/>
  <c r="CT51" i="21"/>
  <c r="CV50" i="21"/>
  <c r="CX49" i="21"/>
  <c r="CY49" i="21"/>
  <c r="CE49" i="21"/>
  <c r="CJ51" i="21"/>
  <c r="CK52" i="21"/>
  <c r="CI51" i="21"/>
  <c r="CP50" i="21" s="1"/>
  <c r="CL50" i="21"/>
  <c r="BY51" i="21"/>
  <c r="CF50" i="21" s="1"/>
  <c r="CA52" i="21"/>
  <c r="CB50" i="21"/>
  <c r="CC49" i="21"/>
  <c r="BO51" i="21"/>
  <c r="BV50" i="21" s="1"/>
  <c r="BQ52" i="21"/>
  <c r="BR50" i="21"/>
  <c r="BS49" i="21"/>
  <c r="BU49" i="21"/>
  <c r="AZ49" i="21"/>
  <c r="BF52" i="21"/>
  <c r="BK50" i="21"/>
  <c r="BA49" i="21"/>
  <c r="BE52" i="21"/>
  <c r="BL51" i="21" s="1"/>
  <c r="BG53" i="21"/>
  <c r="BJ50" i="21"/>
  <c r="BH51" i="21"/>
  <c r="AW52" i="21"/>
  <c r="AV51" i="21"/>
  <c r="AU51" i="21"/>
  <c r="BB50" i="21" s="1"/>
  <c r="AX50" i="21"/>
  <c r="AF49" i="21"/>
  <c r="AL52" i="21"/>
  <c r="AP50" i="21"/>
  <c r="AA51" i="21"/>
  <c r="AA52" i="21" s="1"/>
  <c r="AA53" i="21" s="1"/>
  <c r="AA54" i="21" s="1"/>
  <c r="AA55" i="21" s="1"/>
  <c r="AA56" i="21" s="1"/>
  <c r="AA57" i="21" s="1"/>
  <c r="AA58" i="21" s="1"/>
  <c r="AA59" i="21" s="1"/>
  <c r="AA60" i="21" s="1"/>
  <c r="AA61" i="21" s="1"/>
  <c r="AA62" i="21" s="1"/>
  <c r="AA63" i="21" s="1"/>
  <c r="AA64" i="21" s="1"/>
  <c r="AA65" i="21" s="1"/>
  <c r="AA66" i="21" s="1"/>
  <c r="AA67" i="21" s="1"/>
  <c r="AA68" i="21" s="1"/>
  <c r="AA69" i="21" s="1"/>
  <c r="AA70" i="21" s="1"/>
  <c r="AA71" i="21" s="1"/>
  <c r="AA72" i="21" s="1"/>
  <c r="AA73" i="21" s="1"/>
  <c r="AA74" i="21" s="1"/>
  <c r="AA75" i="21" s="1"/>
  <c r="AA76" i="21" s="1"/>
  <c r="AA77" i="21" s="1"/>
  <c r="AA78" i="21" s="1"/>
  <c r="AA79" i="21" s="1"/>
  <c r="AA80" i="21" s="1"/>
  <c r="AA81" i="21" s="1"/>
  <c r="AA82" i="21" s="1"/>
  <c r="AA83" i="21" s="1"/>
  <c r="AA84" i="21" s="1"/>
  <c r="AA85" i="21" s="1"/>
  <c r="AA86" i="21" s="1"/>
  <c r="AA87" i="21" s="1"/>
  <c r="AA88" i="21" s="1"/>
  <c r="AA89" i="21" s="1"/>
  <c r="AA90" i="21" s="1"/>
  <c r="AA91" i="21" s="1"/>
  <c r="AA92" i="21" s="1"/>
  <c r="AA93" i="21" s="1"/>
  <c r="AA94" i="21" s="1"/>
  <c r="AA95" i="21" s="1"/>
  <c r="AA96" i="21" s="1"/>
  <c r="AA97" i="21" s="1"/>
  <c r="AA98" i="21" s="1"/>
  <c r="AA99" i="21" s="1"/>
  <c r="AA100" i="21" s="1"/>
  <c r="AQ50" i="21"/>
  <c r="AO50" i="21"/>
  <c r="AK52" i="21"/>
  <c r="AR51" i="21" s="1"/>
  <c r="AM53" i="21"/>
  <c r="AN51" i="21"/>
  <c r="AE49" i="21"/>
  <c r="AG49" i="21"/>
  <c r="S134" i="25"/>
  <c r="M137" i="25"/>
  <c r="P135" i="25"/>
  <c r="R135" i="25"/>
  <c r="O136" i="25"/>
  <c r="N136" i="25"/>
  <c r="Q136" i="25"/>
  <c r="AS52" i="25" l="1"/>
  <c r="AY52" i="25" s="1"/>
  <c r="BD52" i="25" s="1"/>
  <c r="KF71" i="21"/>
  <c r="JK72" i="21"/>
  <c r="JL72" i="21"/>
  <c r="JM72" i="21"/>
  <c r="KQ72" i="21"/>
  <c r="KE71" i="21"/>
  <c r="JJ73" i="21"/>
  <c r="JK73" i="21" s="1"/>
  <c r="KC74" i="21"/>
  <c r="KB73" i="21"/>
  <c r="KH71" i="21"/>
  <c r="KA73" i="21"/>
  <c r="KD72" i="21"/>
  <c r="KF72" i="21" s="1"/>
  <c r="KG71" i="21"/>
  <c r="KO72" i="21"/>
  <c r="JT72" i="21"/>
  <c r="IZ72" i="21"/>
  <c r="KL74" i="21"/>
  <c r="KR72" i="21"/>
  <c r="KK74" i="21"/>
  <c r="KM75" i="21"/>
  <c r="KN73" i="21"/>
  <c r="KP72" i="21"/>
  <c r="JS74" i="21"/>
  <c r="JR73" i="21"/>
  <c r="JU71" i="21"/>
  <c r="JW71" i="21"/>
  <c r="JX71" i="21"/>
  <c r="JQ73" i="21"/>
  <c r="JV71" i="21"/>
  <c r="JN72" i="21"/>
  <c r="JG74" i="21"/>
  <c r="JI75" i="21"/>
  <c r="JH74" i="21"/>
  <c r="JA71" i="21"/>
  <c r="IX73" i="21"/>
  <c r="JD71" i="21"/>
  <c r="IW73" i="21"/>
  <c r="IY74" i="21"/>
  <c r="JC71" i="21"/>
  <c r="JB71" i="21"/>
  <c r="HY50" i="21"/>
  <c r="AD57" i="25"/>
  <c r="AF57" i="25"/>
  <c r="AJ57" i="25" s="1"/>
  <c r="AU53" i="25"/>
  <c r="AI57" i="25"/>
  <c r="X58" i="25"/>
  <c r="AB58" i="25" s="1"/>
  <c r="AA58" i="25"/>
  <c r="AJ58" i="25"/>
  <c r="AQ53" i="25"/>
  <c r="BB52" i="25"/>
  <c r="BA53" i="25"/>
  <c r="AW53" i="25"/>
  <c r="AX53" i="25" s="1"/>
  <c r="BH53" i="25" s="1"/>
  <c r="V61" i="25"/>
  <c r="AZ60" i="25"/>
  <c r="M59" i="30"/>
  <c r="K134" i="30"/>
  <c r="L134" i="30" s="1"/>
  <c r="C60" i="30"/>
  <c r="AN55" i="25"/>
  <c r="AO55" i="25"/>
  <c r="AV60" i="25"/>
  <c r="BF60" i="25" s="1"/>
  <c r="AL55" i="25"/>
  <c r="BC55" i="25" s="1"/>
  <c r="AT55" i="25"/>
  <c r="BG55" i="25" s="1"/>
  <c r="AP54" i="25"/>
  <c r="AR54" i="25" s="1"/>
  <c r="AM55" i="25"/>
  <c r="AC58" i="25"/>
  <c r="AK56" i="25"/>
  <c r="W59" i="25"/>
  <c r="AA59" i="25" s="1"/>
  <c r="Y59" i="25"/>
  <c r="AH50" i="21"/>
  <c r="AH51" i="21" s="1"/>
  <c r="AH52" i="21" s="1"/>
  <c r="AH53" i="21" s="1"/>
  <c r="AH54" i="21" s="1"/>
  <c r="AH55" i="21" s="1"/>
  <c r="AH56" i="21" s="1"/>
  <c r="AH57" i="21" s="1"/>
  <c r="AH58" i="21" s="1"/>
  <c r="AH59" i="21" s="1"/>
  <c r="AH60" i="21" s="1"/>
  <c r="AH61" i="21" s="1"/>
  <c r="AH62" i="21" s="1"/>
  <c r="AH63" i="21" s="1"/>
  <c r="AH64" i="21" s="1"/>
  <c r="AH65" i="21" s="1"/>
  <c r="AH66" i="21" s="1"/>
  <c r="AH67" i="21" s="1"/>
  <c r="AH68" i="21" s="1"/>
  <c r="AH69" i="21" s="1"/>
  <c r="AH70" i="21" s="1"/>
  <c r="AH71" i="21" s="1"/>
  <c r="AH72" i="21" s="1"/>
  <c r="AH73" i="21" s="1"/>
  <c r="AH74" i="21" s="1"/>
  <c r="AH75" i="21" s="1"/>
  <c r="AH76" i="21" s="1"/>
  <c r="AH77" i="21" s="1"/>
  <c r="AH78" i="21" s="1"/>
  <c r="AH79" i="21" s="1"/>
  <c r="AH80" i="21" s="1"/>
  <c r="AH81" i="21" s="1"/>
  <c r="AH82" i="21" s="1"/>
  <c r="AH83" i="21" s="1"/>
  <c r="AH84" i="21" s="1"/>
  <c r="AH85" i="21" s="1"/>
  <c r="AH86" i="21" s="1"/>
  <c r="AH87" i="21" s="1"/>
  <c r="AH88" i="21" s="1"/>
  <c r="AH89" i="21" s="1"/>
  <c r="AH90" i="21" s="1"/>
  <c r="AH91" i="21" s="1"/>
  <c r="AH92" i="21" s="1"/>
  <c r="AH93" i="21" s="1"/>
  <c r="AH94" i="21" s="1"/>
  <c r="AH95" i="21" s="1"/>
  <c r="AH96" i="21" s="1"/>
  <c r="AH97" i="21" s="1"/>
  <c r="AH98" i="21" s="1"/>
  <c r="AH99" i="21" s="1"/>
  <c r="AH100" i="21" s="1"/>
  <c r="AE50" i="21"/>
  <c r="KY51" i="21"/>
  <c r="EA50" i="21"/>
  <c r="KZ51" i="21"/>
  <c r="HN51" i="21"/>
  <c r="LA51" i="21"/>
  <c r="KW54" i="21"/>
  <c r="KU53" i="21"/>
  <c r="LB52" i="21" s="1"/>
  <c r="KV53" i="21"/>
  <c r="KX52" i="21"/>
  <c r="HB51" i="21"/>
  <c r="GP53" i="21"/>
  <c r="GS51" i="21"/>
  <c r="IR51" i="21"/>
  <c r="IQ51" i="21"/>
  <c r="IH51" i="21"/>
  <c r="EV51" i="21"/>
  <c r="HC50" i="21"/>
  <c r="IP52" i="21"/>
  <c r="HX50" i="21"/>
  <c r="HE50" i="21"/>
  <c r="HT52" i="21"/>
  <c r="EM50" i="21"/>
  <c r="HW50" i="21"/>
  <c r="ID53" i="21"/>
  <c r="IS51" i="21"/>
  <c r="IM53" i="21"/>
  <c r="IT52" i="21" s="1"/>
  <c r="IO54" i="21"/>
  <c r="IN53" i="21"/>
  <c r="DQ50" i="21"/>
  <c r="HD50" i="21"/>
  <c r="HM51" i="21"/>
  <c r="EK50" i="21"/>
  <c r="FO50" i="21"/>
  <c r="II51" i="21"/>
  <c r="IC53" i="21"/>
  <c r="IJ52" i="21" s="1"/>
  <c r="IE54" i="21"/>
  <c r="IF52" i="21"/>
  <c r="IG51" i="21"/>
  <c r="HU53" i="21"/>
  <c r="HS52" i="21"/>
  <c r="HZ51" i="21" s="1"/>
  <c r="HV51" i="21"/>
  <c r="HK54" i="21"/>
  <c r="HO51" i="21"/>
  <c r="HI53" i="21"/>
  <c r="HP52" i="21" s="1"/>
  <c r="HL52" i="21"/>
  <c r="HJ53" i="21"/>
  <c r="HA53" i="21"/>
  <c r="GZ52" i="21"/>
  <c r="GY52" i="21"/>
  <c r="HF51" i="21" s="1"/>
  <c r="FE51" i="21"/>
  <c r="GT51" i="21"/>
  <c r="FG51" i="21"/>
  <c r="FD52" i="21"/>
  <c r="GI51" i="21"/>
  <c r="DR50" i="21"/>
  <c r="GO53" i="21"/>
  <c r="GV52" i="21" s="1"/>
  <c r="GU51" i="21"/>
  <c r="GR52" i="21"/>
  <c r="GQ54" i="21"/>
  <c r="AP51" i="21"/>
  <c r="FQ50" i="21"/>
  <c r="GK51" i="21"/>
  <c r="FP50" i="21"/>
  <c r="FF51" i="21"/>
  <c r="FX52" i="21"/>
  <c r="AF50" i="21"/>
  <c r="AG50" i="21"/>
  <c r="GE53" i="21"/>
  <c r="GL52" i="21" s="1"/>
  <c r="GG54" i="21"/>
  <c r="GF53" i="21"/>
  <c r="GH52" i="21"/>
  <c r="GJ51" i="21"/>
  <c r="FW54" i="21"/>
  <c r="FZ51" i="21"/>
  <c r="FU53" i="21"/>
  <c r="GB52" i="21" s="1"/>
  <c r="GA51" i="21"/>
  <c r="FV53" i="21"/>
  <c r="FY51" i="21"/>
  <c r="DS50" i="21"/>
  <c r="CE50" i="21"/>
  <c r="CJ52" i="21"/>
  <c r="EL50" i="21"/>
  <c r="EU51" i="21"/>
  <c r="FM53" i="21"/>
  <c r="FK52" i="21"/>
  <c r="FR51" i="21" s="1"/>
  <c r="FL52" i="21"/>
  <c r="FN51" i="21"/>
  <c r="FC54" i="21"/>
  <c r="FA53" i="21"/>
  <c r="FH52" i="21" s="1"/>
  <c r="FB53" i="21"/>
  <c r="ES54" i="21"/>
  <c r="ER53" i="21"/>
  <c r="EQ53" i="21"/>
  <c r="EX52" i="21" s="1"/>
  <c r="ET52" i="21"/>
  <c r="DG50" i="21"/>
  <c r="DX52" i="21"/>
  <c r="DF51" i="21"/>
  <c r="BP52" i="21"/>
  <c r="CC50" i="21"/>
  <c r="EI53" i="21"/>
  <c r="EG52" i="21"/>
  <c r="EN51" i="21" s="1"/>
  <c r="EH52" i="21"/>
  <c r="EJ51" i="21"/>
  <c r="DW52" i="21"/>
  <c r="ED51" i="21" s="1"/>
  <c r="DY53" i="21"/>
  <c r="EB50" i="21"/>
  <c r="DZ51" i="21"/>
  <c r="EC50" i="21"/>
  <c r="DO53" i="21"/>
  <c r="DN52" i="21"/>
  <c r="DM52" i="21"/>
  <c r="DT51" i="21" s="1"/>
  <c r="DP51" i="21"/>
  <c r="CT52" i="21"/>
  <c r="DD52" i="21"/>
  <c r="BA50" i="21"/>
  <c r="CY50" i="21"/>
  <c r="CM50" i="21"/>
  <c r="CX50" i="21"/>
  <c r="DH50" i="21"/>
  <c r="DI50" i="21"/>
  <c r="DC52" i="21"/>
  <c r="DJ51" i="21" s="1"/>
  <c r="DE53" i="21"/>
  <c r="CV51" i="21"/>
  <c r="CU53" i="21"/>
  <c r="CS52" i="21"/>
  <c r="CZ51" i="21" s="1"/>
  <c r="CW50" i="21"/>
  <c r="BJ51" i="21"/>
  <c r="BS50" i="21"/>
  <c r="BR51" i="21"/>
  <c r="BT50" i="21"/>
  <c r="CK53" i="21"/>
  <c r="CL51" i="21"/>
  <c r="CI52" i="21"/>
  <c r="CP51" i="21" s="1"/>
  <c r="CO50" i="21"/>
  <c r="CN50" i="21"/>
  <c r="BY52" i="21"/>
  <c r="CF51" i="21" s="1"/>
  <c r="CA53" i="21"/>
  <c r="BZ52" i="21"/>
  <c r="CB51" i="21"/>
  <c r="CD50" i="21"/>
  <c r="BQ53" i="21"/>
  <c r="BO52" i="21"/>
  <c r="BV51" i="21" s="1"/>
  <c r="BU50" i="21"/>
  <c r="AV52" i="21"/>
  <c r="BH52" i="21"/>
  <c r="BG54" i="21"/>
  <c r="BF53" i="21"/>
  <c r="BI51" i="21"/>
  <c r="BK51" i="21"/>
  <c r="BE53" i="21"/>
  <c r="BL52" i="21" s="1"/>
  <c r="AU52" i="21"/>
  <c r="BB51" i="21" s="1"/>
  <c r="AW53" i="21"/>
  <c r="AY50" i="21"/>
  <c r="AX51" i="21"/>
  <c r="AZ50" i="21"/>
  <c r="AQ51" i="21"/>
  <c r="AD51" i="21"/>
  <c r="C3" i="21"/>
  <c r="D3" i="21" s="1"/>
  <c r="AO51" i="21"/>
  <c r="AM54" i="21"/>
  <c r="AK53" i="21"/>
  <c r="AR52" i="21" s="1"/>
  <c r="AN52" i="21"/>
  <c r="AL53" i="21"/>
  <c r="S135" i="25"/>
  <c r="O137" i="25"/>
  <c r="N137" i="25"/>
  <c r="Q137" i="25"/>
  <c r="R136" i="25"/>
  <c r="P136" i="25"/>
  <c r="M138" i="25"/>
  <c r="JM73" i="21" l="1"/>
  <c r="JL73" i="21"/>
  <c r="KG72" i="21"/>
  <c r="JC72" i="21"/>
  <c r="KL75" i="21"/>
  <c r="KB74" i="21"/>
  <c r="JA72" i="21"/>
  <c r="JB72" i="21"/>
  <c r="KH72" i="21"/>
  <c r="KA74" i="21"/>
  <c r="KC75" i="21"/>
  <c r="KD73" i="21"/>
  <c r="KE72" i="21"/>
  <c r="JW72" i="21"/>
  <c r="JU72" i="21"/>
  <c r="JV72" i="21"/>
  <c r="KN74" i="21"/>
  <c r="JR74" i="21"/>
  <c r="KM76" i="21"/>
  <c r="KO73" i="21"/>
  <c r="KQ73" i="21"/>
  <c r="KR73" i="21"/>
  <c r="KK75" i="21"/>
  <c r="KP73" i="21"/>
  <c r="JX72" i="21"/>
  <c r="JQ74" i="21"/>
  <c r="JS75" i="21"/>
  <c r="JT73" i="21"/>
  <c r="JI76" i="21"/>
  <c r="JN73" i="21"/>
  <c r="JG75" i="21"/>
  <c r="JH75" i="21"/>
  <c r="JJ74" i="21"/>
  <c r="JL74" i="21" s="1"/>
  <c r="IY75" i="21"/>
  <c r="JD72" i="21"/>
  <c r="IW74" i="21"/>
  <c r="IX74" i="21"/>
  <c r="IZ73" i="21"/>
  <c r="BE53" i="25"/>
  <c r="AS53" i="25"/>
  <c r="AY53" i="25" s="1"/>
  <c r="BD53" i="25" s="1"/>
  <c r="AU54" i="25"/>
  <c r="AQ54" i="25"/>
  <c r="BB53" i="25"/>
  <c r="AW54" i="25"/>
  <c r="AX54" i="25" s="1"/>
  <c r="BH54" i="25" s="1"/>
  <c r="BA54" i="25"/>
  <c r="V62" i="25"/>
  <c r="AZ61" i="25"/>
  <c r="M60" i="30"/>
  <c r="K135" i="30"/>
  <c r="L135" i="30" s="1"/>
  <c r="C61" i="30"/>
  <c r="AO56" i="25"/>
  <c r="AV61" i="25"/>
  <c r="BF61" i="25" s="1"/>
  <c r="AT56" i="25"/>
  <c r="BG56" i="25" s="1"/>
  <c r="AN56" i="25"/>
  <c r="AP55" i="25"/>
  <c r="AR55" i="25" s="1"/>
  <c r="Z59" i="25"/>
  <c r="AH59" i="25" s="1"/>
  <c r="X59" i="25"/>
  <c r="AB59" i="25" s="1"/>
  <c r="AM56" i="25"/>
  <c r="AL56" i="25"/>
  <c r="BC56" i="25" s="1"/>
  <c r="AK57" i="25"/>
  <c r="AG59" i="25"/>
  <c r="AE59" i="25"/>
  <c r="W61" i="25"/>
  <c r="AA61" i="25" s="1"/>
  <c r="AC59" i="25"/>
  <c r="AD58" i="25"/>
  <c r="AI58" i="25" s="1"/>
  <c r="W60" i="25"/>
  <c r="AA60" i="25" s="1"/>
  <c r="Y60" i="25"/>
  <c r="GP54" i="21"/>
  <c r="KZ52" i="21"/>
  <c r="CY51" i="21"/>
  <c r="AP52" i="21"/>
  <c r="EV52" i="21"/>
  <c r="HM52" i="21"/>
  <c r="HC51" i="21"/>
  <c r="KV54" i="21"/>
  <c r="HD51" i="21"/>
  <c r="HE51" i="21"/>
  <c r="KU54" i="21"/>
  <c r="LB53" i="21" s="1"/>
  <c r="KW55" i="21"/>
  <c r="KY52" i="21"/>
  <c r="KX53" i="21"/>
  <c r="LA52" i="21"/>
  <c r="HW51" i="21"/>
  <c r="FF52" i="21"/>
  <c r="DG51" i="21"/>
  <c r="HX51" i="21"/>
  <c r="HB52" i="21"/>
  <c r="IN54" i="21"/>
  <c r="HT53" i="21"/>
  <c r="IR52" i="21"/>
  <c r="IQ52" i="21"/>
  <c r="IS52" i="21"/>
  <c r="FQ51" i="21"/>
  <c r="FE52" i="21"/>
  <c r="GI52" i="21"/>
  <c r="HO52" i="21"/>
  <c r="GZ53" i="21"/>
  <c r="IO55" i="21"/>
  <c r="IM54" i="21"/>
  <c r="IT53" i="21" s="1"/>
  <c r="IP53" i="21"/>
  <c r="FZ52" i="21"/>
  <c r="GR53" i="21"/>
  <c r="HY51" i="21"/>
  <c r="FY52" i="21"/>
  <c r="IF53" i="21"/>
  <c r="HJ54" i="21"/>
  <c r="IH52" i="21"/>
  <c r="IE55" i="21"/>
  <c r="II52" i="21"/>
  <c r="ID54" i="21"/>
  <c r="IC54" i="21"/>
  <c r="IJ53" i="21" s="1"/>
  <c r="IG52" i="21"/>
  <c r="HS53" i="21"/>
  <c r="HZ52" i="21" s="1"/>
  <c r="HV52" i="21"/>
  <c r="HU54" i="21"/>
  <c r="HI54" i="21"/>
  <c r="HP53" i="21" s="1"/>
  <c r="HK55" i="21"/>
  <c r="HL53" i="21"/>
  <c r="HN52" i="21"/>
  <c r="GY53" i="21"/>
  <c r="HF52" i="21" s="1"/>
  <c r="HA54" i="21"/>
  <c r="BU51" i="21"/>
  <c r="BT51" i="21"/>
  <c r="FG52" i="21"/>
  <c r="GU52" i="21"/>
  <c r="GO54" i="21"/>
  <c r="GV53" i="21" s="1"/>
  <c r="GT52" i="21"/>
  <c r="GQ55" i="21"/>
  <c r="GS52" i="21"/>
  <c r="FV54" i="21"/>
  <c r="GA52" i="21"/>
  <c r="DN53" i="21"/>
  <c r="GF54" i="21"/>
  <c r="ER54" i="21"/>
  <c r="FL53" i="21"/>
  <c r="DH51" i="21"/>
  <c r="GJ52" i="21"/>
  <c r="GG55" i="21"/>
  <c r="GE54" i="21"/>
  <c r="GL53" i="21" s="1"/>
  <c r="GH53" i="21"/>
  <c r="GK52" i="21"/>
  <c r="FU54" i="21"/>
  <c r="GB53" i="21" s="1"/>
  <c r="FX53" i="21"/>
  <c r="FW55" i="21"/>
  <c r="DZ52" i="21"/>
  <c r="AV53" i="21"/>
  <c r="DI51" i="21"/>
  <c r="EU52" i="21"/>
  <c r="FM54" i="21"/>
  <c r="FP51" i="21"/>
  <c r="FK53" i="21"/>
  <c r="FR52" i="21" s="1"/>
  <c r="FN52" i="21"/>
  <c r="FO51" i="21"/>
  <c r="FA54" i="21"/>
  <c r="FH53" i="21" s="1"/>
  <c r="FD53" i="21"/>
  <c r="FC55" i="21"/>
  <c r="FB54" i="21"/>
  <c r="EQ54" i="21"/>
  <c r="EX53" i="21" s="1"/>
  <c r="ES55" i="21"/>
  <c r="ET53" i="21"/>
  <c r="EW52" i="21"/>
  <c r="BJ52" i="21"/>
  <c r="BZ53" i="21"/>
  <c r="CX51" i="21"/>
  <c r="DD53" i="21"/>
  <c r="EH53" i="21"/>
  <c r="EG53" i="21"/>
  <c r="EN52" i="21" s="1"/>
  <c r="EI54" i="21"/>
  <c r="EJ52" i="21"/>
  <c r="EK51" i="21"/>
  <c r="EM51" i="21"/>
  <c r="EL51" i="21"/>
  <c r="DW53" i="21"/>
  <c r="ED52" i="21" s="1"/>
  <c r="EB51" i="21"/>
  <c r="EA51" i="21"/>
  <c r="DY54" i="21"/>
  <c r="EC51" i="21"/>
  <c r="DX53" i="21"/>
  <c r="DM53" i="21"/>
  <c r="DT52" i="21" s="1"/>
  <c r="DP52" i="21"/>
  <c r="DQ51" i="21"/>
  <c r="DS51" i="21"/>
  <c r="DR51" i="21"/>
  <c r="DO54" i="21"/>
  <c r="CW51" i="21"/>
  <c r="CB52" i="21"/>
  <c r="DC53" i="21"/>
  <c r="DJ52" i="21" s="1"/>
  <c r="DE54" i="21"/>
  <c r="DF52" i="21"/>
  <c r="CU54" i="21"/>
  <c r="CS53" i="21"/>
  <c r="CZ52" i="21" s="1"/>
  <c r="CT53" i="21"/>
  <c r="CV52" i="21"/>
  <c r="CL52" i="21"/>
  <c r="BH53" i="21"/>
  <c r="BK52" i="21"/>
  <c r="BS51" i="21"/>
  <c r="BF54" i="21"/>
  <c r="CO51" i="21"/>
  <c r="CI53" i="21"/>
  <c r="CP52" i="21" s="1"/>
  <c r="CK54" i="21"/>
  <c r="CJ53" i="21"/>
  <c r="CN51" i="21"/>
  <c r="CM51" i="21"/>
  <c r="CE51" i="21"/>
  <c r="CA54" i="21"/>
  <c r="CC51" i="21"/>
  <c r="BY53" i="21"/>
  <c r="CF52" i="21" s="1"/>
  <c r="CD51" i="21"/>
  <c r="BQ54" i="21"/>
  <c r="BO53" i="21"/>
  <c r="BV52" i="21" s="1"/>
  <c r="BR52" i="21"/>
  <c r="BP53" i="21"/>
  <c r="AX52" i="21"/>
  <c r="BI52" i="21"/>
  <c r="BE54" i="21"/>
  <c r="BL53" i="21" s="1"/>
  <c r="BG55" i="21"/>
  <c r="AY51" i="21"/>
  <c r="BA51" i="21"/>
  <c r="AW54" i="21"/>
  <c r="AU53" i="21"/>
  <c r="BB52" i="21" s="1"/>
  <c r="AZ51" i="21"/>
  <c r="AL54" i="21"/>
  <c r="AD52" i="21"/>
  <c r="AD53" i="21" s="1"/>
  <c r="AD54" i="21" s="1"/>
  <c r="AD55" i="21" s="1"/>
  <c r="AD56" i="21" s="1"/>
  <c r="AD57" i="21" s="1"/>
  <c r="AD58" i="21" s="1"/>
  <c r="AD59" i="21" s="1"/>
  <c r="AD60" i="21" s="1"/>
  <c r="AD61" i="21" s="1"/>
  <c r="AD62" i="21" s="1"/>
  <c r="AD63" i="21" s="1"/>
  <c r="AD64" i="21" s="1"/>
  <c r="AD65" i="21" s="1"/>
  <c r="AD66" i="21" s="1"/>
  <c r="AD67" i="21" s="1"/>
  <c r="AD68" i="21" s="1"/>
  <c r="AD69" i="21" s="1"/>
  <c r="AD70" i="21" s="1"/>
  <c r="AD71" i="21" s="1"/>
  <c r="AD72" i="21" s="1"/>
  <c r="AD73" i="21" s="1"/>
  <c r="AD74" i="21" s="1"/>
  <c r="AD75" i="21" s="1"/>
  <c r="AD76" i="21" s="1"/>
  <c r="AD77" i="21" s="1"/>
  <c r="AD78" i="21" s="1"/>
  <c r="AD79" i="21" s="1"/>
  <c r="AD80" i="21" s="1"/>
  <c r="AD81" i="21" s="1"/>
  <c r="AD82" i="21" s="1"/>
  <c r="AD83" i="21" s="1"/>
  <c r="AD84" i="21" s="1"/>
  <c r="AD85" i="21" s="1"/>
  <c r="AD86" i="21" s="1"/>
  <c r="AD87" i="21" s="1"/>
  <c r="AD88" i="21" s="1"/>
  <c r="AD89" i="21" s="1"/>
  <c r="AD90" i="21" s="1"/>
  <c r="AD91" i="21" s="1"/>
  <c r="AD92" i="21" s="1"/>
  <c r="AD93" i="21" s="1"/>
  <c r="AD94" i="21" s="1"/>
  <c r="AD95" i="21" s="1"/>
  <c r="AD96" i="21" s="1"/>
  <c r="AD97" i="21" s="1"/>
  <c r="AD98" i="21" s="1"/>
  <c r="AD99" i="21" s="1"/>
  <c r="AD100" i="21" s="1"/>
  <c r="AF51" i="21"/>
  <c r="AG51" i="21"/>
  <c r="AE51" i="21"/>
  <c r="AO52" i="21"/>
  <c r="AQ52" i="21"/>
  <c r="AM55" i="21"/>
  <c r="AK54" i="21"/>
  <c r="AR53" i="21" s="1"/>
  <c r="AN53" i="21"/>
  <c r="S136" i="25"/>
  <c r="O138" i="25"/>
  <c r="N138" i="25"/>
  <c r="Q138" i="25"/>
  <c r="R137" i="25"/>
  <c r="P137" i="25"/>
  <c r="M139" i="25"/>
  <c r="KO74" i="21" l="1"/>
  <c r="KD74" i="21"/>
  <c r="JT74" i="21"/>
  <c r="JA73" i="21"/>
  <c r="KQ74" i="21"/>
  <c r="KP74" i="21"/>
  <c r="KC76" i="21"/>
  <c r="KB75" i="21"/>
  <c r="KH73" i="21"/>
  <c r="KA75" i="21"/>
  <c r="KG73" i="21"/>
  <c r="KE73" i="21"/>
  <c r="KF73" i="21"/>
  <c r="IX75" i="21"/>
  <c r="JM74" i="21"/>
  <c r="JB73" i="21"/>
  <c r="JU73" i="21"/>
  <c r="JC73" i="21"/>
  <c r="JW73" i="21"/>
  <c r="JW74" i="21" s="1"/>
  <c r="KM77" i="21"/>
  <c r="KL76" i="21"/>
  <c r="KR74" i="21"/>
  <c r="KK76" i="21"/>
  <c r="KN75" i="21"/>
  <c r="JS76" i="21"/>
  <c r="JR75" i="21"/>
  <c r="JX73" i="21"/>
  <c r="JQ75" i="21"/>
  <c r="JV73" i="21"/>
  <c r="JV74" i="21" s="1"/>
  <c r="JN74" i="21"/>
  <c r="JG76" i="21"/>
  <c r="JI77" i="21"/>
  <c r="JJ75" i="21"/>
  <c r="JH76" i="21"/>
  <c r="JK74" i="21"/>
  <c r="JD73" i="21"/>
  <c r="IW75" i="21"/>
  <c r="IY76" i="21"/>
  <c r="IZ74" i="21"/>
  <c r="AF59" i="25"/>
  <c r="AD59" i="25"/>
  <c r="AJ59" i="25"/>
  <c r="AI59" i="25"/>
  <c r="BE54" i="25"/>
  <c r="AS54" i="25"/>
  <c r="AY54" i="25" s="1"/>
  <c r="BD54" i="25" s="1"/>
  <c r="AU55" i="25"/>
  <c r="AP53" i="21"/>
  <c r="AW55" i="25"/>
  <c r="AX55" i="25" s="1"/>
  <c r="BH55" i="25" s="1"/>
  <c r="BA55" i="25"/>
  <c r="AQ55" i="25"/>
  <c r="BB54" i="25"/>
  <c r="V63" i="25"/>
  <c r="AZ62" i="25"/>
  <c r="M61" i="30"/>
  <c r="K136" i="30"/>
  <c r="L136" i="30" s="1"/>
  <c r="C62" i="30"/>
  <c r="AN57" i="25"/>
  <c r="AO57" i="25"/>
  <c r="AV62" i="25"/>
  <c r="BF62" i="25" s="1"/>
  <c r="AL57" i="25"/>
  <c r="BC57" i="25" s="1"/>
  <c r="AT57" i="25"/>
  <c r="BG57" i="25" s="1"/>
  <c r="AP56" i="25"/>
  <c r="AR56" i="25" s="1"/>
  <c r="AC60" i="25"/>
  <c r="X60" i="25"/>
  <c r="AB60" i="25" s="1"/>
  <c r="X61" i="25"/>
  <c r="AB61" i="25" s="1"/>
  <c r="Z60" i="25"/>
  <c r="AH60" i="25" s="1"/>
  <c r="AM57" i="25"/>
  <c r="Y61" i="25"/>
  <c r="AE60" i="25"/>
  <c r="AF60" i="25"/>
  <c r="AC61" i="25"/>
  <c r="AK58" i="25"/>
  <c r="W62" i="25"/>
  <c r="AA62" i="25" s="1"/>
  <c r="AG60" i="25"/>
  <c r="BU52" i="21"/>
  <c r="HD52" i="21"/>
  <c r="AV54" i="21"/>
  <c r="GZ54" i="21"/>
  <c r="GT53" i="21"/>
  <c r="GI53" i="21"/>
  <c r="HC52" i="21"/>
  <c r="GU53" i="21"/>
  <c r="HE52" i="21"/>
  <c r="GS53" i="21"/>
  <c r="CC52" i="21"/>
  <c r="KY53" i="21"/>
  <c r="IN55" i="21"/>
  <c r="LA53" i="21"/>
  <c r="KU55" i="21"/>
  <c r="LB54" i="21" s="1"/>
  <c r="KW56" i="21"/>
  <c r="KV55" i="21"/>
  <c r="KX54" i="21"/>
  <c r="KZ53" i="21"/>
  <c r="HT54" i="21"/>
  <c r="HL54" i="21"/>
  <c r="CD52" i="21"/>
  <c r="CM52" i="21"/>
  <c r="CN52" i="21"/>
  <c r="DF53" i="21"/>
  <c r="IG53" i="21"/>
  <c r="II53" i="21"/>
  <c r="IH53" i="21"/>
  <c r="IR53" i="21"/>
  <c r="IQ53" i="21"/>
  <c r="IS53" i="21"/>
  <c r="IP54" i="21"/>
  <c r="IM55" i="21"/>
  <c r="IT54" i="21" s="1"/>
  <c r="IO56" i="21"/>
  <c r="BF55" i="21"/>
  <c r="EJ53" i="21"/>
  <c r="BJ53" i="21"/>
  <c r="FL54" i="21"/>
  <c r="GK53" i="21"/>
  <c r="ER55" i="21"/>
  <c r="CX52" i="21"/>
  <c r="ID55" i="21"/>
  <c r="HV53" i="21"/>
  <c r="IE56" i="21"/>
  <c r="IC55" i="21"/>
  <c r="IJ54" i="21" s="1"/>
  <c r="IF54" i="21"/>
  <c r="HW52" i="21"/>
  <c r="HY52" i="21"/>
  <c r="HS54" i="21"/>
  <c r="HZ53" i="21" s="1"/>
  <c r="HU55" i="21"/>
  <c r="HX52" i="21"/>
  <c r="HK56" i="21"/>
  <c r="HJ55" i="21"/>
  <c r="HO53" i="21"/>
  <c r="HI55" i="21"/>
  <c r="HP54" i="21" s="1"/>
  <c r="HN53" i="21"/>
  <c r="HM53" i="21"/>
  <c r="GY54" i="21"/>
  <c r="HF53" i="21" s="1"/>
  <c r="HB53" i="21"/>
  <c r="HA55" i="21"/>
  <c r="GJ53" i="21"/>
  <c r="GQ56" i="21"/>
  <c r="GO55" i="21"/>
  <c r="GV54" i="21" s="1"/>
  <c r="GP55" i="21"/>
  <c r="GR54" i="21"/>
  <c r="DS52" i="21"/>
  <c r="EA52" i="21"/>
  <c r="FO52" i="21"/>
  <c r="FX54" i="21"/>
  <c r="ET54" i="21"/>
  <c r="DZ53" i="21"/>
  <c r="FB55" i="21"/>
  <c r="FY53" i="21"/>
  <c r="FP52" i="21"/>
  <c r="FZ53" i="21"/>
  <c r="GE55" i="21"/>
  <c r="GL54" i="21" s="1"/>
  <c r="GG56" i="21"/>
  <c r="GH54" i="21"/>
  <c r="GF55" i="21"/>
  <c r="GA53" i="21"/>
  <c r="FU55" i="21"/>
  <c r="GB54" i="21" s="1"/>
  <c r="FW56" i="21"/>
  <c r="FV55" i="21"/>
  <c r="DQ52" i="21"/>
  <c r="EB52" i="21"/>
  <c r="EW53" i="21"/>
  <c r="EU53" i="21"/>
  <c r="AF52" i="21"/>
  <c r="AF53" i="21" s="1"/>
  <c r="AF54" i="21" s="1"/>
  <c r="AF55" i="21" s="1"/>
  <c r="AF56" i="21" s="1"/>
  <c r="AF57" i="21" s="1"/>
  <c r="AF58" i="21" s="1"/>
  <c r="AF59" i="21" s="1"/>
  <c r="AF60" i="21" s="1"/>
  <c r="AF61" i="21" s="1"/>
  <c r="AF62" i="21" s="1"/>
  <c r="AF63" i="21" s="1"/>
  <c r="AF64" i="21" s="1"/>
  <c r="AF65" i="21" s="1"/>
  <c r="AF66" i="21" s="1"/>
  <c r="AF67" i="21" s="1"/>
  <c r="AF68" i="21" s="1"/>
  <c r="AF69" i="21" s="1"/>
  <c r="AF70" i="21" s="1"/>
  <c r="AF71" i="21" s="1"/>
  <c r="AF72" i="21" s="1"/>
  <c r="AF73" i="21" s="1"/>
  <c r="AF74" i="21" s="1"/>
  <c r="AF75" i="21" s="1"/>
  <c r="AF76" i="21" s="1"/>
  <c r="AF77" i="21" s="1"/>
  <c r="AF78" i="21" s="1"/>
  <c r="AF79" i="21" s="1"/>
  <c r="AF80" i="21" s="1"/>
  <c r="AF81" i="21" s="1"/>
  <c r="AF82" i="21" s="1"/>
  <c r="AF83" i="21" s="1"/>
  <c r="AF84" i="21" s="1"/>
  <c r="AF85" i="21" s="1"/>
  <c r="AF86" i="21" s="1"/>
  <c r="AF87" i="21" s="1"/>
  <c r="AF88" i="21" s="1"/>
  <c r="AF89" i="21" s="1"/>
  <c r="AF90" i="21" s="1"/>
  <c r="AF91" i="21" s="1"/>
  <c r="AF92" i="21" s="1"/>
  <c r="AF93" i="21" s="1"/>
  <c r="AF94" i="21" s="1"/>
  <c r="AF95" i="21" s="1"/>
  <c r="AF96" i="21" s="1"/>
  <c r="AF97" i="21" s="1"/>
  <c r="AF98" i="21" s="1"/>
  <c r="AF99" i="21" s="1"/>
  <c r="AF100" i="21" s="1"/>
  <c r="EC52" i="21"/>
  <c r="FM55" i="21"/>
  <c r="FK54" i="21"/>
  <c r="FR53" i="21" s="1"/>
  <c r="FN53" i="21"/>
  <c r="FQ52" i="21"/>
  <c r="FC56" i="21"/>
  <c r="FG53" i="21"/>
  <c r="FD54" i="21"/>
  <c r="FF53" i="21"/>
  <c r="FA55" i="21"/>
  <c r="FH54" i="21" s="1"/>
  <c r="FE53" i="21"/>
  <c r="ES56" i="21"/>
  <c r="EQ55" i="21"/>
  <c r="EX54" i="21" s="1"/>
  <c r="EV53" i="21"/>
  <c r="BK53" i="21"/>
  <c r="DP53" i="21"/>
  <c r="AY52" i="21"/>
  <c r="CE52" i="21"/>
  <c r="DR52" i="21"/>
  <c r="EK52" i="21"/>
  <c r="EI55" i="21"/>
  <c r="EH54" i="21"/>
  <c r="EL52" i="21"/>
  <c r="EG54" i="21"/>
  <c r="EN53" i="21" s="1"/>
  <c r="EM52" i="21"/>
  <c r="DY55" i="21"/>
  <c r="DW54" i="21"/>
  <c r="ED53" i="21" s="1"/>
  <c r="DX54" i="21"/>
  <c r="DN54" i="21"/>
  <c r="DO55" i="21"/>
  <c r="DM54" i="21"/>
  <c r="DT53" i="21" s="1"/>
  <c r="BI53" i="21"/>
  <c r="DH52" i="21"/>
  <c r="BP54" i="21"/>
  <c r="CT54" i="21"/>
  <c r="CO52" i="21"/>
  <c r="BH54" i="21"/>
  <c r="DE55" i="21"/>
  <c r="DG52" i="21"/>
  <c r="DD54" i="21"/>
  <c r="DI52" i="21"/>
  <c r="DC54" i="21"/>
  <c r="DJ53" i="21" s="1"/>
  <c r="CW52" i="21"/>
  <c r="CY52" i="21"/>
  <c r="CS54" i="21"/>
  <c r="CZ53" i="21" s="1"/>
  <c r="CV53" i="21"/>
  <c r="CU55" i="21"/>
  <c r="AZ52" i="21"/>
  <c r="CJ54" i="21"/>
  <c r="AG52" i="21"/>
  <c r="AG53" i="21" s="1"/>
  <c r="AG54" i="21" s="1"/>
  <c r="AG55" i="21" s="1"/>
  <c r="AG56" i="21" s="1"/>
  <c r="AG57" i="21" s="1"/>
  <c r="AG58" i="21" s="1"/>
  <c r="AG59" i="21" s="1"/>
  <c r="AG60" i="21" s="1"/>
  <c r="AG61" i="21" s="1"/>
  <c r="AG62" i="21" s="1"/>
  <c r="AG63" i="21" s="1"/>
  <c r="AG64" i="21" s="1"/>
  <c r="AG65" i="21" s="1"/>
  <c r="AG66" i="21" s="1"/>
  <c r="AG67" i="21" s="1"/>
  <c r="AG68" i="21" s="1"/>
  <c r="AG69" i="21" s="1"/>
  <c r="AG70" i="21" s="1"/>
  <c r="AG71" i="21" s="1"/>
  <c r="AG72" i="21" s="1"/>
  <c r="AG73" i="21" s="1"/>
  <c r="AG74" i="21" s="1"/>
  <c r="AG75" i="21" s="1"/>
  <c r="AG76" i="21" s="1"/>
  <c r="AG77" i="21" s="1"/>
  <c r="AG78" i="21" s="1"/>
  <c r="AG79" i="21" s="1"/>
  <c r="AG80" i="21" s="1"/>
  <c r="AG81" i="21" s="1"/>
  <c r="AG82" i="21" s="1"/>
  <c r="AG83" i="21" s="1"/>
  <c r="AG84" i="21" s="1"/>
  <c r="AG85" i="21" s="1"/>
  <c r="AG86" i="21" s="1"/>
  <c r="AG87" i="21" s="1"/>
  <c r="AG88" i="21" s="1"/>
  <c r="AG89" i="21" s="1"/>
  <c r="AG90" i="21" s="1"/>
  <c r="AG91" i="21" s="1"/>
  <c r="AG92" i="21" s="1"/>
  <c r="AG93" i="21" s="1"/>
  <c r="AG94" i="21" s="1"/>
  <c r="AG95" i="21" s="1"/>
  <c r="AG96" i="21" s="1"/>
  <c r="AG97" i="21" s="1"/>
  <c r="AG98" i="21" s="1"/>
  <c r="AG99" i="21" s="1"/>
  <c r="AG100" i="21" s="1"/>
  <c r="BA52" i="21"/>
  <c r="CK55" i="21"/>
  <c r="CI54" i="21"/>
  <c r="CP53" i="21" s="1"/>
  <c r="CL53" i="21"/>
  <c r="CA55" i="21"/>
  <c r="BZ54" i="21"/>
  <c r="BY54" i="21"/>
  <c r="CF53" i="21" s="1"/>
  <c r="CB53" i="21"/>
  <c r="BQ55" i="21"/>
  <c r="BR53" i="21"/>
  <c r="BS52" i="21"/>
  <c r="BT52" i="21"/>
  <c r="BO54" i="21"/>
  <c r="BV53" i="21" s="1"/>
  <c r="AL55" i="21"/>
  <c r="BE55" i="21"/>
  <c r="BL54" i="21" s="1"/>
  <c r="BG56" i="21"/>
  <c r="AE52" i="21"/>
  <c r="AE53" i="21" s="1"/>
  <c r="AE54" i="21" s="1"/>
  <c r="AE55" i="21" s="1"/>
  <c r="AE56" i="21" s="1"/>
  <c r="AE57" i="21" s="1"/>
  <c r="AE58" i="21" s="1"/>
  <c r="AE59" i="21" s="1"/>
  <c r="AE60" i="21" s="1"/>
  <c r="AE61" i="21" s="1"/>
  <c r="AE62" i="21" s="1"/>
  <c r="AE63" i="21" s="1"/>
  <c r="AE64" i="21" s="1"/>
  <c r="AE65" i="21" s="1"/>
  <c r="AE66" i="21" s="1"/>
  <c r="AE67" i="21" s="1"/>
  <c r="AE68" i="21" s="1"/>
  <c r="AE69" i="21" s="1"/>
  <c r="AE70" i="21" s="1"/>
  <c r="AE71" i="21" s="1"/>
  <c r="AE72" i="21" s="1"/>
  <c r="AE73" i="21" s="1"/>
  <c r="AE74" i="21" s="1"/>
  <c r="AE75" i="21" s="1"/>
  <c r="AE76" i="21" s="1"/>
  <c r="AE77" i="21" s="1"/>
  <c r="AE78" i="21" s="1"/>
  <c r="AE79" i="21" s="1"/>
  <c r="AE80" i="21" s="1"/>
  <c r="AE81" i="21" s="1"/>
  <c r="AE82" i="21" s="1"/>
  <c r="AE83" i="21" s="1"/>
  <c r="AE84" i="21" s="1"/>
  <c r="AE85" i="21" s="1"/>
  <c r="AE86" i="21" s="1"/>
  <c r="AE87" i="21" s="1"/>
  <c r="AE88" i="21" s="1"/>
  <c r="AE89" i="21" s="1"/>
  <c r="AE90" i="21" s="1"/>
  <c r="AE91" i="21" s="1"/>
  <c r="AE92" i="21" s="1"/>
  <c r="AE93" i="21" s="1"/>
  <c r="AE94" i="21" s="1"/>
  <c r="AE95" i="21" s="1"/>
  <c r="AE96" i="21" s="1"/>
  <c r="AE97" i="21" s="1"/>
  <c r="AE98" i="21" s="1"/>
  <c r="AE99" i="21" s="1"/>
  <c r="AE100" i="21" s="1"/>
  <c r="AW55" i="21"/>
  <c r="AU54" i="21"/>
  <c r="BB53" i="21" s="1"/>
  <c r="AX53" i="21"/>
  <c r="AQ53" i="21"/>
  <c r="AK55" i="21"/>
  <c r="AR54" i="21" s="1"/>
  <c r="AM56" i="21"/>
  <c r="AN54" i="21"/>
  <c r="AO53" i="21"/>
  <c r="M140" i="25"/>
  <c r="O139" i="25"/>
  <c r="Q139" i="25"/>
  <c r="N139" i="25"/>
  <c r="R138" i="25"/>
  <c r="P138" i="25"/>
  <c r="S137" i="25"/>
  <c r="EM53" i="21" l="1"/>
  <c r="KB76" i="21"/>
  <c r="KF74" i="21"/>
  <c r="KE74" i="21"/>
  <c r="KG74" i="21"/>
  <c r="JU74" i="21"/>
  <c r="JA74" i="21"/>
  <c r="KQ75" i="21"/>
  <c r="KH74" i="21"/>
  <c r="KA76" i="21"/>
  <c r="KC77" i="21"/>
  <c r="KD75" i="21"/>
  <c r="JH77" i="21"/>
  <c r="JR76" i="21"/>
  <c r="KP75" i="21"/>
  <c r="JJ76" i="21"/>
  <c r="KL77" i="21"/>
  <c r="KR75" i="21"/>
  <c r="KK77" i="21"/>
  <c r="KM78" i="21"/>
  <c r="KN76" i="21"/>
  <c r="KO75" i="21"/>
  <c r="JX74" i="21"/>
  <c r="JQ76" i="21"/>
  <c r="JT75" i="21"/>
  <c r="JV75" i="21" s="1"/>
  <c r="JS77" i="21"/>
  <c r="JI78" i="21"/>
  <c r="JM75" i="21"/>
  <c r="JL75" i="21"/>
  <c r="JN75" i="21"/>
  <c r="JG77" i="21"/>
  <c r="JK75" i="21"/>
  <c r="IY77" i="21"/>
  <c r="IX76" i="21"/>
  <c r="IZ75" i="21"/>
  <c r="JD74" i="21"/>
  <c r="IW76" i="21"/>
  <c r="JC74" i="21"/>
  <c r="JB74" i="21"/>
  <c r="AP54" i="21"/>
  <c r="AJ60" i="25"/>
  <c r="AD60" i="25"/>
  <c r="AI60" i="25" s="1"/>
  <c r="BE55" i="25"/>
  <c r="AS55" i="25"/>
  <c r="AY55" i="25" s="1"/>
  <c r="BD55" i="25" s="1"/>
  <c r="AU56" i="25"/>
  <c r="AW56" i="25"/>
  <c r="AX56" i="25" s="1"/>
  <c r="BH56" i="25" s="1"/>
  <c r="AQ56" i="25"/>
  <c r="BB55" i="25"/>
  <c r="BA56" i="25"/>
  <c r="V64" i="25"/>
  <c r="AZ63" i="25"/>
  <c r="M62" i="30"/>
  <c r="K137" i="30"/>
  <c r="L137" i="30" s="1"/>
  <c r="C63" i="30"/>
  <c r="AN58" i="25"/>
  <c r="AO58" i="25"/>
  <c r="AV63" i="25"/>
  <c r="BF63" i="25" s="1"/>
  <c r="AL58" i="25"/>
  <c r="BC58" i="25" s="1"/>
  <c r="AT58" i="25"/>
  <c r="BG58" i="25" s="1"/>
  <c r="AP57" i="25"/>
  <c r="AR57" i="25" s="1"/>
  <c r="AC62" i="25"/>
  <c r="X62" i="25"/>
  <c r="AB62" i="25" s="1"/>
  <c r="Z61" i="25"/>
  <c r="AF61" i="25" s="1"/>
  <c r="AM58" i="25"/>
  <c r="AK59" i="25"/>
  <c r="Y63" i="25"/>
  <c r="AE61" i="25"/>
  <c r="AG61" i="25"/>
  <c r="Y62" i="25"/>
  <c r="AD61" i="25"/>
  <c r="AI61" i="25" s="1"/>
  <c r="S138" i="25"/>
  <c r="BA53" i="21"/>
  <c r="EB53" i="21"/>
  <c r="GT54" i="21"/>
  <c r="ER56" i="21"/>
  <c r="FL55" i="21"/>
  <c r="CM53" i="21"/>
  <c r="EA53" i="21"/>
  <c r="KZ54" i="21"/>
  <c r="EL53" i="21"/>
  <c r="EK53" i="21"/>
  <c r="KW57" i="21"/>
  <c r="KV56" i="21"/>
  <c r="KU56" i="21"/>
  <c r="LB55" i="21" s="1"/>
  <c r="KX55" i="21"/>
  <c r="KY54" i="21"/>
  <c r="LA54" i="21"/>
  <c r="DI53" i="21"/>
  <c r="DH53" i="21"/>
  <c r="DG53" i="21"/>
  <c r="HY53" i="21"/>
  <c r="HO54" i="21"/>
  <c r="HX53" i="21"/>
  <c r="HM54" i="21"/>
  <c r="HN54" i="21"/>
  <c r="FF54" i="21"/>
  <c r="CE53" i="21"/>
  <c r="HJ56" i="21"/>
  <c r="II54" i="21"/>
  <c r="IS54" i="21"/>
  <c r="IQ54" i="21"/>
  <c r="IM56" i="21"/>
  <c r="IT55" i="21" s="1"/>
  <c r="IP55" i="21"/>
  <c r="IR54" i="21"/>
  <c r="IO57" i="21"/>
  <c r="IN56" i="21"/>
  <c r="HW53" i="21"/>
  <c r="DS53" i="21"/>
  <c r="HB54" i="21"/>
  <c r="FB56" i="21"/>
  <c r="GA54" i="21"/>
  <c r="FY54" i="21"/>
  <c r="IH54" i="21"/>
  <c r="IG54" i="21"/>
  <c r="IC56" i="21"/>
  <c r="IJ55" i="21" s="1"/>
  <c r="IE57" i="21"/>
  <c r="IF55" i="21"/>
  <c r="ID56" i="21"/>
  <c r="HU56" i="21"/>
  <c r="HS55" i="21"/>
  <c r="HZ54" i="21" s="1"/>
  <c r="HT55" i="21"/>
  <c r="HV54" i="21"/>
  <c r="HI56" i="21"/>
  <c r="HP55" i="21" s="1"/>
  <c r="HK57" i="21"/>
  <c r="HL55" i="21"/>
  <c r="HA56" i="21"/>
  <c r="HE53" i="21"/>
  <c r="HC53" i="21"/>
  <c r="GZ55" i="21"/>
  <c r="HD53" i="21"/>
  <c r="GY55" i="21"/>
  <c r="HF54" i="21" s="1"/>
  <c r="GS54" i="21"/>
  <c r="DQ53" i="21"/>
  <c r="FV56" i="21"/>
  <c r="GP56" i="21"/>
  <c r="GO56" i="21"/>
  <c r="GV55" i="21" s="1"/>
  <c r="GQ57" i="21"/>
  <c r="GU54" i="21"/>
  <c r="GR55" i="21"/>
  <c r="DR53" i="21"/>
  <c r="EU54" i="21"/>
  <c r="EW54" i="21"/>
  <c r="FN54" i="21"/>
  <c r="CT55" i="21"/>
  <c r="EV54" i="21"/>
  <c r="EC53" i="21"/>
  <c r="FZ54" i="21"/>
  <c r="BK54" i="21"/>
  <c r="GH55" i="21"/>
  <c r="GG57" i="21"/>
  <c r="GE56" i="21"/>
  <c r="GL55" i="21" s="1"/>
  <c r="GK54" i="21"/>
  <c r="GJ54" i="21"/>
  <c r="GF56" i="21"/>
  <c r="GI54" i="21"/>
  <c r="FU56" i="21"/>
  <c r="GB55" i="21" s="1"/>
  <c r="FX55" i="21"/>
  <c r="FW57" i="21"/>
  <c r="FG54" i="21"/>
  <c r="CD53" i="21"/>
  <c r="FK55" i="21"/>
  <c r="FR54" i="21" s="1"/>
  <c r="FO53" i="21"/>
  <c r="FM56" i="21"/>
  <c r="FQ53" i="21"/>
  <c r="FP53" i="21"/>
  <c r="FD55" i="21"/>
  <c r="FC57" i="21"/>
  <c r="FA56" i="21"/>
  <c r="FH55" i="21" s="1"/>
  <c r="FE54" i="21"/>
  <c r="EQ56" i="21"/>
  <c r="EX55" i="21" s="1"/>
  <c r="ES57" i="21"/>
  <c r="ET55" i="21"/>
  <c r="CJ55" i="21"/>
  <c r="DX55" i="21"/>
  <c r="CV54" i="21"/>
  <c r="EH55" i="21"/>
  <c r="DD55" i="21"/>
  <c r="BI54" i="21"/>
  <c r="EI56" i="21"/>
  <c r="EG55" i="21"/>
  <c r="EN54" i="21" s="1"/>
  <c r="EJ54" i="21"/>
  <c r="EM54" i="21" s="1"/>
  <c r="DW55" i="21"/>
  <c r="ED54" i="21" s="1"/>
  <c r="DY56" i="21"/>
  <c r="DZ54" i="21"/>
  <c r="DO56" i="21"/>
  <c r="DN55" i="21"/>
  <c r="DM55" i="21"/>
  <c r="DT54" i="21" s="1"/>
  <c r="DP54" i="21"/>
  <c r="BJ54" i="21"/>
  <c r="BR54" i="21"/>
  <c r="DC55" i="21"/>
  <c r="DJ54" i="21" s="1"/>
  <c r="DE56" i="21"/>
  <c r="DF54" i="21"/>
  <c r="CS55" i="21"/>
  <c r="CZ54" i="21" s="1"/>
  <c r="CY53" i="21"/>
  <c r="CW53" i="21"/>
  <c r="CU56" i="21"/>
  <c r="CX53" i="21"/>
  <c r="BT53" i="21"/>
  <c r="CI55" i="21"/>
  <c r="CP54" i="21" s="1"/>
  <c r="CK56" i="21"/>
  <c r="CO53" i="21"/>
  <c r="CL54" i="21"/>
  <c r="CN53" i="21"/>
  <c r="BY55" i="21"/>
  <c r="CF54" i="21" s="1"/>
  <c r="CA56" i="21"/>
  <c r="BZ55" i="21"/>
  <c r="CB54" i="21"/>
  <c r="CC53" i="21"/>
  <c r="BS53" i="21"/>
  <c r="BQ56" i="21"/>
  <c r="BO55" i="21"/>
  <c r="BV54" i="21" s="1"/>
  <c r="BP55" i="21"/>
  <c r="BU53" i="21"/>
  <c r="BG57" i="21"/>
  <c r="BE56" i="21"/>
  <c r="BL55" i="21" s="1"/>
  <c r="BF56" i="21"/>
  <c r="BH55" i="21"/>
  <c r="AZ53" i="21"/>
  <c r="AY53" i="21"/>
  <c r="AU55" i="21"/>
  <c r="BB54" i="21" s="1"/>
  <c r="AW56" i="21"/>
  <c r="AX54" i="21"/>
  <c r="AV55" i="21"/>
  <c r="AQ54" i="21"/>
  <c r="AO54" i="21"/>
  <c r="AM57" i="21"/>
  <c r="AK56" i="21"/>
  <c r="AR55" i="21" s="1"/>
  <c r="AL56" i="21"/>
  <c r="AN55" i="21"/>
  <c r="O140" i="25"/>
  <c r="N140" i="25"/>
  <c r="Q140" i="25"/>
  <c r="P139" i="25"/>
  <c r="R139" i="25"/>
  <c r="M141" i="25"/>
  <c r="JK76" i="21" l="1"/>
  <c r="KQ76" i="21"/>
  <c r="KF75" i="21"/>
  <c r="JL76" i="21"/>
  <c r="JM76" i="21"/>
  <c r="JA75" i="21"/>
  <c r="KE75" i="21"/>
  <c r="KC78" i="21"/>
  <c r="KH75" i="21"/>
  <c r="KA77" i="21"/>
  <c r="KB77" i="21"/>
  <c r="KD76" i="21"/>
  <c r="KF76" i="21" s="1"/>
  <c r="KG75" i="21"/>
  <c r="AP55" i="21"/>
  <c r="IX77" i="21"/>
  <c r="JC75" i="21"/>
  <c r="KN77" i="21"/>
  <c r="KM79" i="21"/>
  <c r="KR76" i="21"/>
  <c r="KK78" i="21"/>
  <c r="KO76" i="21"/>
  <c r="KP76" i="21"/>
  <c r="KL78" i="21"/>
  <c r="JS78" i="21"/>
  <c r="JT76" i="21"/>
  <c r="JU75" i="21"/>
  <c r="JW75" i="21"/>
  <c r="JR77" i="21"/>
  <c r="JX75" i="21"/>
  <c r="JQ77" i="21"/>
  <c r="JI79" i="21"/>
  <c r="JH78" i="21"/>
  <c r="JN76" i="21"/>
  <c r="JG78" i="21"/>
  <c r="JJ77" i="21"/>
  <c r="JK77" i="21" s="1"/>
  <c r="JD75" i="21"/>
  <c r="IW77" i="21"/>
  <c r="IZ76" i="21"/>
  <c r="IY78" i="21"/>
  <c r="JB75" i="21"/>
  <c r="AH61" i="25"/>
  <c r="BE56" i="25"/>
  <c r="AS56" i="25"/>
  <c r="AY56" i="25" s="1"/>
  <c r="BD56" i="25" s="1"/>
  <c r="AU57" i="25"/>
  <c r="AW57" i="25"/>
  <c r="AX57" i="25" s="1"/>
  <c r="BH57" i="25" s="1"/>
  <c r="AJ61" i="25"/>
  <c r="AQ57" i="25"/>
  <c r="BB56" i="25"/>
  <c r="BA57" i="25"/>
  <c r="V65" i="25"/>
  <c r="AZ64" i="25"/>
  <c r="M63" i="30"/>
  <c r="K138" i="30"/>
  <c r="L138" i="30" s="1"/>
  <c r="C64" i="30"/>
  <c r="AN59" i="25"/>
  <c r="AO59" i="25"/>
  <c r="AV64" i="25"/>
  <c r="BF64" i="25" s="1"/>
  <c r="AL59" i="25"/>
  <c r="BC59" i="25" s="1"/>
  <c r="AT59" i="25"/>
  <c r="BG59" i="25" s="1"/>
  <c r="AP58" i="25"/>
  <c r="AR58" i="25" s="1"/>
  <c r="Z63" i="25"/>
  <c r="AF63" i="25" s="1"/>
  <c r="Z62" i="25"/>
  <c r="AH62" i="25" s="1"/>
  <c r="AM59" i="25"/>
  <c r="AK60" i="25"/>
  <c r="AE62" i="25"/>
  <c r="AG62" i="25"/>
  <c r="W63" i="25"/>
  <c r="AA63" i="25" s="1"/>
  <c r="AD62" i="25"/>
  <c r="AI62" i="25" s="1"/>
  <c r="AE63" i="25"/>
  <c r="AG63" i="25"/>
  <c r="W64" i="25"/>
  <c r="AA64" i="25" s="1"/>
  <c r="Y64" i="25"/>
  <c r="FQ54" i="21"/>
  <c r="FL56" i="21"/>
  <c r="EB54" i="21"/>
  <c r="BS54" i="21"/>
  <c r="HD54" i="21"/>
  <c r="KY55" i="21"/>
  <c r="KZ55" i="21"/>
  <c r="GA55" i="21"/>
  <c r="KV57" i="21"/>
  <c r="DG54" i="21"/>
  <c r="BJ55" i="21"/>
  <c r="EH56" i="21"/>
  <c r="HY54" i="21"/>
  <c r="HJ57" i="21"/>
  <c r="KX56" i="21"/>
  <c r="KU57" i="21"/>
  <c r="LB56" i="21" s="1"/>
  <c r="KW58" i="21"/>
  <c r="LA55" i="21"/>
  <c r="HN55" i="21"/>
  <c r="CX54" i="21"/>
  <c r="GZ56" i="21"/>
  <c r="HC54" i="21"/>
  <c r="FO54" i="21"/>
  <c r="HE54" i="21"/>
  <c r="FP54" i="21"/>
  <c r="IR55" i="21"/>
  <c r="HM55" i="21"/>
  <c r="IP56" i="21"/>
  <c r="IQ55" i="21"/>
  <c r="IS55" i="21"/>
  <c r="IO58" i="21"/>
  <c r="IN57" i="21"/>
  <c r="IM57" i="21"/>
  <c r="IT56" i="21" s="1"/>
  <c r="IG55" i="21"/>
  <c r="HT56" i="21"/>
  <c r="HL56" i="21"/>
  <c r="HX54" i="21"/>
  <c r="IH55" i="21"/>
  <c r="IE58" i="21"/>
  <c r="IC57" i="21"/>
  <c r="IJ56" i="21" s="1"/>
  <c r="ID57" i="21"/>
  <c r="IF56" i="21"/>
  <c r="II55" i="21"/>
  <c r="HW54" i="21"/>
  <c r="HS56" i="21"/>
  <c r="HZ55" i="21" s="1"/>
  <c r="HV55" i="21"/>
  <c r="HU57" i="21"/>
  <c r="HO55" i="21"/>
  <c r="HI57" i="21"/>
  <c r="HP56" i="21" s="1"/>
  <c r="HK58" i="21"/>
  <c r="HA57" i="21"/>
  <c r="GY56" i="21"/>
  <c r="HF55" i="21" s="1"/>
  <c r="HB55" i="21"/>
  <c r="GR56" i="21"/>
  <c r="GQ58" i="21"/>
  <c r="GS55" i="21"/>
  <c r="GO57" i="21"/>
  <c r="GV56" i="21" s="1"/>
  <c r="GP57" i="21"/>
  <c r="GU55" i="21"/>
  <c r="GT55" i="21"/>
  <c r="FD56" i="21"/>
  <c r="FG55" i="21"/>
  <c r="GJ55" i="21"/>
  <c r="GK55" i="21"/>
  <c r="CW54" i="21"/>
  <c r="CY54" i="21"/>
  <c r="GI55" i="21"/>
  <c r="GE57" i="21"/>
  <c r="GL56" i="21" s="1"/>
  <c r="GG58" i="21"/>
  <c r="GF57" i="21"/>
  <c r="GH56" i="21"/>
  <c r="FU57" i="21"/>
  <c r="GB56" i="21" s="1"/>
  <c r="FW58" i="21"/>
  <c r="FV57" i="21"/>
  <c r="FY55" i="21"/>
  <c r="FZ55" i="21"/>
  <c r="FX56" i="21"/>
  <c r="FM57" i="21"/>
  <c r="FK56" i="21"/>
  <c r="FR55" i="21" s="1"/>
  <c r="FN55" i="21"/>
  <c r="FC58" i="21"/>
  <c r="FE55" i="21"/>
  <c r="FF55" i="21"/>
  <c r="FA57" i="21"/>
  <c r="FH56" i="21" s="1"/>
  <c r="FB57" i="21"/>
  <c r="ES58" i="21"/>
  <c r="EQ57" i="21"/>
  <c r="EX56" i="21" s="1"/>
  <c r="EU55" i="21"/>
  <c r="ET56" i="21"/>
  <c r="EW55" i="21"/>
  <c r="EV55" i="21"/>
  <c r="ER57" i="21"/>
  <c r="BU54" i="21"/>
  <c r="BT54" i="21"/>
  <c r="DD56" i="21"/>
  <c r="DN56" i="21"/>
  <c r="EG56" i="21"/>
  <c r="EN55" i="21" s="1"/>
  <c r="EI57" i="21"/>
  <c r="EJ55" i="21"/>
  <c r="EK54" i="21"/>
  <c r="EL54" i="21"/>
  <c r="DY57" i="21"/>
  <c r="DW56" i="21"/>
  <c r="ED55" i="21" s="1"/>
  <c r="DX56" i="21"/>
  <c r="DZ55" i="21"/>
  <c r="EC54" i="21"/>
  <c r="EA54" i="21"/>
  <c r="DR54" i="21"/>
  <c r="DS54" i="21"/>
  <c r="DQ54" i="21"/>
  <c r="DP55" i="21"/>
  <c r="DM56" i="21"/>
  <c r="DT55" i="21" s="1"/>
  <c r="DO57" i="21"/>
  <c r="AZ54" i="21"/>
  <c r="CL55" i="21"/>
  <c r="DC56" i="21"/>
  <c r="DJ55" i="21" s="1"/>
  <c r="DF55" i="21"/>
  <c r="DH54" i="21"/>
  <c r="DE57" i="21"/>
  <c r="DI54" i="21"/>
  <c r="CU57" i="21"/>
  <c r="CT56" i="21"/>
  <c r="CS56" i="21"/>
  <c r="CZ55" i="21" s="1"/>
  <c r="CV55" i="21"/>
  <c r="CB55" i="21"/>
  <c r="BI55" i="21"/>
  <c r="BP56" i="21"/>
  <c r="CK57" i="21"/>
  <c r="CJ56" i="21"/>
  <c r="CI56" i="21"/>
  <c r="CP55" i="21" s="1"/>
  <c r="CO54" i="21"/>
  <c r="CN54" i="21"/>
  <c r="CM54" i="21"/>
  <c r="CD54" i="21"/>
  <c r="CA57" i="21"/>
  <c r="BY56" i="21"/>
  <c r="CF55" i="21" s="1"/>
  <c r="BZ56" i="21"/>
  <c r="CC54" i="21"/>
  <c r="CE54" i="21"/>
  <c r="BO56" i="21"/>
  <c r="BV55" i="21" s="1"/>
  <c r="BQ57" i="21"/>
  <c r="BR55" i="21"/>
  <c r="BF57" i="21"/>
  <c r="AL57" i="21"/>
  <c r="BG58" i="21"/>
  <c r="BE57" i="21"/>
  <c r="BL56" i="21" s="1"/>
  <c r="BH56" i="21"/>
  <c r="BK55" i="21"/>
  <c r="AY54" i="21"/>
  <c r="AW57" i="21"/>
  <c r="AV56" i="21"/>
  <c r="AU56" i="21"/>
  <c r="BB55" i="21" s="1"/>
  <c r="AX55" i="21"/>
  <c r="BA54" i="21"/>
  <c r="AO55" i="21"/>
  <c r="AQ55" i="21"/>
  <c r="AK57" i="21"/>
  <c r="AR56" i="21" s="1"/>
  <c r="AM58" i="21"/>
  <c r="AN56" i="21"/>
  <c r="S139" i="25"/>
  <c r="Q141" i="25"/>
  <c r="O141" i="25"/>
  <c r="N141" i="25"/>
  <c r="M142" i="25"/>
  <c r="P140" i="25"/>
  <c r="R140" i="25"/>
  <c r="IX78" i="21" l="1"/>
  <c r="KO77" i="21"/>
  <c r="AU58" i="25"/>
  <c r="KQ77" i="21"/>
  <c r="JU76" i="21"/>
  <c r="KB78" i="21"/>
  <c r="BS55" i="21"/>
  <c r="JW76" i="21"/>
  <c r="JR78" i="21"/>
  <c r="AP56" i="21"/>
  <c r="KC79" i="21"/>
  <c r="KG76" i="21"/>
  <c r="KH76" i="21"/>
  <c r="KA78" i="21"/>
  <c r="KD77" i="21"/>
  <c r="KE76" i="21"/>
  <c r="JH79" i="21"/>
  <c r="KP77" i="21"/>
  <c r="IZ77" i="21"/>
  <c r="JB76" i="21"/>
  <c r="JL77" i="21"/>
  <c r="JC76" i="21"/>
  <c r="JA76" i="21"/>
  <c r="KL79" i="21"/>
  <c r="KN78" i="21"/>
  <c r="KR77" i="21"/>
  <c r="KK79" i="21"/>
  <c r="KM80" i="21"/>
  <c r="JT77" i="21"/>
  <c r="JS79" i="21"/>
  <c r="JX76" i="21"/>
  <c r="JQ78" i="21"/>
  <c r="JV76" i="21"/>
  <c r="JN77" i="21"/>
  <c r="JG79" i="21"/>
  <c r="JI80" i="21"/>
  <c r="JJ78" i="21"/>
  <c r="JM77" i="21"/>
  <c r="IY79" i="21"/>
  <c r="JD76" i="21"/>
  <c r="IW78" i="21"/>
  <c r="AF62" i="25"/>
  <c r="AW58" i="25"/>
  <c r="AX58" i="25" s="1"/>
  <c r="BH58" i="25" s="1"/>
  <c r="AH63" i="25"/>
  <c r="AJ63" i="25" s="1"/>
  <c r="BE57" i="25"/>
  <c r="AS57" i="25"/>
  <c r="AY57" i="25" s="1"/>
  <c r="BD57" i="25" s="1"/>
  <c r="AJ62" i="25"/>
  <c r="BE58" i="25"/>
  <c r="AS58" i="25"/>
  <c r="AY58" i="25" s="1"/>
  <c r="BD58" i="25" s="1"/>
  <c r="KV58" i="21"/>
  <c r="HE55" i="21"/>
  <c r="BA58" i="25"/>
  <c r="AQ58" i="25"/>
  <c r="BB57" i="25"/>
  <c r="V66" i="25"/>
  <c r="AZ65" i="25"/>
  <c r="M64" i="30"/>
  <c r="K139" i="30"/>
  <c r="L139" i="30" s="1"/>
  <c r="C65" i="30"/>
  <c r="AN60" i="25"/>
  <c r="AO60" i="25"/>
  <c r="AV65" i="25"/>
  <c r="BF65" i="25" s="1"/>
  <c r="AL60" i="25"/>
  <c r="BC60" i="25" s="1"/>
  <c r="AT60" i="25"/>
  <c r="BG60" i="25" s="1"/>
  <c r="AP59" i="25"/>
  <c r="AR59" i="25" s="1"/>
  <c r="Z64" i="25"/>
  <c r="AF64" i="25" s="1"/>
  <c r="AC63" i="25"/>
  <c r="X63" i="25"/>
  <c r="AB63" i="25" s="1"/>
  <c r="X64" i="25"/>
  <c r="AB64" i="25" s="1"/>
  <c r="AM60" i="25"/>
  <c r="AK61" i="25"/>
  <c r="AG64" i="25"/>
  <c r="AC64" i="25"/>
  <c r="AE64" i="25"/>
  <c r="W65" i="25"/>
  <c r="AA65" i="25" s="1"/>
  <c r="Y65" i="25"/>
  <c r="CE55" i="21"/>
  <c r="FO55" i="21"/>
  <c r="BJ56" i="21"/>
  <c r="LA56" i="21"/>
  <c r="KX57" i="21"/>
  <c r="KW59" i="21"/>
  <c r="KY56" i="21"/>
  <c r="KU58" i="21"/>
  <c r="LB57" i="21" s="1"/>
  <c r="KZ56" i="21"/>
  <c r="IN58" i="21"/>
  <c r="HN56" i="21"/>
  <c r="GF58" i="21"/>
  <c r="GP58" i="21"/>
  <c r="IR56" i="21"/>
  <c r="IS56" i="21"/>
  <c r="IQ56" i="21"/>
  <c r="IO59" i="21"/>
  <c r="IM58" i="21"/>
  <c r="IT57" i="21" s="1"/>
  <c r="IP57" i="21"/>
  <c r="GS56" i="21"/>
  <c r="CW55" i="21"/>
  <c r="FD57" i="21"/>
  <c r="GT56" i="21"/>
  <c r="HO56" i="21"/>
  <c r="ID58" i="21"/>
  <c r="HM56" i="21"/>
  <c r="CT57" i="21"/>
  <c r="GI56" i="21"/>
  <c r="GU56" i="21"/>
  <c r="HC55" i="21"/>
  <c r="HT57" i="21"/>
  <c r="HV56" i="21"/>
  <c r="IF57" i="21"/>
  <c r="IC58" i="21"/>
  <c r="IJ57" i="21" s="1"/>
  <c r="IH56" i="21"/>
  <c r="IG56" i="21"/>
  <c r="IE59" i="21"/>
  <c r="II56" i="21"/>
  <c r="HX55" i="21"/>
  <c r="HS57" i="21"/>
  <c r="HZ56" i="21" s="1"/>
  <c r="HW55" i="21"/>
  <c r="HU58" i="21"/>
  <c r="HY55" i="21"/>
  <c r="HK59" i="21"/>
  <c r="HI58" i="21"/>
  <c r="HP57" i="21" s="1"/>
  <c r="HL57" i="21"/>
  <c r="HJ58" i="21"/>
  <c r="HA58" i="21"/>
  <c r="GY57" i="21"/>
  <c r="HF56" i="21" s="1"/>
  <c r="GZ57" i="21"/>
  <c r="HB56" i="21"/>
  <c r="HD55" i="21"/>
  <c r="GO58" i="21"/>
  <c r="GV57" i="21" s="1"/>
  <c r="GQ59" i="21"/>
  <c r="GR57" i="21"/>
  <c r="GJ56" i="21"/>
  <c r="EJ56" i="21"/>
  <c r="FX57" i="21"/>
  <c r="ET57" i="21"/>
  <c r="FF56" i="21"/>
  <c r="FZ56" i="21"/>
  <c r="GK56" i="21"/>
  <c r="FE56" i="21"/>
  <c r="FY56" i="21"/>
  <c r="FV58" i="21"/>
  <c r="FG56" i="21"/>
  <c r="GG59" i="21"/>
  <c r="GE58" i="21"/>
  <c r="GL57" i="21" s="1"/>
  <c r="GH57" i="21"/>
  <c r="FW59" i="21"/>
  <c r="GA56" i="21"/>
  <c r="FU58" i="21"/>
  <c r="GB57" i="21" s="1"/>
  <c r="DR55" i="21"/>
  <c r="FQ55" i="21"/>
  <c r="DN57" i="21"/>
  <c r="EC55" i="21"/>
  <c r="FP55" i="21"/>
  <c r="EV56" i="21"/>
  <c r="DX57" i="21"/>
  <c r="DF56" i="21"/>
  <c r="FM58" i="21"/>
  <c r="FK57" i="21"/>
  <c r="FR56" i="21" s="1"/>
  <c r="FN56" i="21"/>
  <c r="FL57" i="21"/>
  <c r="FC59" i="21"/>
  <c r="FA58" i="21"/>
  <c r="FH57" i="21" s="1"/>
  <c r="FB58" i="21"/>
  <c r="EW56" i="21"/>
  <c r="EU56" i="21"/>
  <c r="EQ58" i="21"/>
  <c r="EX57" i="21" s="1"/>
  <c r="ES59" i="21"/>
  <c r="ER58" i="21"/>
  <c r="CM55" i="21"/>
  <c r="DZ56" i="21"/>
  <c r="CN55" i="21"/>
  <c r="DH55" i="21"/>
  <c r="BZ57" i="21"/>
  <c r="DQ55" i="21"/>
  <c r="CO55" i="21"/>
  <c r="EK55" i="21"/>
  <c r="EM55" i="21"/>
  <c r="EG57" i="21"/>
  <c r="EN56" i="21" s="1"/>
  <c r="EI58" i="21"/>
  <c r="EL55" i="21"/>
  <c r="EH57" i="21"/>
  <c r="DW57" i="21"/>
  <c r="ED56" i="21" s="1"/>
  <c r="EB55" i="21"/>
  <c r="DY58" i="21"/>
  <c r="EA55" i="21"/>
  <c r="DO58" i="21"/>
  <c r="DM57" i="21"/>
  <c r="DT56" i="21" s="1"/>
  <c r="DP56" i="21"/>
  <c r="DS55" i="21"/>
  <c r="CY55" i="21"/>
  <c r="BP57" i="21"/>
  <c r="CC55" i="21"/>
  <c r="DC57" i="21"/>
  <c r="DJ56" i="21" s="1"/>
  <c r="DE58" i="21"/>
  <c r="DI55" i="21"/>
  <c r="DD57" i="21"/>
  <c r="DG55" i="21"/>
  <c r="CS57" i="21"/>
  <c r="CZ56" i="21" s="1"/>
  <c r="CV56" i="21"/>
  <c r="CU58" i="21"/>
  <c r="CX55" i="21"/>
  <c r="BK56" i="21"/>
  <c r="BU55" i="21"/>
  <c r="CJ57" i="21"/>
  <c r="AX56" i="21"/>
  <c r="CD55" i="21"/>
  <c r="CK58" i="21"/>
  <c r="CI57" i="21"/>
  <c r="CP56" i="21" s="1"/>
  <c r="CL56" i="21"/>
  <c r="CA58" i="21"/>
  <c r="BY57" i="21"/>
  <c r="CF56" i="21" s="1"/>
  <c r="CB56" i="21"/>
  <c r="BQ58" i="21"/>
  <c r="BO57" i="21"/>
  <c r="BV56" i="21" s="1"/>
  <c r="BT55" i="21"/>
  <c r="BR56" i="21"/>
  <c r="BE58" i="21"/>
  <c r="BL57" i="21" s="1"/>
  <c r="BG59" i="21"/>
  <c r="BF58" i="21"/>
  <c r="BH57" i="21"/>
  <c r="BI56" i="21"/>
  <c r="AV57" i="21"/>
  <c r="AY55" i="21"/>
  <c r="AW58" i="21"/>
  <c r="AU57" i="21"/>
  <c r="BB56" i="21" s="1"/>
  <c r="BA55" i="21"/>
  <c r="AZ55" i="21"/>
  <c r="AO56" i="21"/>
  <c r="AM59" i="21"/>
  <c r="AL58" i="21"/>
  <c r="AK58" i="21"/>
  <c r="AR57" i="21" s="1"/>
  <c r="AN57" i="21"/>
  <c r="AP57" i="21" s="1"/>
  <c r="AQ56" i="21"/>
  <c r="S140" i="25"/>
  <c r="M143" i="25"/>
  <c r="P141" i="25"/>
  <c r="R141" i="25"/>
  <c r="O142" i="25"/>
  <c r="N142" i="25"/>
  <c r="Q142" i="25"/>
  <c r="JJ79" i="21" l="1"/>
  <c r="KP78" i="21"/>
  <c r="IZ78" i="21"/>
  <c r="JB77" i="21"/>
  <c r="JB78" i="21" s="1"/>
  <c r="JA77" i="21"/>
  <c r="JA78" i="21" s="1"/>
  <c r="JC77" i="21"/>
  <c r="JC78" i="21" s="1"/>
  <c r="KD78" i="21"/>
  <c r="KG77" i="21"/>
  <c r="KC80" i="21"/>
  <c r="KH77" i="21"/>
  <c r="KA79" i="21"/>
  <c r="KF77" i="21"/>
  <c r="KE77" i="21"/>
  <c r="KB79" i="21"/>
  <c r="JM78" i="21"/>
  <c r="JK78" i="21"/>
  <c r="JT78" i="21"/>
  <c r="JL78" i="21"/>
  <c r="KM81" i="21"/>
  <c r="KL80" i="21"/>
  <c r="KR78" i="21"/>
  <c r="KK80" i="21"/>
  <c r="KN79" i="21"/>
  <c r="KQ78" i="21"/>
  <c r="KO78" i="21"/>
  <c r="JS80" i="21"/>
  <c r="JR79" i="21"/>
  <c r="JV77" i="21"/>
  <c r="JU77" i="21"/>
  <c r="JU78" i="21" s="1"/>
  <c r="JX77" i="21"/>
  <c r="JQ79" i="21"/>
  <c r="JW77" i="21"/>
  <c r="JI81" i="21"/>
  <c r="JH80" i="21"/>
  <c r="JN78" i="21"/>
  <c r="JG80" i="21"/>
  <c r="IY80" i="21"/>
  <c r="JD77" i="21"/>
  <c r="IW79" i="21"/>
  <c r="IX79" i="21"/>
  <c r="AH64" i="25"/>
  <c r="AJ64" i="25"/>
  <c r="AU59" i="25"/>
  <c r="AW59" i="25"/>
  <c r="AX59" i="25" s="1"/>
  <c r="BH59" i="25" s="1"/>
  <c r="AD63" i="25"/>
  <c r="AI63" i="25" s="1"/>
  <c r="AK63" i="25" s="1"/>
  <c r="AQ59" i="25"/>
  <c r="BB58" i="25"/>
  <c r="BA59" i="25"/>
  <c r="V67" i="25"/>
  <c r="AZ66" i="25"/>
  <c r="M65" i="30"/>
  <c r="CC56" i="21"/>
  <c r="K140" i="30"/>
  <c r="L140" i="30" s="1"/>
  <c r="C66" i="30"/>
  <c r="AN61" i="25"/>
  <c r="AO61" i="25"/>
  <c r="AV66" i="25"/>
  <c r="BF66" i="25" s="1"/>
  <c r="AL61" i="25"/>
  <c r="BC61" i="25" s="1"/>
  <c r="AT61" i="25"/>
  <c r="BG61" i="25" s="1"/>
  <c r="AP60" i="25"/>
  <c r="AR60" i="25" s="1"/>
  <c r="AF65" i="25"/>
  <c r="Z65" i="25"/>
  <c r="AH65" i="25" s="1"/>
  <c r="X65" i="25"/>
  <c r="AB65" i="25" s="1"/>
  <c r="AM61" i="25"/>
  <c r="AK62" i="25"/>
  <c r="AE65" i="25"/>
  <c r="AC65" i="25"/>
  <c r="AD64" i="25"/>
  <c r="AI64" i="25" s="1"/>
  <c r="AG65" i="25"/>
  <c r="Y66" i="25"/>
  <c r="W66" i="25"/>
  <c r="AA66" i="25" s="1"/>
  <c r="DG56" i="21"/>
  <c r="FF57" i="21"/>
  <c r="GI57" i="21"/>
  <c r="HX56" i="21"/>
  <c r="KZ57" i="21"/>
  <c r="LA57" i="21"/>
  <c r="KY57" i="21"/>
  <c r="FB59" i="21"/>
  <c r="IN59" i="21"/>
  <c r="KX58" i="21"/>
  <c r="GU57" i="21"/>
  <c r="KU59" i="21"/>
  <c r="LB58" i="21" s="1"/>
  <c r="KW60" i="21"/>
  <c r="KV59" i="21"/>
  <c r="HO57" i="21"/>
  <c r="FG57" i="21"/>
  <c r="HY56" i="21"/>
  <c r="FE57" i="21"/>
  <c r="HW56" i="21"/>
  <c r="FZ57" i="21"/>
  <c r="HJ59" i="21"/>
  <c r="IS57" i="21"/>
  <c r="IG57" i="21"/>
  <c r="EU57" i="21"/>
  <c r="EA56" i="21"/>
  <c r="EW57" i="21"/>
  <c r="IQ57" i="21"/>
  <c r="GZ58" i="21"/>
  <c r="II57" i="21"/>
  <c r="DR56" i="21"/>
  <c r="EV57" i="21"/>
  <c r="IO60" i="21"/>
  <c r="IM59" i="21"/>
  <c r="IT58" i="21" s="1"/>
  <c r="IR57" i="21"/>
  <c r="IP58" i="21"/>
  <c r="EM56" i="21"/>
  <c r="AY56" i="21"/>
  <c r="EK56" i="21"/>
  <c r="HB57" i="21"/>
  <c r="GA57" i="21"/>
  <c r="FY57" i="21"/>
  <c r="EL56" i="21"/>
  <c r="CT58" i="21"/>
  <c r="BA56" i="21"/>
  <c r="DH56" i="21"/>
  <c r="IH57" i="21"/>
  <c r="IE60" i="21"/>
  <c r="IC59" i="21"/>
  <c r="IJ58" i="21" s="1"/>
  <c r="ID59" i="21"/>
  <c r="IF58" i="21"/>
  <c r="HU59" i="21"/>
  <c r="HS58" i="21"/>
  <c r="HZ57" i="21" s="1"/>
  <c r="HT58" i="21"/>
  <c r="HV57" i="21"/>
  <c r="HL58" i="21"/>
  <c r="HN57" i="21"/>
  <c r="HM57" i="21"/>
  <c r="HI59" i="21"/>
  <c r="HP58" i="21" s="1"/>
  <c r="HK60" i="21"/>
  <c r="HC56" i="21"/>
  <c r="GY58" i="21"/>
  <c r="HF57" i="21" s="1"/>
  <c r="HA59" i="21"/>
  <c r="HD56" i="21"/>
  <c r="HE56" i="21"/>
  <c r="GT57" i="21"/>
  <c r="EB56" i="21"/>
  <c r="GS57" i="21"/>
  <c r="BR57" i="21"/>
  <c r="GQ60" i="21"/>
  <c r="GO59" i="21"/>
  <c r="GV58" i="21" s="1"/>
  <c r="GR58" i="21"/>
  <c r="GP59" i="21"/>
  <c r="FP56" i="21"/>
  <c r="AZ56" i="21"/>
  <c r="EC56" i="21"/>
  <c r="CM56" i="21"/>
  <c r="DI56" i="21"/>
  <c r="FQ56" i="21"/>
  <c r="BH58" i="21"/>
  <c r="GG60" i="21"/>
  <c r="GE59" i="21"/>
  <c r="GL58" i="21" s="1"/>
  <c r="GH58" i="21"/>
  <c r="GK57" i="21"/>
  <c r="GF59" i="21"/>
  <c r="GJ57" i="21"/>
  <c r="FW60" i="21"/>
  <c r="FU59" i="21"/>
  <c r="GB58" i="21" s="1"/>
  <c r="FV59" i="21"/>
  <c r="FX58" i="21"/>
  <c r="FL58" i="21"/>
  <c r="DZ57" i="21"/>
  <c r="FK58" i="21"/>
  <c r="FR57" i="21" s="1"/>
  <c r="FM59" i="21"/>
  <c r="FN57" i="21"/>
  <c r="FO56" i="21"/>
  <c r="FC60" i="21"/>
  <c r="FA59" i="21"/>
  <c r="FH58" i="21" s="1"/>
  <c r="FD58" i="21"/>
  <c r="EQ59" i="21"/>
  <c r="EX58" i="21" s="1"/>
  <c r="ES60" i="21"/>
  <c r="ER59" i="21"/>
  <c r="ET58" i="21"/>
  <c r="BF59" i="21"/>
  <c r="CV57" i="21"/>
  <c r="CY56" i="21"/>
  <c r="DD58" i="21"/>
  <c r="DP57" i="21"/>
  <c r="EI59" i="21"/>
  <c r="EG58" i="21"/>
  <c r="EN57" i="21" s="1"/>
  <c r="EH58" i="21"/>
  <c r="EJ57" i="21"/>
  <c r="DY59" i="21"/>
  <c r="DX58" i="21"/>
  <c r="DW58" i="21"/>
  <c r="ED57" i="21" s="1"/>
  <c r="DQ56" i="21"/>
  <c r="DM58" i="21"/>
  <c r="DT57" i="21" s="1"/>
  <c r="DO59" i="21"/>
  <c r="DS56" i="21"/>
  <c r="DN58" i="21"/>
  <c r="CE56" i="21"/>
  <c r="CD56" i="21"/>
  <c r="CO56" i="21"/>
  <c r="DE59" i="21"/>
  <c r="DC58" i="21"/>
  <c r="DJ57" i="21" s="1"/>
  <c r="DF57" i="21"/>
  <c r="CS58" i="21"/>
  <c r="CZ57" i="21" s="1"/>
  <c r="CU59" i="21"/>
  <c r="CX56" i="21"/>
  <c r="CW56" i="21"/>
  <c r="BT56" i="21"/>
  <c r="CN56" i="21"/>
  <c r="CK59" i="21"/>
  <c r="CI58" i="21"/>
  <c r="CP57" i="21" s="1"/>
  <c r="CL57" i="21"/>
  <c r="CJ58" i="21"/>
  <c r="CA59" i="21"/>
  <c r="BY58" i="21"/>
  <c r="CF57" i="21" s="1"/>
  <c r="CB57" i="21"/>
  <c r="BZ58" i="21"/>
  <c r="BO58" i="21"/>
  <c r="BV57" i="21" s="1"/>
  <c r="BQ59" i="21"/>
  <c r="BU56" i="21"/>
  <c r="BP58" i="21"/>
  <c r="BS56" i="21"/>
  <c r="BG60" i="21"/>
  <c r="BJ57" i="21"/>
  <c r="BE59" i="21"/>
  <c r="BL58" i="21" s="1"/>
  <c r="BK57" i="21"/>
  <c r="BI57" i="21"/>
  <c r="AU58" i="21"/>
  <c r="BB57" i="21" s="1"/>
  <c r="AW59" i="21"/>
  <c r="AV58" i="21"/>
  <c r="AX57" i="21"/>
  <c r="AO57" i="21"/>
  <c r="AL59" i="21"/>
  <c r="AQ57" i="21"/>
  <c r="AM60" i="21"/>
  <c r="AK59" i="21"/>
  <c r="AR58" i="21" s="1"/>
  <c r="AN58" i="21"/>
  <c r="AP58" i="21" s="1"/>
  <c r="S141" i="25"/>
  <c r="O143" i="25"/>
  <c r="N143" i="25"/>
  <c r="Q143" i="25"/>
  <c r="R142" i="25"/>
  <c r="P142" i="25"/>
  <c r="M144" i="25"/>
  <c r="KG78" i="21" l="1"/>
  <c r="JK79" i="21"/>
  <c r="JM79" i="21"/>
  <c r="JL79" i="21"/>
  <c r="KE78" i="21"/>
  <c r="KN80" i="21"/>
  <c r="KF78" i="21"/>
  <c r="KC81" i="21"/>
  <c r="KH78" i="21"/>
  <c r="KA80" i="21"/>
  <c r="KB80" i="21"/>
  <c r="KD79" i="21"/>
  <c r="IZ79" i="21"/>
  <c r="JB79" i="21" s="1"/>
  <c r="JH81" i="21"/>
  <c r="JV78" i="21"/>
  <c r="KL81" i="21"/>
  <c r="JR80" i="21"/>
  <c r="JW78" i="21"/>
  <c r="KQ79" i="21"/>
  <c r="CC57" i="21"/>
  <c r="KR79" i="21"/>
  <c r="KK81" i="21"/>
  <c r="KP79" i="21"/>
  <c r="KO79" i="21"/>
  <c r="KM82" i="21"/>
  <c r="JX78" i="21"/>
  <c r="JQ80" i="21"/>
  <c r="JS81" i="21"/>
  <c r="JT79" i="21"/>
  <c r="JJ80" i="21"/>
  <c r="JI82" i="21"/>
  <c r="JN79" i="21"/>
  <c r="JG81" i="21"/>
  <c r="JD78" i="21"/>
  <c r="IW80" i="21"/>
  <c r="IY81" i="21"/>
  <c r="IX80" i="21"/>
  <c r="AJ65" i="25"/>
  <c r="AU60" i="25"/>
  <c r="BE60" i="25" s="1"/>
  <c r="AW60" i="25"/>
  <c r="AX60" i="25" s="1"/>
  <c r="BH60" i="25" s="1"/>
  <c r="BE59" i="25"/>
  <c r="AS59" i="25"/>
  <c r="AY59" i="25" s="1"/>
  <c r="BD59" i="25" s="1"/>
  <c r="FF58" i="21"/>
  <c r="BA60" i="25"/>
  <c r="AQ60" i="25"/>
  <c r="BB59" i="25"/>
  <c r="V68" i="25"/>
  <c r="AS68" i="25" s="1"/>
  <c r="AZ67" i="25"/>
  <c r="DG57" i="21"/>
  <c r="M66" i="30"/>
  <c r="K141" i="30"/>
  <c r="L141" i="30" s="1"/>
  <c r="C67" i="30"/>
  <c r="AN63" i="25"/>
  <c r="AN62" i="25"/>
  <c r="AO62" i="25"/>
  <c r="AV67" i="25"/>
  <c r="BF67" i="25" s="1"/>
  <c r="AL62" i="25"/>
  <c r="BC62" i="25" s="1"/>
  <c r="AT62" i="25"/>
  <c r="BG62" i="25" s="1"/>
  <c r="AL63" i="25"/>
  <c r="BC63" i="25" s="1"/>
  <c r="AT63" i="25"/>
  <c r="BG63" i="25" s="1"/>
  <c r="AP61" i="25"/>
  <c r="AR61" i="25" s="1"/>
  <c r="X66" i="25"/>
  <c r="AB66" i="25" s="1"/>
  <c r="Z66" i="25"/>
  <c r="AF66" i="25" s="1"/>
  <c r="AM62" i="25"/>
  <c r="AC66" i="25"/>
  <c r="AK64" i="25"/>
  <c r="AG66" i="25"/>
  <c r="AE66" i="25"/>
  <c r="AD65" i="25"/>
  <c r="AI65" i="25" s="1"/>
  <c r="Y67" i="25"/>
  <c r="W67" i="25"/>
  <c r="AA67" i="25" s="1"/>
  <c r="S142" i="25"/>
  <c r="GA58" i="21"/>
  <c r="BJ58" i="21"/>
  <c r="EA57" i="21"/>
  <c r="LA58" i="21"/>
  <c r="HJ60" i="21"/>
  <c r="BA57" i="21"/>
  <c r="FB60" i="21"/>
  <c r="KZ58" i="21"/>
  <c r="KV60" i="21"/>
  <c r="KY58" i="21"/>
  <c r="KU60" i="21"/>
  <c r="LB59" i="21" s="1"/>
  <c r="KX59" i="21"/>
  <c r="KW61" i="21"/>
  <c r="HW57" i="21"/>
  <c r="HC57" i="21"/>
  <c r="EU58" i="21"/>
  <c r="GT58" i="21"/>
  <c r="IR58" i="21"/>
  <c r="II58" i="21"/>
  <c r="ID60" i="21"/>
  <c r="GK58" i="21"/>
  <c r="GS58" i="21"/>
  <c r="HN58" i="21"/>
  <c r="IQ58" i="21"/>
  <c r="BI58" i="21"/>
  <c r="BK58" i="21"/>
  <c r="HT59" i="21"/>
  <c r="DR57" i="21"/>
  <c r="HX57" i="21"/>
  <c r="IM60" i="21"/>
  <c r="IT59" i="21" s="1"/>
  <c r="IO61" i="21"/>
  <c r="IS58" i="21"/>
  <c r="IP59" i="21"/>
  <c r="IN60" i="21"/>
  <c r="CT59" i="21"/>
  <c r="DS57" i="21"/>
  <c r="HE57" i="21"/>
  <c r="BF60" i="21"/>
  <c r="EL57" i="21"/>
  <c r="HD57" i="21"/>
  <c r="HM58" i="21"/>
  <c r="IC60" i="21"/>
  <c r="IJ59" i="21" s="1"/>
  <c r="IE61" i="21"/>
  <c r="IF59" i="21"/>
  <c r="IH58" i="21"/>
  <c r="IG58" i="21"/>
  <c r="HS59" i="21"/>
  <c r="HZ58" i="21" s="1"/>
  <c r="HU60" i="21"/>
  <c r="HV58" i="21"/>
  <c r="HY57" i="21"/>
  <c r="HI60" i="21"/>
  <c r="HP59" i="21" s="1"/>
  <c r="HK61" i="21"/>
  <c r="HL59" i="21"/>
  <c r="HO58" i="21"/>
  <c r="HA60" i="21"/>
  <c r="GY59" i="21"/>
  <c r="HF58" i="21" s="1"/>
  <c r="GZ59" i="21"/>
  <c r="HB58" i="21"/>
  <c r="BT57" i="21"/>
  <c r="BS57" i="21"/>
  <c r="BU57" i="21"/>
  <c r="CX57" i="21"/>
  <c r="DX59" i="21"/>
  <c r="GO60" i="21"/>
  <c r="GV59" i="21" s="1"/>
  <c r="GQ61" i="21"/>
  <c r="GP60" i="21"/>
  <c r="GR59" i="21"/>
  <c r="GU58" i="21"/>
  <c r="EB57" i="21"/>
  <c r="CW57" i="21"/>
  <c r="EC57" i="21"/>
  <c r="FV60" i="21"/>
  <c r="FN58" i="21"/>
  <c r="GF60" i="21"/>
  <c r="GH59" i="21"/>
  <c r="GE60" i="21"/>
  <c r="GL59" i="21" s="1"/>
  <c r="GG61" i="21"/>
  <c r="GJ58" i="21"/>
  <c r="GI58" i="21"/>
  <c r="FU60" i="21"/>
  <c r="GB59" i="21" s="1"/>
  <c r="FZ58" i="21"/>
  <c r="FX59" i="21"/>
  <c r="FY58" i="21"/>
  <c r="FW61" i="21"/>
  <c r="EW58" i="21"/>
  <c r="ER60" i="21"/>
  <c r="FE58" i="21"/>
  <c r="FG58" i="21"/>
  <c r="CY57" i="21"/>
  <c r="FM60" i="21"/>
  <c r="FL59" i="21"/>
  <c r="FK59" i="21"/>
  <c r="FR58" i="21" s="1"/>
  <c r="FQ57" i="21"/>
  <c r="FO57" i="21"/>
  <c r="FP57" i="21"/>
  <c r="FA60" i="21"/>
  <c r="FH59" i="21" s="1"/>
  <c r="FC61" i="21"/>
  <c r="FD59" i="21"/>
  <c r="ES61" i="21"/>
  <c r="EQ60" i="21"/>
  <c r="EX59" i="21" s="1"/>
  <c r="EV58" i="21"/>
  <c r="ET59" i="21"/>
  <c r="DQ57" i="21"/>
  <c r="EH59" i="21"/>
  <c r="DZ58" i="21"/>
  <c r="EK57" i="21"/>
  <c r="EJ58" i="21"/>
  <c r="EM57" i="21"/>
  <c r="EG59" i="21"/>
  <c r="EN58" i="21" s="1"/>
  <c r="EI60" i="21"/>
  <c r="DY60" i="21"/>
  <c r="DW59" i="21"/>
  <c r="ED58" i="21" s="1"/>
  <c r="DO60" i="21"/>
  <c r="DM59" i="21"/>
  <c r="DT58" i="21" s="1"/>
  <c r="DN59" i="21"/>
  <c r="DP58" i="21"/>
  <c r="CN57" i="21"/>
  <c r="DE60" i="21"/>
  <c r="DC59" i="21"/>
  <c r="DJ58" i="21" s="1"/>
  <c r="DD59" i="21"/>
  <c r="DF58" i="21"/>
  <c r="DH57" i="21"/>
  <c r="DI57" i="21"/>
  <c r="CS59" i="21"/>
  <c r="CZ58" i="21" s="1"/>
  <c r="CU60" i="21"/>
  <c r="CV58" i="21"/>
  <c r="CO57" i="21"/>
  <c r="CD57" i="21"/>
  <c r="CJ59" i="21"/>
  <c r="CI59" i="21"/>
  <c r="CP58" i="21" s="1"/>
  <c r="CK60" i="21"/>
  <c r="CL58" i="21"/>
  <c r="CM57" i="21"/>
  <c r="CA60" i="21"/>
  <c r="BZ59" i="21"/>
  <c r="BY59" i="21"/>
  <c r="CF58" i="21" s="1"/>
  <c r="CB58" i="21"/>
  <c r="CE57" i="21"/>
  <c r="BQ60" i="21"/>
  <c r="BO59" i="21"/>
  <c r="BV58" i="21" s="1"/>
  <c r="BP59" i="21"/>
  <c r="BR58" i="21"/>
  <c r="AV59" i="21"/>
  <c r="BE60" i="21"/>
  <c r="BL59" i="21" s="1"/>
  <c r="BG61" i="21"/>
  <c r="BH59" i="21"/>
  <c r="AZ57" i="21"/>
  <c r="AY57" i="21"/>
  <c r="AW60" i="21"/>
  <c r="AU59" i="21"/>
  <c r="BB58" i="21" s="1"/>
  <c r="AX58" i="21"/>
  <c r="AO58" i="21"/>
  <c r="AQ58" i="21"/>
  <c r="AM61" i="21"/>
  <c r="AK60" i="21"/>
  <c r="AR59" i="21" s="1"/>
  <c r="AN59" i="21"/>
  <c r="AP59" i="21" s="1"/>
  <c r="AL60" i="21"/>
  <c r="M145" i="25"/>
  <c r="R143" i="25"/>
  <c r="P143" i="25"/>
  <c r="N144" i="25"/>
  <c r="Q144" i="25"/>
  <c r="O144" i="25"/>
  <c r="AS60" i="25" l="1"/>
  <c r="AY60" i="25" s="1"/>
  <c r="BD60" i="25" s="1"/>
  <c r="KQ80" i="21"/>
  <c r="KL82" i="21"/>
  <c r="KB81" i="21"/>
  <c r="KE79" i="21"/>
  <c r="JC79" i="21"/>
  <c r="KG79" i="21"/>
  <c r="KO80" i="21"/>
  <c r="KP80" i="21"/>
  <c r="JA79" i="21"/>
  <c r="KH79" i="21"/>
  <c r="KA81" i="21"/>
  <c r="KC82" i="21"/>
  <c r="KD80" i="21"/>
  <c r="KF79" i="21"/>
  <c r="JR81" i="21"/>
  <c r="JT80" i="21"/>
  <c r="KR80" i="21"/>
  <c r="KK82" i="21"/>
  <c r="KM83" i="21"/>
  <c r="KN81" i="21"/>
  <c r="JV79" i="21"/>
  <c r="JX79" i="21"/>
  <c r="JQ81" i="21"/>
  <c r="JS82" i="21"/>
  <c r="JW79" i="21"/>
  <c r="JU79" i="21"/>
  <c r="JU80" i="21" s="1"/>
  <c r="JN80" i="21"/>
  <c r="JG82" i="21"/>
  <c r="JI83" i="21"/>
  <c r="JJ81" i="21"/>
  <c r="JK80" i="21"/>
  <c r="JM80" i="21"/>
  <c r="JL80" i="21"/>
  <c r="JH82" i="21"/>
  <c r="JD79" i="21"/>
  <c r="IW81" i="21"/>
  <c r="IZ80" i="21"/>
  <c r="JB80" i="21" s="1"/>
  <c r="IY82" i="21"/>
  <c r="IX81" i="21"/>
  <c r="AW61" i="25"/>
  <c r="AX61" i="25" s="1"/>
  <c r="BH61" i="25" s="1"/>
  <c r="AU61" i="25"/>
  <c r="AH66" i="25"/>
  <c r="AJ66" i="25" s="1"/>
  <c r="BS58" i="21"/>
  <c r="BA61" i="25"/>
  <c r="AQ61" i="25"/>
  <c r="BB60" i="25"/>
  <c r="V69" i="25"/>
  <c r="AS69" i="25" s="1"/>
  <c r="AZ68" i="25"/>
  <c r="M67" i="30"/>
  <c r="K142" i="30"/>
  <c r="L142" i="30" s="1"/>
  <c r="C68" i="30"/>
  <c r="AN64" i="25"/>
  <c r="AO63" i="25"/>
  <c r="AR68" i="25"/>
  <c r="AV68" i="25"/>
  <c r="BF68" i="25" s="1"/>
  <c r="AL64" i="25"/>
  <c r="BC64" i="25" s="1"/>
  <c r="AT64" i="25"/>
  <c r="BG64" i="25" s="1"/>
  <c r="AP62" i="25"/>
  <c r="AR62" i="25" s="1"/>
  <c r="AA68" i="25"/>
  <c r="AB68" i="25"/>
  <c r="AC67" i="25"/>
  <c r="X67" i="25"/>
  <c r="AB67" i="25" s="1"/>
  <c r="AI68" i="25"/>
  <c r="AJ68" i="25"/>
  <c r="Z67" i="25"/>
  <c r="AF67" i="25" s="1"/>
  <c r="AM63" i="25"/>
  <c r="AG67" i="25"/>
  <c r="AD66" i="25"/>
  <c r="AI66" i="25" s="1"/>
  <c r="AE67" i="25"/>
  <c r="AK65" i="25"/>
  <c r="Y68" i="25"/>
  <c r="W68" i="25"/>
  <c r="S143" i="25"/>
  <c r="HC58" i="21"/>
  <c r="BF61" i="21"/>
  <c r="EU59" i="21"/>
  <c r="KW62" i="21"/>
  <c r="KU61" i="21"/>
  <c r="LB60" i="21" s="1"/>
  <c r="LA59" i="21"/>
  <c r="KY59" i="21"/>
  <c r="KZ59" i="21"/>
  <c r="KX60" i="21"/>
  <c r="KV61" i="21"/>
  <c r="EC58" i="21"/>
  <c r="GK59" i="21"/>
  <c r="HL60" i="21"/>
  <c r="ID61" i="21"/>
  <c r="BK59" i="21"/>
  <c r="IN61" i="21"/>
  <c r="HM59" i="21"/>
  <c r="CW58" i="21"/>
  <c r="GZ60" i="21"/>
  <c r="IF60" i="21"/>
  <c r="IP60" i="21"/>
  <c r="IS59" i="21"/>
  <c r="IR59" i="21"/>
  <c r="IQ59" i="21"/>
  <c r="IO62" i="21"/>
  <c r="IM61" i="21"/>
  <c r="IT60" i="21" s="1"/>
  <c r="HD58" i="21"/>
  <c r="HN59" i="21"/>
  <c r="HV59" i="21"/>
  <c r="IH59" i="21"/>
  <c r="II59" i="21"/>
  <c r="IE62" i="21"/>
  <c r="IG59" i="21"/>
  <c r="IC61" i="21"/>
  <c r="IJ60" i="21" s="1"/>
  <c r="HU61" i="21"/>
  <c r="HX58" i="21"/>
  <c r="HS60" i="21"/>
  <c r="HZ59" i="21" s="1"/>
  <c r="HT60" i="21"/>
  <c r="HY58" i="21"/>
  <c r="HW58" i="21"/>
  <c r="HK62" i="21"/>
  <c r="HI61" i="21"/>
  <c r="HP60" i="21" s="1"/>
  <c r="HO59" i="21"/>
  <c r="HJ61" i="21"/>
  <c r="GY60" i="21"/>
  <c r="HF59" i="21" s="1"/>
  <c r="HA61" i="21"/>
  <c r="HB59" i="21"/>
  <c r="HE58" i="21"/>
  <c r="FQ58" i="21"/>
  <c r="GU59" i="21"/>
  <c r="GR60" i="21"/>
  <c r="GP61" i="21"/>
  <c r="GQ62" i="21"/>
  <c r="GS59" i="21"/>
  <c r="GO61" i="21"/>
  <c r="GV60" i="21" s="1"/>
  <c r="GT59" i="21"/>
  <c r="DH58" i="21"/>
  <c r="ER61" i="21"/>
  <c r="GI59" i="21"/>
  <c r="GJ59" i="21"/>
  <c r="FG59" i="21"/>
  <c r="FV61" i="21"/>
  <c r="EB58" i="21"/>
  <c r="EH60" i="21"/>
  <c r="FL60" i="21"/>
  <c r="FY59" i="21"/>
  <c r="EA58" i="21"/>
  <c r="FX60" i="21"/>
  <c r="FZ59" i="21"/>
  <c r="FP58" i="21"/>
  <c r="DI58" i="21"/>
  <c r="FO58" i="21"/>
  <c r="GG62" i="21"/>
  <c r="GF61" i="21"/>
  <c r="GE61" i="21"/>
  <c r="GL60" i="21" s="1"/>
  <c r="GH60" i="21"/>
  <c r="FU61" i="21"/>
  <c r="GB60" i="21" s="1"/>
  <c r="FW62" i="21"/>
  <c r="GA59" i="21"/>
  <c r="EV59" i="21"/>
  <c r="EM58" i="21"/>
  <c r="DF59" i="21"/>
  <c r="FM61" i="21"/>
  <c r="FK60" i="21"/>
  <c r="FR59" i="21" s="1"/>
  <c r="FN59" i="21"/>
  <c r="FA61" i="21"/>
  <c r="FH60" i="21" s="1"/>
  <c r="FC62" i="21"/>
  <c r="FB61" i="21"/>
  <c r="FD60" i="21"/>
  <c r="FE59" i="21"/>
  <c r="FF59" i="21"/>
  <c r="ES62" i="21"/>
  <c r="EQ61" i="21"/>
  <c r="EX60" i="21" s="1"/>
  <c r="ET60" i="21"/>
  <c r="EW59" i="21"/>
  <c r="DN60" i="21"/>
  <c r="DD60" i="21"/>
  <c r="EG60" i="21"/>
  <c r="EN59" i="21" s="1"/>
  <c r="EJ59" i="21"/>
  <c r="EK58" i="21"/>
  <c r="EI61" i="21"/>
  <c r="EL58" i="21"/>
  <c r="DY61" i="21"/>
  <c r="DW60" i="21"/>
  <c r="ED59" i="21" s="1"/>
  <c r="DZ59" i="21"/>
  <c r="DX60" i="21"/>
  <c r="DR58" i="21"/>
  <c r="DP59" i="21"/>
  <c r="DQ58" i="21"/>
  <c r="DM60" i="21"/>
  <c r="DT59" i="21" s="1"/>
  <c r="DS58" i="21"/>
  <c r="DO61" i="21"/>
  <c r="CL59" i="21"/>
  <c r="CB59" i="21"/>
  <c r="DG58" i="21"/>
  <c r="DE61" i="21"/>
  <c r="DC60" i="21"/>
  <c r="DJ59" i="21" s="1"/>
  <c r="CU61" i="21"/>
  <c r="CT60" i="21"/>
  <c r="CY58" i="21"/>
  <c r="CV59" i="21"/>
  <c r="CS60" i="21"/>
  <c r="CZ59" i="21" s="1"/>
  <c r="CX58" i="21"/>
  <c r="BP60" i="21"/>
  <c r="BZ60" i="21"/>
  <c r="CI60" i="21"/>
  <c r="CP59" i="21" s="1"/>
  <c r="CJ60" i="21"/>
  <c r="CO58" i="21"/>
  <c r="CK61" i="21"/>
  <c r="CM58" i="21"/>
  <c r="CN58" i="21"/>
  <c r="BY60" i="21"/>
  <c r="CF59" i="21" s="1"/>
  <c r="CD58" i="21"/>
  <c r="CA61" i="21"/>
  <c r="CE58" i="21"/>
  <c r="CC58" i="21"/>
  <c r="BO60" i="21"/>
  <c r="BV59" i="21" s="1"/>
  <c r="BT58" i="21"/>
  <c r="BR59" i="21"/>
  <c r="BQ61" i="21"/>
  <c r="BU58" i="21"/>
  <c r="BJ59" i="21"/>
  <c r="BI59" i="21"/>
  <c r="AZ58" i="21"/>
  <c r="BG62" i="21"/>
  <c r="BE61" i="21"/>
  <c r="BL60" i="21" s="1"/>
  <c r="BH60" i="21"/>
  <c r="AU60" i="21"/>
  <c r="BB59" i="21" s="1"/>
  <c r="AW61" i="21"/>
  <c r="AX59" i="21"/>
  <c r="BA58" i="21"/>
  <c r="AV60" i="21"/>
  <c r="AY58" i="21"/>
  <c r="AL61" i="21"/>
  <c r="AO59" i="21"/>
  <c r="AQ59" i="21"/>
  <c r="AK61" i="21"/>
  <c r="AR60" i="21" s="1"/>
  <c r="AM62" i="21"/>
  <c r="AN60" i="21"/>
  <c r="AP60" i="21" s="1"/>
  <c r="R144" i="25"/>
  <c r="P144" i="25"/>
  <c r="Q145" i="25"/>
  <c r="O145" i="25"/>
  <c r="N145" i="25"/>
  <c r="M146" i="25"/>
  <c r="IX82" i="21" l="1"/>
  <c r="KG80" i="21"/>
  <c r="JC80" i="21"/>
  <c r="KF80" i="21"/>
  <c r="JV80" i="21"/>
  <c r="JW80" i="21"/>
  <c r="KC83" i="21"/>
  <c r="KH80" i="21"/>
  <c r="KA82" i="21"/>
  <c r="KB82" i="21"/>
  <c r="KD81" i="21"/>
  <c r="KE80" i="21"/>
  <c r="JA80" i="21"/>
  <c r="JK81" i="21"/>
  <c r="JJ82" i="21"/>
  <c r="JL81" i="21"/>
  <c r="JM81" i="21"/>
  <c r="KQ81" i="21"/>
  <c r="KN82" i="21"/>
  <c r="KM84" i="21"/>
  <c r="KR81" i="21"/>
  <c r="KK83" i="21"/>
  <c r="KL83" i="21"/>
  <c r="KP81" i="21"/>
  <c r="KO81" i="21"/>
  <c r="JX80" i="21"/>
  <c r="JQ82" i="21"/>
  <c r="JT81" i="21"/>
  <c r="JS83" i="21"/>
  <c r="JR82" i="21"/>
  <c r="JI84" i="21"/>
  <c r="JN81" i="21"/>
  <c r="JG83" i="21"/>
  <c r="JH83" i="21"/>
  <c r="IY83" i="21"/>
  <c r="IX83" i="21" s="1"/>
  <c r="IZ81" i="21"/>
  <c r="JD80" i="21"/>
  <c r="IW82" i="21"/>
  <c r="AW62" i="25"/>
  <c r="AX62" i="25" s="1"/>
  <c r="BH62" i="25" s="1"/>
  <c r="AH67" i="25"/>
  <c r="BE61" i="25"/>
  <c r="AS61" i="25"/>
  <c r="AY61" i="25" s="1"/>
  <c r="BD61" i="25" s="1"/>
  <c r="AJ67" i="25"/>
  <c r="AU62" i="25"/>
  <c r="AQ62" i="25"/>
  <c r="BB61" i="25"/>
  <c r="BA62" i="25"/>
  <c r="V70" i="25"/>
  <c r="AS70" i="25" s="1"/>
  <c r="AZ69" i="25"/>
  <c r="M68" i="30"/>
  <c r="K143" i="30"/>
  <c r="L143" i="30" s="1"/>
  <c r="C69" i="30"/>
  <c r="AN65" i="25"/>
  <c r="AO64" i="25"/>
  <c r="AR69" i="25"/>
  <c r="AV69" i="25"/>
  <c r="BF69" i="25" s="1"/>
  <c r="AL65" i="25"/>
  <c r="BC65" i="25" s="1"/>
  <c r="AT65" i="25"/>
  <c r="BG65" i="25" s="1"/>
  <c r="AP63" i="25"/>
  <c r="AR63" i="25" s="1"/>
  <c r="AB69" i="25"/>
  <c r="AA69" i="25"/>
  <c r="AC68" i="25"/>
  <c r="X68" i="25"/>
  <c r="AH68" i="25"/>
  <c r="Z68" i="25"/>
  <c r="AM64" i="25"/>
  <c r="AI69" i="25"/>
  <c r="AJ69" i="25"/>
  <c r="AG68" i="25"/>
  <c r="AF68" i="25"/>
  <c r="AE68" i="25"/>
  <c r="AK66" i="25"/>
  <c r="AD67" i="25"/>
  <c r="AI67" i="25" s="1"/>
  <c r="Y69" i="25"/>
  <c r="W69" i="25"/>
  <c r="KV62" i="21"/>
  <c r="HX59" i="21"/>
  <c r="EU60" i="21"/>
  <c r="HN60" i="21"/>
  <c r="BK60" i="21"/>
  <c r="GK60" i="21"/>
  <c r="KY60" i="21"/>
  <c r="LA60" i="21"/>
  <c r="HO60" i="21"/>
  <c r="KU62" i="21"/>
  <c r="LB61" i="21" s="1"/>
  <c r="KX61" i="21"/>
  <c r="KW63" i="21"/>
  <c r="KZ60" i="21"/>
  <c r="IN62" i="21"/>
  <c r="HW59" i="21"/>
  <c r="HM60" i="21"/>
  <c r="HT61" i="21"/>
  <c r="IQ60" i="21"/>
  <c r="IR60" i="21"/>
  <c r="II60" i="21"/>
  <c r="IH60" i="21"/>
  <c r="IS60" i="21"/>
  <c r="HB60" i="21"/>
  <c r="GS60" i="21"/>
  <c r="HY59" i="21"/>
  <c r="IG60" i="21"/>
  <c r="IO63" i="21"/>
  <c r="IM62" i="21"/>
  <c r="IT61" i="21" s="1"/>
  <c r="IP61" i="21"/>
  <c r="DG59" i="21"/>
  <c r="ER62" i="21"/>
  <c r="IE63" i="21"/>
  <c r="ID62" i="21"/>
  <c r="IC62" i="21"/>
  <c r="IJ61" i="21" s="1"/>
  <c r="IF61" i="21"/>
  <c r="HS61" i="21"/>
  <c r="HZ60" i="21" s="1"/>
  <c r="HU62" i="21"/>
  <c r="HV60" i="21"/>
  <c r="HI62" i="21"/>
  <c r="HP61" i="21" s="1"/>
  <c r="HK63" i="21"/>
  <c r="HJ62" i="21"/>
  <c r="HL61" i="21"/>
  <c r="GY61" i="21"/>
  <c r="HF60" i="21" s="1"/>
  <c r="HC59" i="21"/>
  <c r="HA62" i="21"/>
  <c r="HD59" i="21"/>
  <c r="HE59" i="21"/>
  <c r="GZ61" i="21"/>
  <c r="GF62" i="21"/>
  <c r="GU60" i="21"/>
  <c r="GT60" i="21"/>
  <c r="GQ63" i="21"/>
  <c r="GO62" i="21"/>
  <c r="GV61" i="21" s="1"/>
  <c r="GP62" i="21"/>
  <c r="GR61" i="21"/>
  <c r="FZ60" i="21"/>
  <c r="EW60" i="21"/>
  <c r="FB62" i="21"/>
  <c r="DI59" i="21"/>
  <c r="DX61" i="21"/>
  <c r="EJ60" i="21"/>
  <c r="DH59" i="21"/>
  <c r="GJ60" i="21"/>
  <c r="GI60" i="21"/>
  <c r="FP59" i="21"/>
  <c r="GA60" i="21"/>
  <c r="DF60" i="21"/>
  <c r="FY60" i="21"/>
  <c r="FE60" i="21"/>
  <c r="GE62" i="21"/>
  <c r="GL61" i="21" s="1"/>
  <c r="GG63" i="21"/>
  <c r="GH61" i="21"/>
  <c r="FU62" i="21"/>
  <c r="GB61" i="21" s="1"/>
  <c r="FX61" i="21"/>
  <c r="FW63" i="21"/>
  <c r="FV62" i="21"/>
  <c r="CD59" i="21"/>
  <c r="CM59" i="21"/>
  <c r="FO59" i="21"/>
  <c r="CC59" i="21"/>
  <c r="FQ59" i="21"/>
  <c r="BI60" i="21"/>
  <c r="BJ60" i="21"/>
  <c r="CE59" i="21"/>
  <c r="CO59" i="21"/>
  <c r="FD61" i="21"/>
  <c r="FK61" i="21"/>
  <c r="FR60" i="21" s="1"/>
  <c r="FM62" i="21"/>
  <c r="FN60" i="21"/>
  <c r="FL61" i="21"/>
  <c r="FC63" i="21"/>
  <c r="FA62" i="21"/>
  <c r="FH61" i="21" s="1"/>
  <c r="FF60" i="21"/>
  <c r="FG60" i="21"/>
  <c r="ES63" i="21"/>
  <c r="EQ62" i="21"/>
  <c r="EX61" i="21" s="1"/>
  <c r="ET61" i="21"/>
  <c r="EV60" i="21"/>
  <c r="EK59" i="21"/>
  <c r="DN61" i="21"/>
  <c r="BA59" i="21"/>
  <c r="CN59" i="21"/>
  <c r="EI62" i="21"/>
  <c r="EM59" i="21"/>
  <c r="EH61" i="21"/>
  <c r="EG61" i="21"/>
  <c r="EN60" i="21" s="1"/>
  <c r="EL59" i="21"/>
  <c r="DZ60" i="21"/>
  <c r="EB59" i="21"/>
  <c r="DW61" i="21"/>
  <c r="ED60" i="21" s="1"/>
  <c r="EA59" i="21"/>
  <c r="DY62" i="21"/>
  <c r="EC59" i="21"/>
  <c r="DS59" i="21"/>
  <c r="DM61" i="21"/>
  <c r="DT60" i="21" s="1"/>
  <c r="DQ59" i="21"/>
  <c r="DP60" i="21"/>
  <c r="DO62" i="21"/>
  <c r="DR59" i="21"/>
  <c r="BZ61" i="21"/>
  <c r="CV60" i="21"/>
  <c r="AY59" i="21"/>
  <c r="BR60" i="21"/>
  <c r="CT61" i="21"/>
  <c r="DE62" i="21"/>
  <c r="DC61" i="21"/>
  <c r="DJ60" i="21" s="1"/>
  <c r="DD61" i="21"/>
  <c r="CU62" i="21"/>
  <c r="CY59" i="21"/>
  <c r="CX59" i="21"/>
  <c r="CS61" i="21"/>
  <c r="CZ60" i="21" s="1"/>
  <c r="CW59" i="21"/>
  <c r="AV61" i="21"/>
  <c r="AL62" i="21"/>
  <c r="AZ59" i="21"/>
  <c r="CJ61" i="21"/>
  <c r="CK62" i="21"/>
  <c r="CI61" i="21"/>
  <c r="CP60" i="21" s="1"/>
  <c r="CL60" i="21"/>
  <c r="BY61" i="21"/>
  <c r="CF60" i="21" s="1"/>
  <c r="CA62" i="21"/>
  <c r="CB60" i="21"/>
  <c r="BT59" i="21"/>
  <c r="BO61" i="21"/>
  <c r="BV60" i="21" s="1"/>
  <c r="BQ62" i="21"/>
  <c r="BU59" i="21"/>
  <c r="BP61" i="21"/>
  <c r="BS59" i="21"/>
  <c r="BE62" i="21"/>
  <c r="BL61" i="21" s="1"/>
  <c r="BG63" i="21"/>
  <c r="BH61" i="21"/>
  <c r="BF62" i="21"/>
  <c r="AW62" i="21"/>
  <c r="AU61" i="21"/>
  <c r="BB60" i="21" s="1"/>
  <c r="AX60" i="21"/>
  <c r="AO60" i="21"/>
  <c r="AM63" i="21"/>
  <c r="AK62" i="21"/>
  <c r="AR61" i="21" s="1"/>
  <c r="AN61" i="21"/>
  <c r="AP61" i="21" s="1"/>
  <c r="AQ60" i="21"/>
  <c r="M148" i="25"/>
  <c r="S144" i="25"/>
  <c r="R145" i="25"/>
  <c r="P145" i="25"/>
  <c r="M147" i="25"/>
  <c r="Q146" i="25"/>
  <c r="O146" i="25"/>
  <c r="N146" i="25"/>
  <c r="IZ82" i="21" l="1"/>
  <c r="KD82" i="21"/>
  <c r="JT82" i="21"/>
  <c r="JA81" i="21"/>
  <c r="KO82" i="21"/>
  <c r="JM82" i="21"/>
  <c r="KB83" i="21"/>
  <c r="JL82" i="21"/>
  <c r="KF81" i="21"/>
  <c r="KH81" i="21"/>
  <c r="KA83" i="21"/>
  <c r="KC84" i="21"/>
  <c r="KE81" i="21"/>
  <c r="KE82" i="21" s="1"/>
  <c r="KG81" i="21"/>
  <c r="JK82" i="21"/>
  <c r="JC81" i="21"/>
  <c r="KV63" i="21"/>
  <c r="KL84" i="21"/>
  <c r="KR82" i="21"/>
  <c r="KK84" i="21"/>
  <c r="KM85" i="21"/>
  <c r="KN83" i="21"/>
  <c r="KP82" i="21"/>
  <c r="KQ82" i="21"/>
  <c r="JV81" i="21"/>
  <c r="JX81" i="21"/>
  <c r="JQ83" i="21"/>
  <c r="JS84" i="21"/>
  <c r="JR83" i="21"/>
  <c r="JU81" i="21"/>
  <c r="JW81" i="21"/>
  <c r="JI85" i="21"/>
  <c r="JH84" i="21"/>
  <c r="JN82" i="21"/>
  <c r="JG84" i="21"/>
  <c r="JJ83" i="21"/>
  <c r="JB81" i="21"/>
  <c r="IY84" i="21"/>
  <c r="JD81" i="21"/>
  <c r="IW83" i="21"/>
  <c r="BE62" i="25"/>
  <c r="AU63" i="25"/>
  <c r="AS62" i="25"/>
  <c r="AY62" i="25" s="1"/>
  <c r="BD62" i="25" s="1"/>
  <c r="AW63" i="25"/>
  <c r="AX63" i="25" s="1"/>
  <c r="BH63" i="25" s="1"/>
  <c r="BA63" i="25"/>
  <c r="AQ63" i="25"/>
  <c r="BB62" i="25"/>
  <c r="V71" i="25"/>
  <c r="AS71" i="25" s="1"/>
  <c r="AZ70" i="25"/>
  <c r="M69" i="30"/>
  <c r="K144" i="30"/>
  <c r="L144" i="30" s="1"/>
  <c r="EM60" i="21"/>
  <c r="C70" i="30"/>
  <c r="AN66" i="25"/>
  <c r="AO65" i="25"/>
  <c r="AR70" i="25"/>
  <c r="AV70" i="25"/>
  <c r="BF70" i="25" s="1"/>
  <c r="AL66" i="25"/>
  <c r="BC66" i="25" s="1"/>
  <c r="AT66" i="25"/>
  <c r="BG66" i="25" s="1"/>
  <c r="AP64" i="25"/>
  <c r="AR64" i="25" s="1"/>
  <c r="AB70" i="25"/>
  <c r="AA70" i="25"/>
  <c r="X69" i="25"/>
  <c r="AJ70" i="25"/>
  <c r="AI70" i="25"/>
  <c r="AF69" i="25"/>
  <c r="Z69" i="25"/>
  <c r="AM65" i="25"/>
  <c r="AK67" i="25"/>
  <c r="AC69" i="25"/>
  <c r="AG69" i="25"/>
  <c r="AE69" i="25"/>
  <c r="AD68" i="25"/>
  <c r="AH69" i="25"/>
  <c r="W70" i="25"/>
  <c r="Y70" i="25"/>
  <c r="GF63" i="21"/>
  <c r="EK60" i="21"/>
  <c r="EL60" i="21"/>
  <c r="KX62" i="21"/>
  <c r="GT61" i="21"/>
  <c r="II61" i="21"/>
  <c r="KY61" i="21"/>
  <c r="KU63" i="21"/>
  <c r="LB62" i="21" s="1"/>
  <c r="KZ61" i="21"/>
  <c r="LA61" i="21"/>
  <c r="KW64" i="21"/>
  <c r="HE60" i="21"/>
  <c r="FP60" i="21"/>
  <c r="DG60" i="21"/>
  <c r="HC60" i="21"/>
  <c r="HD60" i="21"/>
  <c r="HV61" i="21"/>
  <c r="CO60" i="21"/>
  <c r="CT62" i="21"/>
  <c r="ID63" i="21"/>
  <c r="CD60" i="21"/>
  <c r="IQ61" i="21"/>
  <c r="IS61" i="21"/>
  <c r="IR61" i="21"/>
  <c r="FF61" i="21"/>
  <c r="DI60" i="21"/>
  <c r="IM63" i="21"/>
  <c r="IT62" i="21" s="1"/>
  <c r="IO64" i="21"/>
  <c r="IP62" i="21"/>
  <c r="IN63" i="21"/>
  <c r="HY60" i="21"/>
  <c r="HX60" i="21"/>
  <c r="BS60" i="21"/>
  <c r="FB63" i="21"/>
  <c r="HW60" i="21"/>
  <c r="CW60" i="21"/>
  <c r="DH60" i="21"/>
  <c r="GP63" i="21"/>
  <c r="HJ63" i="21"/>
  <c r="IC63" i="21"/>
  <c r="IJ62" i="21" s="1"/>
  <c r="IE64" i="21"/>
  <c r="IF62" i="21"/>
  <c r="IH61" i="21"/>
  <c r="IG61" i="21"/>
  <c r="HU63" i="21"/>
  <c r="HS62" i="21"/>
  <c r="HZ61" i="21" s="1"/>
  <c r="HT62" i="21"/>
  <c r="HK64" i="21"/>
  <c r="HL62" i="21"/>
  <c r="HN61" i="21"/>
  <c r="HM61" i="21"/>
  <c r="HI63" i="21"/>
  <c r="HP62" i="21" s="1"/>
  <c r="HO61" i="21"/>
  <c r="HA63" i="21"/>
  <c r="GY62" i="21"/>
  <c r="HF61" i="21" s="1"/>
  <c r="GZ62" i="21"/>
  <c r="HB61" i="21"/>
  <c r="BU60" i="21"/>
  <c r="BT60" i="21"/>
  <c r="EH62" i="21"/>
  <c r="GU61" i="21"/>
  <c r="GR62" i="21"/>
  <c r="GO63" i="21"/>
  <c r="GV62" i="21" s="1"/>
  <c r="GQ64" i="21"/>
  <c r="GS61" i="21"/>
  <c r="FQ60" i="21"/>
  <c r="GA61" i="21"/>
  <c r="EC60" i="21"/>
  <c r="FE61" i="21"/>
  <c r="EA60" i="21"/>
  <c r="BA60" i="21"/>
  <c r="BP62" i="21"/>
  <c r="FV63" i="21"/>
  <c r="AV62" i="21"/>
  <c r="GE63" i="21"/>
  <c r="GL62" i="21" s="1"/>
  <c r="GG64" i="21"/>
  <c r="GH62" i="21"/>
  <c r="GJ61" i="21"/>
  <c r="GI61" i="21"/>
  <c r="GK61" i="21"/>
  <c r="FW64" i="21"/>
  <c r="FZ61" i="21"/>
  <c r="FY61" i="21"/>
  <c r="FX62" i="21"/>
  <c r="FU63" i="21"/>
  <c r="GB62" i="21" s="1"/>
  <c r="ET62" i="21"/>
  <c r="CX60" i="21"/>
  <c r="DP61" i="21"/>
  <c r="FG61" i="21"/>
  <c r="FM63" i="21"/>
  <c r="FK62" i="21"/>
  <c r="FR61" i="21" s="1"/>
  <c r="FL62" i="21"/>
  <c r="FN61" i="21"/>
  <c r="FO60" i="21"/>
  <c r="FA63" i="21"/>
  <c r="FH62" i="21" s="1"/>
  <c r="FC64" i="21"/>
  <c r="FD62" i="21"/>
  <c r="ES64" i="21"/>
  <c r="EQ63" i="21"/>
  <c r="EX62" i="21" s="1"/>
  <c r="EW61" i="21"/>
  <c r="EU61" i="21"/>
  <c r="EV61" i="21"/>
  <c r="ER63" i="21"/>
  <c r="CY60" i="21"/>
  <c r="EI63" i="21"/>
  <c r="EG62" i="21"/>
  <c r="EN61" i="21" s="1"/>
  <c r="EJ61" i="21"/>
  <c r="DY63" i="21"/>
  <c r="DW62" i="21"/>
  <c r="ED61" i="21" s="1"/>
  <c r="EB60" i="21"/>
  <c r="DX62" i="21"/>
  <c r="DZ61" i="21"/>
  <c r="DO63" i="21"/>
  <c r="DQ60" i="21"/>
  <c r="DM62" i="21"/>
  <c r="DT61" i="21" s="1"/>
  <c r="DR60" i="21"/>
  <c r="DS60" i="21"/>
  <c r="DN62" i="21"/>
  <c r="DF61" i="21"/>
  <c r="DC62" i="21"/>
  <c r="DJ61" i="21" s="1"/>
  <c r="DE63" i="21"/>
  <c r="DD62" i="21"/>
  <c r="CS62" i="21"/>
  <c r="CZ61" i="21" s="1"/>
  <c r="CU63" i="21"/>
  <c r="CV61" i="21"/>
  <c r="CE60" i="21"/>
  <c r="CC60" i="21"/>
  <c r="BH62" i="21"/>
  <c r="CK63" i="21"/>
  <c r="CI62" i="21"/>
  <c r="CP61" i="21" s="1"/>
  <c r="CJ62" i="21"/>
  <c r="CL61" i="21"/>
  <c r="CN60" i="21"/>
  <c r="CM60" i="21"/>
  <c r="CA63" i="21"/>
  <c r="BY62" i="21"/>
  <c r="CF61" i="21" s="1"/>
  <c r="CB61" i="21"/>
  <c r="BZ62" i="21"/>
  <c r="BO62" i="21"/>
  <c r="BV61" i="21" s="1"/>
  <c r="BQ63" i="21"/>
  <c r="BR61" i="21"/>
  <c r="BI61" i="21"/>
  <c r="BJ61" i="21"/>
  <c r="BK61" i="21"/>
  <c r="BE63" i="21"/>
  <c r="BL62" i="21" s="1"/>
  <c r="BG64" i="21"/>
  <c r="BF63" i="21"/>
  <c r="AU62" i="21"/>
  <c r="BB61" i="21" s="1"/>
  <c r="AW63" i="21"/>
  <c r="AX61" i="21"/>
  <c r="AZ60" i="21"/>
  <c r="AY60" i="21"/>
  <c r="AO61" i="21"/>
  <c r="AQ61" i="21"/>
  <c r="AK63" i="21"/>
  <c r="AR62" i="21" s="1"/>
  <c r="AM64" i="21"/>
  <c r="AN62" i="21"/>
  <c r="AL63" i="21"/>
  <c r="S145" i="25"/>
  <c r="M149" i="25"/>
  <c r="N148" i="25"/>
  <c r="Q148" i="25"/>
  <c r="O148" i="25"/>
  <c r="R146" i="25"/>
  <c r="P146" i="25"/>
  <c r="Q147" i="25"/>
  <c r="N147" i="25"/>
  <c r="O147" i="25"/>
  <c r="JV82" i="21" l="1"/>
  <c r="JB82" i="21"/>
  <c r="JA82" i="21"/>
  <c r="JC82" i="21"/>
  <c r="KG82" i="21"/>
  <c r="KF82" i="21"/>
  <c r="KV64" i="21"/>
  <c r="JR84" i="21"/>
  <c r="JW82" i="21"/>
  <c r="JU82" i="21"/>
  <c r="KC85" i="21"/>
  <c r="KB84" i="21"/>
  <c r="KB85" i="21" s="1"/>
  <c r="KH82" i="21"/>
  <c r="KA84" i="21"/>
  <c r="KD83" i="21"/>
  <c r="KG83" i="21" s="1"/>
  <c r="JH85" i="21"/>
  <c r="KP83" i="21"/>
  <c r="KN84" i="21"/>
  <c r="KO83" i="21"/>
  <c r="KM86" i="21"/>
  <c r="KR83" i="21"/>
  <c r="KK85" i="21"/>
  <c r="KQ83" i="21"/>
  <c r="KL85" i="21"/>
  <c r="JS85" i="21"/>
  <c r="JX82" i="21"/>
  <c r="JQ84" i="21"/>
  <c r="JT83" i="21"/>
  <c r="JN83" i="21"/>
  <c r="JG85" i="21"/>
  <c r="JL83" i="21"/>
  <c r="JK83" i="21"/>
  <c r="JJ84" i="21"/>
  <c r="JM83" i="21"/>
  <c r="JI86" i="21"/>
  <c r="IY85" i="21"/>
  <c r="IX84" i="21"/>
  <c r="JD82" i="21"/>
  <c r="IW84" i="21"/>
  <c r="IZ83" i="21"/>
  <c r="AW64" i="25"/>
  <c r="AX64" i="25" s="1"/>
  <c r="BH64" i="25" s="1"/>
  <c r="BE63" i="25"/>
  <c r="AS63" i="25"/>
  <c r="AY63" i="25" s="1"/>
  <c r="BD63" i="25" s="1"/>
  <c r="AU64" i="25"/>
  <c r="AQ64" i="25"/>
  <c r="BB63" i="25"/>
  <c r="BA64" i="25"/>
  <c r="V72" i="25"/>
  <c r="AS72" i="25" s="1"/>
  <c r="AZ71" i="25"/>
  <c r="M70" i="30"/>
  <c r="CT63" i="21"/>
  <c r="K145" i="30"/>
  <c r="L145" i="30" s="1"/>
  <c r="C71" i="30"/>
  <c r="AN67" i="25"/>
  <c r="AO66" i="25"/>
  <c r="AR71" i="25"/>
  <c r="AV71" i="25"/>
  <c r="BF71" i="25" s="1"/>
  <c r="AL67" i="25"/>
  <c r="BC67" i="25" s="1"/>
  <c r="AT67" i="25"/>
  <c r="BG67" i="25" s="1"/>
  <c r="AP65" i="25"/>
  <c r="AR65" i="25" s="1"/>
  <c r="AB71" i="25"/>
  <c r="AA71" i="25"/>
  <c r="AF70" i="25"/>
  <c r="Z70" i="25"/>
  <c r="X70" i="25"/>
  <c r="AJ71" i="25"/>
  <c r="AI71" i="25"/>
  <c r="AM66" i="25"/>
  <c r="AM67" i="25" s="1"/>
  <c r="AK68" i="25"/>
  <c r="AE70" i="25"/>
  <c r="AC70" i="25"/>
  <c r="AD69" i="25"/>
  <c r="AG70" i="25"/>
  <c r="AH70" i="25"/>
  <c r="Y71" i="25"/>
  <c r="W71" i="25"/>
  <c r="CD61" i="21"/>
  <c r="KZ62" i="21"/>
  <c r="LA62" i="21"/>
  <c r="KY62" i="21"/>
  <c r="DI61" i="21"/>
  <c r="KU64" i="21"/>
  <c r="LB63" i="21" s="1"/>
  <c r="KX63" i="21"/>
  <c r="KW65" i="21"/>
  <c r="HM62" i="21"/>
  <c r="HX61" i="21"/>
  <c r="HY61" i="21"/>
  <c r="FN62" i="21"/>
  <c r="HB62" i="21"/>
  <c r="HW61" i="21"/>
  <c r="IP63" i="21"/>
  <c r="IO65" i="21"/>
  <c r="IS62" i="21"/>
  <c r="IM64" i="21"/>
  <c r="IT63" i="21" s="1"/>
  <c r="IR62" i="21"/>
  <c r="IN64" i="21"/>
  <c r="IQ62" i="21"/>
  <c r="HE61" i="21"/>
  <c r="HN62" i="21"/>
  <c r="GR63" i="21"/>
  <c r="IF63" i="21"/>
  <c r="IE65" i="21"/>
  <c r="ID64" i="21"/>
  <c r="IC64" i="21"/>
  <c r="IJ63" i="21" s="1"/>
  <c r="IG62" i="21"/>
  <c r="IH62" i="21"/>
  <c r="II62" i="21"/>
  <c r="HT63" i="21"/>
  <c r="HU64" i="21"/>
  <c r="HS63" i="21"/>
  <c r="HZ62" i="21" s="1"/>
  <c r="HV62" i="21"/>
  <c r="HL63" i="21"/>
  <c r="HI64" i="21"/>
  <c r="HP63" i="21" s="1"/>
  <c r="HK65" i="21"/>
  <c r="HO62" i="21"/>
  <c r="HJ64" i="21"/>
  <c r="GY63" i="21"/>
  <c r="HF62" i="21" s="1"/>
  <c r="HA64" i="21"/>
  <c r="HC61" i="21"/>
  <c r="GZ63" i="21"/>
  <c r="HD61" i="21"/>
  <c r="FG62" i="21"/>
  <c r="GS62" i="21"/>
  <c r="GQ65" i="21"/>
  <c r="GO64" i="21"/>
  <c r="GV63" i="21" s="1"/>
  <c r="GT62" i="21"/>
  <c r="GP64" i="21"/>
  <c r="GU62" i="21"/>
  <c r="DQ61" i="21"/>
  <c r="GI62" i="21"/>
  <c r="EA61" i="21"/>
  <c r="GJ62" i="21"/>
  <c r="DS61" i="21"/>
  <c r="DR61" i="21"/>
  <c r="BP63" i="21"/>
  <c r="FL63" i="21"/>
  <c r="AX62" i="21"/>
  <c r="BK62" i="21"/>
  <c r="GH63" i="21"/>
  <c r="GG65" i="21"/>
  <c r="GE64" i="21"/>
  <c r="GL63" i="21" s="1"/>
  <c r="GK62" i="21"/>
  <c r="GF64" i="21"/>
  <c r="FY62" i="21"/>
  <c r="FU64" i="21"/>
  <c r="GB63" i="21" s="1"/>
  <c r="FX63" i="21"/>
  <c r="FW65" i="21"/>
  <c r="FZ62" i="21"/>
  <c r="FV64" i="21"/>
  <c r="GA62" i="21"/>
  <c r="EB61" i="21"/>
  <c r="CC61" i="21"/>
  <c r="DG61" i="21"/>
  <c r="EV62" i="21"/>
  <c r="EU62" i="21"/>
  <c r="CL62" i="21"/>
  <c r="CV62" i="21"/>
  <c r="EW62" i="21"/>
  <c r="CJ63" i="21"/>
  <c r="FK63" i="21"/>
  <c r="FR62" i="21" s="1"/>
  <c r="FP61" i="21"/>
  <c r="FQ61" i="21"/>
  <c r="FM64" i="21"/>
  <c r="FO61" i="21"/>
  <c r="FC65" i="21"/>
  <c r="FA64" i="21"/>
  <c r="FH63" i="21" s="1"/>
  <c r="FB64" i="21"/>
  <c r="FD63" i="21"/>
  <c r="FE62" i="21"/>
  <c r="FF62" i="21"/>
  <c r="EQ64" i="21"/>
  <c r="EX63" i="21" s="1"/>
  <c r="ES65" i="21"/>
  <c r="ER64" i="21"/>
  <c r="ET63" i="21"/>
  <c r="CE61" i="21"/>
  <c r="BI62" i="21"/>
  <c r="DX63" i="21"/>
  <c r="BJ62" i="21"/>
  <c r="BR62" i="21"/>
  <c r="EC61" i="21"/>
  <c r="EG63" i="21"/>
  <c r="EN62" i="21" s="1"/>
  <c r="EJ62" i="21"/>
  <c r="EK61" i="21"/>
  <c r="EL61" i="21"/>
  <c r="EM61" i="21"/>
  <c r="EI64" i="21"/>
  <c r="EH63" i="21"/>
  <c r="DW63" i="21"/>
  <c r="ED62" i="21" s="1"/>
  <c r="DZ62" i="21"/>
  <c r="DY64" i="21"/>
  <c r="DM63" i="21"/>
  <c r="DT62" i="21" s="1"/>
  <c r="DO64" i="21"/>
  <c r="DN63" i="21"/>
  <c r="DP62" i="21"/>
  <c r="DH61" i="21"/>
  <c r="DF62" i="21"/>
  <c r="DE64" i="21"/>
  <c r="DC63" i="21"/>
  <c r="DJ62" i="21" s="1"/>
  <c r="DD63" i="21"/>
  <c r="CY61" i="21"/>
  <c r="CU64" i="21"/>
  <c r="CS63" i="21"/>
  <c r="CZ62" i="21" s="1"/>
  <c r="CW61" i="21"/>
  <c r="CX61" i="21"/>
  <c r="BT61" i="21"/>
  <c r="BZ63" i="21"/>
  <c r="CN61" i="21"/>
  <c r="CK64" i="21"/>
  <c r="CI63" i="21"/>
  <c r="CP62" i="21" s="1"/>
  <c r="CM61" i="21"/>
  <c r="CO61" i="21"/>
  <c r="CA64" i="21"/>
  <c r="BY63" i="21"/>
  <c r="CF62" i="21" s="1"/>
  <c r="CB62" i="21"/>
  <c r="BO63" i="21"/>
  <c r="BV62" i="21" s="1"/>
  <c r="BQ64" i="21"/>
  <c r="BS61" i="21"/>
  <c r="BU61" i="21"/>
  <c r="AZ61" i="21"/>
  <c r="BG65" i="21"/>
  <c r="BE64" i="21"/>
  <c r="BL63" i="21" s="1"/>
  <c r="BF64" i="21"/>
  <c r="BH63" i="21"/>
  <c r="BA61" i="21"/>
  <c r="AW64" i="21"/>
  <c r="AU63" i="21"/>
  <c r="BB62" i="21" s="1"/>
  <c r="AY61" i="21"/>
  <c r="AV63" i="21"/>
  <c r="AN63" i="21"/>
  <c r="AP62" i="21"/>
  <c r="AK64" i="21"/>
  <c r="AR63" i="21" s="1"/>
  <c r="AM65" i="21"/>
  <c r="AQ62" i="21"/>
  <c r="AL64" i="21"/>
  <c r="AO62" i="21"/>
  <c r="S146" i="25"/>
  <c r="P148" i="25"/>
  <c r="R148" i="25"/>
  <c r="M150" i="25"/>
  <c r="N149" i="25"/>
  <c r="Q149" i="25"/>
  <c r="O149" i="25"/>
  <c r="P147" i="25"/>
  <c r="R147" i="25"/>
  <c r="JV83" i="21" l="1"/>
  <c r="JR85" i="21"/>
  <c r="KO84" i="21"/>
  <c r="KQ84" i="21"/>
  <c r="KE83" i="21"/>
  <c r="KF83" i="21"/>
  <c r="KH83" i="21"/>
  <c r="KA85" i="21"/>
  <c r="KC86" i="21"/>
  <c r="KD84" i="21"/>
  <c r="KG84" i="21" s="1"/>
  <c r="JH86" i="21"/>
  <c r="JJ85" i="21"/>
  <c r="KP84" i="21"/>
  <c r="JW83" i="21"/>
  <c r="IX85" i="21"/>
  <c r="JM84" i="21"/>
  <c r="JK84" i="21"/>
  <c r="KR84" i="21"/>
  <c r="KK86" i="21"/>
  <c r="KM87" i="21"/>
  <c r="KL86" i="21"/>
  <c r="KN85" i="21"/>
  <c r="JX83" i="21"/>
  <c r="JQ85" i="21"/>
  <c r="JS86" i="21"/>
  <c r="JT84" i="21"/>
  <c r="JU83" i="21"/>
  <c r="JL84" i="21"/>
  <c r="JL85" i="21" s="1"/>
  <c r="JN84" i="21"/>
  <c r="JG86" i="21"/>
  <c r="JI87" i="21"/>
  <c r="JD83" i="21"/>
  <c r="IW85" i="21"/>
  <c r="JA83" i="21"/>
  <c r="IZ84" i="21"/>
  <c r="JC83" i="21"/>
  <c r="JB83" i="21"/>
  <c r="IY86" i="21"/>
  <c r="BE64" i="25"/>
  <c r="AS64" i="25"/>
  <c r="AY64" i="25" s="1"/>
  <c r="BD64" i="25" s="1"/>
  <c r="AU65" i="25"/>
  <c r="AW65" i="25"/>
  <c r="AX65" i="25" s="1"/>
  <c r="BH65" i="25" s="1"/>
  <c r="BA65" i="25"/>
  <c r="AQ65" i="25"/>
  <c r="BB64" i="25"/>
  <c r="V73" i="25"/>
  <c r="AS73" i="25" s="1"/>
  <c r="AZ72" i="25"/>
  <c r="M71" i="30"/>
  <c r="K146" i="30"/>
  <c r="L146" i="30" s="1"/>
  <c r="C72" i="30"/>
  <c r="AN68" i="25"/>
  <c r="AO67" i="25"/>
  <c r="AR72" i="25"/>
  <c r="AV72" i="25"/>
  <c r="BF72" i="25" s="1"/>
  <c r="AL68" i="25"/>
  <c r="BC68" i="25" s="1"/>
  <c r="AT68" i="25"/>
  <c r="BG68" i="25" s="1"/>
  <c r="AP66" i="25"/>
  <c r="AR66" i="25" s="1"/>
  <c r="AB72" i="25"/>
  <c r="AA72" i="25"/>
  <c r="AJ72" i="25"/>
  <c r="AI72" i="25"/>
  <c r="X71" i="25"/>
  <c r="AF71" i="25"/>
  <c r="Z71" i="25"/>
  <c r="AM68" i="25"/>
  <c r="AK69" i="25"/>
  <c r="AC71" i="25"/>
  <c r="AG71" i="25"/>
  <c r="AE71" i="25"/>
  <c r="AH71" i="25"/>
  <c r="AD70" i="25"/>
  <c r="Y72" i="25"/>
  <c r="W72" i="25"/>
  <c r="HD62" i="21"/>
  <c r="DI62" i="21"/>
  <c r="CO62" i="21"/>
  <c r="FQ62" i="21"/>
  <c r="FP62" i="21"/>
  <c r="GU63" i="21"/>
  <c r="KX64" i="21"/>
  <c r="AZ62" i="21"/>
  <c r="FO62" i="21"/>
  <c r="KZ63" i="21"/>
  <c r="KW66" i="21"/>
  <c r="KV65" i="21"/>
  <c r="KY63" i="21"/>
  <c r="KU65" i="21"/>
  <c r="LB64" i="21" s="1"/>
  <c r="LA63" i="21"/>
  <c r="BA62" i="21"/>
  <c r="GT63" i="21"/>
  <c r="GR64" i="21"/>
  <c r="BF65" i="21"/>
  <c r="AY62" i="21"/>
  <c r="GS63" i="21"/>
  <c r="BU62" i="21"/>
  <c r="BT62" i="21"/>
  <c r="HC62" i="21"/>
  <c r="BS62" i="21"/>
  <c r="HE62" i="21"/>
  <c r="IS63" i="21"/>
  <c r="IQ63" i="21"/>
  <c r="IR63" i="21"/>
  <c r="ID65" i="21"/>
  <c r="BZ64" i="21"/>
  <c r="FZ63" i="21"/>
  <c r="GH64" i="21"/>
  <c r="IM65" i="21"/>
  <c r="IT64" i="21" s="1"/>
  <c r="IO66" i="21"/>
  <c r="IN65" i="21"/>
  <c r="IP64" i="21"/>
  <c r="HO63" i="21"/>
  <c r="FV65" i="21"/>
  <c r="GP65" i="21"/>
  <c r="GZ64" i="21"/>
  <c r="BK63" i="21"/>
  <c r="HL64" i="21"/>
  <c r="II63" i="21"/>
  <c r="IH63" i="21"/>
  <c r="IG63" i="21"/>
  <c r="IC65" i="21"/>
  <c r="IJ64" i="21" s="1"/>
  <c r="IE66" i="21"/>
  <c r="IF64" i="21"/>
  <c r="HY62" i="21"/>
  <c r="HX62" i="21"/>
  <c r="HW62" i="21"/>
  <c r="HV63" i="21"/>
  <c r="HS64" i="21"/>
  <c r="HZ63" i="21" s="1"/>
  <c r="HU65" i="21"/>
  <c r="HT64" i="21"/>
  <c r="HK66" i="21"/>
  <c r="HI65" i="21"/>
  <c r="HP64" i="21" s="1"/>
  <c r="HJ65" i="21"/>
  <c r="HN63" i="21"/>
  <c r="HM63" i="21"/>
  <c r="HA65" i="21"/>
  <c r="GY64" i="21"/>
  <c r="HF63" i="21" s="1"/>
  <c r="HB63" i="21"/>
  <c r="CX62" i="21"/>
  <c r="BP64" i="21"/>
  <c r="EV63" i="21"/>
  <c r="GQ66" i="21"/>
  <c r="GO65" i="21"/>
  <c r="GV64" i="21" s="1"/>
  <c r="CW62" i="21"/>
  <c r="CY62" i="21"/>
  <c r="GJ63" i="21"/>
  <c r="GA63" i="21"/>
  <c r="DN64" i="21"/>
  <c r="GK63" i="21"/>
  <c r="GI63" i="21"/>
  <c r="EU63" i="21"/>
  <c r="FD64" i="21"/>
  <c r="GE65" i="21"/>
  <c r="GL64" i="21" s="1"/>
  <c r="GG66" i="21"/>
  <c r="GF65" i="21"/>
  <c r="FW66" i="21"/>
  <c r="FX64" i="21"/>
  <c r="FU65" i="21"/>
  <c r="GB64" i="21" s="1"/>
  <c r="FY63" i="21"/>
  <c r="CM62" i="21"/>
  <c r="DX64" i="21"/>
  <c r="DH62" i="21"/>
  <c r="FE63" i="21"/>
  <c r="CJ64" i="21"/>
  <c r="CN62" i="21"/>
  <c r="FB65" i="21"/>
  <c r="DD64" i="21"/>
  <c r="FM65" i="21"/>
  <c r="FK64" i="21"/>
  <c r="FR63" i="21" s="1"/>
  <c r="FL64" i="21"/>
  <c r="FN63" i="21"/>
  <c r="FA65" i="21"/>
  <c r="FH64" i="21" s="1"/>
  <c r="FG63" i="21"/>
  <c r="FC66" i="21"/>
  <c r="FF63" i="21"/>
  <c r="ER65" i="21"/>
  <c r="ES66" i="21"/>
  <c r="EQ65" i="21"/>
  <c r="EX64" i="21" s="1"/>
  <c r="ET64" i="21"/>
  <c r="EW63" i="21"/>
  <c r="DG62" i="21"/>
  <c r="DP63" i="21"/>
  <c r="BJ63" i="21"/>
  <c r="EM62" i="21"/>
  <c r="CB63" i="21"/>
  <c r="EL62" i="21"/>
  <c r="EK62" i="21"/>
  <c r="DZ63" i="21"/>
  <c r="EJ63" i="21"/>
  <c r="EI65" i="21"/>
  <c r="EH64" i="21"/>
  <c r="EG64" i="21"/>
  <c r="EN63" i="21" s="1"/>
  <c r="EB62" i="21"/>
  <c r="EC62" i="21"/>
  <c r="DW64" i="21"/>
  <c r="ED63" i="21" s="1"/>
  <c r="DY65" i="21"/>
  <c r="EA62" i="21"/>
  <c r="DO65" i="21"/>
  <c r="DQ62" i="21"/>
  <c r="DS62" i="21"/>
  <c r="DM64" i="21"/>
  <c r="DT63" i="21" s="1"/>
  <c r="DR62" i="21"/>
  <c r="DC64" i="21"/>
  <c r="DJ63" i="21" s="1"/>
  <c r="DE65" i="21"/>
  <c r="DF63" i="21"/>
  <c r="CU65" i="21"/>
  <c r="CS64" i="21"/>
  <c r="CZ63" i="21" s="1"/>
  <c r="CT64" i="21"/>
  <c r="CV63" i="21"/>
  <c r="BI63" i="21"/>
  <c r="CK65" i="21"/>
  <c r="CI64" i="21"/>
  <c r="CP63" i="21" s="1"/>
  <c r="CL63" i="21"/>
  <c r="CE62" i="21"/>
  <c r="CD62" i="21"/>
  <c r="CC62" i="21"/>
  <c r="BY64" i="21"/>
  <c r="CF63" i="21" s="1"/>
  <c r="CA65" i="21"/>
  <c r="BO64" i="21"/>
  <c r="BV63" i="21" s="1"/>
  <c r="BQ65" i="21"/>
  <c r="BR63" i="21"/>
  <c r="AO63" i="21"/>
  <c r="AQ63" i="21"/>
  <c r="AP63" i="21"/>
  <c r="BE65" i="21"/>
  <c r="BL64" i="21" s="1"/>
  <c r="BH64" i="21"/>
  <c r="BG66" i="21"/>
  <c r="AW65" i="21"/>
  <c r="AU64" i="21"/>
  <c r="BB63" i="21" s="1"/>
  <c r="AV64" i="21"/>
  <c r="AX63" i="21"/>
  <c r="AM66" i="21"/>
  <c r="AK65" i="21"/>
  <c r="AR64" i="21" s="1"/>
  <c r="AL65" i="21"/>
  <c r="AN64" i="21"/>
  <c r="S148" i="25"/>
  <c r="R149" i="25"/>
  <c r="P149" i="25"/>
  <c r="Q150" i="25"/>
  <c r="N150" i="25"/>
  <c r="O150" i="25"/>
  <c r="M151" i="25"/>
  <c r="S147" i="25"/>
  <c r="BF66" i="21" l="1"/>
  <c r="JK85" i="21"/>
  <c r="KQ85" i="21"/>
  <c r="IX86" i="21"/>
  <c r="JC84" i="21"/>
  <c r="JM85" i="21"/>
  <c r="KF84" i="21"/>
  <c r="KC87" i="21"/>
  <c r="KB86" i="21"/>
  <c r="KH84" i="21"/>
  <c r="KA86" i="21"/>
  <c r="KD85" i="21"/>
  <c r="KE84" i="21"/>
  <c r="IZ85" i="21"/>
  <c r="JT85" i="21"/>
  <c r="KL87" i="21"/>
  <c r="JA84" i="21"/>
  <c r="JB84" i="21"/>
  <c r="KP85" i="21"/>
  <c r="KN86" i="21"/>
  <c r="KO85" i="21"/>
  <c r="KM88" i="21"/>
  <c r="KR85" i="21"/>
  <c r="KK87" i="21"/>
  <c r="JV84" i="21"/>
  <c r="JX84" i="21"/>
  <c r="JQ86" i="21"/>
  <c r="JS87" i="21"/>
  <c r="JW84" i="21"/>
  <c r="JU84" i="21"/>
  <c r="JR86" i="21"/>
  <c r="JI88" i="21"/>
  <c r="JN85" i="21"/>
  <c r="JG87" i="21"/>
  <c r="JJ86" i="21"/>
  <c r="JH87" i="21"/>
  <c r="JD84" i="21"/>
  <c r="IW86" i="21"/>
  <c r="IY87" i="21"/>
  <c r="BE65" i="25"/>
  <c r="AS65" i="25"/>
  <c r="AY65" i="25" s="1"/>
  <c r="BD65" i="25" s="1"/>
  <c r="AU66" i="25"/>
  <c r="AW66" i="25"/>
  <c r="AX66" i="25" s="1"/>
  <c r="BH66" i="25" s="1"/>
  <c r="HD63" i="21"/>
  <c r="BA66" i="25"/>
  <c r="AQ66" i="25"/>
  <c r="BB65" i="25"/>
  <c r="V74" i="25"/>
  <c r="AS74" i="25" s="1"/>
  <c r="AZ73" i="25"/>
  <c r="M72" i="30"/>
  <c r="K148" i="30"/>
  <c r="L148" i="30" s="1"/>
  <c r="K147" i="30"/>
  <c r="L147" i="30" s="1"/>
  <c r="C73" i="30"/>
  <c r="AN69" i="25"/>
  <c r="AO68" i="25"/>
  <c r="AR73" i="25"/>
  <c r="AV73" i="25"/>
  <c r="BF73" i="25" s="1"/>
  <c r="AL69" i="25"/>
  <c r="BC69" i="25" s="1"/>
  <c r="AT69" i="25"/>
  <c r="BG69" i="25" s="1"/>
  <c r="AP67" i="25"/>
  <c r="AR67" i="25" s="1"/>
  <c r="AA73" i="25"/>
  <c r="AB73" i="25"/>
  <c r="X72" i="25"/>
  <c r="AF72" i="25"/>
  <c r="Z72" i="25"/>
  <c r="AJ73" i="25"/>
  <c r="AI73" i="25"/>
  <c r="AM69" i="25"/>
  <c r="AE72" i="25"/>
  <c r="AK70" i="25"/>
  <c r="AH72" i="25"/>
  <c r="AG72" i="25"/>
  <c r="AD71" i="25"/>
  <c r="AC72" i="25"/>
  <c r="Y73" i="25"/>
  <c r="W73" i="25"/>
  <c r="FP63" i="21"/>
  <c r="KY64" i="21"/>
  <c r="KZ64" i="21"/>
  <c r="LA64" i="21"/>
  <c r="GT64" i="21"/>
  <c r="GU64" i="21"/>
  <c r="GS64" i="21"/>
  <c r="DN65" i="21"/>
  <c r="GI64" i="21"/>
  <c r="GR65" i="21"/>
  <c r="GK64" i="21"/>
  <c r="KX65" i="21"/>
  <c r="BS63" i="21"/>
  <c r="GJ64" i="21"/>
  <c r="KW67" i="21"/>
  <c r="KU66" i="21"/>
  <c r="LB65" i="21" s="1"/>
  <c r="KV66" i="21"/>
  <c r="EV64" i="21"/>
  <c r="BZ65" i="21"/>
  <c r="HM64" i="21"/>
  <c r="DR63" i="21"/>
  <c r="GZ65" i="21"/>
  <c r="HN64" i="21"/>
  <c r="HJ66" i="21"/>
  <c r="BH65" i="21"/>
  <c r="CM63" i="21"/>
  <c r="HO64" i="21"/>
  <c r="IN66" i="21"/>
  <c r="IR64" i="21"/>
  <c r="IS64" i="21"/>
  <c r="IQ64" i="21"/>
  <c r="IO67" i="21"/>
  <c r="IM66" i="21"/>
  <c r="IT65" i="21" s="1"/>
  <c r="IP65" i="21"/>
  <c r="DQ63" i="21"/>
  <c r="IE67" i="21"/>
  <c r="ID66" i="21"/>
  <c r="IC66" i="21"/>
  <c r="IJ65" i="21" s="1"/>
  <c r="IF65" i="21"/>
  <c r="IG64" i="21"/>
  <c r="II64" i="21"/>
  <c r="IH64" i="21"/>
  <c r="HU66" i="21"/>
  <c r="HV64" i="21"/>
  <c r="HS65" i="21"/>
  <c r="HZ64" i="21" s="1"/>
  <c r="HW63" i="21"/>
  <c r="HT65" i="21"/>
  <c r="HX63" i="21"/>
  <c r="HY63" i="21"/>
  <c r="HI66" i="21"/>
  <c r="HP65" i="21" s="1"/>
  <c r="HK67" i="21"/>
  <c r="HL65" i="21"/>
  <c r="HA66" i="21"/>
  <c r="GY65" i="21"/>
  <c r="HF64" i="21" s="1"/>
  <c r="HE63" i="21"/>
  <c r="HB64" i="21"/>
  <c r="HC63" i="21"/>
  <c r="EW64" i="21"/>
  <c r="GA64" i="21"/>
  <c r="FL65" i="21"/>
  <c r="GO66" i="21"/>
  <c r="GV65" i="21" s="1"/>
  <c r="GQ67" i="21"/>
  <c r="GP66" i="21"/>
  <c r="FF64" i="21"/>
  <c r="EU64" i="21"/>
  <c r="FG64" i="21"/>
  <c r="FE64" i="21"/>
  <c r="EH65" i="21"/>
  <c r="FZ64" i="21"/>
  <c r="CE63" i="21"/>
  <c r="GE66" i="21"/>
  <c r="GL65" i="21" s="1"/>
  <c r="GG67" i="21"/>
  <c r="GF66" i="21"/>
  <c r="GH65" i="21"/>
  <c r="FU66" i="21"/>
  <c r="GB65" i="21" s="1"/>
  <c r="FX65" i="21"/>
  <c r="FV66" i="21"/>
  <c r="FW67" i="21"/>
  <c r="FY64" i="21"/>
  <c r="FO63" i="21"/>
  <c r="FQ63" i="21"/>
  <c r="DS63" i="21"/>
  <c r="FK65" i="21"/>
  <c r="FR64" i="21" s="1"/>
  <c r="FN64" i="21"/>
  <c r="FM66" i="21"/>
  <c r="FC67" i="21"/>
  <c r="FA66" i="21"/>
  <c r="FH65" i="21" s="1"/>
  <c r="FB66" i="21"/>
  <c r="FD65" i="21"/>
  <c r="ES67" i="21"/>
  <c r="EQ66" i="21"/>
  <c r="EX65" i="21" s="1"/>
  <c r="ET65" i="21"/>
  <c r="ER66" i="21"/>
  <c r="EC63" i="21"/>
  <c r="EK63" i="21"/>
  <c r="DG63" i="21"/>
  <c r="EB63" i="21"/>
  <c r="EL63" i="21"/>
  <c r="EM63" i="21"/>
  <c r="CC63" i="21"/>
  <c r="EA63" i="21"/>
  <c r="CD63" i="21"/>
  <c r="EJ64" i="21"/>
  <c r="EI66" i="21"/>
  <c r="EG65" i="21"/>
  <c r="EN64" i="21" s="1"/>
  <c r="DY66" i="21"/>
  <c r="DW65" i="21"/>
  <c r="ED64" i="21" s="1"/>
  <c r="DX65" i="21"/>
  <c r="DZ64" i="21"/>
  <c r="DM65" i="21"/>
  <c r="DT64" i="21" s="1"/>
  <c r="DO66" i="21"/>
  <c r="DP64" i="21"/>
  <c r="CV64" i="21"/>
  <c r="BU63" i="21"/>
  <c r="CW63" i="21"/>
  <c r="CT65" i="21"/>
  <c r="CY63" i="21"/>
  <c r="DF64" i="21"/>
  <c r="DH63" i="21"/>
  <c r="DE66" i="21"/>
  <c r="DC65" i="21"/>
  <c r="DJ64" i="21" s="1"/>
  <c r="DI63" i="21"/>
  <c r="DD65" i="21"/>
  <c r="CS65" i="21"/>
  <c r="CZ64" i="21" s="1"/>
  <c r="CU66" i="21"/>
  <c r="CX63" i="21"/>
  <c r="AV65" i="21"/>
  <c r="AQ64" i="21"/>
  <c r="CK66" i="21"/>
  <c r="CN63" i="21"/>
  <c r="CL64" i="21"/>
  <c r="CO63" i="21"/>
  <c r="CI65" i="21"/>
  <c r="CP64" i="21" s="1"/>
  <c r="CJ65" i="21"/>
  <c r="BY65" i="21"/>
  <c r="CF64" i="21" s="1"/>
  <c r="CA66" i="21"/>
  <c r="CB64" i="21"/>
  <c r="BO65" i="21"/>
  <c r="BV64" i="21" s="1"/>
  <c r="BQ66" i="21"/>
  <c r="BT63" i="21"/>
  <c r="BR64" i="21"/>
  <c r="BP65" i="21"/>
  <c r="BE66" i="21"/>
  <c r="BL65" i="21" s="1"/>
  <c r="BJ64" i="21"/>
  <c r="BI64" i="21"/>
  <c r="BG67" i="21"/>
  <c r="BK64" i="21"/>
  <c r="AU65" i="21"/>
  <c r="BB64" i="21" s="1"/>
  <c r="AZ63" i="21"/>
  <c r="AX64" i="21"/>
  <c r="AW66" i="21"/>
  <c r="AY63" i="21"/>
  <c r="BA63" i="21"/>
  <c r="AL66" i="21"/>
  <c r="AP64" i="21"/>
  <c r="AK66" i="21"/>
  <c r="AR65" i="21" s="1"/>
  <c r="AM67" i="21"/>
  <c r="AN65" i="21"/>
  <c r="AO64" i="21"/>
  <c r="Q151" i="25"/>
  <c r="N151" i="25"/>
  <c r="O151" i="25"/>
  <c r="P150" i="25"/>
  <c r="R150" i="25"/>
  <c r="M152" i="25"/>
  <c r="S149" i="25"/>
  <c r="JA85" i="21" l="1"/>
  <c r="KQ86" i="21"/>
  <c r="JB85" i="21"/>
  <c r="JV85" i="21"/>
  <c r="JU85" i="21"/>
  <c r="KF85" i="21"/>
  <c r="JW85" i="21"/>
  <c r="JC85" i="21"/>
  <c r="KB87" i="21"/>
  <c r="KE85" i="21"/>
  <c r="KH85" i="21"/>
  <c r="KA87" i="21"/>
  <c r="KC88" i="21"/>
  <c r="KD86" i="21"/>
  <c r="KG85" i="21"/>
  <c r="JH88" i="21"/>
  <c r="KP86" i="21"/>
  <c r="KO86" i="21"/>
  <c r="KM89" i="21"/>
  <c r="KL88" i="21"/>
  <c r="KR86" i="21"/>
  <c r="KK88" i="21"/>
  <c r="KN87" i="21"/>
  <c r="KQ87" i="21" s="1"/>
  <c r="JS88" i="21"/>
  <c r="JX85" i="21"/>
  <c r="JQ87" i="21"/>
  <c r="JR87" i="21"/>
  <c r="JT86" i="21"/>
  <c r="JN86" i="21"/>
  <c r="JG88" i="21"/>
  <c r="JM86" i="21"/>
  <c r="JJ87" i="21"/>
  <c r="JK86" i="21"/>
  <c r="JI89" i="21"/>
  <c r="JL86" i="21"/>
  <c r="IY88" i="21"/>
  <c r="JD85" i="21"/>
  <c r="IW87" i="21"/>
  <c r="IZ86" i="21"/>
  <c r="IX87" i="21"/>
  <c r="AW67" i="25"/>
  <c r="AX67" i="25" s="1"/>
  <c r="BH67" i="25" s="1"/>
  <c r="BE66" i="25"/>
  <c r="AS66" i="25"/>
  <c r="AY66" i="25" s="1"/>
  <c r="BD66" i="25" s="1"/>
  <c r="AU67" i="25"/>
  <c r="BK65" i="21"/>
  <c r="BA67" i="25"/>
  <c r="AQ67" i="25"/>
  <c r="BB66" i="25"/>
  <c r="V75" i="25"/>
  <c r="AS75" i="25" s="1"/>
  <c r="AZ74" i="25"/>
  <c r="M73" i="30"/>
  <c r="K149" i="30"/>
  <c r="L149" i="30" s="1"/>
  <c r="GS65" i="21"/>
  <c r="C74" i="30"/>
  <c r="AN70" i="25"/>
  <c r="AO69" i="25"/>
  <c r="AR74" i="25"/>
  <c r="AV74" i="25"/>
  <c r="BF74" i="25" s="1"/>
  <c r="AL70" i="25"/>
  <c r="BC70" i="25" s="1"/>
  <c r="AT70" i="25"/>
  <c r="BG70" i="25" s="1"/>
  <c r="AP68" i="25"/>
  <c r="AA74" i="25"/>
  <c r="AB74" i="25"/>
  <c r="AI74" i="25"/>
  <c r="AJ74" i="25"/>
  <c r="X73" i="25"/>
  <c r="AF73" i="25"/>
  <c r="Z73" i="25"/>
  <c r="AM70" i="25"/>
  <c r="AK71" i="25"/>
  <c r="AC73" i="25"/>
  <c r="AE73" i="25"/>
  <c r="AH73" i="25"/>
  <c r="AG73" i="25"/>
  <c r="AD72" i="25"/>
  <c r="W74" i="25"/>
  <c r="Y74" i="25"/>
  <c r="GU65" i="21"/>
  <c r="KZ65" i="21"/>
  <c r="FL66" i="21"/>
  <c r="GT65" i="21"/>
  <c r="KV67" i="21"/>
  <c r="KY65" i="21"/>
  <c r="LA65" i="21"/>
  <c r="IN67" i="21"/>
  <c r="KU67" i="21"/>
  <c r="LB66" i="21" s="1"/>
  <c r="KW68" i="21"/>
  <c r="KX66" i="21"/>
  <c r="BI65" i="21"/>
  <c r="BJ65" i="21"/>
  <c r="HL66" i="21"/>
  <c r="HB65" i="21"/>
  <c r="HY64" i="21"/>
  <c r="HX64" i="21"/>
  <c r="HT66" i="21"/>
  <c r="HW64" i="21"/>
  <c r="IQ65" i="21"/>
  <c r="IS65" i="21"/>
  <c r="IF66" i="21"/>
  <c r="FF65" i="21"/>
  <c r="IM67" i="21"/>
  <c r="IT66" i="21" s="1"/>
  <c r="IO68" i="21"/>
  <c r="IP66" i="21"/>
  <c r="IR65" i="21"/>
  <c r="CX64" i="21"/>
  <c r="IG65" i="21"/>
  <c r="HO65" i="21"/>
  <c r="CC64" i="21"/>
  <c r="ID67" i="21"/>
  <c r="CW64" i="21"/>
  <c r="GF67" i="21"/>
  <c r="GR66" i="21"/>
  <c r="II65" i="21"/>
  <c r="IC67" i="21"/>
  <c r="IJ66" i="21" s="1"/>
  <c r="IE68" i="21"/>
  <c r="IH65" i="21"/>
  <c r="HS66" i="21"/>
  <c r="HZ65" i="21" s="1"/>
  <c r="HV65" i="21"/>
  <c r="HU67" i="21"/>
  <c r="HK68" i="21"/>
  <c r="HI67" i="21"/>
  <c r="HP66" i="21" s="1"/>
  <c r="HJ67" i="21"/>
  <c r="HM65" i="21"/>
  <c r="HN65" i="21"/>
  <c r="GY66" i="21"/>
  <c r="HF65" i="21" s="1"/>
  <c r="HA67" i="21"/>
  <c r="HD64" i="21"/>
  <c r="HE64" i="21"/>
  <c r="HC64" i="21"/>
  <c r="GZ66" i="21"/>
  <c r="EB64" i="21"/>
  <c r="GQ68" i="21"/>
  <c r="GO67" i="21"/>
  <c r="GV66" i="21" s="1"/>
  <c r="GP67" i="21"/>
  <c r="FX66" i="21"/>
  <c r="CY64" i="21"/>
  <c r="FY65" i="21"/>
  <c r="DH64" i="21"/>
  <c r="FN65" i="21"/>
  <c r="GG68" i="21"/>
  <c r="GH66" i="21"/>
  <c r="GK65" i="21"/>
  <c r="GE67" i="21"/>
  <c r="GL66" i="21" s="1"/>
  <c r="GI65" i="21"/>
  <c r="GJ65" i="21"/>
  <c r="FV67" i="21"/>
  <c r="FU67" i="21"/>
  <c r="GB66" i="21" s="1"/>
  <c r="FW68" i="21"/>
  <c r="FZ65" i="21"/>
  <c r="GA65" i="21"/>
  <c r="FB67" i="21"/>
  <c r="DP65" i="21"/>
  <c r="ET66" i="21"/>
  <c r="FO64" i="21"/>
  <c r="FK66" i="21"/>
  <c r="FR65" i="21" s="1"/>
  <c r="FP64" i="21"/>
  <c r="FM67" i="21"/>
  <c r="FQ64" i="21"/>
  <c r="FA67" i="21"/>
  <c r="FH66" i="21" s="1"/>
  <c r="FE65" i="21"/>
  <c r="FD66" i="21"/>
  <c r="FG65" i="21"/>
  <c r="FC68" i="21"/>
  <c r="EQ67" i="21"/>
  <c r="EX66" i="21" s="1"/>
  <c r="EW65" i="21"/>
  <c r="EV65" i="21"/>
  <c r="ES68" i="21"/>
  <c r="ER67" i="21"/>
  <c r="EU65" i="21"/>
  <c r="DR64" i="21"/>
  <c r="DS64" i="21"/>
  <c r="EC64" i="21"/>
  <c r="DX66" i="21"/>
  <c r="EI67" i="21"/>
  <c r="EG66" i="21"/>
  <c r="EN65" i="21" s="1"/>
  <c r="EJ65" i="21"/>
  <c r="EM64" i="21"/>
  <c r="EL64" i="21"/>
  <c r="EK64" i="21"/>
  <c r="EH66" i="21"/>
  <c r="EA64" i="21"/>
  <c r="DW66" i="21"/>
  <c r="ED65" i="21" s="1"/>
  <c r="DZ65" i="21"/>
  <c r="DY67" i="21"/>
  <c r="DO67" i="21"/>
  <c r="DQ64" i="21"/>
  <c r="DN66" i="21"/>
  <c r="DM66" i="21"/>
  <c r="DT65" i="21" s="1"/>
  <c r="BR65" i="21"/>
  <c r="DI64" i="21"/>
  <c r="CT66" i="21"/>
  <c r="DC66" i="21"/>
  <c r="DJ65" i="21" s="1"/>
  <c r="DE67" i="21"/>
  <c r="DF65" i="21"/>
  <c r="DD66" i="21"/>
  <c r="DG64" i="21"/>
  <c r="CS66" i="21"/>
  <c r="CZ65" i="21" s="1"/>
  <c r="CU67" i="21"/>
  <c r="CV65" i="21"/>
  <c r="CE64" i="21"/>
  <c r="CO64" i="21"/>
  <c r="CD64" i="21"/>
  <c r="CL65" i="21"/>
  <c r="BT64" i="21"/>
  <c r="CN64" i="21"/>
  <c r="CK67" i="21"/>
  <c r="CJ66" i="21"/>
  <c r="CI66" i="21"/>
  <c r="CP65" i="21" s="1"/>
  <c r="CM64" i="21"/>
  <c r="BY66" i="21"/>
  <c r="CF65" i="21" s="1"/>
  <c r="CA67" i="21"/>
  <c r="CB65" i="21"/>
  <c r="BZ66" i="21"/>
  <c r="BQ67" i="21"/>
  <c r="BU64" i="21"/>
  <c r="BO66" i="21"/>
  <c r="BV65" i="21" s="1"/>
  <c r="BP66" i="21"/>
  <c r="BS64" i="21"/>
  <c r="AX65" i="21"/>
  <c r="BG68" i="21"/>
  <c r="BF67" i="21"/>
  <c r="BE67" i="21"/>
  <c r="BL66" i="21" s="1"/>
  <c r="BH66" i="21"/>
  <c r="AW67" i="21"/>
  <c r="AZ64" i="21"/>
  <c r="AU66" i="21"/>
  <c r="BB65" i="21" s="1"/>
  <c r="BA64" i="21"/>
  <c r="AY64" i="21"/>
  <c r="AV66" i="21"/>
  <c r="AP65" i="21"/>
  <c r="AO65" i="21"/>
  <c r="AK67" i="21"/>
  <c r="AR66" i="21" s="1"/>
  <c r="AM68" i="21"/>
  <c r="AL67" i="21"/>
  <c r="AN66" i="21"/>
  <c r="AQ65" i="21"/>
  <c r="S150" i="25"/>
  <c r="O152" i="25"/>
  <c r="Q152" i="25"/>
  <c r="N152" i="25"/>
  <c r="M153" i="25"/>
  <c r="P151" i="25"/>
  <c r="R151" i="25"/>
  <c r="JU86" i="21" l="1"/>
  <c r="GS66" i="21"/>
  <c r="KD87" i="21"/>
  <c r="JR88" i="21"/>
  <c r="KO87" i="21"/>
  <c r="KC89" i="21"/>
  <c r="KB88" i="21"/>
  <c r="KF86" i="21"/>
  <c r="KH86" i="21"/>
  <c r="KA88" i="21"/>
  <c r="KE86" i="21"/>
  <c r="KE87" i="21" s="1"/>
  <c r="KG86" i="21"/>
  <c r="JW86" i="21"/>
  <c r="JK87" i="21"/>
  <c r="JV86" i="21"/>
  <c r="KP87" i="21"/>
  <c r="JJ88" i="21"/>
  <c r="JM87" i="21"/>
  <c r="IX88" i="21"/>
  <c r="KR87" i="21"/>
  <c r="KK89" i="21"/>
  <c r="KL89" i="21"/>
  <c r="KM90" i="21"/>
  <c r="KN88" i="21"/>
  <c r="KQ88" i="21" s="1"/>
  <c r="JX86" i="21"/>
  <c r="JQ88" i="21"/>
  <c r="JS89" i="21"/>
  <c r="JT87" i="21"/>
  <c r="JI90" i="21"/>
  <c r="JN87" i="21"/>
  <c r="JG89" i="21"/>
  <c r="JL87" i="21"/>
  <c r="JH89" i="21"/>
  <c r="JB86" i="21"/>
  <c r="JC86" i="21"/>
  <c r="JA86" i="21"/>
  <c r="IZ87" i="21"/>
  <c r="JD86" i="21"/>
  <c r="IW88" i="21"/>
  <c r="IY89" i="21"/>
  <c r="AW68" i="25"/>
  <c r="AX68" i="25" s="1"/>
  <c r="BH68" i="25" s="1"/>
  <c r="BE67" i="25"/>
  <c r="AS67" i="25"/>
  <c r="AY67" i="25" s="1"/>
  <c r="BD67" i="25" s="1"/>
  <c r="AU68" i="25"/>
  <c r="AY68" i="25"/>
  <c r="BD68" i="25" s="1"/>
  <c r="BA68" i="25"/>
  <c r="AQ68" i="25"/>
  <c r="BB67" i="25"/>
  <c r="V76" i="25"/>
  <c r="AS76" i="25" s="1"/>
  <c r="AZ75" i="25"/>
  <c r="M74" i="30"/>
  <c r="K150" i="30"/>
  <c r="L150" i="30" s="1"/>
  <c r="C75" i="30"/>
  <c r="AN71" i="25"/>
  <c r="AO70" i="25"/>
  <c r="AR75" i="25"/>
  <c r="AV75" i="25"/>
  <c r="BF75" i="25" s="1"/>
  <c r="AL71" i="25"/>
  <c r="BC71" i="25" s="1"/>
  <c r="AT71" i="25"/>
  <c r="BG71" i="25" s="1"/>
  <c r="AP69" i="25"/>
  <c r="AA75" i="25"/>
  <c r="AB75" i="25"/>
  <c r="AH74" i="25"/>
  <c r="Z74" i="25"/>
  <c r="X74" i="25"/>
  <c r="AI75" i="25"/>
  <c r="AJ75" i="25"/>
  <c r="AM71" i="25"/>
  <c r="AK72" i="25"/>
  <c r="AG74" i="25"/>
  <c r="AF74" i="25"/>
  <c r="AE74" i="25"/>
  <c r="AC74" i="25"/>
  <c r="AD73" i="25"/>
  <c r="Y75" i="25"/>
  <c r="W75" i="25"/>
  <c r="IG66" i="21"/>
  <c r="FZ66" i="21"/>
  <c r="LA66" i="21"/>
  <c r="CC65" i="21"/>
  <c r="HY65" i="21"/>
  <c r="GT66" i="21"/>
  <c r="GU66" i="21"/>
  <c r="HT67" i="21"/>
  <c r="IN68" i="21"/>
  <c r="EV66" i="21"/>
  <c r="BJ66" i="21"/>
  <c r="HE65" i="21"/>
  <c r="KW69" i="21"/>
  <c r="KV68" i="21"/>
  <c r="KZ66" i="21"/>
  <c r="KX67" i="21"/>
  <c r="KY66" i="21"/>
  <c r="KU68" i="21"/>
  <c r="LB67" i="21" s="1"/>
  <c r="II66" i="21"/>
  <c r="GA66" i="21"/>
  <c r="HN66" i="21"/>
  <c r="HM66" i="21"/>
  <c r="IP67" i="21"/>
  <c r="DQ65" i="21"/>
  <c r="HC65" i="21"/>
  <c r="IH66" i="21"/>
  <c r="HD65" i="21"/>
  <c r="HO66" i="21"/>
  <c r="HV66" i="21"/>
  <c r="ID68" i="21"/>
  <c r="IO69" i="21"/>
  <c r="IS66" i="21"/>
  <c r="IM68" i="21"/>
  <c r="IT67" i="21" s="1"/>
  <c r="IR66" i="21"/>
  <c r="IQ66" i="21"/>
  <c r="BS65" i="21"/>
  <c r="BT65" i="21"/>
  <c r="EU66" i="21"/>
  <c r="FG66" i="21"/>
  <c r="GK66" i="21"/>
  <c r="FO65" i="21"/>
  <c r="EW66" i="21"/>
  <c r="CW65" i="21"/>
  <c r="FY66" i="21"/>
  <c r="IE69" i="21"/>
  <c r="IC68" i="21"/>
  <c r="IJ67" i="21" s="1"/>
  <c r="IF67" i="21"/>
  <c r="HS67" i="21"/>
  <c r="HZ66" i="21" s="1"/>
  <c r="HW65" i="21"/>
  <c r="HU68" i="21"/>
  <c r="HX65" i="21"/>
  <c r="HK69" i="21"/>
  <c r="HJ68" i="21"/>
  <c r="HI68" i="21"/>
  <c r="HP67" i="21" s="1"/>
  <c r="HL67" i="21"/>
  <c r="HA68" i="21"/>
  <c r="GY67" i="21"/>
  <c r="HF66" i="21" s="1"/>
  <c r="GZ67" i="21"/>
  <c r="HB66" i="21"/>
  <c r="DN67" i="21"/>
  <c r="GJ66" i="21"/>
  <c r="FQ65" i="21"/>
  <c r="GO68" i="21"/>
  <c r="GV67" i="21" s="1"/>
  <c r="GQ69" i="21"/>
  <c r="GP68" i="21"/>
  <c r="GR67" i="21"/>
  <c r="GI66" i="21"/>
  <c r="CN65" i="21"/>
  <c r="FP65" i="21"/>
  <c r="DS65" i="21"/>
  <c r="DX67" i="21"/>
  <c r="EM65" i="21"/>
  <c r="DR65" i="21"/>
  <c r="FB68" i="21"/>
  <c r="DZ66" i="21"/>
  <c r="FD67" i="21"/>
  <c r="EJ66" i="21"/>
  <c r="BU65" i="21"/>
  <c r="GE68" i="21"/>
  <c r="GL67" i="21" s="1"/>
  <c r="GH67" i="21"/>
  <c r="GG69" i="21"/>
  <c r="GF68" i="21"/>
  <c r="FU68" i="21"/>
  <c r="GB67" i="21" s="1"/>
  <c r="FW69" i="21"/>
  <c r="FV68" i="21"/>
  <c r="FX67" i="21"/>
  <c r="CM65" i="21"/>
  <c r="EH67" i="21"/>
  <c r="FK67" i="21"/>
  <c r="FR66" i="21" s="1"/>
  <c r="FM68" i="21"/>
  <c r="FL67" i="21"/>
  <c r="FN66" i="21"/>
  <c r="FE66" i="21"/>
  <c r="FA68" i="21"/>
  <c r="FH67" i="21" s="1"/>
  <c r="FC69" i="21"/>
  <c r="FF66" i="21"/>
  <c r="EQ68" i="21"/>
  <c r="EX67" i="21" s="1"/>
  <c r="ES69" i="21"/>
  <c r="ER68" i="21"/>
  <c r="ET67" i="21"/>
  <c r="EL65" i="21"/>
  <c r="EG67" i="21"/>
  <c r="EN66" i="21" s="1"/>
  <c r="EI68" i="21"/>
  <c r="EK65" i="21"/>
  <c r="DW67" i="21"/>
  <c r="ED66" i="21" s="1"/>
  <c r="EB65" i="21"/>
  <c r="EA65" i="21"/>
  <c r="DY68" i="21"/>
  <c r="EC65" i="21"/>
  <c r="DO68" i="21"/>
  <c r="DM67" i="21"/>
  <c r="DT66" i="21" s="1"/>
  <c r="DP66" i="21"/>
  <c r="AZ65" i="21"/>
  <c r="CE65" i="21"/>
  <c r="DF66" i="21"/>
  <c r="CY65" i="21"/>
  <c r="CX65" i="21"/>
  <c r="DE68" i="21"/>
  <c r="DH65" i="21"/>
  <c r="DG65" i="21"/>
  <c r="DC67" i="21"/>
  <c r="DJ66" i="21" s="1"/>
  <c r="DI65" i="21"/>
  <c r="DD67" i="21"/>
  <c r="CU68" i="21"/>
  <c r="CS67" i="21"/>
  <c r="CZ66" i="21" s="1"/>
  <c r="CV66" i="21"/>
  <c r="CT67" i="21"/>
  <c r="AY65" i="21"/>
  <c r="BA65" i="21"/>
  <c r="CO65" i="21"/>
  <c r="CI67" i="21"/>
  <c r="CP66" i="21" s="1"/>
  <c r="CK68" i="21"/>
  <c r="CJ67" i="21"/>
  <c r="CL66" i="21"/>
  <c r="BY67" i="21"/>
  <c r="CF66" i="21" s="1"/>
  <c r="BZ67" i="21"/>
  <c r="CA68" i="21"/>
  <c r="CB66" i="21"/>
  <c r="CD65" i="21"/>
  <c r="BQ68" i="21"/>
  <c r="BO67" i="21"/>
  <c r="BV66" i="21" s="1"/>
  <c r="BP67" i="21"/>
  <c r="BR66" i="21"/>
  <c r="BF68" i="21"/>
  <c r="BE68" i="21"/>
  <c r="BL67" i="21" s="1"/>
  <c r="BK66" i="21"/>
  <c r="BI66" i="21"/>
  <c r="BH67" i="21"/>
  <c r="BG69" i="21"/>
  <c r="AW68" i="21"/>
  <c r="AU67" i="21"/>
  <c r="BB66" i="21" s="1"/>
  <c r="AV67" i="21"/>
  <c r="AX66" i="21"/>
  <c r="AP66" i="21"/>
  <c r="AL68" i="21"/>
  <c r="AK68" i="21"/>
  <c r="AR67" i="21" s="1"/>
  <c r="AN67" i="21"/>
  <c r="AO66" i="21"/>
  <c r="AM69" i="21"/>
  <c r="AQ66" i="21"/>
  <c r="S151" i="25"/>
  <c r="M154" i="25"/>
  <c r="Q153" i="25"/>
  <c r="N153" i="25"/>
  <c r="O153" i="25"/>
  <c r="P152" i="25"/>
  <c r="R152" i="25"/>
  <c r="KB89" i="21" l="1"/>
  <c r="FZ67" i="21"/>
  <c r="JL88" i="21"/>
  <c r="KF87" i="21"/>
  <c r="KG87" i="21"/>
  <c r="JM88" i="21"/>
  <c r="IX89" i="21"/>
  <c r="JT88" i="21"/>
  <c r="KH87" i="21"/>
  <c r="KA89" i="21"/>
  <c r="KC90" i="21"/>
  <c r="KD88" i="21"/>
  <c r="KO88" i="21"/>
  <c r="JK88" i="21"/>
  <c r="JA87" i="21"/>
  <c r="JW87" i="21"/>
  <c r="JU87" i="21"/>
  <c r="KN89" i="21"/>
  <c r="KM91" i="21"/>
  <c r="KL90" i="21"/>
  <c r="KP88" i="21"/>
  <c r="KR88" i="21"/>
  <c r="KK90" i="21"/>
  <c r="JS90" i="21"/>
  <c r="JX87" i="21"/>
  <c r="JQ89" i="21"/>
  <c r="JR89" i="21"/>
  <c r="JV87" i="21"/>
  <c r="JN88" i="21"/>
  <c r="JG90" i="21"/>
  <c r="JJ89" i="21"/>
  <c r="JI91" i="21"/>
  <c r="JH90" i="21"/>
  <c r="JD87" i="21"/>
  <c r="IW89" i="21"/>
  <c r="IZ88" i="21"/>
  <c r="JC87" i="21"/>
  <c r="IY90" i="21"/>
  <c r="JB87" i="21"/>
  <c r="AW69" i="25"/>
  <c r="AX69" i="25" s="1"/>
  <c r="BH69" i="25" s="1"/>
  <c r="BE68" i="25"/>
  <c r="AU69" i="25"/>
  <c r="AY69" i="25"/>
  <c r="BD69" i="25" s="1"/>
  <c r="BA69" i="25"/>
  <c r="AQ69" i="25"/>
  <c r="BB68" i="25"/>
  <c r="V77" i="25"/>
  <c r="AS77" i="25" s="1"/>
  <c r="AZ76" i="25"/>
  <c r="M75" i="30"/>
  <c r="K151" i="30"/>
  <c r="L151" i="30" s="1"/>
  <c r="C76" i="30"/>
  <c r="AN72" i="25"/>
  <c r="AO71" i="25"/>
  <c r="AR76" i="25"/>
  <c r="AV76" i="25"/>
  <c r="BF76" i="25" s="1"/>
  <c r="AL72" i="25"/>
  <c r="BC72" i="25" s="1"/>
  <c r="AT72" i="25"/>
  <c r="BG72" i="25" s="1"/>
  <c r="AP70" i="25"/>
  <c r="AA76" i="25"/>
  <c r="AB76" i="25"/>
  <c r="AI76" i="25"/>
  <c r="AJ76" i="25"/>
  <c r="X75" i="25"/>
  <c r="AH75" i="25"/>
  <c r="Z75" i="25"/>
  <c r="AM72" i="25"/>
  <c r="AK73" i="25"/>
  <c r="AC75" i="25"/>
  <c r="AF75" i="25"/>
  <c r="AG75" i="25"/>
  <c r="AE75" i="25"/>
  <c r="AD74" i="25"/>
  <c r="W76" i="25"/>
  <c r="Y76" i="25"/>
  <c r="FF67" i="21"/>
  <c r="HN67" i="21"/>
  <c r="HX66" i="21"/>
  <c r="GU67" i="21"/>
  <c r="HY66" i="21"/>
  <c r="HW66" i="21"/>
  <c r="FG67" i="21"/>
  <c r="KX68" i="21"/>
  <c r="KW70" i="21"/>
  <c r="KY67" i="21"/>
  <c r="KV69" i="21"/>
  <c r="LA67" i="21"/>
  <c r="KZ67" i="21"/>
  <c r="KU69" i="21"/>
  <c r="LB68" i="21" s="1"/>
  <c r="IS67" i="21"/>
  <c r="IQ67" i="21"/>
  <c r="HC66" i="21"/>
  <c r="HJ69" i="21"/>
  <c r="DN68" i="21"/>
  <c r="IR67" i="21"/>
  <c r="IH67" i="21"/>
  <c r="EW67" i="21"/>
  <c r="GP69" i="21"/>
  <c r="BS66" i="21"/>
  <c r="IM69" i="21"/>
  <c r="IT68" i="21" s="1"/>
  <c r="IO70" i="21"/>
  <c r="IP68" i="21"/>
  <c r="IN69" i="21"/>
  <c r="EC66" i="21"/>
  <c r="DI66" i="21"/>
  <c r="EB66" i="21"/>
  <c r="GI67" i="21"/>
  <c r="EL66" i="21"/>
  <c r="FQ66" i="21"/>
  <c r="EA66" i="21"/>
  <c r="CB67" i="21"/>
  <c r="EK66" i="21"/>
  <c r="IC69" i="21"/>
  <c r="IJ68" i="21" s="1"/>
  <c r="IE70" i="21"/>
  <c r="IG67" i="21"/>
  <c r="II67" i="21"/>
  <c r="IF68" i="21"/>
  <c r="ID69" i="21"/>
  <c r="HU69" i="21"/>
  <c r="HS68" i="21"/>
  <c r="HZ67" i="21" s="1"/>
  <c r="HV67" i="21"/>
  <c r="HT68" i="21"/>
  <c r="HK70" i="21"/>
  <c r="HI69" i="21"/>
  <c r="HP68" i="21" s="1"/>
  <c r="HL68" i="21"/>
  <c r="HO67" i="21"/>
  <c r="HM67" i="21"/>
  <c r="HA69" i="21"/>
  <c r="GY68" i="21"/>
  <c r="HF67" i="21" s="1"/>
  <c r="HB67" i="21"/>
  <c r="HD66" i="21"/>
  <c r="GZ68" i="21"/>
  <c r="HE66" i="21"/>
  <c r="FO66" i="21"/>
  <c r="EH68" i="21"/>
  <c r="FV69" i="21"/>
  <c r="CM66" i="21"/>
  <c r="GS67" i="21"/>
  <c r="GQ70" i="21"/>
  <c r="GT67" i="21"/>
  <c r="GR68" i="21"/>
  <c r="GO69" i="21"/>
  <c r="GV68" i="21" s="1"/>
  <c r="CY66" i="21"/>
  <c r="FL68" i="21"/>
  <c r="EM66" i="21"/>
  <c r="GJ67" i="21"/>
  <c r="GA67" i="21"/>
  <c r="FE67" i="21"/>
  <c r="GG70" i="21"/>
  <c r="GH68" i="21"/>
  <c r="GK67" i="21"/>
  <c r="GE69" i="21"/>
  <c r="GL68" i="21" s="1"/>
  <c r="GF69" i="21"/>
  <c r="FW70" i="21"/>
  <c r="FU69" i="21"/>
  <c r="GB68" i="21" s="1"/>
  <c r="FY67" i="21"/>
  <c r="FX68" i="21"/>
  <c r="FZ68" i="21" s="1"/>
  <c r="CV67" i="21"/>
  <c r="CN66" i="21"/>
  <c r="DG66" i="21"/>
  <c r="DH66" i="21"/>
  <c r="EU67" i="21"/>
  <c r="BA66" i="21"/>
  <c r="BP68" i="21"/>
  <c r="FM69" i="21"/>
  <c r="FK68" i="21"/>
  <c r="FR67" i="21" s="1"/>
  <c r="FN67" i="21"/>
  <c r="FP66" i="21"/>
  <c r="FC70" i="21"/>
  <c r="FB69" i="21"/>
  <c r="FA69" i="21"/>
  <c r="FH68" i="21" s="1"/>
  <c r="FD68" i="21"/>
  <c r="ES70" i="21"/>
  <c r="EQ69" i="21"/>
  <c r="EX68" i="21" s="1"/>
  <c r="ER69" i="21"/>
  <c r="ET68" i="21"/>
  <c r="EV67" i="21"/>
  <c r="DD68" i="21"/>
  <c r="EI69" i="21"/>
  <c r="EG68" i="21"/>
  <c r="EN67" i="21" s="1"/>
  <c r="EJ67" i="21"/>
  <c r="DY69" i="21"/>
  <c r="DW68" i="21"/>
  <c r="ED67" i="21" s="1"/>
  <c r="DZ67" i="21"/>
  <c r="DX68" i="21"/>
  <c r="DM68" i="21"/>
  <c r="DT67" i="21" s="1"/>
  <c r="DS66" i="21"/>
  <c r="DP67" i="21"/>
  <c r="DR66" i="21"/>
  <c r="DQ66" i="21"/>
  <c r="DO69" i="21"/>
  <c r="CT68" i="21"/>
  <c r="DC68" i="21"/>
  <c r="DJ67" i="21" s="1"/>
  <c r="DE69" i="21"/>
  <c r="DF67" i="21"/>
  <c r="CX66" i="21"/>
  <c r="CW66" i="21"/>
  <c r="CS68" i="21"/>
  <c r="CZ67" i="21" s="1"/>
  <c r="CU69" i="21"/>
  <c r="BF69" i="21"/>
  <c r="BH68" i="21"/>
  <c r="CK69" i="21"/>
  <c r="CI68" i="21"/>
  <c r="CP67" i="21" s="1"/>
  <c r="CJ68" i="21"/>
  <c r="CO66" i="21"/>
  <c r="CL67" i="21"/>
  <c r="BZ68" i="21"/>
  <c r="BY68" i="21"/>
  <c r="CF67" i="21" s="1"/>
  <c r="CC66" i="21"/>
  <c r="CA69" i="21"/>
  <c r="CD66" i="21"/>
  <c r="CE66" i="21"/>
  <c r="BQ69" i="21"/>
  <c r="BO68" i="21"/>
  <c r="BV67" i="21" s="1"/>
  <c r="BR67" i="21"/>
  <c r="BT66" i="21"/>
  <c r="BU66" i="21"/>
  <c r="BK67" i="21"/>
  <c r="BI67" i="21"/>
  <c r="BE69" i="21"/>
  <c r="BL68" i="21" s="1"/>
  <c r="BG70" i="21"/>
  <c r="BJ67" i="21"/>
  <c r="AU68" i="21"/>
  <c r="BB67" i="21" s="1"/>
  <c r="AW69" i="21"/>
  <c r="AX67" i="21"/>
  <c r="AY66" i="21"/>
  <c r="AV68" i="21"/>
  <c r="AZ66" i="21"/>
  <c r="AN68" i="21"/>
  <c r="AP67" i="21"/>
  <c r="AM70" i="21"/>
  <c r="AK69" i="21"/>
  <c r="AR68" i="21" s="1"/>
  <c r="AO67" i="21"/>
  <c r="AQ67" i="21"/>
  <c r="AL69" i="21"/>
  <c r="S152" i="25"/>
  <c r="K152" i="30" s="1"/>
  <c r="L152" i="30" s="1"/>
  <c r="P153" i="25"/>
  <c r="R153" i="25"/>
  <c r="M155" i="25"/>
  <c r="O154" i="25"/>
  <c r="Q154" i="25"/>
  <c r="N154" i="25"/>
  <c r="FF68" i="21" l="1"/>
  <c r="JU88" i="21"/>
  <c r="JW88" i="21"/>
  <c r="JC88" i="21"/>
  <c r="JV88" i="21"/>
  <c r="KD89" i="21"/>
  <c r="KG88" i="21"/>
  <c r="KF88" i="21"/>
  <c r="KE88" i="21"/>
  <c r="KC91" i="21"/>
  <c r="KB90" i="21"/>
  <c r="KH88" i="21"/>
  <c r="KA90" i="21"/>
  <c r="KL91" i="21"/>
  <c r="JR90" i="21"/>
  <c r="KO89" i="21"/>
  <c r="JH91" i="21"/>
  <c r="IZ89" i="21"/>
  <c r="JB88" i="21"/>
  <c r="KQ89" i="21"/>
  <c r="KP89" i="21"/>
  <c r="KR89" i="21"/>
  <c r="KK91" i="21"/>
  <c r="KN90" i="21"/>
  <c r="KM92" i="21"/>
  <c r="JX88" i="21"/>
  <c r="JQ90" i="21"/>
  <c r="JS91" i="21"/>
  <c r="JT89" i="21"/>
  <c r="JI92" i="21"/>
  <c r="JJ90" i="21"/>
  <c r="JK89" i="21"/>
  <c r="JM89" i="21"/>
  <c r="JN89" i="21"/>
  <c r="JG91" i="21"/>
  <c r="JL89" i="21"/>
  <c r="IY91" i="21"/>
  <c r="IX90" i="21"/>
  <c r="JA88" i="21"/>
  <c r="JD88" i="21"/>
  <c r="IW90" i="21"/>
  <c r="AW70" i="25"/>
  <c r="AX70" i="25" s="1"/>
  <c r="BH70" i="25" s="1"/>
  <c r="BE69" i="25"/>
  <c r="AU70" i="25"/>
  <c r="HX67" i="21"/>
  <c r="EK67" i="21"/>
  <c r="AY70" i="25"/>
  <c r="BD70" i="25" s="1"/>
  <c r="BA70" i="25"/>
  <c r="AQ70" i="25"/>
  <c r="BB69" i="25"/>
  <c r="V78" i="25"/>
  <c r="AS78" i="25" s="1"/>
  <c r="AZ77" i="25"/>
  <c r="M76" i="30"/>
  <c r="C77" i="30"/>
  <c r="AN73" i="25"/>
  <c r="AO72" i="25"/>
  <c r="AR77" i="25"/>
  <c r="AV77" i="25"/>
  <c r="BF77" i="25" s="1"/>
  <c r="AL73" i="25"/>
  <c r="BC73" i="25" s="1"/>
  <c r="AT73" i="25"/>
  <c r="BG73" i="25" s="1"/>
  <c r="AP71" i="25"/>
  <c r="AA77" i="25"/>
  <c r="AB77" i="25"/>
  <c r="AH76" i="25"/>
  <c r="Z76" i="25"/>
  <c r="AC76" i="25"/>
  <c r="X76" i="25"/>
  <c r="AI77" i="25"/>
  <c r="AJ77" i="25"/>
  <c r="AM73" i="25"/>
  <c r="AK74" i="25"/>
  <c r="AG76" i="25"/>
  <c r="AE76" i="25"/>
  <c r="AF76" i="25"/>
  <c r="AD75" i="25"/>
  <c r="Y77" i="25"/>
  <c r="W77" i="25"/>
  <c r="GI68" i="21"/>
  <c r="CN67" i="21"/>
  <c r="KY68" i="21"/>
  <c r="KZ68" i="21"/>
  <c r="KV70" i="21"/>
  <c r="CV68" i="21"/>
  <c r="LA68" i="21"/>
  <c r="KU70" i="21"/>
  <c r="LB69" i="21" s="1"/>
  <c r="KW71" i="21"/>
  <c r="KX69" i="21"/>
  <c r="HT69" i="21"/>
  <c r="EW68" i="21"/>
  <c r="FV70" i="21"/>
  <c r="CY67" i="21"/>
  <c r="GR69" i="21"/>
  <c r="IP69" i="21"/>
  <c r="FY68" i="21"/>
  <c r="HO68" i="21"/>
  <c r="IQ68" i="21"/>
  <c r="IS68" i="21"/>
  <c r="IO71" i="21"/>
  <c r="IR68" i="21"/>
  <c r="IM70" i="21"/>
  <c r="IT69" i="21" s="1"/>
  <c r="IN70" i="21"/>
  <c r="CD67" i="21"/>
  <c r="CE67" i="21"/>
  <c r="CC67" i="21"/>
  <c r="GZ69" i="21"/>
  <c r="HL69" i="21"/>
  <c r="GJ68" i="21"/>
  <c r="HD67" i="21"/>
  <c r="IF69" i="21"/>
  <c r="IG68" i="21"/>
  <c r="IE71" i="21"/>
  <c r="II68" i="21"/>
  <c r="IC70" i="21"/>
  <c r="IJ69" i="21" s="1"/>
  <c r="ID70" i="21"/>
  <c r="IH68" i="21"/>
  <c r="HY67" i="21"/>
  <c r="HV68" i="21"/>
  <c r="HS69" i="21"/>
  <c r="HZ68" i="21" s="1"/>
  <c r="HW67" i="21"/>
  <c r="HU70" i="21"/>
  <c r="HI70" i="21"/>
  <c r="HP69" i="21" s="1"/>
  <c r="HK71" i="21"/>
  <c r="HJ70" i="21"/>
  <c r="HM68" i="21"/>
  <c r="HN68" i="21"/>
  <c r="HB68" i="21"/>
  <c r="GY69" i="21"/>
  <c r="HF68" i="21" s="1"/>
  <c r="HA70" i="21"/>
  <c r="HE67" i="21"/>
  <c r="HC67" i="21"/>
  <c r="FN68" i="21"/>
  <c r="AY67" i="21"/>
  <c r="CT69" i="21"/>
  <c r="FL69" i="21"/>
  <c r="CW67" i="21"/>
  <c r="DQ67" i="21"/>
  <c r="CX67" i="21"/>
  <c r="GT68" i="21"/>
  <c r="GQ71" i="21"/>
  <c r="GS68" i="21"/>
  <c r="GP70" i="21"/>
  <c r="GO70" i="21"/>
  <c r="GV69" i="21" s="1"/>
  <c r="GU68" i="21"/>
  <c r="FE68" i="21"/>
  <c r="GK68" i="21"/>
  <c r="FB70" i="21"/>
  <c r="GA68" i="21"/>
  <c r="GE70" i="21"/>
  <c r="GL69" i="21" s="1"/>
  <c r="GH69" i="21"/>
  <c r="GG71" i="21"/>
  <c r="GF70" i="21"/>
  <c r="FU70" i="21"/>
  <c r="GB69" i="21" s="1"/>
  <c r="FW71" i="21"/>
  <c r="FX69" i="21"/>
  <c r="FZ69" i="21" s="1"/>
  <c r="BP69" i="21"/>
  <c r="BT67" i="21"/>
  <c r="EV68" i="21"/>
  <c r="DF68" i="21"/>
  <c r="DP68" i="21"/>
  <c r="ER70" i="21"/>
  <c r="FO67" i="21"/>
  <c r="FK69" i="21"/>
  <c r="FR68" i="21" s="1"/>
  <c r="FQ67" i="21"/>
  <c r="FP67" i="21"/>
  <c r="FM70" i="21"/>
  <c r="FA70" i="21"/>
  <c r="FH69" i="21" s="1"/>
  <c r="FC71" i="21"/>
  <c r="FG68" i="21"/>
  <c r="FD69" i="21"/>
  <c r="FF69" i="21" s="1"/>
  <c r="EQ70" i="21"/>
  <c r="EX69" i="21" s="1"/>
  <c r="ES71" i="21"/>
  <c r="ET69" i="21"/>
  <c r="EU68" i="21"/>
  <c r="DR67" i="21"/>
  <c r="BK68" i="21"/>
  <c r="DX69" i="21"/>
  <c r="DZ68" i="21"/>
  <c r="EI70" i="21"/>
  <c r="EJ68" i="21"/>
  <c r="EM67" i="21"/>
  <c r="EL67" i="21"/>
  <c r="EG69" i="21"/>
  <c r="EN68" i="21" s="1"/>
  <c r="EH69" i="21"/>
  <c r="EC67" i="21"/>
  <c r="DW69" i="21"/>
  <c r="ED68" i="21" s="1"/>
  <c r="EA67" i="21"/>
  <c r="EB67" i="21"/>
  <c r="DY70" i="21"/>
  <c r="DS67" i="21"/>
  <c r="DM69" i="21"/>
  <c r="DT68" i="21" s="1"/>
  <c r="DO70" i="21"/>
  <c r="DN69" i="21"/>
  <c r="BI68" i="21"/>
  <c r="DH67" i="21"/>
  <c r="CJ69" i="21"/>
  <c r="DI67" i="21"/>
  <c r="BJ68" i="21"/>
  <c r="CM67" i="21"/>
  <c r="AZ67" i="21"/>
  <c r="DE70" i="21"/>
  <c r="DG67" i="21"/>
  <c r="DC69" i="21"/>
  <c r="DJ68" i="21" s="1"/>
  <c r="DD69" i="21"/>
  <c r="CS69" i="21"/>
  <c r="CZ68" i="21" s="1"/>
  <c r="CU70" i="21"/>
  <c r="BR68" i="21"/>
  <c r="CO67" i="21"/>
  <c r="CI69" i="21"/>
  <c r="CP68" i="21" s="1"/>
  <c r="CK70" i="21"/>
  <c r="CL68" i="21"/>
  <c r="BY69" i="21"/>
  <c r="CF68" i="21" s="1"/>
  <c r="BZ69" i="21"/>
  <c r="CA70" i="21"/>
  <c r="CB68" i="21"/>
  <c r="BS67" i="21"/>
  <c r="BQ70" i="21"/>
  <c r="BO69" i="21"/>
  <c r="BV68" i="21" s="1"/>
  <c r="BU67" i="21"/>
  <c r="AV69" i="21"/>
  <c r="BG71" i="21"/>
  <c r="BE70" i="21"/>
  <c r="BL69" i="21" s="1"/>
  <c r="BH69" i="21"/>
  <c r="BF70" i="21"/>
  <c r="AX68" i="21"/>
  <c r="BA67" i="21"/>
  <c r="AW70" i="21"/>
  <c r="AU69" i="21"/>
  <c r="BB68" i="21" s="1"/>
  <c r="AO68" i="21"/>
  <c r="AQ68" i="21"/>
  <c r="AP68" i="21"/>
  <c r="AM71" i="21"/>
  <c r="AK70" i="21"/>
  <c r="AR69" i="21" s="1"/>
  <c r="AL70" i="21"/>
  <c r="AN69" i="21"/>
  <c r="O155" i="25"/>
  <c r="Q155" i="25"/>
  <c r="N155" i="25"/>
  <c r="S153" i="25"/>
  <c r="M156" i="25"/>
  <c r="R154" i="25"/>
  <c r="P154" i="25"/>
  <c r="JC89" i="21" l="1"/>
  <c r="KE89" i="21"/>
  <c r="KF89" i="21"/>
  <c r="JA89" i="21"/>
  <c r="KG89" i="21"/>
  <c r="KB91" i="21"/>
  <c r="JB89" i="21"/>
  <c r="KD90" i="21"/>
  <c r="KC92" i="21"/>
  <c r="KH89" i="21"/>
  <c r="KA91" i="21"/>
  <c r="JM90" i="21"/>
  <c r="KL92" i="21"/>
  <c r="JK90" i="21"/>
  <c r="KP90" i="21"/>
  <c r="KM93" i="21"/>
  <c r="KN91" i="21"/>
  <c r="KO90" i="21"/>
  <c r="KQ90" i="21"/>
  <c r="KR90" i="21"/>
  <c r="KK92" i="21"/>
  <c r="JT90" i="21"/>
  <c r="JU89" i="21"/>
  <c r="JW89" i="21"/>
  <c r="JV89" i="21"/>
  <c r="JS92" i="21"/>
  <c r="JX89" i="21"/>
  <c r="JQ91" i="21"/>
  <c r="JR91" i="21"/>
  <c r="JN90" i="21"/>
  <c r="JG92" i="21"/>
  <c r="JJ91" i="21"/>
  <c r="JL90" i="21"/>
  <c r="JI93" i="21"/>
  <c r="JH92" i="21"/>
  <c r="IX91" i="21"/>
  <c r="IY92" i="21"/>
  <c r="JD89" i="21"/>
  <c r="IW91" i="21"/>
  <c r="IZ90" i="21"/>
  <c r="AW71" i="25"/>
  <c r="AX71" i="25" s="1"/>
  <c r="BH71" i="25" s="1"/>
  <c r="BE70" i="25"/>
  <c r="AU71" i="25"/>
  <c r="AY71" i="25"/>
  <c r="BD71" i="25" s="1"/>
  <c r="BA71" i="25"/>
  <c r="AQ71" i="25"/>
  <c r="BB70" i="25"/>
  <c r="V79" i="25"/>
  <c r="AS79" i="25" s="1"/>
  <c r="AZ78" i="25"/>
  <c r="M77" i="30"/>
  <c r="K153" i="30"/>
  <c r="L153" i="30" s="1"/>
  <c r="GU69" i="21"/>
  <c r="C78" i="30"/>
  <c r="AN74" i="25"/>
  <c r="AO73" i="25"/>
  <c r="AR78" i="25"/>
  <c r="AV78" i="25"/>
  <c r="BF78" i="25" s="1"/>
  <c r="AL74" i="25"/>
  <c r="BC74" i="25" s="1"/>
  <c r="AT74" i="25"/>
  <c r="BG74" i="25" s="1"/>
  <c r="AP72" i="25"/>
  <c r="AB78" i="25"/>
  <c r="AA78" i="25"/>
  <c r="AJ78" i="25"/>
  <c r="AI78" i="25"/>
  <c r="X77" i="25"/>
  <c r="AF77" i="25"/>
  <c r="Z77" i="25"/>
  <c r="AM74" i="25"/>
  <c r="AK75" i="25"/>
  <c r="AC77" i="25"/>
  <c r="AH77" i="25"/>
  <c r="AG77" i="25"/>
  <c r="AE77" i="25"/>
  <c r="AD76" i="25"/>
  <c r="Y78" i="25"/>
  <c r="W78" i="25"/>
  <c r="KV71" i="21"/>
  <c r="EC68" i="21"/>
  <c r="CW68" i="21"/>
  <c r="CY68" i="21"/>
  <c r="HT70" i="21"/>
  <c r="GZ70" i="21"/>
  <c r="CX68" i="21"/>
  <c r="IS69" i="21"/>
  <c r="KX70" i="21"/>
  <c r="IQ69" i="21"/>
  <c r="KY69" i="21"/>
  <c r="LA69" i="21"/>
  <c r="KU71" i="21"/>
  <c r="LB70" i="21" s="1"/>
  <c r="KZ69" i="21"/>
  <c r="KW72" i="21"/>
  <c r="GT69" i="21"/>
  <c r="FP68" i="21"/>
  <c r="GS69" i="21"/>
  <c r="IN71" i="21"/>
  <c r="HO69" i="21"/>
  <c r="IR69" i="21"/>
  <c r="FQ68" i="21"/>
  <c r="BS68" i="21"/>
  <c r="CE68" i="21"/>
  <c r="GP71" i="21"/>
  <c r="FO68" i="21"/>
  <c r="DQ68" i="21"/>
  <c r="IM71" i="21"/>
  <c r="IT70" i="21" s="1"/>
  <c r="IP70" i="21"/>
  <c r="IO72" i="21"/>
  <c r="HB69" i="21"/>
  <c r="HN69" i="21"/>
  <c r="HC68" i="21"/>
  <c r="HM69" i="21"/>
  <c r="ER71" i="21"/>
  <c r="FL70" i="21"/>
  <c r="HJ71" i="21"/>
  <c r="HV69" i="21"/>
  <c r="CV69" i="21"/>
  <c r="IG69" i="21"/>
  <c r="IH69" i="21"/>
  <c r="II69" i="21"/>
  <c r="IC71" i="21"/>
  <c r="IJ70" i="21" s="1"/>
  <c r="IE72" i="21"/>
  <c r="ID71" i="21"/>
  <c r="IF70" i="21"/>
  <c r="HW68" i="21"/>
  <c r="HX68" i="21"/>
  <c r="HS70" i="21"/>
  <c r="HZ69" i="21" s="1"/>
  <c r="HU71" i="21"/>
  <c r="HY68" i="21"/>
  <c r="HI71" i="21"/>
  <c r="HP70" i="21" s="1"/>
  <c r="HK72" i="21"/>
  <c r="HL70" i="21"/>
  <c r="HA71" i="21"/>
  <c r="GY70" i="21"/>
  <c r="HF69" i="21" s="1"/>
  <c r="HE68" i="21"/>
  <c r="HD68" i="21"/>
  <c r="DX70" i="21"/>
  <c r="GQ72" i="21"/>
  <c r="GO71" i="21"/>
  <c r="GV70" i="21" s="1"/>
  <c r="GR70" i="21"/>
  <c r="FG69" i="21"/>
  <c r="BT68" i="21"/>
  <c r="EB68" i="21"/>
  <c r="DI68" i="21"/>
  <c r="DS68" i="21"/>
  <c r="DH68" i="21"/>
  <c r="DR68" i="21"/>
  <c r="FX70" i="21"/>
  <c r="FZ70" i="21" s="1"/>
  <c r="GH70" i="21"/>
  <c r="DG68" i="21"/>
  <c r="EL68" i="21"/>
  <c r="EA68" i="21"/>
  <c r="FY69" i="21"/>
  <c r="GG72" i="21"/>
  <c r="GJ69" i="21"/>
  <c r="GK69" i="21"/>
  <c r="GI69" i="21"/>
  <c r="GF71" i="21"/>
  <c r="GE71" i="21"/>
  <c r="GL70" i="21" s="1"/>
  <c r="FU71" i="21"/>
  <c r="GB70" i="21" s="1"/>
  <c r="FW72" i="21"/>
  <c r="GA69" i="21"/>
  <c r="FV71" i="21"/>
  <c r="ET70" i="21"/>
  <c r="FD70" i="21"/>
  <c r="FF70" i="21" s="1"/>
  <c r="FK70" i="21"/>
  <c r="FR69" i="21" s="1"/>
  <c r="FM71" i="21"/>
  <c r="FN69" i="21"/>
  <c r="FC72" i="21"/>
  <c r="FE69" i="21"/>
  <c r="FB71" i="21"/>
  <c r="FA71" i="21"/>
  <c r="FH70" i="21" s="1"/>
  <c r="EV69" i="21"/>
  <c r="ES72" i="21"/>
  <c r="EW69" i="21"/>
  <c r="EQ71" i="21"/>
  <c r="EX70" i="21" s="1"/>
  <c r="EU69" i="21"/>
  <c r="EM68" i="21"/>
  <c r="EJ69" i="21"/>
  <c r="EG70" i="21"/>
  <c r="EN69" i="21" s="1"/>
  <c r="EI71" i="21"/>
  <c r="EH70" i="21"/>
  <c r="EK68" i="21"/>
  <c r="DW70" i="21"/>
  <c r="ED69" i="21" s="1"/>
  <c r="DY71" i="21"/>
  <c r="DZ69" i="21"/>
  <c r="DM70" i="21"/>
  <c r="DT69" i="21" s="1"/>
  <c r="DO71" i="21"/>
  <c r="DN70" i="21"/>
  <c r="DP69" i="21"/>
  <c r="BU68" i="21"/>
  <c r="AZ68" i="21"/>
  <c r="CM68" i="21"/>
  <c r="DC70" i="21"/>
  <c r="DJ69" i="21" s="1"/>
  <c r="DE71" i="21"/>
  <c r="DD70" i="21"/>
  <c r="DF69" i="21"/>
  <c r="CU71" i="21"/>
  <c r="CS70" i="21"/>
  <c r="CZ69" i="21" s="1"/>
  <c r="CT70" i="21"/>
  <c r="CD68" i="21"/>
  <c r="CN68" i="21"/>
  <c r="BF71" i="21"/>
  <c r="CK71" i="21"/>
  <c r="CI70" i="21"/>
  <c r="CP69" i="21" s="1"/>
  <c r="CL69" i="21"/>
  <c r="CO68" i="21"/>
  <c r="CJ70" i="21"/>
  <c r="BZ70" i="21"/>
  <c r="BY70" i="21"/>
  <c r="CF69" i="21" s="1"/>
  <c r="CA71" i="21"/>
  <c r="CB69" i="21"/>
  <c r="CC68" i="21"/>
  <c r="BQ71" i="21"/>
  <c r="BP70" i="21"/>
  <c r="BO70" i="21"/>
  <c r="BV69" i="21" s="1"/>
  <c r="BR69" i="21"/>
  <c r="BH70" i="21"/>
  <c r="AY68" i="21"/>
  <c r="BA68" i="21"/>
  <c r="AP69" i="21"/>
  <c r="BK69" i="21"/>
  <c r="BE71" i="21"/>
  <c r="BL70" i="21" s="1"/>
  <c r="BI69" i="21"/>
  <c r="BG72" i="21"/>
  <c r="BJ69" i="21"/>
  <c r="AW71" i="21"/>
  <c r="AV70" i="21"/>
  <c r="AU70" i="21"/>
  <c r="BB69" i="21" s="1"/>
  <c r="AX69" i="21"/>
  <c r="AO69" i="21"/>
  <c r="AK71" i="21"/>
  <c r="AR70" i="21" s="1"/>
  <c r="AM72" i="21"/>
  <c r="AN70" i="21"/>
  <c r="AL71" i="21"/>
  <c r="AQ69" i="21"/>
  <c r="M157" i="25"/>
  <c r="O156" i="25"/>
  <c r="Q156" i="25"/>
  <c r="N156" i="25"/>
  <c r="P155" i="25"/>
  <c r="R155" i="25"/>
  <c r="S154" i="25"/>
  <c r="GU70" i="21" l="1"/>
  <c r="JL91" i="21"/>
  <c r="JV90" i="21"/>
  <c r="KL93" i="21"/>
  <c r="KH90" i="21"/>
  <c r="KA92" i="21"/>
  <c r="KC93" i="21"/>
  <c r="KE90" i="21"/>
  <c r="KD91" i="21"/>
  <c r="KG90" i="21"/>
  <c r="KF90" i="21"/>
  <c r="KB92" i="21"/>
  <c r="JW90" i="21"/>
  <c r="KQ91" i="21"/>
  <c r="KO91" i="21"/>
  <c r="KN92" i="21"/>
  <c r="KQ92" i="21" s="1"/>
  <c r="JJ92" i="21"/>
  <c r="JU90" i="21"/>
  <c r="KP91" i="21"/>
  <c r="KR91" i="21"/>
  <c r="KK93" i="21"/>
  <c r="KM94" i="21"/>
  <c r="JX90" i="21"/>
  <c r="JQ92" i="21"/>
  <c r="JS93" i="21"/>
  <c r="JR92" i="21"/>
  <c r="JT91" i="21"/>
  <c r="JI94" i="21"/>
  <c r="JK91" i="21"/>
  <c r="JM91" i="21"/>
  <c r="JN91" i="21"/>
  <c r="JG93" i="21"/>
  <c r="JH93" i="21"/>
  <c r="JD90" i="21"/>
  <c r="IW92" i="21"/>
  <c r="JC90" i="21"/>
  <c r="IZ91" i="21"/>
  <c r="JB90" i="21"/>
  <c r="IY93" i="21"/>
  <c r="IX92" i="21"/>
  <c r="JA90" i="21"/>
  <c r="AW72" i="25"/>
  <c r="AX72" i="25" s="1"/>
  <c r="BH72" i="25" s="1"/>
  <c r="BE71" i="25"/>
  <c r="AU72" i="25"/>
  <c r="GI70" i="21"/>
  <c r="AQ72" i="25"/>
  <c r="BB71" i="25"/>
  <c r="AY72" i="25"/>
  <c r="BD72" i="25" s="1"/>
  <c r="BA72" i="25"/>
  <c r="V80" i="25"/>
  <c r="AZ79" i="25"/>
  <c r="M78" i="30"/>
  <c r="K154" i="30"/>
  <c r="L154" i="30" s="1"/>
  <c r="C79" i="30"/>
  <c r="AN75" i="25"/>
  <c r="AO74" i="25"/>
  <c r="AR79" i="25"/>
  <c r="AV79" i="25"/>
  <c r="BF79" i="25" s="1"/>
  <c r="AL75" i="25"/>
  <c r="BC75" i="25" s="1"/>
  <c r="AT75" i="25"/>
  <c r="BG75" i="25" s="1"/>
  <c r="AP73" i="25"/>
  <c r="AB79" i="25"/>
  <c r="AA79" i="25"/>
  <c r="AC78" i="25"/>
  <c r="X78" i="25"/>
  <c r="AF78" i="25"/>
  <c r="Z78" i="25"/>
  <c r="AS80" i="25"/>
  <c r="AJ79" i="25"/>
  <c r="AI79" i="25"/>
  <c r="AM75" i="25"/>
  <c r="AK76" i="25"/>
  <c r="AD77" i="25"/>
  <c r="AG78" i="25"/>
  <c r="AE78" i="25"/>
  <c r="AH78" i="25"/>
  <c r="Y79" i="25"/>
  <c r="W79" i="25"/>
  <c r="S155" i="25"/>
  <c r="GZ71" i="21"/>
  <c r="CX69" i="21"/>
  <c r="CY69" i="21"/>
  <c r="KZ70" i="21"/>
  <c r="IP71" i="21"/>
  <c r="AP70" i="21"/>
  <c r="LA70" i="21"/>
  <c r="KY70" i="21"/>
  <c r="FP69" i="21"/>
  <c r="KU72" i="21"/>
  <c r="LB71" i="21" s="1"/>
  <c r="KW73" i="21"/>
  <c r="KV72" i="21"/>
  <c r="KX71" i="21"/>
  <c r="HE69" i="21"/>
  <c r="CW69" i="21"/>
  <c r="EA69" i="21"/>
  <c r="HJ72" i="21"/>
  <c r="HD69" i="21"/>
  <c r="IN72" i="21"/>
  <c r="HN70" i="21"/>
  <c r="ID72" i="21"/>
  <c r="DQ69" i="21"/>
  <c r="EW70" i="21"/>
  <c r="EV70" i="21"/>
  <c r="IO73" i="21"/>
  <c r="IR70" i="21"/>
  <c r="IQ70" i="21"/>
  <c r="IM72" i="21"/>
  <c r="IT71" i="21" s="1"/>
  <c r="IS70" i="21"/>
  <c r="HY69" i="21"/>
  <c r="HX69" i="21"/>
  <c r="HC69" i="21"/>
  <c r="HW69" i="21"/>
  <c r="IF71" i="21"/>
  <c r="IG70" i="21"/>
  <c r="IH70" i="21"/>
  <c r="IE73" i="21"/>
  <c r="IC72" i="21"/>
  <c r="IJ71" i="21" s="1"/>
  <c r="II70" i="21"/>
  <c r="HU72" i="21"/>
  <c r="HS71" i="21"/>
  <c r="HZ70" i="21" s="1"/>
  <c r="HV70" i="21"/>
  <c r="HT71" i="21"/>
  <c r="HK73" i="21"/>
  <c r="HI72" i="21"/>
  <c r="HP71" i="21" s="1"/>
  <c r="HL71" i="21"/>
  <c r="HO70" i="21"/>
  <c r="HM70" i="21"/>
  <c r="GY71" i="21"/>
  <c r="HF70" i="21" s="1"/>
  <c r="HA72" i="21"/>
  <c r="HB70" i="21"/>
  <c r="GJ70" i="21"/>
  <c r="GK70" i="21"/>
  <c r="GT70" i="21"/>
  <c r="EL69" i="21"/>
  <c r="GO72" i="21"/>
  <c r="GV71" i="21" s="1"/>
  <c r="GQ73" i="21"/>
  <c r="GP72" i="21"/>
  <c r="GR71" i="21"/>
  <c r="GS70" i="21"/>
  <c r="GF72" i="21"/>
  <c r="GA70" i="21"/>
  <c r="EK69" i="21"/>
  <c r="FE70" i="21"/>
  <c r="FQ69" i="21"/>
  <c r="FY70" i="21"/>
  <c r="EU70" i="21"/>
  <c r="FB72" i="21"/>
  <c r="FG70" i="21"/>
  <c r="GG73" i="21"/>
  <c r="GE72" i="21"/>
  <c r="GL71" i="21" s="1"/>
  <c r="GH71" i="21"/>
  <c r="FW73" i="21"/>
  <c r="FU72" i="21"/>
  <c r="GB71" i="21" s="1"/>
  <c r="FV72" i="21"/>
  <c r="FX71" i="21"/>
  <c r="CC69" i="21"/>
  <c r="FM72" i="21"/>
  <c r="FK71" i="21"/>
  <c r="FR70" i="21" s="1"/>
  <c r="FN70" i="21"/>
  <c r="FO69" i="21"/>
  <c r="FL71" i="21"/>
  <c r="FC73" i="21"/>
  <c r="FA72" i="21"/>
  <c r="FH71" i="21" s="1"/>
  <c r="FD71" i="21"/>
  <c r="ES73" i="21"/>
  <c r="EQ72" i="21"/>
  <c r="EX71" i="21" s="1"/>
  <c r="ER72" i="21"/>
  <c r="ET71" i="21"/>
  <c r="DD71" i="21"/>
  <c r="DS69" i="21"/>
  <c r="EC69" i="21"/>
  <c r="DN71" i="21"/>
  <c r="EI72" i="21"/>
  <c r="EG71" i="21"/>
  <c r="EN70" i="21" s="1"/>
  <c r="EJ70" i="21"/>
  <c r="EH71" i="21"/>
  <c r="EM69" i="21"/>
  <c r="DY72" i="21"/>
  <c r="DW71" i="21"/>
  <c r="ED70" i="21" s="1"/>
  <c r="DX71" i="21"/>
  <c r="DZ70" i="21"/>
  <c r="EB69" i="21"/>
  <c r="DO72" i="21"/>
  <c r="DM71" i="21"/>
  <c r="DT70" i="21" s="1"/>
  <c r="DR69" i="21"/>
  <c r="DP70" i="21"/>
  <c r="CL70" i="21"/>
  <c r="CD69" i="21"/>
  <c r="DI69" i="21"/>
  <c r="DF70" i="21"/>
  <c r="DH69" i="21"/>
  <c r="DG69" i="21"/>
  <c r="DE72" i="21"/>
  <c r="DC71" i="21"/>
  <c r="DJ70" i="21" s="1"/>
  <c r="CU72" i="21"/>
  <c r="CS71" i="21"/>
  <c r="CZ70" i="21" s="1"/>
  <c r="CT71" i="21"/>
  <c r="CV70" i="21"/>
  <c r="BI70" i="21"/>
  <c r="CE69" i="21"/>
  <c r="BP71" i="21"/>
  <c r="CI71" i="21"/>
  <c r="CP70" i="21" s="1"/>
  <c r="CN69" i="21"/>
  <c r="CM69" i="21"/>
  <c r="CK72" i="21"/>
  <c r="CO69" i="21"/>
  <c r="CJ71" i="21"/>
  <c r="BY71" i="21"/>
  <c r="CF70" i="21" s="1"/>
  <c r="CA72" i="21"/>
  <c r="CB70" i="21"/>
  <c r="BZ71" i="21"/>
  <c r="BT69" i="21"/>
  <c r="BR70" i="21"/>
  <c r="BS69" i="21"/>
  <c r="BO71" i="21"/>
  <c r="BV70" i="21" s="1"/>
  <c r="BQ72" i="21"/>
  <c r="BU69" i="21"/>
  <c r="BK70" i="21"/>
  <c r="BJ70" i="21"/>
  <c r="BG73" i="21"/>
  <c r="BE72" i="21"/>
  <c r="BL71" i="21" s="1"/>
  <c r="BF72" i="21"/>
  <c r="BH71" i="21"/>
  <c r="AV71" i="21"/>
  <c r="AZ69" i="21"/>
  <c r="AY69" i="21"/>
  <c r="AX70" i="21"/>
  <c r="BA69" i="21"/>
  <c r="AU71" i="21"/>
  <c r="BB70" i="21" s="1"/>
  <c r="AW72" i="21"/>
  <c r="AL72" i="21"/>
  <c r="AN71" i="21"/>
  <c r="AM73" i="21"/>
  <c r="AO70" i="21"/>
  <c r="AK72" i="21"/>
  <c r="AR71" i="21" s="1"/>
  <c r="AQ70" i="21"/>
  <c r="P156" i="25"/>
  <c r="R156" i="25"/>
  <c r="M158" i="25"/>
  <c r="Q157" i="25"/>
  <c r="N157" i="25"/>
  <c r="O157" i="25"/>
  <c r="KD92" i="21" l="1"/>
  <c r="JL92" i="21"/>
  <c r="JM92" i="21"/>
  <c r="JW91" i="21"/>
  <c r="KG91" i="21"/>
  <c r="KG92" i="21" s="1"/>
  <c r="KE91" i="21"/>
  <c r="KE92" i="21" s="1"/>
  <c r="KC94" i="21"/>
  <c r="KB93" i="21"/>
  <c r="KH91" i="21"/>
  <c r="KA93" i="21"/>
  <c r="KF91" i="21"/>
  <c r="KF92" i="21" s="1"/>
  <c r="KP92" i="21"/>
  <c r="JU91" i="21"/>
  <c r="JJ93" i="21"/>
  <c r="JL93" i="21" s="1"/>
  <c r="JK92" i="21"/>
  <c r="JB91" i="21"/>
  <c r="JC91" i="21"/>
  <c r="KO92" i="21"/>
  <c r="JH94" i="21"/>
  <c r="KM95" i="21"/>
  <c r="KR92" i="21"/>
  <c r="KK94" i="21"/>
  <c r="KL94" i="21"/>
  <c r="KN93" i="21"/>
  <c r="JS94" i="21"/>
  <c r="JX91" i="21"/>
  <c r="JQ93" i="21"/>
  <c r="JT92" i="21"/>
  <c r="JR93" i="21"/>
  <c r="JV91" i="21"/>
  <c r="JI95" i="21"/>
  <c r="JN92" i="21"/>
  <c r="JG94" i="21"/>
  <c r="IX93" i="21"/>
  <c r="IZ92" i="21"/>
  <c r="IY94" i="21"/>
  <c r="JD91" i="21"/>
  <c r="IW93" i="21"/>
  <c r="JA91" i="21"/>
  <c r="AW73" i="25"/>
  <c r="AX73" i="25" s="1"/>
  <c r="BH73" i="25" s="1"/>
  <c r="BE72" i="25"/>
  <c r="AU73" i="25"/>
  <c r="AY73" i="25"/>
  <c r="BD73" i="25" s="1"/>
  <c r="BA73" i="25"/>
  <c r="AQ73" i="25"/>
  <c r="BB72" i="25"/>
  <c r="V81" i="25"/>
  <c r="AS81" i="25" s="1"/>
  <c r="AZ80" i="25"/>
  <c r="M79" i="30"/>
  <c r="K155" i="30"/>
  <c r="L155" i="30" s="1"/>
  <c r="C80" i="30"/>
  <c r="AN76" i="25"/>
  <c r="AO75" i="25"/>
  <c r="AR80" i="25"/>
  <c r="AV80" i="25"/>
  <c r="BF80" i="25" s="1"/>
  <c r="AL76" i="25"/>
  <c r="BC76" i="25" s="1"/>
  <c r="AT76" i="25"/>
  <c r="BG76" i="25" s="1"/>
  <c r="AP74" i="25"/>
  <c r="AA80" i="25"/>
  <c r="AB80" i="25"/>
  <c r="AJ80" i="25"/>
  <c r="AI80" i="25"/>
  <c r="AC79" i="25"/>
  <c r="X79" i="25"/>
  <c r="AF79" i="25"/>
  <c r="Z79" i="25"/>
  <c r="AM76" i="25"/>
  <c r="AK77" i="25"/>
  <c r="AE79" i="25"/>
  <c r="AH79" i="25"/>
  <c r="AD78" i="25"/>
  <c r="AG79" i="25"/>
  <c r="Y80" i="25"/>
  <c r="W80" i="25"/>
  <c r="CW70" i="21"/>
  <c r="IR71" i="21"/>
  <c r="IS71" i="21"/>
  <c r="IQ71" i="21"/>
  <c r="AP71" i="21"/>
  <c r="GF73" i="21"/>
  <c r="EV71" i="21"/>
  <c r="ID73" i="21"/>
  <c r="HJ73" i="21"/>
  <c r="KX72" i="21"/>
  <c r="KU73" i="21"/>
  <c r="LB72" i="21" s="1"/>
  <c r="KV73" i="21"/>
  <c r="KY71" i="21"/>
  <c r="KW74" i="21"/>
  <c r="KZ71" i="21"/>
  <c r="LA71" i="21"/>
  <c r="HE70" i="21"/>
  <c r="HV71" i="21"/>
  <c r="IH71" i="21"/>
  <c r="HD70" i="21"/>
  <c r="IG71" i="21"/>
  <c r="HW70" i="21"/>
  <c r="II71" i="21"/>
  <c r="IM73" i="21"/>
  <c r="IT72" i="21" s="1"/>
  <c r="IO74" i="21"/>
  <c r="IN73" i="21"/>
  <c r="IP72" i="21"/>
  <c r="DR70" i="21"/>
  <c r="GP73" i="21"/>
  <c r="HL72" i="21"/>
  <c r="HT72" i="21"/>
  <c r="GS71" i="21"/>
  <c r="HY70" i="21"/>
  <c r="IE74" i="21"/>
  <c r="IC73" i="21"/>
  <c r="IJ72" i="21" s="1"/>
  <c r="IF72" i="21"/>
  <c r="HX70" i="21"/>
  <c r="HS72" i="21"/>
  <c r="HZ71" i="21" s="1"/>
  <c r="HU73" i="21"/>
  <c r="HI73" i="21"/>
  <c r="HP72" i="21" s="1"/>
  <c r="HM71" i="21"/>
  <c r="HK74" i="21"/>
  <c r="HO71" i="21"/>
  <c r="HN71" i="21"/>
  <c r="HA73" i="21"/>
  <c r="GZ72" i="21"/>
  <c r="GY72" i="21"/>
  <c r="HF71" i="21" s="1"/>
  <c r="HB71" i="21"/>
  <c r="HC70" i="21"/>
  <c r="DX72" i="21"/>
  <c r="GR72" i="21"/>
  <c r="GQ74" i="21"/>
  <c r="GT71" i="21"/>
  <c r="GO73" i="21"/>
  <c r="GV72" i="21" s="1"/>
  <c r="GU71" i="21"/>
  <c r="DS70" i="21"/>
  <c r="CO70" i="21"/>
  <c r="EC70" i="21"/>
  <c r="ER73" i="21"/>
  <c r="FV73" i="21"/>
  <c r="FL72" i="21"/>
  <c r="DD72" i="21"/>
  <c r="DG70" i="21"/>
  <c r="BK71" i="21"/>
  <c r="BZ72" i="21"/>
  <c r="DH70" i="21"/>
  <c r="GH72" i="21"/>
  <c r="GG74" i="21"/>
  <c r="GJ71" i="21"/>
  <c r="GK71" i="21"/>
  <c r="GE73" i="21"/>
  <c r="GL72" i="21" s="1"/>
  <c r="GI71" i="21"/>
  <c r="FZ71" i="21"/>
  <c r="FY71" i="21"/>
  <c r="FX72" i="21"/>
  <c r="GA71" i="21"/>
  <c r="FU73" i="21"/>
  <c r="GB72" i="21" s="1"/>
  <c r="FW74" i="21"/>
  <c r="FN71" i="21"/>
  <c r="CY70" i="21"/>
  <c r="EH72" i="21"/>
  <c r="EJ71" i="21"/>
  <c r="FP70" i="21"/>
  <c r="FQ70" i="21"/>
  <c r="FK72" i="21"/>
  <c r="FR71" i="21" s="1"/>
  <c r="FO70" i="21"/>
  <c r="FM73" i="21"/>
  <c r="FG71" i="21"/>
  <c r="FD72" i="21"/>
  <c r="FF71" i="21"/>
  <c r="FC74" i="21"/>
  <c r="FB73" i="21"/>
  <c r="FA73" i="21"/>
  <c r="FH72" i="21" s="1"/>
  <c r="FE71" i="21"/>
  <c r="EQ73" i="21"/>
  <c r="EX72" i="21" s="1"/>
  <c r="ES74" i="21"/>
  <c r="ET72" i="21"/>
  <c r="EU71" i="21"/>
  <c r="EW71" i="21"/>
  <c r="CM70" i="21"/>
  <c r="BU70" i="21"/>
  <c r="CN70" i="21"/>
  <c r="BI71" i="21"/>
  <c r="BS70" i="21"/>
  <c r="EB70" i="21"/>
  <c r="EK70" i="21"/>
  <c r="EG72" i="21"/>
  <c r="EN71" i="21" s="1"/>
  <c r="EL70" i="21"/>
  <c r="EI73" i="21"/>
  <c r="EM70" i="21"/>
  <c r="DW72" i="21"/>
  <c r="ED71" i="21" s="1"/>
  <c r="DY73" i="21"/>
  <c r="DZ71" i="21"/>
  <c r="EA70" i="21"/>
  <c r="DO73" i="21"/>
  <c r="DM72" i="21"/>
  <c r="DT71" i="21" s="1"/>
  <c r="DN72" i="21"/>
  <c r="DP71" i="21"/>
  <c r="DQ70" i="21"/>
  <c r="CB71" i="21"/>
  <c r="DI70" i="21"/>
  <c r="BJ71" i="21"/>
  <c r="DE73" i="21"/>
  <c r="DC72" i="21"/>
  <c r="DJ71" i="21" s="1"/>
  <c r="DF71" i="21"/>
  <c r="CS72" i="21"/>
  <c r="CZ71" i="21" s="1"/>
  <c r="CV71" i="21"/>
  <c r="CU73" i="21"/>
  <c r="CT72" i="21"/>
  <c r="CX70" i="21"/>
  <c r="CI72" i="21"/>
  <c r="CP71" i="21" s="1"/>
  <c r="CK73" i="21"/>
  <c r="CJ72" i="21"/>
  <c r="CL71" i="21"/>
  <c r="CC70" i="21"/>
  <c r="CE70" i="21"/>
  <c r="BY72" i="21"/>
  <c r="CF71" i="21" s="1"/>
  <c r="CA73" i="21"/>
  <c r="CD70" i="21"/>
  <c r="BO72" i="21"/>
  <c r="BV71" i="21" s="1"/>
  <c r="BR71" i="21"/>
  <c r="BQ73" i="21"/>
  <c r="BP72" i="21"/>
  <c r="BT70" i="21"/>
  <c r="AV72" i="21"/>
  <c r="BH72" i="21"/>
  <c r="BE73" i="21"/>
  <c r="BL72" i="21" s="1"/>
  <c r="BG74" i="21"/>
  <c r="BF73" i="21"/>
  <c r="BA70" i="21"/>
  <c r="AY70" i="21"/>
  <c r="AU72" i="21"/>
  <c r="BB71" i="21" s="1"/>
  <c r="AX71" i="21"/>
  <c r="AW73" i="21"/>
  <c r="AZ70" i="21"/>
  <c r="AQ71" i="21"/>
  <c r="AL73" i="21"/>
  <c r="AO71" i="21"/>
  <c r="AM74" i="21"/>
  <c r="AK73" i="21"/>
  <c r="AR72" i="21" s="1"/>
  <c r="AN72" i="21"/>
  <c r="S156" i="25"/>
  <c r="M159" i="25"/>
  <c r="O158" i="25"/>
  <c r="Q158" i="25"/>
  <c r="N158" i="25"/>
  <c r="P157" i="25"/>
  <c r="R157" i="25"/>
  <c r="JM93" i="21" l="1"/>
  <c r="KB94" i="21"/>
  <c r="JK93" i="21"/>
  <c r="JT93" i="21"/>
  <c r="KH92" i="21"/>
  <c r="KA94" i="21"/>
  <c r="KC95" i="21"/>
  <c r="KD93" i="21"/>
  <c r="KD94" i="21" s="1"/>
  <c r="IZ93" i="21"/>
  <c r="JU92" i="21"/>
  <c r="JV92" i="21"/>
  <c r="KL95" i="21"/>
  <c r="JR94" i="21"/>
  <c r="KP93" i="21"/>
  <c r="KO93" i="21"/>
  <c r="KQ93" i="21"/>
  <c r="KN94" i="21"/>
  <c r="KR93" i="21"/>
  <c r="KK95" i="21"/>
  <c r="KM96" i="21"/>
  <c r="JW92" i="21"/>
  <c r="JX92" i="21"/>
  <c r="JQ94" i="21"/>
  <c r="JS95" i="21"/>
  <c r="JI96" i="21"/>
  <c r="JH95" i="21"/>
  <c r="JN93" i="21"/>
  <c r="JG95" i="21"/>
  <c r="JJ94" i="21"/>
  <c r="JL94" i="21" s="1"/>
  <c r="IY95" i="21"/>
  <c r="JC92" i="21"/>
  <c r="JA92" i="21"/>
  <c r="JB92" i="21"/>
  <c r="JD92" i="21"/>
  <c r="IW94" i="21"/>
  <c r="IX94" i="21"/>
  <c r="AW74" i="25"/>
  <c r="AX74" i="25" s="1"/>
  <c r="BH74" i="25" s="1"/>
  <c r="BE73" i="25"/>
  <c r="AU74" i="25"/>
  <c r="AQ74" i="25"/>
  <c r="BB73" i="25"/>
  <c r="AY74" i="25"/>
  <c r="BD74" i="25" s="1"/>
  <c r="BA74" i="25"/>
  <c r="V82" i="25"/>
  <c r="AS82" i="25" s="1"/>
  <c r="AZ81" i="25"/>
  <c r="M80" i="30"/>
  <c r="K156" i="30"/>
  <c r="L156" i="30" s="1"/>
  <c r="C81" i="30"/>
  <c r="AN77" i="25"/>
  <c r="AO76" i="25"/>
  <c r="Y81" i="25"/>
  <c r="Z81" i="25" s="1"/>
  <c r="AV81" i="25"/>
  <c r="BF81" i="25" s="1"/>
  <c r="AL77" i="25"/>
  <c r="BC77" i="25" s="1"/>
  <c r="AT77" i="25"/>
  <c r="BG77" i="25" s="1"/>
  <c r="W81" i="25"/>
  <c r="X81" i="25" s="1"/>
  <c r="AR81" i="25"/>
  <c r="AP75" i="25"/>
  <c r="AB81" i="25"/>
  <c r="AA81" i="25"/>
  <c r="X80" i="25"/>
  <c r="AH80" i="25"/>
  <c r="Z80" i="25"/>
  <c r="AH81" i="25"/>
  <c r="AD81" i="25"/>
  <c r="AJ81" i="25"/>
  <c r="AI81" i="25"/>
  <c r="AM77" i="25"/>
  <c r="AF81" i="25"/>
  <c r="AG81" i="25"/>
  <c r="AE81" i="25"/>
  <c r="AK78" i="25"/>
  <c r="AC81" i="25"/>
  <c r="AF80" i="25"/>
  <c r="AE80" i="25"/>
  <c r="AG80" i="25"/>
  <c r="AD79" i="25"/>
  <c r="AC80" i="25"/>
  <c r="AP72" i="21"/>
  <c r="IQ72" i="21"/>
  <c r="HY71" i="21"/>
  <c r="EM71" i="21"/>
  <c r="DS71" i="21"/>
  <c r="FO71" i="21"/>
  <c r="LA72" i="21"/>
  <c r="KZ72" i="21"/>
  <c r="IH72" i="21"/>
  <c r="KY72" i="21"/>
  <c r="KU74" i="21"/>
  <c r="LB73" i="21" s="1"/>
  <c r="KW75" i="21"/>
  <c r="KV74" i="21"/>
  <c r="KX73" i="21"/>
  <c r="BJ72" i="21"/>
  <c r="DH71" i="21"/>
  <c r="HO72" i="21"/>
  <c r="HT73" i="21"/>
  <c r="GS72" i="21"/>
  <c r="HN72" i="21"/>
  <c r="DQ71" i="21"/>
  <c r="DX73" i="21"/>
  <c r="EU72" i="21"/>
  <c r="FB74" i="21"/>
  <c r="EL71" i="21"/>
  <c r="HX71" i="21"/>
  <c r="HW71" i="21"/>
  <c r="HL73" i="21"/>
  <c r="EK71" i="21"/>
  <c r="GU72" i="21"/>
  <c r="HM72" i="21"/>
  <c r="IN74" i="21"/>
  <c r="IO75" i="21"/>
  <c r="IM74" i="21"/>
  <c r="IT73" i="21" s="1"/>
  <c r="IP73" i="21"/>
  <c r="IS72" i="21"/>
  <c r="IR72" i="21"/>
  <c r="GZ73" i="21"/>
  <c r="FL73" i="21"/>
  <c r="HB72" i="21"/>
  <c r="ET73" i="21"/>
  <c r="GK72" i="21"/>
  <c r="IC74" i="21"/>
  <c r="IJ73" i="21" s="1"/>
  <c r="II72" i="21"/>
  <c r="IG72" i="21"/>
  <c r="IE75" i="21"/>
  <c r="IF73" i="21"/>
  <c r="ID74" i="21"/>
  <c r="HS73" i="21"/>
  <c r="HZ72" i="21" s="1"/>
  <c r="HV72" i="21"/>
  <c r="HU74" i="21"/>
  <c r="HK75" i="21"/>
  <c r="HI74" i="21"/>
  <c r="HP73" i="21" s="1"/>
  <c r="HJ74" i="21"/>
  <c r="GY73" i="21"/>
  <c r="HF72" i="21" s="1"/>
  <c r="HD71" i="21"/>
  <c r="HE71" i="21"/>
  <c r="HA74" i="21"/>
  <c r="HC71" i="21"/>
  <c r="GT72" i="21"/>
  <c r="GI72" i="21"/>
  <c r="GQ75" i="21"/>
  <c r="GO74" i="21"/>
  <c r="GV73" i="21" s="1"/>
  <c r="GP74" i="21"/>
  <c r="GR73" i="21"/>
  <c r="FF72" i="21"/>
  <c r="FG72" i="21"/>
  <c r="FE72" i="21"/>
  <c r="CB72" i="21"/>
  <c r="DZ72" i="21"/>
  <c r="FV74" i="21"/>
  <c r="FY72" i="21"/>
  <c r="FZ72" i="21"/>
  <c r="DN73" i="21"/>
  <c r="GA72" i="21"/>
  <c r="GJ72" i="21"/>
  <c r="GE74" i="21"/>
  <c r="GL73" i="21" s="1"/>
  <c r="GG75" i="21"/>
  <c r="GF74" i="21"/>
  <c r="GH73" i="21"/>
  <c r="FU74" i="21"/>
  <c r="GB73" i="21" s="1"/>
  <c r="FX73" i="21"/>
  <c r="FW75" i="21"/>
  <c r="FQ71" i="21"/>
  <c r="FP71" i="21"/>
  <c r="CN71" i="21"/>
  <c r="FK73" i="21"/>
  <c r="FR72" i="21" s="1"/>
  <c r="FM74" i="21"/>
  <c r="FN72" i="21"/>
  <c r="FC75" i="21"/>
  <c r="FD73" i="21"/>
  <c r="FA74" i="21"/>
  <c r="FH73" i="21" s="1"/>
  <c r="EV72" i="21"/>
  <c r="ES75" i="21"/>
  <c r="EQ74" i="21"/>
  <c r="EX73" i="21" s="1"/>
  <c r="ER74" i="21"/>
  <c r="EW72" i="21"/>
  <c r="CV72" i="21"/>
  <c r="EG73" i="21"/>
  <c r="EN72" i="21" s="1"/>
  <c r="EI74" i="21"/>
  <c r="EH73" i="21"/>
  <c r="EJ72" i="21"/>
  <c r="EB71" i="21"/>
  <c r="DY74" i="21"/>
  <c r="EC71" i="21"/>
  <c r="DW73" i="21"/>
  <c r="ED72" i="21" s="1"/>
  <c r="EA71" i="21"/>
  <c r="DM73" i="21"/>
  <c r="DT72" i="21" s="1"/>
  <c r="DO74" i="21"/>
  <c r="DP72" i="21"/>
  <c r="DR71" i="21"/>
  <c r="DI71" i="21"/>
  <c r="CE71" i="21"/>
  <c r="CC71" i="21"/>
  <c r="CD71" i="21"/>
  <c r="DC73" i="21"/>
  <c r="DJ72" i="21" s="1"/>
  <c r="DE74" i="21"/>
  <c r="DF72" i="21"/>
  <c r="DG71" i="21"/>
  <c r="DD73" i="21"/>
  <c r="CT73" i="21"/>
  <c r="CS73" i="21"/>
  <c r="CZ72" i="21" s="1"/>
  <c r="CY71" i="21"/>
  <c r="CU74" i="21"/>
  <c r="CX71" i="21"/>
  <c r="CW71" i="21"/>
  <c r="CO71" i="21"/>
  <c r="BP73" i="21"/>
  <c r="CI73" i="21"/>
  <c r="CP72" i="21" s="1"/>
  <c r="CK74" i="21"/>
  <c r="CJ73" i="21"/>
  <c r="CL72" i="21"/>
  <c r="CM71" i="21"/>
  <c r="CA74" i="21"/>
  <c r="BY73" i="21"/>
  <c r="CF72" i="21" s="1"/>
  <c r="BZ73" i="21"/>
  <c r="BR72" i="21"/>
  <c r="BU71" i="21"/>
  <c r="BS71" i="21"/>
  <c r="BQ74" i="21"/>
  <c r="BO73" i="21"/>
  <c r="BV72" i="21" s="1"/>
  <c r="BT71" i="21"/>
  <c r="BK72" i="21"/>
  <c r="BI72" i="21"/>
  <c r="BG75" i="21"/>
  <c r="BE74" i="21"/>
  <c r="BL73" i="21" s="1"/>
  <c r="BF74" i="21"/>
  <c r="BH73" i="21"/>
  <c r="AX72" i="21"/>
  <c r="AY71" i="21"/>
  <c r="BA71" i="21"/>
  <c r="AW74" i="21"/>
  <c r="AU73" i="21"/>
  <c r="BB72" i="21" s="1"/>
  <c r="AZ71" i="21"/>
  <c r="AV73" i="21"/>
  <c r="AL74" i="21"/>
  <c r="AQ72" i="21"/>
  <c r="AM75" i="21"/>
  <c r="AK74" i="21"/>
  <c r="AR73" i="21" s="1"/>
  <c r="AN73" i="21"/>
  <c r="AO72" i="21"/>
  <c r="S157" i="25"/>
  <c r="M160" i="25"/>
  <c r="P158" i="25"/>
  <c r="R158" i="25"/>
  <c r="Q159" i="25"/>
  <c r="N159" i="25"/>
  <c r="O159" i="25"/>
  <c r="KL96" i="21" l="1"/>
  <c r="KE93" i="21"/>
  <c r="KE94" i="21" s="1"/>
  <c r="JB93" i="21"/>
  <c r="JW93" i="21"/>
  <c r="JR95" i="21"/>
  <c r="KG93" i="21"/>
  <c r="KG94" i="21" s="1"/>
  <c r="JA93" i="21"/>
  <c r="JC93" i="21"/>
  <c r="JV93" i="21"/>
  <c r="JH96" i="21"/>
  <c r="JU93" i="21"/>
  <c r="KC96" i="21"/>
  <c r="KB95" i="21"/>
  <c r="KH93" i="21"/>
  <c r="KA95" i="21"/>
  <c r="KF93" i="21"/>
  <c r="KF94" i="21" s="1"/>
  <c r="KN95" i="21"/>
  <c r="KR94" i="21"/>
  <c r="KK96" i="21"/>
  <c r="KQ94" i="21"/>
  <c r="KO94" i="21"/>
  <c r="KM97" i="21"/>
  <c r="KP94" i="21"/>
  <c r="JX93" i="21"/>
  <c r="JQ95" i="21"/>
  <c r="JS96" i="21"/>
  <c r="JT94" i="21"/>
  <c r="JN94" i="21"/>
  <c r="JG96" i="21"/>
  <c r="JK94" i="21"/>
  <c r="JM94" i="21"/>
  <c r="JJ95" i="21"/>
  <c r="JI97" i="21"/>
  <c r="JD93" i="21"/>
  <c r="IW95" i="21"/>
  <c r="IY96" i="21"/>
  <c r="IX95" i="21"/>
  <c r="IZ94" i="21"/>
  <c r="AW75" i="25"/>
  <c r="AX75" i="25" s="1"/>
  <c r="BH75" i="25" s="1"/>
  <c r="BE74" i="25"/>
  <c r="AU75" i="25"/>
  <c r="IQ73" i="21"/>
  <c r="AY75" i="25"/>
  <c r="BD75" i="25" s="1"/>
  <c r="BA75" i="25"/>
  <c r="AQ75" i="25"/>
  <c r="BB74" i="25"/>
  <c r="V83" i="25"/>
  <c r="AZ82" i="25"/>
  <c r="M81" i="30"/>
  <c r="AP73" i="21"/>
  <c r="K157" i="30"/>
  <c r="L157" i="30" s="1"/>
  <c r="C82" i="30"/>
  <c r="AN78" i="25"/>
  <c r="AO77" i="25"/>
  <c r="AV82" i="25"/>
  <c r="BF82" i="25" s="1"/>
  <c r="AL78" i="25"/>
  <c r="BC78" i="25" s="1"/>
  <c r="AT78" i="25"/>
  <c r="BG78" i="25" s="1"/>
  <c r="AR82" i="25"/>
  <c r="W82" i="25"/>
  <c r="X82" i="25" s="1"/>
  <c r="Y82" i="25"/>
  <c r="Z82" i="25" s="1"/>
  <c r="AP76" i="25"/>
  <c r="AA82" i="25"/>
  <c r="AB82" i="25"/>
  <c r="AD82" i="25"/>
  <c r="AH82" i="25"/>
  <c r="AI82" i="25"/>
  <c r="AJ82" i="25"/>
  <c r="AM78" i="25"/>
  <c r="AG82" i="25"/>
  <c r="AF82" i="25"/>
  <c r="AE82" i="25"/>
  <c r="AC82" i="25"/>
  <c r="AK79" i="25"/>
  <c r="AD80" i="25"/>
  <c r="CX72" i="21"/>
  <c r="CD72" i="21"/>
  <c r="CC72" i="21"/>
  <c r="KZ73" i="21"/>
  <c r="HX72" i="21"/>
  <c r="HC72" i="21"/>
  <c r="KY73" i="21"/>
  <c r="KU75" i="21"/>
  <c r="LB74" i="21" s="1"/>
  <c r="KX74" i="21"/>
  <c r="KV75" i="21"/>
  <c r="LA73" i="21"/>
  <c r="KW76" i="21"/>
  <c r="CW72" i="21"/>
  <c r="HN73" i="21"/>
  <c r="EC72" i="21"/>
  <c r="EU73" i="21"/>
  <c r="GT73" i="21"/>
  <c r="HM73" i="21"/>
  <c r="HO73" i="21"/>
  <c r="GU73" i="21"/>
  <c r="CE72" i="21"/>
  <c r="EV73" i="21"/>
  <c r="IN75" i="21"/>
  <c r="IR73" i="21"/>
  <c r="EK72" i="21"/>
  <c r="IS73" i="21"/>
  <c r="IP74" i="21"/>
  <c r="IM75" i="21"/>
  <c r="IT74" i="21" s="1"/>
  <c r="IO76" i="21"/>
  <c r="EW73" i="21"/>
  <c r="FF73" i="21"/>
  <c r="HE72" i="21"/>
  <c r="HD72" i="21"/>
  <c r="IF74" i="21"/>
  <c r="IG73" i="21"/>
  <c r="IE76" i="21"/>
  <c r="II73" i="21"/>
  <c r="IC75" i="21"/>
  <c r="IJ74" i="21" s="1"/>
  <c r="ID75" i="21"/>
  <c r="IH73" i="21"/>
  <c r="HU75" i="21"/>
  <c r="HW72" i="21"/>
  <c r="HV73" i="21"/>
  <c r="HY72" i="21"/>
  <c r="HS74" i="21"/>
  <c r="HZ73" i="21" s="1"/>
  <c r="HT74" i="21"/>
  <c r="HI75" i="21"/>
  <c r="HP74" i="21" s="1"/>
  <c r="HK76" i="21"/>
  <c r="HJ75" i="21"/>
  <c r="HL74" i="21"/>
  <c r="HA75" i="21"/>
  <c r="GZ74" i="21"/>
  <c r="GY74" i="21"/>
  <c r="HF73" i="21" s="1"/>
  <c r="HB73" i="21"/>
  <c r="FQ72" i="21"/>
  <c r="CY72" i="21"/>
  <c r="EB72" i="21"/>
  <c r="FX74" i="21"/>
  <c r="EA72" i="21"/>
  <c r="DZ73" i="21"/>
  <c r="FZ73" i="21"/>
  <c r="GQ76" i="21"/>
  <c r="GS73" i="21"/>
  <c r="GR74" i="21"/>
  <c r="GP75" i="21"/>
  <c r="GO75" i="21"/>
  <c r="GV74" i="21" s="1"/>
  <c r="FP72" i="21"/>
  <c r="BP74" i="21"/>
  <c r="CJ74" i="21"/>
  <c r="GF75" i="21"/>
  <c r="GE75" i="21"/>
  <c r="GL74" i="21" s="1"/>
  <c r="GG76" i="21"/>
  <c r="GH74" i="21"/>
  <c r="GJ73" i="21"/>
  <c r="GI73" i="21"/>
  <c r="GK73" i="21"/>
  <c r="FW76" i="21"/>
  <c r="FV75" i="21"/>
  <c r="FY73" i="21"/>
  <c r="GA73" i="21"/>
  <c r="FU75" i="21"/>
  <c r="GB74" i="21" s="1"/>
  <c r="BF75" i="21"/>
  <c r="FM75" i="21"/>
  <c r="FK74" i="21"/>
  <c r="FR73" i="21" s="1"/>
  <c r="FN73" i="21"/>
  <c r="FO72" i="21"/>
  <c r="FL74" i="21"/>
  <c r="FA75" i="21"/>
  <c r="FH74" i="21" s="1"/>
  <c r="FE73" i="21"/>
  <c r="FC76" i="21"/>
  <c r="FD74" i="21"/>
  <c r="FG73" i="21"/>
  <c r="FB75" i="21"/>
  <c r="EQ75" i="21"/>
  <c r="EX74" i="21" s="1"/>
  <c r="ES76" i="21"/>
  <c r="ER75" i="21"/>
  <c r="ET74" i="21"/>
  <c r="EH74" i="21"/>
  <c r="EM72" i="21"/>
  <c r="CO72" i="21"/>
  <c r="DF73" i="21"/>
  <c r="DP73" i="21"/>
  <c r="EI75" i="21"/>
  <c r="EG74" i="21"/>
  <c r="EN73" i="21" s="1"/>
  <c r="EJ73" i="21"/>
  <c r="EL72" i="21"/>
  <c r="DY75" i="21"/>
  <c r="DX74" i="21"/>
  <c r="DW74" i="21"/>
  <c r="ED73" i="21" s="1"/>
  <c r="DO75" i="21"/>
  <c r="DS72" i="21"/>
  <c r="DM74" i="21"/>
  <c r="DT73" i="21" s="1"/>
  <c r="DQ72" i="21"/>
  <c r="DR72" i="21"/>
  <c r="DN74" i="21"/>
  <c r="BT72" i="21"/>
  <c r="CB73" i="21"/>
  <c r="BS72" i="21"/>
  <c r="BU72" i="21"/>
  <c r="DG72" i="21"/>
  <c r="DE75" i="21"/>
  <c r="DC74" i="21"/>
  <c r="DJ73" i="21" s="1"/>
  <c r="DI72" i="21"/>
  <c r="DD74" i="21"/>
  <c r="DH72" i="21"/>
  <c r="CS74" i="21"/>
  <c r="CZ73" i="21" s="1"/>
  <c r="CU75" i="21"/>
  <c r="CT74" i="21"/>
  <c r="CV73" i="21"/>
  <c r="CM72" i="21"/>
  <c r="CK75" i="21"/>
  <c r="CI74" i="21"/>
  <c r="CP73" i="21" s="1"/>
  <c r="CL73" i="21"/>
  <c r="CN72" i="21"/>
  <c r="BY74" i="21"/>
  <c r="CF73" i="21" s="1"/>
  <c r="CA75" i="21"/>
  <c r="BZ74" i="21"/>
  <c r="BQ75" i="21"/>
  <c r="BO74" i="21"/>
  <c r="BV73" i="21" s="1"/>
  <c r="BR73" i="21"/>
  <c r="BK73" i="21"/>
  <c r="BI73" i="21"/>
  <c r="BJ73" i="21"/>
  <c r="BH74" i="21"/>
  <c r="BE75" i="21"/>
  <c r="BL74" i="21" s="1"/>
  <c r="BG76" i="21"/>
  <c r="AZ72" i="21"/>
  <c r="BA72" i="21"/>
  <c r="AY72" i="21"/>
  <c r="AW75" i="21"/>
  <c r="AU74" i="21"/>
  <c r="BB73" i="21" s="1"/>
  <c r="AV74" i="21"/>
  <c r="AX73" i="21"/>
  <c r="AL75" i="21"/>
  <c r="AO73" i="21"/>
  <c r="AM76" i="21"/>
  <c r="AK75" i="21"/>
  <c r="AR74" i="21" s="1"/>
  <c r="AN74" i="21"/>
  <c r="AQ73" i="21"/>
  <c r="S158" i="25"/>
  <c r="R159" i="25"/>
  <c r="P159" i="25"/>
  <c r="O160" i="25"/>
  <c r="Q160" i="25"/>
  <c r="N160" i="25"/>
  <c r="M161" i="25"/>
  <c r="KB96" i="21" l="1"/>
  <c r="JH97" i="21"/>
  <c r="KP95" i="21"/>
  <c r="JB94" i="21"/>
  <c r="KO95" i="21"/>
  <c r="KQ95" i="21"/>
  <c r="KH94" i="21"/>
  <c r="KA96" i="21"/>
  <c r="KC97" i="21"/>
  <c r="KD95" i="21"/>
  <c r="IX96" i="21"/>
  <c r="JC94" i="21"/>
  <c r="JJ96" i="21"/>
  <c r="KM98" i="21"/>
  <c r="KR95" i="21"/>
  <c r="KK97" i="21"/>
  <c r="KN96" i="21"/>
  <c r="KL97" i="21"/>
  <c r="JS97" i="21"/>
  <c r="JR96" i="21"/>
  <c r="JT95" i="21"/>
  <c r="JV94" i="21"/>
  <c r="JU94" i="21"/>
  <c r="JW94" i="21"/>
  <c r="JX94" i="21"/>
  <c r="JQ96" i="21"/>
  <c r="JM95" i="21"/>
  <c r="JK95" i="21"/>
  <c r="JN95" i="21"/>
  <c r="JG97" i="21"/>
  <c r="JI98" i="21"/>
  <c r="JL95" i="21"/>
  <c r="IY97" i="21"/>
  <c r="JD94" i="21"/>
  <c r="IW96" i="21"/>
  <c r="IZ95" i="21"/>
  <c r="JA94" i="21"/>
  <c r="AW76" i="25"/>
  <c r="AX76" i="25" s="1"/>
  <c r="BH76" i="25" s="1"/>
  <c r="AP74" i="21"/>
  <c r="IQ74" i="21"/>
  <c r="BE75" i="25"/>
  <c r="AU76" i="25"/>
  <c r="AY76" i="25"/>
  <c r="BD76" i="25" s="1"/>
  <c r="BA76" i="25"/>
  <c r="AQ76" i="25"/>
  <c r="BB75" i="25"/>
  <c r="V84" i="25"/>
  <c r="AS84" i="25" s="1"/>
  <c r="AZ83" i="25"/>
  <c r="AS83" i="25"/>
  <c r="GA74" i="21"/>
  <c r="M82" i="30"/>
  <c r="K158" i="30"/>
  <c r="L158" i="30" s="1"/>
  <c r="C83" i="30"/>
  <c r="AN79" i="25"/>
  <c r="AO78" i="25"/>
  <c r="AR83" i="25"/>
  <c r="AV83" i="25"/>
  <c r="BF83" i="25" s="1"/>
  <c r="AL79" i="25"/>
  <c r="BC79" i="25" s="1"/>
  <c r="AT79" i="25"/>
  <c r="BG79" i="25" s="1"/>
  <c r="AP77" i="25"/>
  <c r="AA83" i="25"/>
  <c r="AB83" i="25"/>
  <c r="AI83" i="25"/>
  <c r="AJ83" i="25"/>
  <c r="Y83" i="25"/>
  <c r="W83" i="25"/>
  <c r="AK81" i="25"/>
  <c r="AM79" i="25"/>
  <c r="AK80" i="25"/>
  <c r="AC83" i="25"/>
  <c r="AF83" i="25"/>
  <c r="AD83" i="25"/>
  <c r="AE83" i="25"/>
  <c r="AG83" i="25"/>
  <c r="CD73" i="21"/>
  <c r="HC73" i="21"/>
  <c r="FY74" i="21"/>
  <c r="KX75" i="21"/>
  <c r="EW74" i="21"/>
  <c r="FZ74" i="21"/>
  <c r="KU76" i="21"/>
  <c r="LB75" i="21" s="1"/>
  <c r="KY74" i="21"/>
  <c r="KW77" i="21"/>
  <c r="LA74" i="21"/>
  <c r="KZ74" i="21"/>
  <c r="KV76" i="21"/>
  <c r="IR74" i="21"/>
  <c r="CY73" i="21"/>
  <c r="HY73" i="21"/>
  <c r="GU74" i="21"/>
  <c r="EA73" i="21"/>
  <c r="EC73" i="21"/>
  <c r="HJ76" i="21"/>
  <c r="HD73" i="21"/>
  <c r="II74" i="21"/>
  <c r="EB73" i="21"/>
  <c r="IG74" i="21"/>
  <c r="IM76" i="21"/>
  <c r="IT75" i="21" s="1"/>
  <c r="IP75" i="21"/>
  <c r="IS74" i="21"/>
  <c r="IO77" i="21"/>
  <c r="IN76" i="21"/>
  <c r="HW73" i="21"/>
  <c r="GH75" i="21"/>
  <c r="IH74" i="21"/>
  <c r="GF76" i="21"/>
  <c r="ID76" i="21"/>
  <c r="BF76" i="21"/>
  <c r="IC76" i="21"/>
  <c r="IJ75" i="21" s="1"/>
  <c r="IE77" i="21"/>
  <c r="IF75" i="21"/>
  <c r="HS75" i="21"/>
  <c r="HZ74" i="21" s="1"/>
  <c r="HV74" i="21"/>
  <c r="HU76" i="21"/>
  <c r="HT75" i="21"/>
  <c r="HX73" i="21"/>
  <c r="HO74" i="21"/>
  <c r="HN74" i="21"/>
  <c r="HL75" i="21"/>
  <c r="HK77" i="21"/>
  <c r="HM74" i="21"/>
  <c r="HI76" i="21"/>
  <c r="HP75" i="21" s="1"/>
  <c r="GY75" i="21"/>
  <c r="HF74" i="21" s="1"/>
  <c r="GZ75" i="21"/>
  <c r="HA76" i="21"/>
  <c r="HB74" i="21"/>
  <c r="HE73" i="21"/>
  <c r="CJ75" i="21"/>
  <c r="GP76" i="21"/>
  <c r="GS74" i="21"/>
  <c r="GR75" i="21"/>
  <c r="GT74" i="21"/>
  <c r="GQ77" i="21"/>
  <c r="GO76" i="21"/>
  <c r="GV75" i="21" s="1"/>
  <c r="DH73" i="21"/>
  <c r="FN74" i="21"/>
  <c r="DG73" i="21"/>
  <c r="GJ74" i="21"/>
  <c r="DS73" i="21"/>
  <c r="FO73" i="21"/>
  <c r="CE73" i="21"/>
  <c r="DI73" i="21"/>
  <c r="FV76" i="21"/>
  <c r="EH75" i="21"/>
  <c r="GI74" i="21"/>
  <c r="GG77" i="21"/>
  <c r="GE76" i="21"/>
  <c r="GL75" i="21" s="1"/>
  <c r="GK74" i="21"/>
  <c r="FW77" i="21"/>
  <c r="FU76" i="21"/>
  <c r="GB75" i="21" s="1"/>
  <c r="FX75" i="21"/>
  <c r="CC73" i="21"/>
  <c r="FD75" i="21"/>
  <c r="CL74" i="21"/>
  <c r="CT75" i="21"/>
  <c r="DR73" i="21"/>
  <c r="DX75" i="21"/>
  <c r="ER76" i="21"/>
  <c r="DQ73" i="21"/>
  <c r="FK75" i="21"/>
  <c r="FR74" i="21" s="1"/>
  <c r="FQ73" i="21"/>
  <c r="FM76" i="21"/>
  <c r="FL75" i="21"/>
  <c r="FP73" i="21"/>
  <c r="FC77" i="21"/>
  <c r="FE74" i="21"/>
  <c r="FA76" i="21"/>
  <c r="FH75" i="21" s="1"/>
  <c r="FB76" i="21"/>
  <c r="FG74" i="21"/>
  <c r="FF74" i="21"/>
  <c r="ES77" i="21"/>
  <c r="EQ76" i="21"/>
  <c r="EX75" i="21" s="1"/>
  <c r="EU74" i="21"/>
  <c r="ET75" i="21"/>
  <c r="EV74" i="21"/>
  <c r="EJ74" i="21"/>
  <c r="BU73" i="21"/>
  <c r="EG75" i="21"/>
  <c r="EN74" i="21" s="1"/>
  <c r="EK73" i="21"/>
  <c r="EI76" i="21"/>
  <c r="EL73" i="21"/>
  <c r="EM73" i="21"/>
  <c r="DY76" i="21"/>
  <c r="DW75" i="21"/>
  <c r="ED74" i="21" s="1"/>
  <c r="DZ74" i="21"/>
  <c r="DM75" i="21"/>
  <c r="DT74" i="21" s="1"/>
  <c r="DO76" i="21"/>
  <c r="DN75" i="21"/>
  <c r="DP74" i="21"/>
  <c r="BA73" i="21"/>
  <c r="CW73" i="21"/>
  <c r="BT73" i="21"/>
  <c r="CX73" i="21"/>
  <c r="BS73" i="21"/>
  <c r="DC75" i="21"/>
  <c r="DJ74" i="21" s="1"/>
  <c r="DE76" i="21"/>
  <c r="DD75" i="21"/>
  <c r="DF74" i="21"/>
  <c r="CU76" i="21"/>
  <c r="CS75" i="21"/>
  <c r="CZ74" i="21" s="1"/>
  <c r="CV74" i="21"/>
  <c r="AZ73" i="21"/>
  <c r="AV75" i="21"/>
  <c r="CI75" i="21"/>
  <c r="CP74" i="21" s="1"/>
  <c r="CO73" i="21"/>
  <c r="CM73" i="21"/>
  <c r="CK76" i="21"/>
  <c r="CN73" i="21"/>
  <c r="CA76" i="21"/>
  <c r="BY75" i="21"/>
  <c r="CF74" i="21" s="1"/>
  <c r="BZ75" i="21"/>
  <c r="CB74" i="21"/>
  <c r="BQ76" i="21"/>
  <c r="BO75" i="21"/>
  <c r="BV74" i="21" s="1"/>
  <c r="BR74" i="21"/>
  <c r="BP75" i="21"/>
  <c r="AY73" i="21"/>
  <c r="BH75" i="21"/>
  <c r="BJ74" i="21"/>
  <c r="BI74" i="21"/>
  <c r="BE76" i="21"/>
  <c r="BL75" i="21" s="1"/>
  <c r="BG77" i="21"/>
  <c r="BK74" i="21"/>
  <c r="AU75" i="21"/>
  <c r="BB74" i="21" s="1"/>
  <c r="AW76" i="21"/>
  <c r="AX74" i="21"/>
  <c r="AN75" i="21"/>
  <c r="AM77" i="21"/>
  <c r="AK76" i="21"/>
  <c r="AR75" i="21" s="1"/>
  <c r="AL76" i="21"/>
  <c r="AO74" i="21"/>
  <c r="AQ74" i="21"/>
  <c r="S159" i="25"/>
  <c r="R160" i="25"/>
  <c r="P160" i="25"/>
  <c r="O161" i="25"/>
  <c r="Q161" i="25"/>
  <c r="N161" i="25"/>
  <c r="M162" i="25"/>
  <c r="KN97" i="21" l="1"/>
  <c r="JL96" i="21"/>
  <c r="JW95" i="21"/>
  <c r="JM96" i="21"/>
  <c r="KL98" i="21"/>
  <c r="IZ96" i="21"/>
  <c r="AP75" i="21"/>
  <c r="KG95" i="21"/>
  <c r="KD96" i="21"/>
  <c r="KE95" i="21"/>
  <c r="KC98" i="21"/>
  <c r="KF95" i="21"/>
  <c r="KB97" i="21"/>
  <c r="KH95" i="21"/>
  <c r="KA97" i="21"/>
  <c r="JU95" i="21"/>
  <c r="IX97" i="21"/>
  <c r="JV95" i="21"/>
  <c r="JK96" i="21"/>
  <c r="DH74" i="21"/>
  <c r="JR97" i="21"/>
  <c r="KP96" i="21"/>
  <c r="KP97" i="21" s="1"/>
  <c r="KR96" i="21"/>
  <c r="KK98" i="21"/>
  <c r="KQ96" i="21"/>
  <c r="KQ97" i="21" s="1"/>
  <c r="KO96" i="21"/>
  <c r="KO97" i="21" s="1"/>
  <c r="KM99" i="21"/>
  <c r="KL99" i="21" s="1"/>
  <c r="JT96" i="21"/>
  <c r="JX95" i="21"/>
  <c r="JQ97" i="21"/>
  <c r="JS98" i="21"/>
  <c r="JI99" i="21"/>
  <c r="JN96" i="21"/>
  <c r="JG98" i="21"/>
  <c r="JH98" i="21"/>
  <c r="JJ97" i="21"/>
  <c r="JC95" i="21"/>
  <c r="IY98" i="21"/>
  <c r="JD95" i="21"/>
  <c r="IW97" i="21"/>
  <c r="JA95" i="21"/>
  <c r="JB95" i="21"/>
  <c r="AW77" i="25"/>
  <c r="AX77" i="25" s="1"/>
  <c r="BH77" i="25" s="1"/>
  <c r="BE76" i="25"/>
  <c r="AU77" i="25"/>
  <c r="GA75" i="21"/>
  <c r="AQ77" i="25"/>
  <c r="BB76" i="25"/>
  <c r="AY77" i="25"/>
  <c r="BD77" i="25" s="1"/>
  <c r="BA77" i="25"/>
  <c r="V85" i="25"/>
  <c r="AZ84" i="25"/>
  <c r="M83" i="30"/>
  <c r="K159" i="30"/>
  <c r="L159" i="30" s="1"/>
  <c r="C84" i="30"/>
  <c r="AN81" i="25"/>
  <c r="AN80" i="25"/>
  <c r="AO79" i="25"/>
  <c r="AV84" i="25"/>
  <c r="BF84" i="25" s="1"/>
  <c r="AL80" i="25"/>
  <c r="BC80" i="25" s="1"/>
  <c r="AT80" i="25"/>
  <c r="BG80" i="25" s="1"/>
  <c r="AL81" i="25"/>
  <c r="BC81" i="25" s="1"/>
  <c r="AT81" i="25"/>
  <c r="BG81" i="25" s="1"/>
  <c r="W84" i="25"/>
  <c r="X84" i="25" s="1"/>
  <c r="AR84" i="25"/>
  <c r="AP78" i="25"/>
  <c r="Y84" i="25"/>
  <c r="Z84" i="25" s="1"/>
  <c r="AA84" i="25"/>
  <c r="AB84" i="25"/>
  <c r="AF84" i="25"/>
  <c r="X83" i="25"/>
  <c r="AH83" i="25"/>
  <c r="Z83" i="25"/>
  <c r="AS85" i="25"/>
  <c r="AI84" i="25"/>
  <c r="AJ84" i="25"/>
  <c r="AM80" i="25"/>
  <c r="AK82" i="25"/>
  <c r="AD84" i="25"/>
  <c r="AG84" i="25"/>
  <c r="AH84" i="25"/>
  <c r="AE84" i="25"/>
  <c r="AC84" i="25"/>
  <c r="KY75" i="21"/>
  <c r="KZ75" i="21"/>
  <c r="LA75" i="21"/>
  <c r="GU75" i="21"/>
  <c r="KV77" i="21"/>
  <c r="KW78" i="21"/>
  <c r="KU77" i="21"/>
  <c r="LB76" i="21" s="1"/>
  <c r="KX76" i="21"/>
  <c r="GT75" i="21"/>
  <c r="GJ75" i="21"/>
  <c r="GI75" i="21"/>
  <c r="GK75" i="21"/>
  <c r="HB75" i="21"/>
  <c r="EV75" i="21"/>
  <c r="IP76" i="21"/>
  <c r="IS75" i="21"/>
  <c r="IQ75" i="21"/>
  <c r="FQ74" i="21"/>
  <c r="FO74" i="21"/>
  <c r="HL76" i="21"/>
  <c r="IO78" i="21"/>
  <c r="IM77" i="21"/>
  <c r="IT76" i="21" s="1"/>
  <c r="IN77" i="21"/>
  <c r="IR75" i="21"/>
  <c r="FP74" i="21"/>
  <c r="FL76" i="21"/>
  <c r="HM75" i="21"/>
  <c r="HV75" i="21"/>
  <c r="EM74" i="21"/>
  <c r="IF76" i="21"/>
  <c r="IG75" i="21"/>
  <c r="IE78" i="21"/>
  <c r="ID77" i="21"/>
  <c r="IC77" i="21"/>
  <c r="IJ76" i="21" s="1"/>
  <c r="IH75" i="21"/>
  <c r="II75" i="21"/>
  <c r="HU77" i="21"/>
  <c r="HW74" i="21"/>
  <c r="HY74" i="21"/>
  <c r="HX74" i="21"/>
  <c r="HS76" i="21"/>
  <c r="HZ75" i="21" s="1"/>
  <c r="HT76" i="21"/>
  <c r="HK78" i="21"/>
  <c r="HJ77" i="21"/>
  <c r="HN75" i="21"/>
  <c r="HI77" i="21"/>
  <c r="HP76" i="21" s="1"/>
  <c r="HO75" i="21"/>
  <c r="HA77" i="21"/>
  <c r="GZ76" i="21"/>
  <c r="HC74" i="21"/>
  <c r="HD74" i="21"/>
  <c r="HE74" i="21"/>
  <c r="GY76" i="21"/>
  <c r="HF75" i="21" s="1"/>
  <c r="CN74" i="21"/>
  <c r="GS75" i="21"/>
  <c r="CM74" i="21"/>
  <c r="FE75" i="21"/>
  <c r="CO74" i="21"/>
  <c r="FF75" i="21"/>
  <c r="FG75" i="21"/>
  <c r="GQ78" i="21"/>
  <c r="GO77" i="21"/>
  <c r="GV76" i="21" s="1"/>
  <c r="GR76" i="21"/>
  <c r="GP77" i="21"/>
  <c r="DR74" i="21"/>
  <c r="EK74" i="21"/>
  <c r="DQ74" i="21"/>
  <c r="BU74" i="21"/>
  <c r="BT74" i="21"/>
  <c r="FB77" i="21"/>
  <c r="EU75" i="21"/>
  <c r="GG78" i="21"/>
  <c r="GF77" i="21"/>
  <c r="GE77" i="21"/>
  <c r="GL76" i="21" s="1"/>
  <c r="GH76" i="21"/>
  <c r="FU77" i="21"/>
  <c r="GB76" i="21" s="1"/>
  <c r="FW78" i="21"/>
  <c r="FV77" i="21"/>
  <c r="FX76" i="21"/>
  <c r="FZ75" i="21"/>
  <c r="FY75" i="21"/>
  <c r="DZ75" i="21"/>
  <c r="EL74" i="21"/>
  <c r="FK76" i="21"/>
  <c r="FR75" i="21" s="1"/>
  <c r="FM77" i="21"/>
  <c r="FN75" i="21"/>
  <c r="FA77" i="21"/>
  <c r="FH76" i="21" s="1"/>
  <c r="FC78" i="21"/>
  <c r="FD76" i="21"/>
  <c r="EQ77" i="21"/>
  <c r="EX76" i="21" s="1"/>
  <c r="ES78" i="21"/>
  <c r="ER77" i="21"/>
  <c r="ET76" i="21"/>
  <c r="EW75" i="21"/>
  <c r="BS74" i="21"/>
  <c r="CX74" i="21"/>
  <c r="DN76" i="21"/>
  <c r="EI77" i="21"/>
  <c r="EG76" i="21"/>
  <c r="EN75" i="21" s="1"/>
  <c r="EH76" i="21"/>
  <c r="EJ75" i="21"/>
  <c r="DY77" i="21"/>
  <c r="DX76" i="21"/>
  <c r="EB74" i="21"/>
  <c r="EA74" i="21"/>
  <c r="DW76" i="21"/>
  <c r="ED75" i="21" s="1"/>
  <c r="EC74" i="21"/>
  <c r="DO77" i="21"/>
  <c r="DM76" i="21"/>
  <c r="DT75" i="21" s="1"/>
  <c r="DP75" i="21"/>
  <c r="DS74" i="21"/>
  <c r="BZ76" i="21"/>
  <c r="DD76" i="21"/>
  <c r="DF75" i="21"/>
  <c r="DG74" i="21"/>
  <c r="DC76" i="21"/>
  <c r="DJ75" i="21" s="1"/>
  <c r="DE77" i="21"/>
  <c r="DI74" i="21"/>
  <c r="CS76" i="21"/>
  <c r="CZ75" i="21" s="1"/>
  <c r="CU77" i="21"/>
  <c r="CV75" i="21"/>
  <c r="CW74" i="21"/>
  <c r="CT76" i="21"/>
  <c r="CY74" i="21"/>
  <c r="BP76" i="21"/>
  <c r="BK75" i="21"/>
  <c r="AY74" i="21"/>
  <c r="CK77" i="21"/>
  <c r="CI76" i="21"/>
  <c r="CP75" i="21" s="1"/>
  <c r="CJ76" i="21"/>
  <c r="CL75" i="21"/>
  <c r="CA77" i="21"/>
  <c r="CE74" i="21"/>
  <c r="CB75" i="21"/>
  <c r="CC74" i="21"/>
  <c r="CD74" i="21"/>
  <c r="BY76" i="21"/>
  <c r="CF75" i="21" s="1"/>
  <c r="BO76" i="21"/>
  <c r="BV75" i="21" s="1"/>
  <c r="BQ77" i="21"/>
  <c r="BR75" i="21"/>
  <c r="BI75" i="21"/>
  <c r="BJ75" i="21"/>
  <c r="BG78" i="21"/>
  <c r="BE77" i="21"/>
  <c r="BL76" i="21" s="1"/>
  <c r="BF77" i="21"/>
  <c r="BH76" i="21"/>
  <c r="AZ74" i="21"/>
  <c r="AW77" i="21"/>
  <c r="AU76" i="21"/>
  <c r="BB75" i="21" s="1"/>
  <c r="AX75" i="21"/>
  <c r="AV76" i="21"/>
  <c r="BA74" i="21"/>
  <c r="AL77" i="21"/>
  <c r="AQ75" i="21"/>
  <c r="AO75" i="21"/>
  <c r="AK77" i="21"/>
  <c r="AR76" i="21" s="1"/>
  <c r="AM78" i="21"/>
  <c r="AN76" i="21"/>
  <c r="S160" i="25"/>
  <c r="N162" i="25"/>
  <c r="O162" i="25"/>
  <c r="Q162" i="25"/>
  <c r="P161" i="25"/>
  <c r="R161" i="25"/>
  <c r="M163" i="25"/>
  <c r="JB96" i="21" l="1"/>
  <c r="JA96" i="21"/>
  <c r="JC96" i="21"/>
  <c r="KF96" i="21"/>
  <c r="JK97" i="21"/>
  <c r="KB98" i="21"/>
  <c r="KE96" i="21"/>
  <c r="KG96" i="21"/>
  <c r="KC99" i="21"/>
  <c r="KD97" i="21"/>
  <c r="KH96" i="21"/>
  <c r="KA98" i="21"/>
  <c r="JR98" i="21"/>
  <c r="JM97" i="21"/>
  <c r="JL97" i="21"/>
  <c r="JH99" i="21"/>
  <c r="KR97" i="21"/>
  <c r="KK99" i="21"/>
  <c r="KM100" i="21"/>
  <c r="KK3" i="21" s="1" a="1"/>
  <c r="KK3" i="21" s="1"/>
  <c r="KK2" i="21" s="1"/>
  <c r="KN98" i="21"/>
  <c r="KO98" i="21" s="1"/>
  <c r="JX96" i="21"/>
  <c r="JQ98" i="21"/>
  <c r="JT97" i="21"/>
  <c r="JV96" i="21"/>
  <c r="JW96" i="21"/>
  <c r="JS99" i="21"/>
  <c r="JU96" i="21"/>
  <c r="JN97" i="21"/>
  <c r="JG99" i="21"/>
  <c r="JJ98" i="21"/>
  <c r="JI100" i="21"/>
  <c r="JD96" i="21"/>
  <c r="IW98" i="21"/>
  <c r="IY99" i="21"/>
  <c r="IZ97" i="21"/>
  <c r="IX98" i="21"/>
  <c r="AW78" i="25"/>
  <c r="AX78" i="25" s="1"/>
  <c r="BH78" i="25" s="1"/>
  <c r="BE77" i="25"/>
  <c r="AU78" i="25"/>
  <c r="AY78" i="25"/>
  <c r="BD78" i="25" s="1"/>
  <c r="BA78" i="25"/>
  <c r="AQ78" i="25"/>
  <c r="BB77" i="25"/>
  <c r="V86" i="25"/>
  <c r="AZ85" i="25"/>
  <c r="M84" i="30"/>
  <c r="K160" i="30"/>
  <c r="L160" i="30" s="1"/>
  <c r="C85" i="30"/>
  <c r="AN82" i="25"/>
  <c r="AO80" i="25"/>
  <c r="AV85" i="25"/>
  <c r="BF85" i="25" s="1"/>
  <c r="AL82" i="25"/>
  <c r="BC82" i="25" s="1"/>
  <c r="AT82" i="25"/>
  <c r="BG82" i="25" s="1"/>
  <c r="W85" i="25"/>
  <c r="X85" i="25" s="1"/>
  <c r="AR85" i="25"/>
  <c r="Y85" i="25"/>
  <c r="Z85" i="25" s="1"/>
  <c r="AP79" i="25"/>
  <c r="AA85" i="25"/>
  <c r="AB85" i="25"/>
  <c r="AM81" i="25"/>
  <c r="AM82" i="25" s="1"/>
  <c r="AH85" i="25"/>
  <c r="AS86" i="25"/>
  <c r="AI85" i="25"/>
  <c r="AJ85" i="25"/>
  <c r="AK83" i="25"/>
  <c r="AD85" i="25"/>
  <c r="AG85" i="25"/>
  <c r="AF85" i="25"/>
  <c r="AC85" i="25"/>
  <c r="AE85" i="25"/>
  <c r="KV78" i="21"/>
  <c r="GK76" i="21"/>
  <c r="KX77" i="21"/>
  <c r="LA76" i="21"/>
  <c r="KU78" i="21"/>
  <c r="LB77" i="21" s="1"/>
  <c r="KW79" i="21"/>
  <c r="KZ76" i="21"/>
  <c r="KY76" i="21"/>
  <c r="EK75" i="21"/>
  <c r="HE75" i="21"/>
  <c r="CO75" i="21"/>
  <c r="FQ75" i="21"/>
  <c r="HD75" i="21"/>
  <c r="IP77" i="21"/>
  <c r="HC75" i="21"/>
  <c r="HO76" i="21"/>
  <c r="IR76" i="21"/>
  <c r="HN76" i="21"/>
  <c r="IQ76" i="21"/>
  <c r="FL77" i="21"/>
  <c r="GZ77" i="21"/>
  <c r="HT77" i="21"/>
  <c r="HM76" i="21"/>
  <c r="IS76" i="21"/>
  <c r="HY75" i="21"/>
  <c r="IG76" i="21"/>
  <c r="IM78" i="21"/>
  <c r="IT77" i="21" s="1"/>
  <c r="IO79" i="21"/>
  <c r="IN78" i="21"/>
  <c r="HW75" i="21"/>
  <c r="FV78" i="21"/>
  <c r="HX75" i="21"/>
  <c r="ID78" i="21"/>
  <c r="IH76" i="21"/>
  <c r="II76" i="21"/>
  <c r="IC78" i="21"/>
  <c r="IJ77" i="21" s="1"/>
  <c r="IE79" i="21"/>
  <c r="IF77" i="21"/>
  <c r="HS77" i="21"/>
  <c r="HZ76" i="21" s="1"/>
  <c r="HU78" i="21"/>
  <c r="HV76" i="21"/>
  <c r="HI78" i="21"/>
  <c r="HP77" i="21" s="1"/>
  <c r="HJ78" i="21"/>
  <c r="HK79" i="21"/>
  <c r="HL77" i="21"/>
  <c r="HA78" i="21"/>
  <c r="GY77" i="21"/>
  <c r="HF76" i="21" s="1"/>
  <c r="HB76" i="21"/>
  <c r="BU75" i="21"/>
  <c r="GP78" i="21"/>
  <c r="GR77" i="21"/>
  <c r="GO78" i="21"/>
  <c r="GV77" i="21" s="1"/>
  <c r="GT76" i="21"/>
  <c r="GU76" i="21"/>
  <c r="GQ79" i="21"/>
  <c r="GS76" i="21"/>
  <c r="DP76" i="21"/>
  <c r="ER78" i="21"/>
  <c r="FX77" i="21"/>
  <c r="GF78" i="21"/>
  <c r="CV76" i="21"/>
  <c r="DN77" i="21"/>
  <c r="EC75" i="21"/>
  <c r="FZ76" i="21"/>
  <c r="EA75" i="21"/>
  <c r="DD77" i="21"/>
  <c r="EB75" i="21"/>
  <c r="FD77" i="21"/>
  <c r="GE78" i="21"/>
  <c r="GL77" i="21" s="1"/>
  <c r="GG79" i="21"/>
  <c r="GJ76" i="21"/>
  <c r="GH77" i="21"/>
  <c r="GI76" i="21"/>
  <c r="GA76" i="21"/>
  <c r="FW79" i="21"/>
  <c r="FU78" i="21"/>
  <c r="GB77" i="21" s="1"/>
  <c r="FY76" i="21"/>
  <c r="CJ77" i="21"/>
  <c r="CT77" i="21"/>
  <c r="FP75" i="21"/>
  <c r="DG75" i="21"/>
  <c r="EH77" i="21"/>
  <c r="BI76" i="21"/>
  <c r="EM75" i="21"/>
  <c r="DI75" i="21"/>
  <c r="EL75" i="21"/>
  <c r="ET77" i="21"/>
  <c r="FM78" i="21"/>
  <c r="FK77" i="21"/>
  <c r="FR76" i="21" s="1"/>
  <c r="FO75" i="21"/>
  <c r="FN76" i="21"/>
  <c r="FC79" i="21"/>
  <c r="FG76" i="21"/>
  <c r="FE76" i="21"/>
  <c r="FA78" i="21"/>
  <c r="FH77" i="21" s="1"/>
  <c r="FF76" i="21"/>
  <c r="FB78" i="21"/>
  <c r="ES79" i="21"/>
  <c r="EV76" i="21"/>
  <c r="EQ78" i="21"/>
  <c r="EX77" i="21" s="1"/>
  <c r="EW76" i="21"/>
  <c r="EU76" i="21"/>
  <c r="CN75" i="21"/>
  <c r="CM75" i="21"/>
  <c r="DX77" i="21"/>
  <c r="EG77" i="21"/>
  <c r="EN76" i="21" s="1"/>
  <c r="EJ76" i="21"/>
  <c r="EI78" i="21"/>
  <c r="DY78" i="21"/>
  <c r="DW77" i="21"/>
  <c r="ED76" i="21" s="1"/>
  <c r="DZ76" i="21"/>
  <c r="DM77" i="21"/>
  <c r="DT76" i="21" s="1"/>
  <c r="DR75" i="21"/>
  <c r="DQ75" i="21"/>
  <c r="DS75" i="21"/>
  <c r="DO78" i="21"/>
  <c r="CD75" i="21"/>
  <c r="CC75" i="21"/>
  <c r="CW75" i="21"/>
  <c r="CE75" i="21"/>
  <c r="AV77" i="21"/>
  <c r="DC77" i="21"/>
  <c r="DJ76" i="21" s="1"/>
  <c r="DE78" i="21"/>
  <c r="DF76" i="21"/>
  <c r="DH75" i="21"/>
  <c r="CX75" i="21"/>
  <c r="CU78" i="21"/>
  <c r="CS77" i="21"/>
  <c r="CZ76" i="21" s="1"/>
  <c r="CY75" i="21"/>
  <c r="BK76" i="21"/>
  <c r="BT75" i="21"/>
  <c r="BS75" i="21"/>
  <c r="CB76" i="21"/>
  <c r="CI77" i="21"/>
  <c r="CP76" i="21" s="1"/>
  <c r="CL76" i="21"/>
  <c r="CK78" i="21"/>
  <c r="CA78" i="21"/>
  <c r="BY77" i="21"/>
  <c r="CF76" i="21" s="1"/>
  <c r="BZ77" i="21"/>
  <c r="BQ78" i="21"/>
  <c r="BP77" i="21"/>
  <c r="BO77" i="21"/>
  <c r="BV76" i="21" s="1"/>
  <c r="BR76" i="21"/>
  <c r="BF78" i="21"/>
  <c r="BJ76" i="21"/>
  <c r="BE78" i="21"/>
  <c r="BL77" i="21" s="1"/>
  <c r="BH77" i="21"/>
  <c r="BG79" i="21"/>
  <c r="AL78" i="21"/>
  <c r="AN77" i="21"/>
  <c r="AU77" i="21"/>
  <c r="BB76" i="21" s="1"/>
  <c r="AW78" i="21"/>
  <c r="AX76" i="21"/>
  <c r="AZ75" i="21"/>
  <c r="BA75" i="21"/>
  <c r="AY75" i="21"/>
  <c r="AP76" i="21"/>
  <c r="AQ76" i="21"/>
  <c r="AO76" i="21"/>
  <c r="AM79" i="21"/>
  <c r="AK78" i="21"/>
  <c r="AR77" i="21" s="1"/>
  <c r="S161" i="25"/>
  <c r="O163" i="25"/>
  <c r="N163" i="25"/>
  <c r="Q163" i="25"/>
  <c r="R162" i="25"/>
  <c r="P162" i="25"/>
  <c r="M164" i="25"/>
  <c r="DR76" i="21" l="1"/>
  <c r="KB99" i="21"/>
  <c r="JJ99" i="21"/>
  <c r="JH100" i="21"/>
  <c r="JT98" i="21"/>
  <c r="KQ98" i="21"/>
  <c r="FQ76" i="21"/>
  <c r="KD98" i="21"/>
  <c r="KE97" i="21"/>
  <c r="KC100" i="21"/>
  <c r="KA3" i="21" s="1" a="1"/>
  <c r="KA3" i="21" s="1"/>
  <c r="KA2" i="21" s="1"/>
  <c r="KG97" i="21"/>
  <c r="KH97" i="21"/>
  <c r="KA99" i="21"/>
  <c r="KF97" i="21"/>
  <c r="JG3" i="21" a="1"/>
  <c r="JG3" i="21" s="1"/>
  <c r="JG2" i="21" s="1"/>
  <c r="JV97" i="21"/>
  <c r="KP98" i="21"/>
  <c r="JW97" i="21"/>
  <c r="IZ98" i="21"/>
  <c r="FF77" i="21"/>
  <c r="KR98" i="21"/>
  <c r="KK100" i="21"/>
  <c r="KN99" i="21"/>
  <c r="KL100" i="21"/>
  <c r="JS100" i="21"/>
  <c r="JQ3" i="21" s="1" a="1"/>
  <c r="JQ3" i="21" s="1"/>
  <c r="JQ2" i="21" s="1"/>
  <c r="JR99" i="21"/>
  <c r="JU97" i="21"/>
  <c r="JU98" i="21" s="1"/>
  <c r="JX97" i="21"/>
  <c r="JQ99" i="21"/>
  <c r="JL98" i="21"/>
  <c r="JL99" i="21" s="1"/>
  <c r="JN98" i="21"/>
  <c r="JG100" i="21"/>
  <c r="JK98" i="21"/>
  <c r="JK99" i="21" s="1"/>
  <c r="JM98" i="21"/>
  <c r="JM99" i="21" s="1"/>
  <c r="JA97" i="21"/>
  <c r="JB97" i="21"/>
  <c r="JC97" i="21"/>
  <c r="IY100" i="21"/>
  <c r="IW3" i="21" s="1" a="1"/>
  <c r="IW3" i="21" s="1"/>
  <c r="IW2" i="21" s="1"/>
  <c r="JD97" i="21"/>
  <c r="IW99" i="21"/>
  <c r="IX99" i="21"/>
  <c r="AW79" i="25"/>
  <c r="AX79" i="25" s="1"/>
  <c r="BH79" i="25" s="1"/>
  <c r="KV79" i="21"/>
  <c r="BE78" i="25"/>
  <c r="AU79" i="25"/>
  <c r="AY79" i="25"/>
  <c r="BD79" i="25" s="1"/>
  <c r="BA79" i="25"/>
  <c r="AQ79" i="25"/>
  <c r="BB78" i="25"/>
  <c r="V87" i="25"/>
  <c r="AS87" i="25" s="1"/>
  <c r="AZ86" i="25"/>
  <c r="M85" i="30"/>
  <c r="K161" i="30"/>
  <c r="L161" i="30" s="1"/>
  <c r="C86" i="30"/>
  <c r="AN83" i="25"/>
  <c r="AO81" i="25"/>
  <c r="AR86" i="25"/>
  <c r="AV86" i="25"/>
  <c r="BF86" i="25" s="1"/>
  <c r="AL83" i="25"/>
  <c r="BC83" i="25" s="1"/>
  <c r="AT83" i="25"/>
  <c r="BG83" i="25" s="1"/>
  <c r="AP80" i="25"/>
  <c r="AB86" i="25"/>
  <c r="AA86" i="25"/>
  <c r="AJ86" i="25"/>
  <c r="AI86" i="25"/>
  <c r="AM83" i="25"/>
  <c r="W86" i="25"/>
  <c r="Y86" i="25"/>
  <c r="AK84" i="25"/>
  <c r="AD86" i="25"/>
  <c r="AF86" i="25"/>
  <c r="AG86" i="25"/>
  <c r="AC86" i="25"/>
  <c r="AE86" i="25"/>
  <c r="KZ77" i="21"/>
  <c r="KY77" i="21"/>
  <c r="LA77" i="21"/>
  <c r="DS76" i="21"/>
  <c r="IQ77" i="21"/>
  <c r="AP77" i="21"/>
  <c r="HN77" i="21"/>
  <c r="KU79" i="21"/>
  <c r="LB78" i="21" s="1"/>
  <c r="KW80" i="21"/>
  <c r="KX78" i="21"/>
  <c r="IS77" i="21"/>
  <c r="IR77" i="21"/>
  <c r="CJ78" i="21"/>
  <c r="HC76" i="21"/>
  <c r="GA77" i="21"/>
  <c r="EV77" i="21"/>
  <c r="IN79" i="21"/>
  <c r="HV77" i="21"/>
  <c r="BU76" i="21"/>
  <c r="HD76" i="21"/>
  <c r="DQ76" i="21"/>
  <c r="IO80" i="21"/>
  <c r="IM79" i="21"/>
  <c r="IT78" i="21" s="1"/>
  <c r="IP78" i="21"/>
  <c r="GR78" i="21"/>
  <c r="HO77" i="21"/>
  <c r="HW76" i="21"/>
  <c r="FZ77" i="21"/>
  <c r="GS77" i="21"/>
  <c r="FY77" i="21"/>
  <c r="HJ79" i="21"/>
  <c r="GU77" i="21"/>
  <c r="IF78" i="21"/>
  <c r="GT77" i="21"/>
  <c r="IG77" i="21"/>
  <c r="IE80" i="21"/>
  <c r="IH77" i="21"/>
  <c r="ID79" i="21"/>
  <c r="IC79" i="21"/>
  <c r="IJ78" i="21" s="1"/>
  <c r="II77" i="21"/>
  <c r="HU79" i="21"/>
  <c r="HY76" i="21"/>
  <c r="HX76" i="21"/>
  <c r="HS78" i="21"/>
  <c r="HZ77" i="21" s="1"/>
  <c r="HT78" i="21"/>
  <c r="HK80" i="21"/>
  <c r="HI79" i="21"/>
  <c r="HP78" i="21" s="1"/>
  <c r="HM77" i="21"/>
  <c r="HL78" i="21"/>
  <c r="HA79" i="21"/>
  <c r="GY78" i="21"/>
  <c r="HF77" i="21" s="1"/>
  <c r="GZ78" i="21"/>
  <c r="HB77" i="21"/>
  <c r="HE76" i="21"/>
  <c r="DN78" i="21"/>
  <c r="CY76" i="21"/>
  <c r="CC76" i="21"/>
  <c r="CX76" i="21"/>
  <c r="CW76" i="21"/>
  <c r="GQ80" i="21"/>
  <c r="GP79" i="21"/>
  <c r="GO79" i="21"/>
  <c r="GV78" i="21" s="1"/>
  <c r="EU77" i="21"/>
  <c r="EW77" i="21"/>
  <c r="EH78" i="21"/>
  <c r="GI77" i="21"/>
  <c r="EJ77" i="21"/>
  <c r="FE77" i="21"/>
  <c r="FG77" i="21"/>
  <c r="GJ77" i="21"/>
  <c r="FB79" i="21"/>
  <c r="GG80" i="21"/>
  <c r="GF79" i="21"/>
  <c r="GE79" i="21"/>
  <c r="GL78" i="21" s="1"/>
  <c r="GH78" i="21"/>
  <c r="GK77" i="21"/>
  <c r="FW80" i="21"/>
  <c r="FV79" i="21"/>
  <c r="FU79" i="21"/>
  <c r="GB78" i="21" s="1"/>
  <c r="FX78" i="21"/>
  <c r="FO76" i="21"/>
  <c r="FP76" i="21"/>
  <c r="FM79" i="21"/>
  <c r="FK78" i="21"/>
  <c r="FR77" i="21" s="1"/>
  <c r="FN77" i="21"/>
  <c r="FL78" i="21"/>
  <c r="FA79" i="21"/>
  <c r="FH78" i="21" s="1"/>
  <c r="FC80" i="21"/>
  <c r="FD78" i="21"/>
  <c r="EQ79" i="21"/>
  <c r="EX78" i="21" s="1"/>
  <c r="ES80" i="21"/>
  <c r="ER79" i="21"/>
  <c r="ET78" i="21"/>
  <c r="CD76" i="21"/>
  <c r="AZ76" i="21"/>
  <c r="EG78" i="21"/>
  <c r="EN77" i="21" s="1"/>
  <c r="EL76" i="21"/>
  <c r="EM76" i="21"/>
  <c r="EI79" i="21"/>
  <c r="EK76" i="21"/>
  <c r="DY79" i="21"/>
  <c r="DX78" i="21"/>
  <c r="DW78" i="21"/>
  <c r="ED77" i="21" s="1"/>
  <c r="DZ77" i="21"/>
  <c r="EB76" i="21"/>
  <c r="EC76" i="21"/>
  <c r="EA76" i="21"/>
  <c r="DM78" i="21"/>
  <c r="DT77" i="21" s="1"/>
  <c r="DO79" i="21"/>
  <c r="DP77" i="21"/>
  <c r="DF77" i="21"/>
  <c r="DE79" i="21"/>
  <c r="DG76" i="21"/>
  <c r="DC78" i="21"/>
  <c r="DJ77" i="21" s="1"/>
  <c r="DI76" i="21"/>
  <c r="DH76" i="21"/>
  <c r="DD78" i="21"/>
  <c r="CS78" i="21"/>
  <c r="CZ77" i="21" s="1"/>
  <c r="CU79" i="21"/>
  <c r="CT78" i="21"/>
  <c r="CV77" i="21"/>
  <c r="BF79" i="21"/>
  <c r="CE76" i="21"/>
  <c r="CL77" i="21"/>
  <c r="AX77" i="21"/>
  <c r="CM76" i="21"/>
  <c r="CN76" i="21"/>
  <c r="CI78" i="21"/>
  <c r="CP77" i="21" s="1"/>
  <c r="CK79" i="21"/>
  <c r="CO76" i="21"/>
  <c r="BZ78" i="21"/>
  <c r="CA79" i="21"/>
  <c r="BY78" i="21"/>
  <c r="CF77" i="21" s="1"/>
  <c r="CB77" i="21"/>
  <c r="BQ79" i="21"/>
  <c r="BP78" i="21"/>
  <c r="BR77" i="21"/>
  <c r="BS76" i="21"/>
  <c r="BO78" i="21"/>
  <c r="BV77" i="21" s="1"/>
  <c r="BT76" i="21"/>
  <c r="BH78" i="21"/>
  <c r="AO77" i="21"/>
  <c r="AQ77" i="21"/>
  <c r="BE79" i="21"/>
  <c r="BL78" i="21" s="1"/>
  <c r="BJ77" i="21"/>
  <c r="BK77" i="21"/>
  <c r="BG80" i="21"/>
  <c r="BI77" i="21"/>
  <c r="AW79" i="21"/>
  <c r="AU78" i="21"/>
  <c r="BB77" i="21" s="1"/>
  <c r="AY76" i="21"/>
  <c r="BA76" i="21"/>
  <c r="AV78" i="21"/>
  <c r="AM80" i="21"/>
  <c r="AL79" i="21"/>
  <c r="AK79" i="21"/>
  <c r="AR78" i="21" s="1"/>
  <c r="AN78" i="21"/>
  <c r="S162" i="25"/>
  <c r="M165" i="25"/>
  <c r="O164" i="25"/>
  <c r="N164" i="25"/>
  <c r="Q164" i="25"/>
  <c r="R163" i="25"/>
  <c r="P163" i="25"/>
  <c r="JW98" i="21" l="1"/>
  <c r="KG98" i="21"/>
  <c r="JA98" i="21"/>
  <c r="JB98" i="21"/>
  <c r="JV98" i="21"/>
  <c r="JN99" i="21"/>
  <c r="JN100" i="21" s="1"/>
  <c r="KF98" i="21"/>
  <c r="JC98" i="21"/>
  <c r="KE98" i="21"/>
  <c r="KH98" i="21"/>
  <c r="KA100" i="21"/>
  <c r="KB100" i="21"/>
  <c r="KD99" i="21"/>
  <c r="KR99" i="21"/>
  <c r="KR100" i="21" s="1"/>
  <c r="KN100" i="21"/>
  <c r="KZ78" i="21"/>
  <c r="KQ99" i="21"/>
  <c r="KP99" i="21"/>
  <c r="KO99" i="21"/>
  <c r="JX98" i="21"/>
  <c r="JQ100" i="21"/>
  <c r="JT99" i="21"/>
  <c r="JU99" i="21" s="1"/>
  <c r="JR100" i="21"/>
  <c r="JJ100" i="21"/>
  <c r="JM100" i="21" s="1"/>
  <c r="IX100" i="21"/>
  <c r="JD98" i="21"/>
  <c r="IW100" i="21"/>
  <c r="IZ99" i="21"/>
  <c r="AW80" i="25"/>
  <c r="AX80" i="25" s="1"/>
  <c r="BH80" i="25" s="1"/>
  <c r="BE79" i="25"/>
  <c r="AU80" i="25"/>
  <c r="AQ80" i="25"/>
  <c r="BB79" i="25"/>
  <c r="AY80" i="25"/>
  <c r="BD80" i="25" s="1"/>
  <c r="BA80" i="25"/>
  <c r="V88" i="25"/>
  <c r="AS88" i="25" s="1"/>
  <c r="AZ87" i="25"/>
  <c r="M86" i="30"/>
  <c r="K162" i="30"/>
  <c r="L162" i="30" s="1"/>
  <c r="C87" i="30"/>
  <c r="AN84" i="25"/>
  <c r="AO82" i="25"/>
  <c r="AV87" i="25"/>
  <c r="BF87" i="25" s="1"/>
  <c r="AL84" i="25"/>
  <c r="BC84" i="25" s="1"/>
  <c r="AT84" i="25"/>
  <c r="BG84" i="25" s="1"/>
  <c r="Y87" i="25"/>
  <c r="Z87" i="25" s="1"/>
  <c r="AR87" i="25"/>
  <c r="W87" i="25"/>
  <c r="X87" i="25" s="1"/>
  <c r="AP81" i="25"/>
  <c r="AB87" i="25"/>
  <c r="AA87" i="25"/>
  <c r="X86" i="25"/>
  <c r="AH86" i="25"/>
  <c r="Z86" i="25"/>
  <c r="AF87" i="25"/>
  <c r="AJ87" i="25"/>
  <c r="AI87" i="25"/>
  <c r="AM84" i="25"/>
  <c r="AK85" i="25"/>
  <c r="AC87" i="25"/>
  <c r="AG87" i="25"/>
  <c r="AH87" i="25"/>
  <c r="AE87" i="25"/>
  <c r="AD87" i="25"/>
  <c r="EV78" i="21"/>
  <c r="BA77" i="21"/>
  <c r="CX77" i="21"/>
  <c r="HJ80" i="21"/>
  <c r="KV80" i="21"/>
  <c r="DS77" i="21"/>
  <c r="II78" i="21"/>
  <c r="AP78" i="21"/>
  <c r="KY78" i="21"/>
  <c r="KU80" i="21"/>
  <c r="LB79" i="21" s="1"/>
  <c r="KX79" i="21"/>
  <c r="LA78" i="21"/>
  <c r="KW81" i="21"/>
  <c r="IH78" i="21"/>
  <c r="GS78" i="21"/>
  <c r="HL79" i="21"/>
  <c r="HX77" i="21"/>
  <c r="GU78" i="21"/>
  <c r="HY77" i="21"/>
  <c r="HW77" i="21"/>
  <c r="HE77" i="21"/>
  <c r="GT78" i="21"/>
  <c r="HD77" i="21"/>
  <c r="IN80" i="21"/>
  <c r="ID80" i="21"/>
  <c r="IQ78" i="21"/>
  <c r="IS78" i="21"/>
  <c r="IP79" i="21"/>
  <c r="IR78" i="21"/>
  <c r="IM80" i="21"/>
  <c r="IT79" i="21" s="1"/>
  <c r="IO81" i="21"/>
  <c r="EL77" i="21"/>
  <c r="HM78" i="21"/>
  <c r="IG78" i="21"/>
  <c r="GZ79" i="21"/>
  <c r="IC80" i="21"/>
  <c r="IJ79" i="21" s="1"/>
  <c r="IE81" i="21"/>
  <c r="IF79" i="21"/>
  <c r="HS79" i="21"/>
  <c r="HZ78" i="21" s="1"/>
  <c r="HV78" i="21"/>
  <c r="HU80" i="21"/>
  <c r="HT79" i="21"/>
  <c r="HI80" i="21"/>
  <c r="HP79" i="21" s="1"/>
  <c r="HN78" i="21"/>
  <c r="HK81" i="21"/>
  <c r="HO78" i="21"/>
  <c r="HA80" i="21"/>
  <c r="GY79" i="21"/>
  <c r="HF78" i="21" s="1"/>
  <c r="HB78" i="21"/>
  <c r="HC77" i="21"/>
  <c r="GP80" i="21"/>
  <c r="GQ81" i="21"/>
  <c r="GO80" i="21"/>
  <c r="GV79" i="21" s="1"/>
  <c r="GR79" i="21"/>
  <c r="AY77" i="21"/>
  <c r="FD79" i="21"/>
  <c r="GH79" i="21"/>
  <c r="EK77" i="21"/>
  <c r="EM77" i="21"/>
  <c r="FP77" i="21"/>
  <c r="BS77" i="21"/>
  <c r="GF80" i="21"/>
  <c r="GE80" i="21"/>
  <c r="GL79" i="21" s="1"/>
  <c r="GI78" i="21"/>
  <c r="GJ78" i="21"/>
  <c r="GG81" i="21"/>
  <c r="GK78" i="21"/>
  <c r="FZ78" i="21"/>
  <c r="FX79" i="21"/>
  <c r="FU80" i="21"/>
  <c r="GB79" i="21" s="1"/>
  <c r="GA78" i="21"/>
  <c r="FY78" i="21"/>
  <c r="FV80" i="21"/>
  <c r="FW81" i="21"/>
  <c r="BI78" i="21"/>
  <c r="BF80" i="21"/>
  <c r="ER80" i="21"/>
  <c r="FE78" i="21"/>
  <c r="EU78" i="21"/>
  <c r="FG78" i="21"/>
  <c r="AZ77" i="21"/>
  <c r="DZ78" i="21"/>
  <c r="FM80" i="21"/>
  <c r="FO77" i="21"/>
  <c r="FK79" i="21"/>
  <c r="FR78" i="21" s="1"/>
  <c r="FL79" i="21"/>
  <c r="FN78" i="21"/>
  <c r="FQ77" i="21"/>
  <c r="FC81" i="21"/>
  <c r="FF78" i="21"/>
  <c r="FA80" i="21"/>
  <c r="FH79" i="21" s="1"/>
  <c r="FB80" i="21"/>
  <c r="ES81" i="21"/>
  <c r="ET79" i="21"/>
  <c r="EQ80" i="21"/>
  <c r="EX79" i="21" s="1"/>
  <c r="EW78" i="21"/>
  <c r="EC77" i="21"/>
  <c r="EB77" i="21"/>
  <c r="DH77" i="21"/>
  <c r="EI80" i="21"/>
  <c r="EG79" i="21"/>
  <c r="EN78" i="21" s="1"/>
  <c r="EH79" i="21"/>
  <c r="EJ78" i="21"/>
  <c r="DW79" i="21"/>
  <c r="ED78" i="21" s="1"/>
  <c r="DX79" i="21"/>
  <c r="DY80" i="21"/>
  <c r="EA77" i="21"/>
  <c r="DO80" i="21"/>
  <c r="DM79" i="21"/>
  <c r="DT78" i="21" s="1"/>
  <c r="DN79" i="21"/>
  <c r="DP78" i="21"/>
  <c r="DR77" i="21"/>
  <c r="DQ77" i="21"/>
  <c r="BP79" i="21"/>
  <c r="DI77" i="21"/>
  <c r="CT79" i="21"/>
  <c r="CN77" i="21"/>
  <c r="DG77" i="21"/>
  <c r="CM77" i="21"/>
  <c r="DC79" i="21"/>
  <c r="DJ78" i="21" s="1"/>
  <c r="DE80" i="21"/>
  <c r="DD79" i="21"/>
  <c r="DF78" i="21"/>
  <c r="CY77" i="21"/>
  <c r="CV78" i="21"/>
  <c r="CW77" i="21"/>
  <c r="CS79" i="21"/>
  <c r="CZ78" i="21" s="1"/>
  <c r="CU80" i="21"/>
  <c r="BK78" i="21"/>
  <c r="BJ78" i="21"/>
  <c r="BR78" i="21"/>
  <c r="CO77" i="21"/>
  <c r="CK80" i="21"/>
  <c r="CI79" i="21"/>
  <c r="CP78" i="21" s="1"/>
  <c r="CJ79" i="21"/>
  <c r="CL78" i="21"/>
  <c r="CA80" i="21"/>
  <c r="BY79" i="21"/>
  <c r="CF78" i="21" s="1"/>
  <c r="CD77" i="21"/>
  <c r="CE77" i="21"/>
  <c r="CC77" i="21"/>
  <c r="CB78" i="21"/>
  <c r="BZ79" i="21"/>
  <c r="BU77" i="21"/>
  <c r="BO79" i="21"/>
  <c r="BV78" i="21" s="1"/>
  <c r="BQ80" i="21"/>
  <c r="BT77" i="21"/>
  <c r="BE80" i="21"/>
  <c r="BL79" i="21" s="1"/>
  <c r="BG81" i="21"/>
  <c r="BH79" i="21"/>
  <c r="AW80" i="21"/>
  <c r="AU79" i="21"/>
  <c r="BB78" i="21" s="1"/>
  <c r="AV79" i="21"/>
  <c r="AX78" i="21"/>
  <c r="AQ78" i="21"/>
  <c r="AN79" i="21"/>
  <c r="AL80" i="21"/>
  <c r="AM81" i="21"/>
  <c r="AK80" i="21"/>
  <c r="AR79" i="21" s="1"/>
  <c r="AO78" i="21"/>
  <c r="S163" i="25"/>
  <c r="R164" i="25"/>
  <c r="P164" i="25"/>
  <c r="M166" i="25"/>
  <c r="Q165" i="25"/>
  <c r="N165" i="25"/>
  <c r="O165" i="25"/>
  <c r="KQ100" i="21" l="1"/>
  <c r="KP100" i="21"/>
  <c r="KO100" i="21"/>
  <c r="KH99" i="21"/>
  <c r="KH100" i="21" s="1"/>
  <c r="IZ100" i="21"/>
  <c r="JX99" i="21"/>
  <c r="JX100" i="21" s="1"/>
  <c r="KD100" i="21"/>
  <c r="JD99" i="21"/>
  <c r="JD100" i="21" s="1"/>
  <c r="KE99" i="21"/>
  <c r="KF99" i="21"/>
  <c r="KG99" i="21"/>
  <c r="JC99" i="21"/>
  <c r="JT100" i="21"/>
  <c r="JU100" i="21" s="1"/>
  <c r="JW99" i="21"/>
  <c r="JV99" i="21"/>
  <c r="JL100" i="21"/>
  <c r="JK100" i="21"/>
  <c r="JA99" i="21"/>
  <c r="JB99" i="21"/>
  <c r="AW81" i="25"/>
  <c r="AX81" i="25" s="1"/>
  <c r="BH81" i="25" s="1"/>
  <c r="BE80" i="25"/>
  <c r="AU81" i="25"/>
  <c r="BS78" i="21"/>
  <c r="AY81" i="25"/>
  <c r="BD81" i="25" s="1"/>
  <c r="BA81" i="25"/>
  <c r="AQ81" i="25"/>
  <c r="BB80" i="25"/>
  <c r="V89" i="25"/>
  <c r="AS89" i="25" s="1"/>
  <c r="AZ88" i="25"/>
  <c r="M87" i="30"/>
  <c r="K163" i="30"/>
  <c r="L163" i="30" s="1"/>
  <c r="C88" i="30"/>
  <c r="AO83" i="25"/>
  <c r="AR88" i="25"/>
  <c r="AV88" i="25"/>
  <c r="BF88" i="25" s="1"/>
  <c r="AT85" i="25"/>
  <c r="BG85" i="25" s="1"/>
  <c r="AN85" i="25"/>
  <c r="AP82" i="25"/>
  <c r="AA88" i="25"/>
  <c r="AB88" i="25"/>
  <c r="Y88" i="25"/>
  <c r="Z88" i="25" s="1"/>
  <c r="W88" i="25"/>
  <c r="X88" i="25" s="1"/>
  <c r="AF88" i="25"/>
  <c r="AD88" i="25"/>
  <c r="AJ88" i="25"/>
  <c r="AI88" i="25"/>
  <c r="AK86" i="25"/>
  <c r="AL85" i="25"/>
  <c r="BC85" i="25" s="1"/>
  <c r="AM85" i="25"/>
  <c r="AE88" i="25"/>
  <c r="AC88" i="25"/>
  <c r="AH88" i="25"/>
  <c r="AK87" i="25"/>
  <c r="AG88" i="25"/>
  <c r="S164" i="25"/>
  <c r="HN79" i="21"/>
  <c r="GI79" i="21"/>
  <c r="AP79" i="21"/>
  <c r="GJ79" i="21"/>
  <c r="IH79" i="21"/>
  <c r="HO79" i="21"/>
  <c r="HM79" i="21"/>
  <c r="LA79" i="21"/>
  <c r="KY79" i="21"/>
  <c r="GU79" i="21"/>
  <c r="KW82" i="21"/>
  <c r="KU81" i="21"/>
  <c r="LB80" i="21" s="1"/>
  <c r="KX80" i="21"/>
  <c r="KV81" i="21"/>
  <c r="KZ79" i="21"/>
  <c r="IN81" i="21"/>
  <c r="HB79" i="21"/>
  <c r="EL78" i="21"/>
  <c r="IR79" i="21"/>
  <c r="IS79" i="21"/>
  <c r="IQ79" i="21"/>
  <c r="IM81" i="21"/>
  <c r="IT80" i="21" s="1"/>
  <c r="IP80" i="21"/>
  <c r="IO82" i="21"/>
  <c r="GK79" i="21"/>
  <c r="II79" i="21"/>
  <c r="IE82" i="21"/>
  <c r="ID81" i="21"/>
  <c r="IC81" i="21"/>
  <c r="IJ80" i="21" s="1"/>
  <c r="IF80" i="21"/>
  <c r="IG79" i="21"/>
  <c r="HU81" i="21"/>
  <c r="HV79" i="21"/>
  <c r="HW78" i="21"/>
  <c r="HS80" i="21"/>
  <c r="HZ79" i="21" s="1"/>
  <c r="HY78" i="21"/>
  <c r="HT80" i="21"/>
  <c r="HX78" i="21"/>
  <c r="HK82" i="21"/>
  <c r="HJ81" i="21"/>
  <c r="HI81" i="21"/>
  <c r="HP80" i="21" s="1"/>
  <c r="HL80" i="21"/>
  <c r="GY80" i="21"/>
  <c r="HF79" i="21" s="1"/>
  <c r="HA81" i="21"/>
  <c r="GZ80" i="21"/>
  <c r="HE78" i="21"/>
  <c r="HC78" i="21"/>
  <c r="HD78" i="21"/>
  <c r="FE79" i="21"/>
  <c r="FF79" i="21"/>
  <c r="FG79" i="21"/>
  <c r="AY78" i="21"/>
  <c r="ER81" i="21"/>
  <c r="GR80" i="21"/>
  <c r="GT79" i="21"/>
  <c r="GS79" i="21"/>
  <c r="GO81" i="21"/>
  <c r="GV80" i="21" s="1"/>
  <c r="GQ82" i="21"/>
  <c r="GP81" i="21"/>
  <c r="FL80" i="21"/>
  <c r="GA79" i="21"/>
  <c r="GF81" i="21"/>
  <c r="FN79" i="21"/>
  <c r="FY79" i="21"/>
  <c r="DP79" i="21"/>
  <c r="BK79" i="21"/>
  <c r="BU78" i="21"/>
  <c r="FZ79" i="21"/>
  <c r="GG82" i="21"/>
  <c r="GE81" i="21"/>
  <c r="GL80" i="21" s="1"/>
  <c r="GH80" i="21"/>
  <c r="FV81" i="21"/>
  <c r="FW82" i="21"/>
  <c r="FU81" i="21"/>
  <c r="GB80" i="21" s="1"/>
  <c r="FX80" i="21"/>
  <c r="BT78" i="21"/>
  <c r="DR78" i="21"/>
  <c r="EM78" i="21"/>
  <c r="EB78" i="21"/>
  <c r="FB81" i="21"/>
  <c r="EH80" i="21"/>
  <c r="EC78" i="21"/>
  <c r="CN78" i="21"/>
  <c r="EA78" i="21"/>
  <c r="FK80" i="21"/>
  <c r="FR79" i="21" s="1"/>
  <c r="FM81" i="21"/>
  <c r="FO78" i="21"/>
  <c r="FQ78" i="21"/>
  <c r="FP78" i="21"/>
  <c r="FC82" i="21"/>
  <c r="FA81" i="21"/>
  <c r="FH80" i="21" s="1"/>
  <c r="FD80" i="21"/>
  <c r="ES82" i="21"/>
  <c r="ET80" i="21"/>
  <c r="EV79" i="21"/>
  <c r="EQ81" i="21"/>
  <c r="EX80" i="21" s="1"/>
  <c r="EW79" i="21"/>
  <c r="EU79" i="21"/>
  <c r="CD78" i="21"/>
  <c r="DI78" i="21"/>
  <c r="DN80" i="21"/>
  <c r="EJ79" i="21"/>
  <c r="EI81" i="21"/>
  <c r="EG80" i="21"/>
  <c r="EN79" i="21" s="1"/>
  <c r="EK78" i="21"/>
  <c r="DX80" i="21"/>
  <c r="DW80" i="21"/>
  <c r="ED79" i="21" s="1"/>
  <c r="DY81" i="21"/>
  <c r="DZ79" i="21"/>
  <c r="DM80" i="21"/>
  <c r="DT79" i="21" s="1"/>
  <c r="DS78" i="21"/>
  <c r="DQ78" i="21"/>
  <c r="DO81" i="21"/>
  <c r="DF79" i="21"/>
  <c r="DH78" i="21"/>
  <c r="DE81" i="21"/>
  <c r="DG78" i="21"/>
  <c r="DC80" i="21"/>
  <c r="DJ79" i="21" s="1"/>
  <c r="DD80" i="21"/>
  <c r="CS80" i="21"/>
  <c r="CZ79" i="21" s="1"/>
  <c r="CV79" i="21"/>
  <c r="CU81" i="21"/>
  <c r="CY78" i="21"/>
  <c r="CT80" i="21"/>
  <c r="CW78" i="21"/>
  <c r="CX78" i="21"/>
  <c r="CM78" i="21"/>
  <c r="CC78" i="21"/>
  <c r="CE78" i="21"/>
  <c r="CJ80" i="21"/>
  <c r="CI80" i="21"/>
  <c r="CP79" i="21" s="1"/>
  <c r="CK81" i="21"/>
  <c r="CL79" i="21"/>
  <c r="CO78" i="21"/>
  <c r="BY80" i="21"/>
  <c r="CF79" i="21" s="1"/>
  <c r="CA81" i="21"/>
  <c r="BZ80" i="21"/>
  <c r="CB79" i="21"/>
  <c r="BQ81" i="21"/>
  <c r="BO80" i="21"/>
  <c r="BV79" i="21" s="1"/>
  <c r="BP80" i="21"/>
  <c r="BR79" i="21"/>
  <c r="BI79" i="21"/>
  <c r="BG82" i="21"/>
  <c r="BE81" i="21"/>
  <c r="BL80" i="21" s="1"/>
  <c r="BH80" i="21"/>
  <c r="BJ79" i="21"/>
  <c r="BF81" i="21"/>
  <c r="AV80" i="21"/>
  <c r="AU80" i="21"/>
  <c r="BB79" i="21" s="1"/>
  <c r="AW81" i="21"/>
  <c r="AZ78" i="21"/>
  <c r="AX79" i="21"/>
  <c r="BA78" i="21"/>
  <c r="AO79" i="21"/>
  <c r="AL81" i="21"/>
  <c r="AM82" i="21"/>
  <c r="AN80" i="21"/>
  <c r="AK81" i="21"/>
  <c r="AR80" i="21" s="1"/>
  <c r="AQ79" i="21"/>
  <c r="P165" i="25"/>
  <c r="R165" i="25"/>
  <c r="M167" i="25"/>
  <c r="N166" i="25"/>
  <c r="O166" i="25"/>
  <c r="Q166" i="25"/>
  <c r="JB100" i="21" l="1"/>
  <c r="KG100" i="21"/>
  <c r="JC100" i="21"/>
  <c r="JA100" i="21"/>
  <c r="JV100" i="21"/>
  <c r="KF100" i="21"/>
  <c r="KE100" i="21"/>
  <c r="JW100" i="21"/>
  <c r="AP80" i="21"/>
  <c r="AW82" i="25"/>
  <c r="AX82" i="25" s="1"/>
  <c r="BH82" i="25" s="1"/>
  <c r="BE81" i="25"/>
  <c r="AU82" i="25"/>
  <c r="BU79" i="21"/>
  <c r="AY82" i="25"/>
  <c r="BD82" i="25" s="1"/>
  <c r="BA82" i="25"/>
  <c r="AQ82" i="25"/>
  <c r="BB81" i="25"/>
  <c r="V90" i="25"/>
  <c r="AS90" i="25" s="1"/>
  <c r="AZ89" i="25"/>
  <c r="M88" i="30"/>
  <c r="K164" i="30"/>
  <c r="L164" i="30" s="1"/>
  <c r="HE79" i="21"/>
  <c r="C89" i="30"/>
  <c r="AN86" i="25"/>
  <c r="AL87" i="25"/>
  <c r="BC87" i="25" s="1"/>
  <c r="AO84" i="25"/>
  <c r="AR89" i="25"/>
  <c r="AV89" i="25"/>
  <c r="BF89" i="25" s="1"/>
  <c r="AN87" i="25"/>
  <c r="AL86" i="25"/>
  <c r="BC86" i="25" s="1"/>
  <c r="AT86" i="25"/>
  <c r="BG86" i="25" s="1"/>
  <c r="AT87" i="25"/>
  <c r="BG87" i="25" s="1"/>
  <c r="AP83" i="25"/>
  <c r="AB89" i="25"/>
  <c r="AA89" i="25"/>
  <c r="AJ89" i="25"/>
  <c r="AI89" i="25"/>
  <c r="Y89" i="25"/>
  <c r="W89" i="25"/>
  <c r="AM86" i="25"/>
  <c r="AE89" i="25"/>
  <c r="AH89" i="25"/>
  <c r="AG89" i="25"/>
  <c r="AK88" i="25"/>
  <c r="AC89" i="25"/>
  <c r="IN82" i="21"/>
  <c r="HD79" i="21"/>
  <c r="HC79" i="21"/>
  <c r="GU80" i="21"/>
  <c r="KY80" i="21"/>
  <c r="HO80" i="21"/>
  <c r="KZ80" i="21"/>
  <c r="KV82" i="21"/>
  <c r="KU82" i="21"/>
  <c r="LB81" i="21" s="1"/>
  <c r="KW83" i="21"/>
  <c r="KX81" i="21"/>
  <c r="LA80" i="21"/>
  <c r="IP81" i="21"/>
  <c r="FO79" i="21"/>
  <c r="IF81" i="21"/>
  <c r="HY79" i="21"/>
  <c r="GT80" i="21"/>
  <c r="HT81" i="21"/>
  <c r="GK80" i="21"/>
  <c r="IS80" i="21"/>
  <c r="ID82" i="21"/>
  <c r="IR80" i="21"/>
  <c r="CD79" i="21"/>
  <c r="FP79" i="21"/>
  <c r="DH79" i="21"/>
  <c r="EM79" i="21"/>
  <c r="FQ79" i="21"/>
  <c r="GP82" i="21"/>
  <c r="IQ80" i="21"/>
  <c r="IO83" i="21"/>
  <c r="IM82" i="21"/>
  <c r="IT81" i="21" s="1"/>
  <c r="DQ79" i="21"/>
  <c r="DS79" i="21"/>
  <c r="DR79" i="21"/>
  <c r="HN80" i="21"/>
  <c r="HW79" i="21"/>
  <c r="HJ82" i="21"/>
  <c r="IC82" i="21"/>
  <c r="IJ81" i="21" s="1"/>
  <c r="IH80" i="21"/>
  <c r="IE83" i="21"/>
  <c r="IG80" i="21"/>
  <c r="II80" i="21"/>
  <c r="HS81" i="21"/>
  <c r="HZ80" i="21" s="1"/>
  <c r="HV80" i="21"/>
  <c r="HU82" i="21"/>
  <c r="HX79" i="21"/>
  <c r="HI82" i="21"/>
  <c r="HP81" i="21" s="1"/>
  <c r="HM80" i="21"/>
  <c r="HL81" i="21"/>
  <c r="HK83" i="21"/>
  <c r="GZ81" i="21"/>
  <c r="HA82" i="21"/>
  <c r="GY81" i="21"/>
  <c r="HF80" i="21" s="1"/>
  <c r="HB80" i="21"/>
  <c r="CE79" i="21"/>
  <c r="GR81" i="21"/>
  <c r="GQ83" i="21"/>
  <c r="GO82" i="21"/>
  <c r="GV81" i="21" s="1"/>
  <c r="GS80" i="21"/>
  <c r="BP81" i="21"/>
  <c r="BJ80" i="21"/>
  <c r="GI80" i="21"/>
  <c r="FV82" i="21"/>
  <c r="DG79" i="21"/>
  <c r="FX81" i="21"/>
  <c r="GE82" i="21"/>
  <c r="GL81" i="21" s="1"/>
  <c r="GG83" i="21"/>
  <c r="GH81" i="21"/>
  <c r="GJ80" i="21"/>
  <c r="GF82" i="21"/>
  <c r="FU82" i="21"/>
  <c r="GB81" i="21" s="1"/>
  <c r="FW83" i="21"/>
  <c r="GA80" i="21"/>
  <c r="FZ80" i="21"/>
  <c r="FY80" i="21"/>
  <c r="ET81" i="21"/>
  <c r="DN81" i="21"/>
  <c r="BZ81" i="21"/>
  <c r="FM82" i="21"/>
  <c r="FL81" i="21"/>
  <c r="FK81" i="21"/>
  <c r="FR80" i="21" s="1"/>
  <c r="FN80" i="21"/>
  <c r="FD81" i="21"/>
  <c r="FE80" i="21"/>
  <c r="FG80" i="21"/>
  <c r="FC83" i="21"/>
  <c r="FF80" i="21"/>
  <c r="FA82" i="21"/>
  <c r="FH81" i="21" s="1"/>
  <c r="FB82" i="21"/>
  <c r="ES83" i="21"/>
  <c r="EQ82" i="21"/>
  <c r="EX81" i="21" s="1"/>
  <c r="EU80" i="21"/>
  <c r="EV80" i="21"/>
  <c r="EW80" i="21"/>
  <c r="ER82" i="21"/>
  <c r="CT81" i="21"/>
  <c r="CC79" i="21"/>
  <c r="DI79" i="21"/>
  <c r="CL80" i="21"/>
  <c r="EG81" i="21"/>
  <c r="EN80" i="21" s="1"/>
  <c r="EJ80" i="21"/>
  <c r="EL79" i="21"/>
  <c r="EI82" i="21"/>
  <c r="EK79" i="21"/>
  <c r="EH81" i="21"/>
  <c r="EC79" i="21"/>
  <c r="EB79" i="21"/>
  <c r="DZ80" i="21"/>
  <c r="DY82" i="21"/>
  <c r="DW81" i="21"/>
  <c r="ED80" i="21" s="1"/>
  <c r="EA79" i="21"/>
  <c r="DX81" i="21"/>
  <c r="DM81" i="21"/>
  <c r="DT80" i="21" s="1"/>
  <c r="DO82" i="21"/>
  <c r="DP80" i="21"/>
  <c r="CV80" i="21"/>
  <c r="DC81" i="21"/>
  <c r="DJ80" i="21" s="1"/>
  <c r="DE82" i="21"/>
  <c r="DD81" i="21"/>
  <c r="DF80" i="21"/>
  <c r="CY79" i="21"/>
  <c r="CU82" i="21"/>
  <c r="CX79" i="21"/>
  <c r="CW79" i="21"/>
  <c r="CS81" i="21"/>
  <c r="CZ80" i="21" s="1"/>
  <c r="BT79" i="21"/>
  <c r="CB80" i="21"/>
  <c r="CK82" i="21"/>
  <c r="CM79" i="21"/>
  <c r="CJ81" i="21"/>
  <c r="CI81" i="21"/>
  <c r="CP80" i="21" s="1"/>
  <c r="CN79" i="21"/>
  <c r="CO79" i="21"/>
  <c r="CA82" i="21"/>
  <c r="BY81" i="21"/>
  <c r="CF80" i="21" s="1"/>
  <c r="BO81" i="21"/>
  <c r="BV80" i="21" s="1"/>
  <c r="BQ82" i="21"/>
  <c r="BS79" i="21"/>
  <c r="BR80" i="21"/>
  <c r="AX80" i="21"/>
  <c r="BH81" i="21"/>
  <c r="BE82" i="21"/>
  <c r="BL81" i="21" s="1"/>
  <c r="BI80" i="21"/>
  <c r="BG83" i="21"/>
  <c r="BF82" i="21"/>
  <c r="BK80" i="21"/>
  <c r="AZ79" i="21"/>
  <c r="AU81" i="21"/>
  <c r="BB80" i="21" s="1"/>
  <c r="AY79" i="21"/>
  <c r="AW82" i="21"/>
  <c r="BA79" i="21"/>
  <c r="AV81" i="21"/>
  <c r="AK82" i="21"/>
  <c r="AR81" i="21" s="1"/>
  <c r="AM83" i="21"/>
  <c r="AN81" i="21"/>
  <c r="AO80" i="21"/>
  <c r="AQ80" i="21"/>
  <c r="AL82" i="21"/>
  <c r="S165" i="25"/>
  <c r="P166" i="25"/>
  <c r="R166" i="25"/>
  <c r="M168" i="25"/>
  <c r="N167" i="25"/>
  <c r="O167" i="25"/>
  <c r="Q167" i="25"/>
  <c r="CO80" i="21" l="1"/>
  <c r="AP81" i="21"/>
  <c r="AW83" i="25"/>
  <c r="AX83" i="25" s="1"/>
  <c r="BH83" i="25" s="1"/>
  <c r="BE82" i="25"/>
  <c r="AU83" i="25"/>
  <c r="AQ83" i="25"/>
  <c r="BB82" i="25"/>
  <c r="AY83" i="25"/>
  <c r="BD83" i="25" s="1"/>
  <c r="BA83" i="25"/>
  <c r="V91" i="25"/>
  <c r="AS91" i="25" s="1"/>
  <c r="AZ90" i="25"/>
  <c r="M89" i="30"/>
  <c r="K165" i="30"/>
  <c r="L165" i="30" s="1"/>
  <c r="C90" i="30"/>
  <c r="AL88" i="25"/>
  <c r="BC88" i="25" s="1"/>
  <c r="AO85" i="25"/>
  <c r="AV90" i="25"/>
  <c r="BF90" i="25" s="1"/>
  <c r="AN88" i="25"/>
  <c r="AT88" i="25"/>
  <c r="BG88" i="25" s="1"/>
  <c r="W90" i="25"/>
  <c r="X90" i="25" s="1"/>
  <c r="AR90" i="25"/>
  <c r="Y90" i="25"/>
  <c r="Z90" i="25" s="1"/>
  <c r="AP84" i="25"/>
  <c r="AA90" i="25"/>
  <c r="AB90" i="25"/>
  <c r="AH90" i="25"/>
  <c r="AM87" i="25"/>
  <c r="AD89" i="25"/>
  <c r="X89" i="25"/>
  <c r="AF89" i="25"/>
  <c r="Z89" i="25"/>
  <c r="AI90" i="25"/>
  <c r="AJ90" i="25"/>
  <c r="AE90" i="25"/>
  <c r="AK89" i="25"/>
  <c r="AG90" i="25"/>
  <c r="AF90" i="25"/>
  <c r="AD90" i="25"/>
  <c r="AC90" i="25"/>
  <c r="HD80" i="21"/>
  <c r="BT80" i="21"/>
  <c r="AZ80" i="21"/>
  <c r="CX80" i="21"/>
  <c r="GU81" i="21"/>
  <c r="IQ81" i="21"/>
  <c r="IR81" i="21"/>
  <c r="KX82" i="21"/>
  <c r="II81" i="21"/>
  <c r="KZ81" i="21"/>
  <c r="FP80" i="21"/>
  <c r="IG81" i="21"/>
  <c r="LA81" i="21"/>
  <c r="GA81" i="21"/>
  <c r="IH81" i="21"/>
  <c r="KU83" i="21"/>
  <c r="LB82" i="21" s="1"/>
  <c r="KW84" i="21"/>
  <c r="KY81" i="21"/>
  <c r="KV83" i="21"/>
  <c r="DS80" i="21"/>
  <c r="CE80" i="21"/>
  <c r="GP83" i="21"/>
  <c r="IS81" i="21"/>
  <c r="EV81" i="21"/>
  <c r="HL82" i="21"/>
  <c r="FO80" i="21"/>
  <c r="HJ83" i="21"/>
  <c r="EW81" i="21"/>
  <c r="FZ81" i="21"/>
  <c r="HC80" i="21"/>
  <c r="BJ81" i="21"/>
  <c r="HV81" i="21"/>
  <c r="IM83" i="21"/>
  <c r="IT82" i="21" s="1"/>
  <c r="IO84" i="21"/>
  <c r="IP82" i="21"/>
  <c r="IN83" i="21"/>
  <c r="GJ81" i="21"/>
  <c r="FF81" i="21"/>
  <c r="EU81" i="21"/>
  <c r="DD82" i="21"/>
  <c r="FG81" i="21"/>
  <c r="IE84" i="21"/>
  <c r="ID83" i="21"/>
  <c r="IC83" i="21"/>
  <c r="IJ82" i="21" s="1"/>
  <c r="IF82" i="21"/>
  <c r="HW80" i="21"/>
  <c r="HS82" i="21"/>
  <c r="HZ81" i="21" s="1"/>
  <c r="HX80" i="21"/>
  <c r="HU83" i="21"/>
  <c r="HT82" i="21"/>
  <c r="HY80" i="21"/>
  <c r="HM81" i="21"/>
  <c r="HO81" i="21"/>
  <c r="HN81" i="21"/>
  <c r="HK84" i="21"/>
  <c r="HI83" i="21"/>
  <c r="HP82" i="21" s="1"/>
  <c r="GY82" i="21"/>
  <c r="HF81" i="21" s="1"/>
  <c r="HA83" i="21"/>
  <c r="GZ82" i="21"/>
  <c r="HB81" i="21"/>
  <c r="HE80" i="21"/>
  <c r="CD80" i="21"/>
  <c r="GQ84" i="21"/>
  <c r="GR82" i="21"/>
  <c r="GO83" i="21"/>
  <c r="GV82" i="21" s="1"/>
  <c r="GS81" i="21"/>
  <c r="GT81" i="21"/>
  <c r="FX82" i="21"/>
  <c r="EL80" i="21"/>
  <c r="FY81" i="21"/>
  <c r="GH82" i="21"/>
  <c r="BK81" i="21"/>
  <c r="BI81" i="21"/>
  <c r="GI81" i="21"/>
  <c r="GK81" i="21"/>
  <c r="GG84" i="21"/>
  <c r="GF83" i="21"/>
  <c r="GE83" i="21"/>
  <c r="GL82" i="21" s="1"/>
  <c r="FW84" i="21"/>
  <c r="FV83" i="21"/>
  <c r="FU83" i="21"/>
  <c r="GB82" i="21" s="1"/>
  <c r="BF83" i="21"/>
  <c r="CN80" i="21"/>
  <c r="FL82" i="21"/>
  <c r="EA80" i="21"/>
  <c r="CC80" i="21"/>
  <c r="FB83" i="21"/>
  <c r="FQ80" i="21"/>
  <c r="CM80" i="21"/>
  <c r="FM83" i="21"/>
  <c r="FK82" i="21"/>
  <c r="FR81" i="21" s="1"/>
  <c r="FN81" i="21"/>
  <c r="FA83" i="21"/>
  <c r="FH82" i="21" s="1"/>
  <c r="FC84" i="21"/>
  <c r="FE81" i="21"/>
  <c r="FD82" i="21"/>
  <c r="EQ83" i="21"/>
  <c r="EX82" i="21" s="1"/>
  <c r="ES84" i="21"/>
  <c r="ER83" i="21"/>
  <c r="ET82" i="21"/>
  <c r="CY80" i="21"/>
  <c r="DQ80" i="21"/>
  <c r="EJ81" i="21"/>
  <c r="CW80" i="21"/>
  <c r="EI83" i="21"/>
  <c r="EG82" i="21"/>
  <c r="EN81" i="21" s="1"/>
  <c r="EH82" i="21"/>
  <c r="EK80" i="21"/>
  <c r="EM80" i="21"/>
  <c r="DY83" i="21"/>
  <c r="DZ81" i="21"/>
  <c r="EB80" i="21"/>
  <c r="DW82" i="21"/>
  <c r="ED81" i="21" s="1"/>
  <c r="DX82" i="21"/>
  <c r="EC80" i="21"/>
  <c r="DO83" i="21"/>
  <c r="DM82" i="21"/>
  <c r="DT81" i="21" s="1"/>
  <c r="DR80" i="21"/>
  <c r="DP81" i="21"/>
  <c r="DN82" i="21"/>
  <c r="BS80" i="21"/>
  <c r="CB81" i="21"/>
  <c r="CJ82" i="21"/>
  <c r="DI80" i="21"/>
  <c r="DF81" i="21"/>
  <c r="DH80" i="21"/>
  <c r="DG80" i="21"/>
  <c r="DC82" i="21"/>
  <c r="DJ81" i="21" s="1"/>
  <c r="DE83" i="21"/>
  <c r="CU83" i="21"/>
  <c r="CT82" i="21"/>
  <c r="CS82" i="21"/>
  <c r="CZ81" i="21" s="1"/>
  <c r="CV81" i="21"/>
  <c r="BA80" i="21"/>
  <c r="BU80" i="21"/>
  <c r="AY80" i="21"/>
  <c r="CK83" i="21"/>
  <c r="CI82" i="21"/>
  <c r="CP81" i="21" s="1"/>
  <c r="CL81" i="21"/>
  <c r="CA83" i="21"/>
  <c r="BZ82" i="21"/>
  <c r="BY82" i="21"/>
  <c r="CF81" i="21" s="1"/>
  <c r="BO82" i="21"/>
  <c r="BV81" i="21" s="1"/>
  <c r="BQ83" i="21"/>
  <c r="BR81" i="21"/>
  <c r="BP82" i="21"/>
  <c r="BG84" i="21"/>
  <c r="BE83" i="21"/>
  <c r="BL82" i="21" s="1"/>
  <c r="BH82" i="21"/>
  <c r="AU82" i="21"/>
  <c r="BB81" i="21" s="1"/>
  <c r="AV82" i="21"/>
  <c r="AW83" i="21"/>
  <c r="AX81" i="21"/>
  <c r="AO81" i="21"/>
  <c r="AN82" i="21"/>
  <c r="AP82" i="21" s="1"/>
  <c r="AM84" i="21"/>
  <c r="AK83" i="21"/>
  <c r="AR82" i="21" s="1"/>
  <c r="AL83" i="21"/>
  <c r="AQ81" i="21"/>
  <c r="P167" i="25"/>
  <c r="R167" i="25"/>
  <c r="O168" i="25"/>
  <c r="Q168" i="25"/>
  <c r="N168" i="25"/>
  <c r="M169" i="25"/>
  <c r="S166" i="25"/>
  <c r="AW84" i="25" l="1"/>
  <c r="AX84" i="25" s="1"/>
  <c r="BH84" i="25" s="1"/>
  <c r="BE83" i="25"/>
  <c r="AU84" i="25"/>
  <c r="BT81" i="21"/>
  <c r="AY84" i="25"/>
  <c r="BD84" i="25" s="1"/>
  <c r="BA84" i="25"/>
  <c r="AQ84" i="25"/>
  <c r="BB83" i="25"/>
  <c r="V92" i="25"/>
  <c r="AZ91" i="25"/>
  <c r="M90" i="30"/>
  <c r="FZ82" i="21"/>
  <c r="K166" i="30"/>
  <c r="L166" i="30" s="1"/>
  <c r="C91" i="30"/>
  <c r="AL89" i="25"/>
  <c r="BC89" i="25" s="1"/>
  <c r="AO86" i="25"/>
  <c r="AV91" i="25"/>
  <c r="BF91" i="25" s="1"/>
  <c r="AN89" i="25"/>
  <c r="AT89" i="25"/>
  <c r="BG89" i="25" s="1"/>
  <c r="W91" i="25"/>
  <c r="X91" i="25" s="1"/>
  <c r="AR91" i="25"/>
  <c r="AP85" i="25"/>
  <c r="AA91" i="25"/>
  <c r="AB91" i="25"/>
  <c r="AS92" i="25"/>
  <c r="AI91" i="25"/>
  <c r="AJ91" i="25"/>
  <c r="AD91" i="25"/>
  <c r="Y91" i="25"/>
  <c r="AM88" i="25"/>
  <c r="AC91" i="25"/>
  <c r="AE91" i="25"/>
  <c r="AH91" i="25"/>
  <c r="AG91" i="25"/>
  <c r="IH82" i="21"/>
  <c r="HN82" i="21"/>
  <c r="HW81" i="21"/>
  <c r="LA82" i="21"/>
  <c r="DD83" i="21"/>
  <c r="KZ82" i="21"/>
  <c r="BI82" i="21"/>
  <c r="KY82" i="21"/>
  <c r="HO82" i="21"/>
  <c r="KV84" i="21"/>
  <c r="KW85" i="21"/>
  <c r="KU84" i="21"/>
  <c r="LB83" i="21" s="1"/>
  <c r="KX83" i="21"/>
  <c r="GJ82" i="21"/>
  <c r="HX81" i="21"/>
  <c r="HC81" i="21"/>
  <c r="EV82" i="21"/>
  <c r="HM82" i="21"/>
  <c r="HY81" i="21"/>
  <c r="EL81" i="21"/>
  <c r="HE81" i="21"/>
  <c r="HT83" i="21"/>
  <c r="IN84" i="21"/>
  <c r="IS82" i="21"/>
  <c r="IP83" i="21"/>
  <c r="IQ82" i="21"/>
  <c r="IR82" i="21"/>
  <c r="IO85" i="21"/>
  <c r="IM84" i="21"/>
  <c r="IT83" i="21" s="1"/>
  <c r="EA81" i="21"/>
  <c r="ID84" i="21"/>
  <c r="CC81" i="21"/>
  <c r="GZ83" i="21"/>
  <c r="IG82" i="21"/>
  <c r="II82" i="21"/>
  <c r="IC84" i="21"/>
  <c r="IJ83" i="21" s="1"/>
  <c r="IE85" i="21"/>
  <c r="IF83" i="21"/>
  <c r="HU84" i="21"/>
  <c r="HS83" i="21"/>
  <c r="HZ82" i="21" s="1"/>
  <c r="HV82" i="21"/>
  <c r="HK85" i="21"/>
  <c r="HI84" i="21"/>
  <c r="HP83" i="21" s="1"/>
  <c r="HL83" i="21"/>
  <c r="HJ84" i="21"/>
  <c r="HA84" i="21"/>
  <c r="GY83" i="21"/>
  <c r="HF82" i="21" s="1"/>
  <c r="HB82" i="21"/>
  <c r="HD81" i="21"/>
  <c r="EU82" i="21"/>
  <c r="GA82" i="21"/>
  <c r="CD81" i="21"/>
  <c r="FY82" i="21"/>
  <c r="GF84" i="21"/>
  <c r="GR83" i="21"/>
  <c r="GQ85" i="21"/>
  <c r="GO84" i="21"/>
  <c r="GV83" i="21" s="1"/>
  <c r="GT82" i="21"/>
  <c r="GU82" i="21"/>
  <c r="GS82" i="21"/>
  <c r="GP84" i="21"/>
  <c r="GK82" i="21"/>
  <c r="FV84" i="21"/>
  <c r="GI82" i="21"/>
  <c r="FQ81" i="21"/>
  <c r="CE81" i="21"/>
  <c r="CW81" i="21"/>
  <c r="FN82" i="21"/>
  <c r="GG85" i="21"/>
  <c r="GE84" i="21"/>
  <c r="GL83" i="21" s="1"/>
  <c r="GH83" i="21"/>
  <c r="FW85" i="21"/>
  <c r="FU84" i="21"/>
  <c r="GB83" i="21" s="1"/>
  <c r="FX83" i="21"/>
  <c r="DG81" i="21"/>
  <c r="EM81" i="21"/>
  <c r="CM81" i="21"/>
  <c r="CY81" i="21"/>
  <c r="FD83" i="21"/>
  <c r="EH83" i="21"/>
  <c r="ET83" i="21"/>
  <c r="FE82" i="21"/>
  <c r="FL83" i="21"/>
  <c r="FG82" i="21"/>
  <c r="FM84" i="21"/>
  <c r="FP81" i="21"/>
  <c r="FK83" i="21"/>
  <c r="FR82" i="21" s="1"/>
  <c r="FO81" i="21"/>
  <c r="FF82" i="21"/>
  <c r="FC85" i="21"/>
  <c r="FA84" i="21"/>
  <c r="FH83" i="21" s="1"/>
  <c r="FB84" i="21"/>
  <c r="ES85" i="21"/>
  <c r="EW82" i="21"/>
  <c r="EQ84" i="21"/>
  <c r="EX83" i="21" s="1"/>
  <c r="ER84" i="21"/>
  <c r="DH81" i="21"/>
  <c r="EB81" i="21"/>
  <c r="DP82" i="21"/>
  <c r="EK81" i="21"/>
  <c r="EI84" i="21"/>
  <c r="EG83" i="21"/>
  <c r="EN82" i="21" s="1"/>
  <c r="EJ82" i="21"/>
  <c r="DW83" i="21"/>
  <c r="ED82" i="21" s="1"/>
  <c r="DZ82" i="21"/>
  <c r="DY84" i="21"/>
  <c r="EC81" i="21"/>
  <c r="DX83" i="21"/>
  <c r="DS81" i="21"/>
  <c r="DM83" i="21"/>
  <c r="DT82" i="21" s="1"/>
  <c r="DQ81" i="21"/>
  <c r="DR81" i="21"/>
  <c r="DO84" i="21"/>
  <c r="DN83" i="21"/>
  <c r="BZ83" i="21"/>
  <c r="CT83" i="21"/>
  <c r="CV82" i="21"/>
  <c r="DC83" i="21"/>
  <c r="DJ82" i="21" s="1"/>
  <c r="DF82" i="21"/>
  <c r="DE84" i="21"/>
  <c r="DI81" i="21"/>
  <c r="CU84" i="21"/>
  <c r="CS83" i="21"/>
  <c r="CZ82" i="21" s="1"/>
  <c r="CX81" i="21"/>
  <c r="CN81" i="21"/>
  <c r="BS81" i="21"/>
  <c r="CO81" i="21"/>
  <c r="CK84" i="21"/>
  <c r="CI83" i="21"/>
  <c r="CP82" i="21" s="1"/>
  <c r="CL82" i="21"/>
  <c r="CJ83" i="21"/>
  <c r="CA84" i="21"/>
  <c r="BY83" i="21"/>
  <c r="CF82" i="21" s="1"/>
  <c r="CB82" i="21"/>
  <c r="BQ84" i="21"/>
  <c r="BO83" i="21"/>
  <c r="BV82" i="21" s="1"/>
  <c r="BP83" i="21"/>
  <c r="BR82" i="21"/>
  <c r="BU81" i="21"/>
  <c r="BK82" i="21"/>
  <c r="BE84" i="21"/>
  <c r="BL83" i="21" s="1"/>
  <c r="BG85" i="21"/>
  <c r="BJ82" i="21"/>
  <c r="BH83" i="21"/>
  <c r="BF84" i="21"/>
  <c r="AZ81" i="21"/>
  <c r="AX82" i="21"/>
  <c r="AY81" i="21"/>
  <c r="BA81" i="21"/>
  <c r="AU83" i="21"/>
  <c r="BB82" i="21" s="1"/>
  <c r="AW84" i="21"/>
  <c r="AV83" i="21"/>
  <c r="AL84" i="21"/>
  <c r="AQ82" i="21"/>
  <c r="AO82" i="21"/>
  <c r="AM85" i="21"/>
  <c r="AK84" i="21"/>
  <c r="AR83" i="21" s="1"/>
  <c r="AN83" i="21"/>
  <c r="AP83" i="21" s="1"/>
  <c r="N169" i="25"/>
  <c r="Q169" i="25"/>
  <c r="O169" i="25"/>
  <c r="M170" i="25"/>
  <c r="P168" i="25"/>
  <c r="R168" i="25"/>
  <c r="S167" i="25"/>
  <c r="AW85" i="25" l="1"/>
  <c r="AX85" i="25" s="1"/>
  <c r="BH85" i="25" s="1"/>
  <c r="BE84" i="25"/>
  <c r="AU85" i="25"/>
  <c r="AY85" i="25"/>
  <c r="BD85" i="25" s="1"/>
  <c r="BA85" i="25"/>
  <c r="AQ85" i="25"/>
  <c r="BB84" i="25"/>
  <c r="V93" i="25"/>
  <c r="AS93" i="25" s="1"/>
  <c r="AZ92" i="25"/>
  <c r="M91" i="30"/>
  <c r="DR82" i="21"/>
  <c r="IH83" i="21"/>
  <c r="K167" i="30"/>
  <c r="L167" i="30" s="1"/>
  <c r="C92" i="30"/>
  <c r="AO87" i="25"/>
  <c r="AV92" i="25"/>
  <c r="BF92" i="25" s="1"/>
  <c r="Y92" i="25"/>
  <c r="Z92" i="25" s="1"/>
  <c r="AR92" i="25"/>
  <c r="W92" i="25"/>
  <c r="X92" i="25" s="1"/>
  <c r="AP86" i="25"/>
  <c r="AA92" i="25"/>
  <c r="AB92" i="25"/>
  <c r="AF91" i="25"/>
  <c r="Z91" i="25"/>
  <c r="AF92" i="25"/>
  <c r="AM89" i="25"/>
  <c r="AI92" i="25"/>
  <c r="AJ92" i="25"/>
  <c r="AK90" i="25"/>
  <c r="AK91" i="25"/>
  <c r="AC92" i="25"/>
  <c r="AE92" i="25"/>
  <c r="AG92" i="25"/>
  <c r="AD92" i="25"/>
  <c r="AH92" i="25"/>
  <c r="GZ84" i="21"/>
  <c r="HT84" i="21"/>
  <c r="KU85" i="21"/>
  <c r="LB84" i="21" s="1"/>
  <c r="KV85" i="21"/>
  <c r="KZ83" i="21"/>
  <c r="LA83" i="21"/>
  <c r="KX84" i="21"/>
  <c r="KW86" i="21"/>
  <c r="KY83" i="21"/>
  <c r="DF83" i="21"/>
  <c r="FP82" i="21"/>
  <c r="GK83" i="21"/>
  <c r="HX82" i="21"/>
  <c r="IN85" i="21"/>
  <c r="FO82" i="21"/>
  <c r="EU83" i="21"/>
  <c r="HB83" i="21"/>
  <c r="IM85" i="21"/>
  <c r="IT84" i="21" s="1"/>
  <c r="IO86" i="21"/>
  <c r="IR83" i="21"/>
  <c r="IQ83" i="21"/>
  <c r="IP84" i="21"/>
  <c r="IS83" i="21"/>
  <c r="GS83" i="21"/>
  <c r="HW82" i="21"/>
  <c r="HJ85" i="21"/>
  <c r="HL84" i="21"/>
  <c r="ID85" i="21"/>
  <c r="IC85" i="21"/>
  <c r="IJ84" i="21" s="1"/>
  <c r="IE86" i="21"/>
  <c r="IF84" i="21"/>
  <c r="II83" i="21"/>
  <c r="IG83" i="21"/>
  <c r="HS84" i="21"/>
  <c r="HZ83" i="21" s="1"/>
  <c r="HU85" i="21"/>
  <c r="HV83" i="21"/>
  <c r="HY82" i="21"/>
  <c r="HI85" i="21"/>
  <c r="HP84" i="21" s="1"/>
  <c r="HM83" i="21"/>
  <c r="HO83" i="21"/>
  <c r="HN83" i="21"/>
  <c r="HK86" i="21"/>
  <c r="GY84" i="21"/>
  <c r="HF83" i="21" s="1"/>
  <c r="HE82" i="21"/>
  <c r="HC82" i="21"/>
  <c r="HA85" i="21"/>
  <c r="HD82" i="21"/>
  <c r="CY82" i="21"/>
  <c r="GP85" i="21"/>
  <c r="CT84" i="21"/>
  <c r="GU83" i="21"/>
  <c r="GT83" i="21"/>
  <c r="GO85" i="21"/>
  <c r="GV84" i="21" s="1"/>
  <c r="GQ86" i="21"/>
  <c r="GR84" i="21"/>
  <c r="EW83" i="21"/>
  <c r="EV83" i="21"/>
  <c r="EM82" i="21"/>
  <c r="EK82" i="21"/>
  <c r="DZ83" i="21"/>
  <c r="BZ84" i="21"/>
  <c r="DQ82" i="21"/>
  <c r="FQ82" i="21"/>
  <c r="GE85" i="21"/>
  <c r="GL84" i="21" s="1"/>
  <c r="GH84" i="21"/>
  <c r="GJ83" i="21"/>
  <c r="GG86" i="21"/>
  <c r="GI83" i="21"/>
  <c r="GF85" i="21"/>
  <c r="FX84" i="21"/>
  <c r="FY83" i="21"/>
  <c r="FZ83" i="21"/>
  <c r="GA83" i="21"/>
  <c r="FW86" i="21"/>
  <c r="FU85" i="21"/>
  <c r="GB84" i="21" s="1"/>
  <c r="FV85" i="21"/>
  <c r="CX82" i="21"/>
  <c r="FG83" i="21"/>
  <c r="DS82" i="21"/>
  <c r="FF83" i="21"/>
  <c r="FE83" i="21"/>
  <c r="EC82" i="21"/>
  <c r="FM85" i="21"/>
  <c r="FK84" i="21"/>
  <c r="FR83" i="21" s="1"/>
  <c r="FN83" i="21"/>
  <c r="FL84" i="21"/>
  <c r="FC86" i="21"/>
  <c r="FA85" i="21"/>
  <c r="FH84" i="21" s="1"/>
  <c r="FB85" i="21"/>
  <c r="FD84" i="21"/>
  <c r="ES86" i="21"/>
  <c r="EQ85" i="21"/>
  <c r="EX84" i="21" s="1"/>
  <c r="ER85" i="21"/>
  <c r="ET84" i="21"/>
  <c r="EB82" i="21"/>
  <c r="CN82" i="21"/>
  <c r="EA82" i="21"/>
  <c r="AY82" i="21"/>
  <c r="EG84" i="21"/>
  <c r="EN83" i="21" s="1"/>
  <c r="EI85" i="21"/>
  <c r="EL82" i="21"/>
  <c r="EJ83" i="21"/>
  <c r="EH84" i="21"/>
  <c r="DY85" i="21"/>
  <c r="DW84" i="21"/>
  <c r="ED83" i="21" s="1"/>
  <c r="DX84" i="21"/>
  <c r="DO85" i="21"/>
  <c r="DM84" i="21"/>
  <c r="DT83" i="21" s="1"/>
  <c r="DN84" i="21"/>
  <c r="DP83" i="21"/>
  <c r="CW82" i="21"/>
  <c r="CO82" i="21"/>
  <c r="DC84" i="21"/>
  <c r="DJ83" i="21" s="1"/>
  <c r="DH82" i="21"/>
  <c r="DE85" i="21"/>
  <c r="DI82" i="21"/>
  <c r="DG82" i="21"/>
  <c r="DD84" i="21"/>
  <c r="CU85" i="21"/>
  <c r="CS84" i="21"/>
  <c r="CZ83" i="21" s="1"/>
  <c r="CV83" i="21"/>
  <c r="BR83" i="21"/>
  <c r="BP84" i="21"/>
  <c r="BH84" i="21"/>
  <c r="CK85" i="21"/>
  <c r="CI84" i="21"/>
  <c r="CP83" i="21" s="1"/>
  <c r="CJ84" i="21"/>
  <c r="CL83" i="21"/>
  <c r="CM82" i="21"/>
  <c r="BY84" i="21"/>
  <c r="CF83" i="21" s="1"/>
  <c r="CB83" i="21"/>
  <c r="CD82" i="21"/>
  <c r="CC82" i="21"/>
  <c r="CA85" i="21"/>
  <c r="CE82" i="21"/>
  <c r="BS82" i="21"/>
  <c r="BQ85" i="21"/>
  <c r="BO84" i="21"/>
  <c r="BV83" i="21" s="1"/>
  <c r="BU82" i="21"/>
  <c r="BT82" i="21"/>
  <c r="BA82" i="21"/>
  <c r="BI83" i="21"/>
  <c r="BE85" i="21"/>
  <c r="BL84" i="21" s="1"/>
  <c r="BG86" i="21"/>
  <c r="BJ83" i="21"/>
  <c r="BF85" i="21"/>
  <c r="BK83" i="21"/>
  <c r="AW85" i="21"/>
  <c r="AU84" i="21"/>
  <c r="BB83" i="21" s="1"/>
  <c r="AV84" i="21"/>
  <c r="AX83" i="21"/>
  <c r="AZ82" i="21"/>
  <c r="AQ83" i="21"/>
  <c r="AK85" i="21"/>
  <c r="AR84" i="21" s="1"/>
  <c r="AM86" i="21"/>
  <c r="AN84" i="21"/>
  <c r="AP84" i="21" s="1"/>
  <c r="AO83" i="21"/>
  <c r="AL85" i="21"/>
  <c r="S168" i="25"/>
  <c r="M171" i="25"/>
  <c r="N170" i="25"/>
  <c r="O170" i="25"/>
  <c r="Q170" i="25"/>
  <c r="R169" i="25"/>
  <c r="P169" i="25"/>
  <c r="EB83" i="21" l="1"/>
  <c r="AW86" i="25"/>
  <c r="AX86" i="25" s="1"/>
  <c r="BH86" i="25" s="1"/>
  <c r="BE85" i="25"/>
  <c r="AU86" i="25"/>
  <c r="DH83" i="21"/>
  <c r="AQ86" i="25"/>
  <c r="BB85" i="25"/>
  <c r="AY86" i="25"/>
  <c r="BD86" i="25" s="1"/>
  <c r="BA86" i="25"/>
  <c r="V94" i="25"/>
  <c r="AS94" i="25" s="1"/>
  <c r="AZ93" i="25"/>
  <c r="M92" i="30"/>
  <c r="K168" i="30"/>
  <c r="L168" i="30" s="1"/>
  <c r="C93" i="30"/>
  <c r="AL91" i="25"/>
  <c r="BC91" i="25" s="1"/>
  <c r="AN90" i="25"/>
  <c r="AO88" i="25"/>
  <c r="Y93" i="25"/>
  <c r="Z93" i="25" s="1"/>
  <c r="AR93" i="25"/>
  <c r="AV93" i="25"/>
  <c r="BF93" i="25" s="1"/>
  <c r="AN91" i="25"/>
  <c r="AL90" i="25"/>
  <c r="BC90" i="25" s="1"/>
  <c r="AT90" i="25"/>
  <c r="BG90" i="25" s="1"/>
  <c r="AT91" i="25"/>
  <c r="BG91" i="25" s="1"/>
  <c r="W93" i="25"/>
  <c r="X93" i="25" s="1"/>
  <c r="AP87" i="25"/>
  <c r="AA93" i="25"/>
  <c r="AB93" i="25"/>
  <c r="AD93" i="25"/>
  <c r="AH93" i="25"/>
  <c r="AI93" i="25"/>
  <c r="AJ93" i="25"/>
  <c r="AM90" i="25"/>
  <c r="AK92" i="25"/>
  <c r="AF93" i="25"/>
  <c r="AG93" i="25"/>
  <c r="AC93" i="25"/>
  <c r="AE93" i="25"/>
  <c r="S169" i="25"/>
  <c r="EC83" i="21"/>
  <c r="KV86" i="21"/>
  <c r="HE83" i="21"/>
  <c r="DG83" i="21"/>
  <c r="DI83" i="21"/>
  <c r="BP85" i="21"/>
  <c r="KY84" i="21"/>
  <c r="FP83" i="21"/>
  <c r="KZ84" i="21"/>
  <c r="KW87" i="21"/>
  <c r="KU86" i="21"/>
  <c r="LB85" i="21" s="1"/>
  <c r="KX85" i="21"/>
  <c r="LA84" i="21"/>
  <c r="HD83" i="21"/>
  <c r="IN86" i="21"/>
  <c r="HC83" i="21"/>
  <c r="HO84" i="21"/>
  <c r="HN84" i="21"/>
  <c r="HM84" i="21"/>
  <c r="IR84" i="21"/>
  <c r="CX83" i="21"/>
  <c r="IF85" i="21"/>
  <c r="HV84" i="21"/>
  <c r="IP85" i="21"/>
  <c r="IQ84" i="21"/>
  <c r="IO87" i="21"/>
  <c r="IS84" i="21"/>
  <c r="IM86" i="21"/>
  <c r="IT85" i="21" s="1"/>
  <c r="GP86" i="21"/>
  <c r="FB86" i="21"/>
  <c r="DN85" i="21"/>
  <c r="II84" i="21"/>
  <c r="IE87" i="21"/>
  <c r="IC86" i="21"/>
  <c r="IJ85" i="21" s="1"/>
  <c r="IG84" i="21"/>
  <c r="IH84" i="21"/>
  <c r="ID86" i="21"/>
  <c r="HU86" i="21"/>
  <c r="HT85" i="21"/>
  <c r="HS85" i="21"/>
  <c r="HZ84" i="21" s="1"/>
  <c r="HW83" i="21"/>
  <c r="HY83" i="21"/>
  <c r="HX83" i="21"/>
  <c r="HK87" i="21"/>
  <c r="HJ86" i="21"/>
  <c r="HI86" i="21"/>
  <c r="HP85" i="21" s="1"/>
  <c r="HL85" i="21"/>
  <c r="HA86" i="21"/>
  <c r="GY85" i="21"/>
  <c r="HF84" i="21" s="1"/>
  <c r="GZ85" i="21"/>
  <c r="HB84" i="21"/>
  <c r="BS83" i="21"/>
  <c r="GJ84" i="21"/>
  <c r="FY84" i="21"/>
  <c r="GR85" i="21"/>
  <c r="EA83" i="21"/>
  <c r="FF84" i="21"/>
  <c r="GQ87" i="21"/>
  <c r="GS84" i="21"/>
  <c r="GU84" i="21"/>
  <c r="GO86" i="21"/>
  <c r="GV85" i="21" s="1"/>
  <c r="GT84" i="21"/>
  <c r="EW84" i="21"/>
  <c r="FZ84" i="21"/>
  <c r="CE83" i="21"/>
  <c r="CL84" i="21"/>
  <c r="CJ85" i="21"/>
  <c r="ER86" i="21"/>
  <c r="GA84" i="21"/>
  <c r="GH85" i="21"/>
  <c r="GG87" i="21"/>
  <c r="GE86" i="21"/>
  <c r="GL85" i="21" s="1"/>
  <c r="GF86" i="21"/>
  <c r="GI84" i="21"/>
  <c r="GK84" i="21"/>
  <c r="FW87" i="21"/>
  <c r="FV86" i="21"/>
  <c r="FU86" i="21"/>
  <c r="GB85" i="21" s="1"/>
  <c r="FX85" i="21"/>
  <c r="BU83" i="21"/>
  <c r="FO83" i="21"/>
  <c r="AX84" i="21"/>
  <c r="FK85" i="21"/>
  <c r="FR84" i="21" s="1"/>
  <c r="FQ83" i="21"/>
  <c r="FN84" i="21"/>
  <c r="FM86" i="21"/>
  <c r="FL85" i="21"/>
  <c r="FE84" i="21"/>
  <c r="FG84" i="21"/>
  <c r="FD85" i="21"/>
  <c r="FA86" i="21"/>
  <c r="FH85" i="21" s="1"/>
  <c r="FC87" i="21"/>
  <c r="EQ86" i="21"/>
  <c r="EX85" i="21" s="1"/>
  <c r="EU84" i="21"/>
  <c r="ET85" i="21"/>
  <c r="EV84" i="21"/>
  <c r="ES87" i="21"/>
  <c r="DP84" i="21"/>
  <c r="EJ84" i="21"/>
  <c r="EM83" i="21"/>
  <c r="EI86" i="21"/>
  <c r="EK83" i="21"/>
  <c r="EL83" i="21"/>
  <c r="EG85" i="21"/>
  <c r="EN84" i="21" s="1"/>
  <c r="EH85" i="21"/>
  <c r="DY86" i="21"/>
  <c r="DW85" i="21"/>
  <c r="ED84" i="21" s="1"/>
  <c r="DX85" i="21"/>
  <c r="DZ84" i="21"/>
  <c r="DM85" i="21"/>
  <c r="DT84" i="21" s="1"/>
  <c r="DR83" i="21"/>
  <c r="DS83" i="21"/>
  <c r="DQ83" i="21"/>
  <c r="DO86" i="21"/>
  <c r="BK84" i="21"/>
  <c r="BT83" i="21"/>
  <c r="BI84" i="21"/>
  <c r="BJ84" i="21"/>
  <c r="CB84" i="21"/>
  <c r="DE86" i="21"/>
  <c r="DC85" i="21"/>
  <c r="DJ84" i="21" s="1"/>
  <c r="DD85" i="21"/>
  <c r="DF84" i="21"/>
  <c r="CW83" i="21"/>
  <c r="CV84" i="21"/>
  <c r="CY83" i="21"/>
  <c r="CS85" i="21"/>
  <c r="CZ84" i="21" s="1"/>
  <c r="CU86" i="21"/>
  <c r="CT85" i="21"/>
  <c r="CC83" i="21"/>
  <c r="CD83" i="21"/>
  <c r="CI85" i="21"/>
  <c r="CP84" i="21" s="1"/>
  <c r="CN83" i="21"/>
  <c r="CO83" i="21"/>
  <c r="CK86" i="21"/>
  <c r="CM83" i="21"/>
  <c r="CA86" i="21"/>
  <c r="BY85" i="21"/>
  <c r="CF84" i="21" s="1"/>
  <c r="BZ85" i="21"/>
  <c r="BO85" i="21"/>
  <c r="BV84" i="21" s="1"/>
  <c r="BQ86" i="21"/>
  <c r="BR84" i="21"/>
  <c r="AV85" i="21"/>
  <c r="BE86" i="21"/>
  <c r="BL85" i="21" s="1"/>
  <c r="BG87" i="21"/>
  <c r="BF86" i="21"/>
  <c r="BH85" i="21"/>
  <c r="AY83" i="21"/>
  <c r="BA83" i="21"/>
  <c r="AU85" i="21"/>
  <c r="BB84" i="21" s="1"/>
  <c r="AZ83" i="21"/>
  <c r="AW86" i="21"/>
  <c r="AN85" i="21"/>
  <c r="AP85" i="21" s="1"/>
  <c r="AO84" i="21"/>
  <c r="AK86" i="21"/>
  <c r="AR85" i="21" s="1"/>
  <c r="AM87" i="21"/>
  <c r="AL86" i="21"/>
  <c r="AQ84" i="21"/>
  <c r="P170" i="25"/>
  <c r="R170" i="25"/>
  <c r="M172" i="25"/>
  <c r="Q171" i="25"/>
  <c r="N171" i="25"/>
  <c r="O171" i="25"/>
  <c r="HN85" i="21" l="1"/>
  <c r="AW87" i="25"/>
  <c r="AX87" i="25" s="1"/>
  <c r="BH87" i="25" s="1"/>
  <c r="AU87" i="25"/>
  <c r="BE86" i="25"/>
  <c r="DR84" i="21"/>
  <c r="AY87" i="25"/>
  <c r="BD87" i="25" s="1"/>
  <c r="BA87" i="25"/>
  <c r="AQ87" i="25"/>
  <c r="BB86" i="25"/>
  <c r="V95" i="25"/>
  <c r="AZ94" i="25"/>
  <c r="M93" i="30"/>
  <c r="K169" i="30"/>
  <c r="L169" i="30" s="1"/>
  <c r="C94" i="30"/>
  <c r="AL92" i="25"/>
  <c r="BC92" i="25" s="1"/>
  <c r="AO89" i="25"/>
  <c r="AR94" i="25"/>
  <c r="AV94" i="25"/>
  <c r="BF94" i="25" s="1"/>
  <c r="AN92" i="25"/>
  <c r="AT92" i="25"/>
  <c r="BG92" i="25" s="1"/>
  <c r="AP88" i="25"/>
  <c r="AB94" i="25"/>
  <c r="AA94" i="25"/>
  <c r="AJ94" i="25"/>
  <c r="AI94" i="25"/>
  <c r="W94" i="25"/>
  <c r="AM91" i="25"/>
  <c r="Y94" i="25"/>
  <c r="AC94" i="25"/>
  <c r="AF94" i="25"/>
  <c r="AE94" i="25"/>
  <c r="AG94" i="25"/>
  <c r="HE84" i="21"/>
  <c r="DN86" i="21"/>
  <c r="DI84" i="21"/>
  <c r="GT85" i="21"/>
  <c r="IR85" i="21"/>
  <c r="GP87" i="21"/>
  <c r="LA85" i="21"/>
  <c r="KZ85" i="21"/>
  <c r="HJ87" i="21"/>
  <c r="KX86" i="21"/>
  <c r="KY85" i="21"/>
  <c r="KU87" i="21"/>
  <c r="LB86" i="21" s="1"/>
  <c r="KW88" i="21"/>
  <c r="KV87" i="21"/>
  <c r="HX84" i="21"/>
  <c r="HY84" i="21"/>
  <c r="FY85" i="21"/>
  <c r="HD84" i="21"/>
  <c r="GS85" i="21"/>
  <c r="HM85" i="21"/>
  <c r="HT86" i="21"/>
  <c r="IS85" i="21"/>
  <c r="IQ85" i="21"/>
  <c r="IH85" i="21"/>
  <c r="IG85" i="21"/>
  <c r="II85" i="21"/>
  <c r="CY84" i="21"/>
  <c r="ET86" i="21"/>
  <c r="HW84" i="21"/>
  <c r="IO88" i="21"/>
  <c r="IN87" i="21"/>
  <c r="IM87" i="21"/>
  <c r="IT86" i="21" s="1"/>
  <c r="IP86" i="21"/>
  <c r="CO84" i="21"/>
  <c r="GZ86" i="21"/>
  <c r="HC84" i="21"/>
  <c r="FN85" i="21"/>
  <c r="GJ85" i="21"/>
  <c r="IC87" i="21"/>
  <c r="IJ86" i="21" s="1"/>
  <c r="IE88" i="21"/>
  <c r="ID87" i="21"/>
  <c r="IF86" i="21"/>
  <c r="HS86" i="21"/>
  <c r="HZ85" i="21" s="1"/>
  <c r="HU87" i="21"/>
  <c r="HV85" i="21"/>
  <c r="HO85" i="21"/>
  <c r="HI87" i="21"/>
  <c r="HP86" i="21" s="1"/>
  <c r="HL86" i="21"/>
  <c r="HK88" i="21"/>
  <c r="GY86" i="21"/>
  <c r="HF85" i="21" s="1"/>
  <c r="HB85" i="21"/>
  <c r="HA87" i="21"/>
  <c r="CE84" i="21"/>
  <c r="CN84" i="21"/>
  <c r="FZ85" i="21"/>
  <c r="EL84" i="21"/>
  <c r="CM84" i="21"/>
  <c r="GU85" i="21"/>
  <c r="GO87" i="21"/>
  <c r="GV86" i="21" s="1"/>
  <c r="GR86" i="21"/>
  <c r="GQ88" i="21"/>
  <c r="FG85" i="21"/>
  <c r="GK85" i="21"/>
  <c r="GA85" i="21"/>
  <c r="BA84" i="21"/>
  <c r="AY84" i="21"/>
  <c r="GI85" i="21"/>
  <c r="GF87" i="21"/>
  <c r="AZ84" i="21"/>
  <c r="FV87" i="21"/>
  <c r="GE87" i="21"/>
  <c r="GL86" i="21" s="1"/>
  <c r="GH86" i="21"/>
  <c r="GG88" i="21"/>
  <c r="FU87" i="21"/>
  <c r="GB86" i="21" s="1"/>
  <c r="FW88" i="21"/>
  <c r="FX86" i="21"/>
  <c r="DQ84" i="21"/>
  <c r="EM84" i="21"/>
  <c r="DS84" i="21"/>
  <c r="EV85" i="21"/>
  <c r="BT84" i="21"/>
  <c r="DD86" i="21"/>
  <c r="EK84" i="21"/>
  <c r="EU85" i="21"/>
  <c r="FE85" i="21"/>
  <c r="CC84" i="21"/>
  <c r="FM87" i="21"/>
  <c r="FQ84" i="21"/>
  <c r="FK86" i="21"/>
  <c r="FR85" i="21" s="1"/>
  <c r="FO84" i="21"/>
  <c r="FL86" i="21"/>
  <c r="FP84" i="21"/>
  <c r="FA87" i="21"/>
  <c r="FH86" i="21" s="1"/>
  <c r="FC88" i="21"/>
  <c r="FD86" i="21"/>
  <c r="FB87" i="21"/>
  <c r="FF85" i="21"/>
  <c r="ES88" i="21"/>
  <c r="EQ87" i="21"/>
  <c r="EX86" i="21" s="1"/>
  <c r="ER87" i="21"/>
  <c r="EW85" i="21"/>
  <c r="BF87" i="21"/>
  <c r="DH84" i="21"/>
  <c r="BZ86" i="21"/>
  <c r="BI85" i="21"/>
  <c r="CV85" i="21"/>
  <c r="CD84" i="21"/>
  <c r="EI87" i="21"/>
  <c r="EH86" i="21"/>
  <c r="EG86" i="21"/>
  <c r="EN85" i="21" s="1"/>
  <c r="EJ85" i="21"/>
  <c r="EA84" i="21"/>
  <c r="EC84" i="21"/>
  <c r="EB84" i="21"/>
  <c r="DZ85" i="21"/>
  <c r="DW86" i="21"/>
  <c r="ED85" i="21" s="1"/>
  <c r="DY87" i="21"/>
  <c r="DX86" i="21"/>
  <c r="DM86" i="21"/>
  <c r="DT85" i="21" s="1"/>
  <c r="DO87" i="21"/>
  <c r="DP85" i="21"/>
  <c r="BU84" i="21"/>
  <c r="DC86" i="21"/>
  <c r="DJ85" i="21" s="1"/>
  <c r="DE87" i="21"/>
  <c r="DF85" i="21"/>
  <c r="DG84" i="21"/>
  <c r="CS86" i="21"/>
  <c r="CZ85" i="21" s="1"/>
  <c r="CU87" i="21"/>
  <c r="CW84" i="21"/>
  <c r="CT86" i="21"/>
  <c r="CX84" i="21"/>
  <c r="BR85" i="21"/>
  <c r="CB85" i="21"/>
  <c r="BS84" i="21"/>
  <c r="CK87" i="21"/>
  <c r="CJ86" i="21"/>
  <c r="CI86" i="21"/>
  <c r="CP85" i="21" s="1"/>
  <c r="CL85" i="21"/>
  <c r="CA87" i="21"/>
  <c r="BY86" i="21"/>
  <c r="CF85" i="21" s="1"/>
  <c r="BQ87" i="21"/>
  <c r="BP86" i="21"/>
  <c r="BO86" i="21"/>
  <c r="BV85" i="21" s="1"/>
  <c r="AV86" i="21"/>
  <c r="BK85" i="21"/>
  <c r="BJ85" i="21"/>
  <c r="BG88" i="21"/>
  <c r="BE87" i="21"/>
  <c r="BL86" i="21" s="1"/>
  <c r="BH86" i="21"/>
  <c r="AU86" i="21"/>
  <c r="BB85" i="21" s="1"/>
  <c r="AW87" i="21"/>
  <c r="AX85" i="21"/>
  <c r="AQ85" i="21"/>
  <c r="AO85" i="21"/>
  <c r="AK87" i="21"/>
  <c r="AR86" i="21" s="1"/>
  <c r="AM88" i="21"/>
  <c r="AL87" i="21"/>
  <c r="AN86" i="21"/>
  <c r="AP86" i="21" s="1"/>
  <c r="S170" i="25"/>
  <c r="P171" i="25"/>
  <c r="R171" i="25"/>
  <c r="O172" i="25"/>
  <c r="N172" i="25"/>
  <c r="Q172" i="25"/>
  <c r="M173" i="25"/>
  <c r="AW88" i="25" l="1"/>
  <c r="AX88" i="25" s="1"/>
  <c r="BH88" i="25" s="1"/>
  <c r="BE87" i="25"/>
  <c r="AU88" i="25"/>
  <c r="EU86" i="21"/>
  <c r="CN85" i="21"/>
  <c r="AQ88" i="25"/>
  <c r="BB87" i="25"/>
  <c r="AY88" i="25"/>
  <c r="BD88" i="25" s="1"/>
  <c r="BA88" i="25"/>
  <c r="V96" i="25"/>
  <c r="AS96" i="25" s="1"/>
  <c r="AZ95" i="25"/>
  <c r="AS95" i="25"/>
  <c r="M94" i="30"/>
  <c r="K170" i="30"/>
  <c r="L170" i="30" s="1"/>
  <c r="C95" i="30"/>
  <c r="AO90" i="25"/>
  <c r="AV95" i="25"/>
  <c r="BF95" i="25" s="1"/>
  <c r="W95" i="25"/>
  <c r="X95" i="25" s="1"/>
  <c r="AR95" i="25"/>
  <c r="AP89" i="25"/>
  <c r="AB95" i="25"/>
  <c r="AA95" i="25"/>
  <c r="Y95" i="25"/>
  <c r="Z95" i="25" s="1"/>
  <c r="AD94" i="25"/>
  <c r="X94" i="25"/>
  <c r="AH94" i="25"/>
  <c r="Z94" i="25"/>
  <c r="AH95" i="25"/>
  <c r="AJ95" i="25"/>
  <c r="AI95" i="25"/>
  <c r="AD95" i="25"/>
  <c r="AM92" i="25"/>
  <c r="AK93" i="25"/>
  <c r="AC95" i="25"/>
  <c r="AF95" i="25"/>
  <c r="AG95" i="25"/>
  <c r="AE95" i="25"/>
  <c r="GT86" i="21"/>
  <c r="EW86" i="21"/>
  <c r="EV86" i="21"/>
  <c r="KZ86" i="21"/>
  <c r="FQ85" i="21"/>
  <c r="FP85" i="21"/>
  <c r="HJ88" i="21"/>
  <c r="FO85" i="21"/>
  <c r="KY86" i="21"/>
  <c r="LA86" i="21"/>
  <c r="GZ87" i="21"/>
  <c r="KV88" i="21"/>
  <c r="KU88" i="21"/>
  <c r="LB87" i="21" s="1"/>
  <c r="KW89" i="21"/>
  <c r="KX87" i="21"/>
  <c r="IH86" i="21"/>
  <c r="HW85" i="21"/>
  <c r="DG85" i="21"/>
  <c r="CY85" i="21"/>
  <c r="IN88" i="21"/>
  <c r="CE85" i="21"/>
  <c r="BT85" i="21"/>
  <c r="FG86" i="21"/>
  <c r="HL87" i="21"/>
  <c r="ID88" i="21"/>
  <c r="IM88" i="21"/>
  <c r="IT87" i="21" s="1"/>
  <c r="IR86" i="21"/>
  <c r="IP87" i="21"/>
  <c r="IQ86" i="21"/>
  <c r="IS86" i="21"/>
  <c r="IO89" i="21"/>
  <c r="HY85" i="21"/>
  <c r="FE86" i="21"/>
  <c r="HX85" i="21"/>
  <c r="HB86" i="21"/>
  <c r="FV88" i="21"/>
  <c r="IE89" i="21"/>
  <c r="IC88" i="21"/>
  <c r="IJ87" i="21" s="1"/>
  <c r="II86" i="21"/>
  <c r="IF87" i="21"/>
  <c r="IG86" i="21"/>
  <c r="HU88" i="21"/>
  <c r="HT87" i="21"/>
  <c r="HS87" i="21"/>
  <c r="HZ86" i="21" s="1"/>
  <c r="HV86" i="21"/>
  <c r="HK89" i="21"/>
  <c r="HI88" i="21"/>
  <c r="HP87" i="21" s="1"/>
  <c r="HO86" i="21"/>
  <c r="HM86" i="21"/>
  <c r="HN86" i="21"/>
  <c r="HC85" i="21"/>
  <c r="GY87" i="21"/>
  <c r="HF86" i="21" s="1"/>
  <c r="HD85" i="21"/>
  <c r="HA88" i="21"/>
  <c r="HE85" i="21"/>
  <c r="CX85" i="21"/>
  <c r="EM85" i="21"/>
  <c r="DQ85" i="21"/>
  <c r="EL85" i="21"/>
  <c r="GR87" i="21"/>
  <c r="GS86" i="21"/>
  <c r="GU86" i="21"/>
  <c r="GO88" i="21"/>
  <c r="GV87" i="21" s="1"/>
  <c r="GQ89" i="21"/>
  <c r="GP88" i="21"/>
  <c r="FX87" i="21"/>
  <c r="CC85" i="21"/>
  <c r="CT87" i="21"/>
  <c r="GH87" i="21"/>
  <c r="GJ86" i="21"/>
  <c r="GE88" i="21"/>
  <c r="GL87" i="21" s="1"/>
  <c r="GG89" i="21"/>
  <c r="GI86" i="21"/>
  <c r="GK86" i="21"/>
  <c r="GF88" i="21"/>
  <c r="FU88" i="21"/>
  <c r="GB87" i="21" s="1"/>
  <c r="FW89" i="21"/>
  <c r="GA86" i="21"/>
  <c r="FY86" i="21"/>
  <c r="FZ86" i="21"/>
  <c r="DS85" i="21"/>
  <c r="CD85" i="21"/>
  <c r="ET87" i="21"/>
  <c r="FD87" i="21"/>
  <c r="CW85" i="21"/>
  <c r="CJ87" i="21"/>
  <c r="FK87" i="21"/>
  <c r="FR86" i="21" s="1"/>
  <c r="FM88" i="21"/>
  <c r="FL87" i="21"/>
  <c r="FN86" i="21"/>
  <c r="FC89" i="21"/>
  <c r="FF86" i="21"/>
  <c r="FA88" i="21"/>
  <c r="FH87" i="21" s="1"/>
  <c r="FB88" i="21"/>
  <c r="EQ88" i="21"/>
  <c r="EX87" i="21" s="1"/>
  <c r="ES89" i="21"/>
  <c r="ER88" i="21"/>
  <c r="BS85" i="21"/>
  <c r="DZ86" i="21"/>
  <c r="EH87" i="21"/>
  <c r="EI88" i="21"/>
  <c r="EG87" i="21"/>
  <c r="EN86" i="21" s="1"/>
  <c r="EJ86" i="21"/>
  <c r="EK85" i="21"/>
  <c r="DW87" i="21"/>
  <c r="ED86" i="21" s="1"/>
  <c r="DY88" i="21"/>
  <c r="EB85" i="21"/>
  <c r="DX87" i="21"/>
  <c r="EC85" i="21"/>
  <c r="EA85" i="21"/>
  <c r="DO88" i="21"/>
  <c r="DM87" i="21"/>
  <c r="DT86" i="21" s="1"/>
  <c r="DN87" i="21"/>
  <c r="DP86" i="21"/>
  <c r="DR85" i="21"/>
  <c r="DC87" i="21"/>
  <c r="DJ86" i="21" s="1"/>
  <c r="DF86" i="21"/>
  <c r="DI85" i="21"/>
  <c r="DH85" i="21"/>
  <c r="DE88" i="21"/>
  <c r="DD87" i="21"/>
  <c r="CU88" i="21"/>
  <c r="CS87" i="21"/>
  <c r="CZ86" i="21" s="1"/>
  <c r="CV86" i="21"/>
  <c r="BK86" i="21"/>
  <c r="BU85" i="21"/>
  <c r="CM85" i="21"/>
  <c r="CO85" i="21"/>
  <c r="CI87" i="21"/>
  <c r="CP86" i="21" s="1"/>
  <c r="CL86" i="21"/>
  <c r="CK88" i="21"/>
  <c r="CA88" i="21"/>
  <c r="BY87" i="21"/>
  <c r="CF86" i="21" s="1"/>
  <c r="BZ87" i="21"/>
  <c r="CB86" i="21"/>
  <c r="BQ88" i="21"/>
  <c r="BP87" i="21"/>
  <c r="BO87" i="21"/>
  <c r="BV86" i="21" s="1"/>
  <c r="BR86" i="21"/>
  <c r="AX86" i="21"/>
  <c r="AV87" i="21"/>
  <c r="BG89" i="21"/>
  <c r="BF88" i="21"/>
  <c r="BE88" i="21"/>
  <c r="BL87" i="21" s="1"/>
  <c r="BH87" i="21"/>
  <c r="BJ86" i="21"/>
  <c r="BI86" i="21"/>
  <c r="AY85" i="21"/>
  <c r="AW88" i="21"/>
  <c r="AU87" i="21"/>
  <c r="BB86" i="21" s="1"/>
  <c r="BA85" i="21"/>
  <c r="AZ85" i="21"/>
  <c r="AL88" i="21"/>
  <c r="AM89" i="21"/>
  <c r="AN87" i="21"/>
  <c r="AP87" i="21" s="1"/>
  <c r="AO86" i="21"/>
  <c r="AK88" i="21"/>
  <c r="AR87" i="21" s="1"/>
  <c r="AQ86" i="21"/>
  <c r="S171" i="25"/>
  <c r="P172" i="25"/>
  <c r="R172" i="25"/>
  <c r="O173" i="25"/>
  <c r="N173" i="25"/>
  <c r="Q173" i="25"/>
  <c r="M174" i="25"/>
  <c r="CC86" i="21" l="1"/>
  <c r="AW89" i="25"/>
  <c r="AX89" i="25" s="1"/>
  <c r="BH89" i="25" s="1"/>
  <c r="HE86" i="21"/>
  <c r="BE88" i="25"/>
  <c r="AU89" i="25"/>
  <c r="GT87" i="21"/>
  <c r="AQ89" i="25"/>
  <c r="BB88" i="25"/>
  <c r="AY89" i="25"/>
  <c r="BD89" i="25" s="1"/>
  <c r="BA89" i="25"/>
  <c r="V97" i="25"/>
  <c r="AZ96" i="25"/>
  <c r="M95" i="30"/>
  <c r="K171" i="30"/>
  <c r="L171" i="30" s="1"/>
  <c r="KY87" i="21"/>
  <c r="C96" i="30"/>
  <c r="AO91" i="25"/>
  <c r="AV96" i="25"/>
  <c r="BF96" i="25" s="1"/>
  <c r="W96" i="25"/>
  <c r="X96" i="25" s="1"/>
  <c r="AT93" i="25"/>
  <c r="BG93" i="25" s="1"/>
  <c r="AN93" i="25"/>
  <c r="Y96" i="25"/>
  <c r="Z96" i="25" s="1"/>
  <c r="AR96" i="25"/>
  <c r="AP90" i="25"/>
  <c r="AB96" i="25"/>
  <c r="AA96" i="25"/>
  <c r="AD96" i="25"/>
  <c r="AH96" i="25"/>
  <c r="AS97" i="25"/>
  <c r="AJ96" i="25"/>
  <c r="AI96" i="25"/>
  <c r="AL93" i="25"/>
  <c r="BC93" i="25" s="1"/>
  <c r="AM93" i="25"/>
  <c r="AK94" i="25"/>
  <c r="AG96" i="25"/>
  <c r="AF96" i="25"/>
  <c r="AE96" i="25"/>
  <c r="AC96" i="25"/>
  <c r="FZ87" i="21"/>
  <c r="EV87" i="21"/>
  <c r="HC86" i="21"/>
  <c r="CY86" i="21"/>
  <c r="FQ86" i="21"/>
  <c r="KW90" i="21"/>
  <c r="KV89" i="21"/>
  <c r="KX88" i="21"/>
  <c r="KZ87" i="21"/>
  <c r="LA87" i="21"/>
  <c r="KU89" i="21"/>
  <c r="LB88" i="21" s="1"/>
  <c r="HD86" i="21"/>
  <c r="EA86" i="21"/>
  <c r="EB86" i="21"/>
  <c r="HM87" i="21"/>
  <c r="HL88" i="21"/>
  <c r="DS86" i="21"/>
  <c r="HY86" i="21"/>
  <c r="GU87" i="21"/>
  <c r="CT88" i="21"/>
  <c r="HN87" i="21"/>
  <c r="IP88" i="21"/>
  <c r="FE87" i="21"/>
  <c r="HO87" i="21"/>
  <c r="IO90" i="21"/>
  <c r="IN89" i="21"/>
  <c r="IS87" i="21"/>
  <c r="IQ87" i="21"/>
  <c r="IR87" i="21"/>
  <c r="IM89" i="21"/>
  <c r="IT88" i="21" s="1"/>
  <c r="FY87" i="21"/>
  <c r="GA87" i="21"/>
  <c r="HW86" i="21"/>
  <c r="HT88" i="21"/>
  <c r="EL86" i="21"/>
  <c r="GS87" i="21"/>
  <c r="IF88" i="21"/>
  <c r="II87" i="21"/>
  <c r="IC89" i="21"/>
  <c r="IJ88" i="21" s="1"/>
  <c r="IE90" i="21"/>
  <c r="IH87" i="21"/>
  <c r="IG87" i="21"/>
  <c r="ID89" i="21"/>
  <c r="HX86" i="21"/>
  <c r="HV87" i="21"/>
  <c r="HU89" i="21"/>
  <c r="HS88" i="21"/>
  <c r="HZ87" i="21" s="1"/>
  <c r="HK90" i="21"/>
  <c r="HI89" i="21"/>
  <c r="HP88" i="21" s="1"/>
  <c r="HJ89" i="21"/>
  <c r="HA89" i="21"/>
  <c r="GY88" i="21"/>
  <c r="HF87" i="21" s="1"/>
  <c r="HB87" i="21"/>
  <c r="GZ88" i="21"/>
  <c r="EU87" i="21"/>
  <c r="EW87" i="21"/>
  <c r="GJ87" i="21"/>
  <c r="GQ90" i="21"/>
  <c r="GO89" i="21"/>
  <c r="GV88" i="21" s="1"/>
  <c r="GR88" i="21"/>
  <c r="GP89" i="21"/>
  <c r="GI87" i="21"/>
  <c r="FF87" i="21"/>
  <c r="DN88" i="21"/>
  <c r="DH86" i="21"/>
  <c r="GK87" i="21"/>
  <c r="GG90" i="21"/>
  <c r="GE89" i="21"/>
  <c r="GL88" i="21" s="1"/>
  <c r="GF89" i="21"/>
  <c r="GH88" i="21"/>
  <c r="FV89" i="21"/>
  <c r="FU89" i="21"/>
  <c r="GB88" i="21" s="1"/>
  <c r="FW90" i="21"/>
  <c r="FX88" i="21"/>
  <c r="FL88" i="21"/>
  <c r="CJ88" i="21"/>
  <c r="FP86" i="21"/>
  <c r="FG87" i="21"/>
  <c r="EC86" i="21"/>
  <c r="EM86" i="21"/>
  <c r="DR86" i="21"/>
  <c r="DX88" i="21"/>
  <c r="FK88" i="21"/>
  <c r="FR87" i="21" s="1"/>
  <c r="FM89" i="21"/>
  <c r="FN87" i="21"/>
  <c r="FO86" i="21"/>
  <c r="FA89" i="21"/>
  <c r="FH88" i="21" s="1"/>
  <c r="FC90" i="21"/>
  <c r="FB89" i="21"/>
  <c r="FD88" i="21"/>
  <c r="ES90" i="21"/>
  <c r="EQ89" i="21"/>
  <c r="EX88" i="21" s="1"/>
  <c r="ER89" i="21"/>
  <c r="ET88" i="21"/>
  <c r="EK86" i="21"/>
  <c r="EG88" i="21"/>
  <c r="EN87" i="21" s="1"/>
  <c r="EI89" i="21"/>
  <c r="EJ87" i="21"/>
  <c r="EH88" i="21"/>
  <c r="DY89" i="21"/>
  <c r="DW88" i="21"/>
  <c r="ED87" i="21" s="1"/>
  <c r="DZ87" i="21"/>
  <c r="DM88" i="21"/>
  <c r="DT87" i="21" s="1"/>
  <c r="DO89" i="21"/>
  <c r="DP87" i="21"/>
  <c r="DQ86" i="21"/>
  <c r="AZ86" i="21"/>
  <c r="BH88" i="21"/>
  <c r="CL87" i="21"/>
  <c r="DI86" i="21"/>
  <c r="CX86" i="21"/>
  <c r="DF87" i="21"/>
  <c r="AY86" i="21"/>
  <c r="BZ88" i="21"/>
  <c r="DE89" i="21"/>
  <c r="DG86" i="21"/>
  <c r="DC88" i="21"/>
  <c r="DJ87" i="21" s="1"/>
  <c r="DD88" i="21"/>
  <c r="CS88" i="21"/>
  <c r="CZ87" i="21" s="1"/>
  <c r="CW86" i="21"/>
  <c r="CV87" i="21"/>
  <c r="CU89" i="21"/>
  <c r="BJ87" i="21"/>
  <c r="CE86" i="21"/>
  <c r="BA86" i="21"/>
  <c r="CD86" i="21"/>
  <c r="BP88" i="21"/>
  <c r="CM86" i="21"/>
  <c r="CI88" i="21"/>
  <c r="CP87" i="21" s="1"/>
  <c r="CO86" i="21"/>
  <c r="CK89" i="21"/>
  <c r="CN86" i="21"/>
  <c r="BY88" i="21"/>
  <c r="CF87" i="21" s="1"/>
  <c r="CB87" i="21"/>
  <c r="CA89" i="21"/>
  <c r="BS86" i="21"/>
  <c r="BU86" i="21"/>
  <c r="BR87" i="21"/>
  <c r="BT86" i="21"/>
  <c r="BQ89" i="21"/>
  <c r="BO88" i="21"/>
  <c r="BV87" i="21" s="1"/>
  <c r="BF89" i="21"/>
  <c r="BK87" i="21"/>
  <c r="BE89" i="21"/>
  <c r="BL88" i="21" s="1"/>
  <c r="BG90" i="21"/>
  <c r="BI87" i="21"/>
  <c r="AW89" i="21"/>
  <c r="AU88" i="21"/>
  <c r="BB87" i="21" s="1"/>
  <c r="AV88" i="21"/>
  <c r="AX87" i="21"/>
  <c r="AO87" i="21"/>
  <c r="AL89" i="21"/>
  <c r="AK89" i="21"/>
  <c r="AR88" i="21" s="1"/>
  <c r="AM90" i="21"/>
  <c r="AN88" i="21"/>
  <c r="AQ87" i="21"/>
  <c r="S172" i="25"/>
  <c r="M175" i="25"/>
  <c r="R173" i="25"/>
  <c r="P173" i="25"/>
  <c r="N174" i="25"/>
  <c r="Q174" i="25"/>
  <c r="O174" i="25"/>
  <c r="AW90" i="25" l="1"/>
  <c r="AX90" i="25" s="1"/>
  <c r="BH90" i="25" s="1"/>
  <c r="BE89" i="25"/>
  <c r="AU90" i="25"/>
  <c r="EV88" i="21"/>
  <c r="AY90" i="25"/>
  <c r="BD90" i="25" s="1"/>
  <c r="BA90" i="25"/>
  <c r="AQ90" i="25"/>
  <c r="BB89" i="25"/>
  <c r="V98" i="25"/>
  <c r="AZ97" i="25"/>
  <c r="M96" i="30"/>
  <c r="K172" i="30"/>
  <c r="L172" i="30" s="1"/>
  <c r="CO87" i="21"/>
  <c r="C97" i="30"/>
  <c r="AN94" i="25"/>
  <c r="AO92" i="25"/>
  <c r="AV97" i="25"/>
  <c r="BF97" i="25" s="1"/>
  <c r="AL94" i="25"/>
  <c r="BC94" i="25" s="1"/>
  <c r="AT94" i="25"/>
  <c r="BG94" i="25" s="1"/>
  <c r="W97" i="25"/>
  <c r="X97" i="25" s="1"/>
  <c r="AR97" i="25"/>
  <c r="Y97" i="25"/>
  <c r="Z97" i="25" s="1"/>
  <c r="AP91" i="25"/>
  <c r="AA97" i="25"/>
  <c r="AB97" i="25"/>
  <c r="AS98" i="25"/>
  <c r="AJ97" i="25"/>
  <c r="AI97" i="25"/>
  <c r="AH97" i="25"/>
  <c r="AM94" i="25"/>
  <c r="AK95" i="25"/>
  <c r="AF97" i="25"/>
  <c r="AC97" i="25"/>
  <c r="AE97" i="25"/>
  <c r="AD97" i="25"/>
  <c r="AG97" i="25"/>
  <c r="BK88" i="21"/>
  <c r="HO88" i="21"/>
  <c r="HM88" i="21"/>
  <c r="HC87" i="21"/>
  <c r="EA87" i="21"/>
  <c r="GS88" i="21"/>
  <c r="HN88" i="21"/>
  <c r="LA88" i="21"/>
  <c r="FY88" i="21"/>
  <c r="KX89" i="21"/>
  <c r="KV90" i="21"/>
  <c r="KU90" i="21"/>
  <c r="LB89" i="21" s="1"/>
  <c r="KZ88" i="21"/>
  <c r="KW91" i="21"/>
  <c r="KY88" i="21"/>
  <c r="IR88" i="21"/>
  <c r="CT89" i="21"/>
  <c r="BJ88" i="21"/>
  <c r="IS88" i="21"/>
  <c r="IQ88" i="21"/>
  <c r="IG88" i="21"/>
  <c r="II88" i="21"/>
  <c r="DH87" i="21"/>
  <c r="IN90" i="21"/>
  <c r="HV88" i="21"/>
  <c r="IO91" i="21"/>
  <c r="IM90" i="21"/>
  <c r="IT89" i="21" s="1"/>
  <c r="IP89" i="21"/>
  <c r="HB88" i="21"/>
  <c r="BI88" i="21"/>
  <c r="CN87" i="21"/>
  <c r="GU88" i="21"/>
  <c r="IH88" i="21"/>
  <c r="IE91" i="21"/>
  <c r="IC90" i="21"/>
  <c r="IJ89" i="21" s="1"/>
  <c r="ID90" i="21"/>
  <c r="IF89" i="21"/>
  <c r="HU90" i="21"/>
  <c r="HX87" i="21"/>
  <c r="HT89" i="21"/>
  <c r="HW87" i="21"/>
  <c r="HS89" i="21"/>
  <c r="HZ88" i="21" s="1"/>
  <c r="HY87" i="21"/>
  <c r="HI90" i="21"/>
  <c r="HP89" i="21" s="1"/>
  <c r="HK91" i="21"/>
  <c r="HJ90" i="21"/>
  <c r="HL89" i="21"/>
  <c r="HE87" i="21"/>
  <c r="GY89" i="21"/>
  <c r="HF88" i="21" s="1"/>
  <c r="HA90" i="21"/>
  <c r="GZ89" i="21"/>
  <c r="HD87" i="21"/>
  <c r="GT88" i="21"/>
  <c r="GR89" i="21"/>
  <c r="GP90" i="21"/>
  <c r="GO90" i="21"/>
  <c r="GV89" i="21" s="1"/>
  <c r="GQ91" i="21"/>
  <c r="EW88" i="21"/>
  <c r="GK88" i="21"/>
  <c r="GH89" i="21"/>
  <c r="GI88" i="21"/>
  <c r="EJ88" i="21"/>
  <c r="FO87" i="21"/>
  <c r="FP87" i="21"/>
  <c r="GJ88" i="21"/>
  <c r="FZ88" i="21"/>
  <c r="GE90" i="21"/>
  <c r="GL89" i="21" s="1"/>
  <c r="GG91" i="21"/>
  <c r="GF90" i="21"/>
  <c r="FV90" i="21"/>
  <c r="FU90" i="21"/>
  <c r="GB89" i="21" s="1"/>
  <c r="FW91" i="21"/>
  <c r="FX89" i="21"/>
  <c r="GA88" i="21"/>
  <c r="EU88" i="21"/>
  <c r="BA87" i="21"/>
  <c r="CM87" i="21"/>
  <c r="EC87" i="21"/>
  <c r="DP88" i="21"/>
  <c r="FB90" i="21"/>
  <c r="FM90" i="21"/>
  <c r="FL89" i="21"/>
  <c r="FK89" i="21"/>
  <c r="FR88" i="21" s="1"/>
  <c r="FN88" i="21"/>
  <c r="FQ87" i="21"/>
  <c r="FD89" i="21"/>
  <c r="FG88" i="21"/>
  <c r="FE88" i="21"/>
  <c r="FC91" i="21"/>
  <c r="FF88" i="21"/>
  <c r="FA90" i="21"/>
  <c r="FH89" i="21" s="1"/>
  <c r="EQ90" i="21"/>
  <c r="EX89" i="21" s="1"/>
  <c r="ES91" i="21"/>
  <c r="ET89" i="21"/>
  <c r="ER90" i="21"/>
  <c r="BT87" i="21"/>
  <c r="AV89" i="21"/>
  <c r="EM87" i="21"/>
  <c r="EL87" i="21"/>
  <c r="EK87" i="21"/>
  <c r="EG89" i="21"/>
  <c r="EN88" i="21" s="1"/>
  <c r="EI90" i="21"/>
  <c r="EH89" i="21"/>
  <c r="DY90" i="21"/>
  <c r="DW89" i="21"/>
  <c r="ED88" i="21" s="1"/>
  <c r="DZ88" i="21"/>
  <c r="DX89" i="21"/>
  <c r="EB87" i="21"/>
  <c r="DO90" i="21"/>
  <c r="DM89" i="21"/>
  <c r="DT88" i="21" s="1"/>
  <c r="DN89" i="21"/>
  <c r="DR87" i="21"/>
  <c r="DQ87" i="21"/>
  <c r="DS87" i="21"/>
  <c r="DI87" i="21"/>
  <c r="AN89" i="21"/>
  <c r="CV88" i="21"/>
  <c r="DG87" i="21"/>
  <c r="AL90" i="21"/>
  <c r="CB88" i="21"/>
  <c r="DC89" i="21"/>
  <c r="DJ88" i="21" s="1"/>
  <c r="DE90" i="21"/>
  <c r="DD89" i="21"/>
  <c r="DF88" i="21"/>
  <c r="CX87" i="21"/>
  <c r="CW87" i="21"/>
  <c r="CS89" i="21"/>
  <c r="CZ88" i="21" s="1"/>
  <c r="CU90" i="21"/>
  <c r="CY87" i="21"/>
  <c r="BR88" i="21"/>
  <c r="CI89" i="21"/>
  <c r="CP88" i="21" s="1"/>
  <c r="CK90" i="21"/>
  <c r="CJ89" i="21"/>
  <c r="CL88" i="21"/>
  <c r="CA90" i="21"/>
  <c r="CE87" i="21"/>
  <c r="CD87" i="21"/>
  <c r="BY89" i="21"/>
  <c r="CF88" i="21" s="1"/>
  <c r="BZ89" i="21"/>
  <c r="CC87" i="21"/>
  <c r="BQ90" i="21"/>
  <c r="BU87" i="21"/>
  <c r="BO89" i="21"/>
  <c r="BV88" i="21" s="1"/>
  <c r="BS87" i="21"/>
  <c r="BP89" i="21"/>
  <c r="BE90" i="21"/>
  <c r="BL89" i="21" s="1"/>
  <c r="BG91" i="21"/>
  <c r="BF90" i="21"/>
  <c r="BH89" i="21"/>
  <c r="AY87" i="21"/>
  <c r="AZ87" i="21"/>
  <c r="AU89" i="21"/>
  <c r="BB88" i="21" s="1"/>
  <c r="AW90" i="21"/>
  <c r="AX88" i="21"/>
  <c r="AP88" i="21"/>
  <c r="AO88" i="21"/>
  <c r="AK90" i="21"/>
  <c r="AR89" i="21" s="1"/>
  <c r="AM91" i="21"/>
  <c r="AQ88" i="21"/>
  <c r="S173" i="25"/>
  <c r="P174" i="25"/>
  <c r="R174" i="25"/>
  <c r="N175" i="25"/>
  <c r="O175" i="25"/>
  <c r="Q175" i="25"/>
  <c r="M176" i="25"/>
  <c r="BK89" i="21" l="1"/>
  <c r="AW91" i="25"/>
  <c r="AX91" i="25" s="1"/>
  <c r="BH91" i="25" s="1"/>
  <c r="BE90" i="25"/>
  <c r="AU91" i="25"/>
  <c r="AQ91" i="25"/>
  <c r="BB90" i="25"/>
  <c r="AY91" i="25"/>
  <c r="BD91" i="25" s="1"/>
  <c r="BA91" i="25"/>
  <c r="V99" i="25"/>
  <c r="AS99" i="25" s="1"/>
  <c r="AZ98" i="25"/>
  <c r="M97" i="30"/>
  <c r="HC88" i="21"/>
  <c r="DQ88" i="21"/>
  <c r="K173" i="30"/>
  <c r="L173" i="30" s="1"/>
  <c r="C98" i="30"/>
  <c r="AN95" i="25"/>
  <c r="AO93" i="25"/>
  <c r="AV98" i="25"/>
  <c r="BF98" i="25" s="1"/>
  <c r="AL95" i="25"/>
  <c r="BC95" i="25" s="1"/>
  <c r="AT95" i="25"/>
  <c r="BG95" i="25" s="1"/>
  <c r="Y98" i="25"/>
  <c r="Z98" i="25" s="1"/>
  <c r="AR98" i="25"/>
  <c r="AP92" i="25"/>
  <c r="AA98" i="25"/>
  <c r="AB98" i="25"/>
  <c r="AF98" i="25"/>
  <c r="AI98" i="25"/>
  <c r="AJ98" i="25"/>
  <c r="W98" i="25"/>
  <c r="AM95" i="25"/>
  <c r="AK96" i="25"/>
  <c r="AK97" i="25"/>
  <c r="AC98" i="25"/>
  <c r="AE98" i="25"/>
  <c r="AG98" i="25"/>
  <c r="AH98" i="25"/>
  <c r="HM89" i="21"/>
  <c r="KV91" i="21"/>
  <c r="HX88" i="21"/>
  <c r="KY89" i="21"/>
  <c r="KZ89" i="21"/>
  <c r="LA89" i="21"/>
  <c r="GS89" i="21"/>
  <c r="BA88" i="21"/>
  <c r="HY88" i="21"/>
  <c r="CC88" i="21"/>
  <c r="CM88" i="21"/>
  <c r="EK88" i="21"/>
  <c r="BT88" i="21"/>
  <c r="KW92" i="21"/>
  <c r="KU91" i="21"/>
  <c r="LB90" i="21" s="1"/>
  <c r="KX90" i="21"/>
  <c r="EL88" i="21"/>
  <c r="AV90" i="21"/>
  <c r="EM88" i="21"/>
  <c r="CY88" i="21"/>
  <c r="HD88" i="21"/>
  <c r="HO89" i="21"/>
  <c r="HW88" i="21"/>
  <c r="HT90" i="21"/>
  <c r="IP90" i="21"/>
  <c r="GZ90" i="21"/>
  <c r="HE88" i="21"/>
  <c r="IQ89" i="21"/>
  <c r="IM91" i="21"/>
  <c r="IT90" i="21" s="1"/>
  <c r="IS89" i="21"/>
  <c r="IO92" i="21"/>
  <c r="IN91" i="21"/>
  <c r="IR89" i="21"/>
  <c r="GJ89" i="21"/>
  <c r="IH89" i="21"/>
  <c r="ID91" i="21"/>
  <c r="HL90" i="21"/>
  <c r="IG89" i="21"/>
  <c r="II89" i="21"/>
  <c r="IC91" i="21"/>
  <c r="IJ90" i="21" s="1"/>
  <c r="IE92" i="21"/>
  <c r="IF90" i="21"/>
  <c r="HU91" i="21"/>
  <c r="HS90" i="21"/>
  <c r="HZ89" i="21" s="1"/>
  <c r="HV89" i="21"/>
  <c r="HK92" i="21"/>
  <c r="HN89" i="21"/>
  <c r="HJ91" i="21"/>
  <c r="HI91" i="21"/>
  <c r="HP90" i="21" s="1"/>
  <c r="HA91" i="21"/>
  <c r="GY90" i="21"/>
  <c r="HF89" i="21" s="1"/>
  <c r="HB89" i="21"/>
  <c r="GP91" i="21"/>
  <c r="GO91" i="21"/>
  <c r="GV90" i="21" s="1"/>
  <c r="GR90" i="21"/>
  <c r="GT89" i="21"/>
  <c r="GQ92" i="21"/>
  <c r="GU89" i="21"/>
  <c r="DR88" i="21"/>
  <c r="FF89" i="21"/>
  <c r="GI89" i="21"/>
  <c r="FE89" i="21"/>
  <c r="FX90" i="21"/>
  <c r="GK89" i="21"/>
  <c r="CD88" i="21"/>
  <c r="ET90" i="21"/>
  <c r="AP89" i="21"/>
  <c r="BU88" i="21"/>
  <c r="DS88" i="21"/>
  <c r="BF91" i="21"/>
  <c r="CW88" i="21"/>
  <c r="FN89" i="21"/>
  <c r="GE91" i="21"/>
  <c r="GL90" i="21" s="1"/>
  <c r="GG92" i="21"/>
  <c r="GF91" i="21"/>
  <c r="GH90" i="21"/>
  <c r="FW92" i="21"/>
  <c r="FU91" i="21"/>
  <c r="GB90" i="21" s="1"/>
  <c r="FV91" i="21"/>
  <c r="FZ89" i="21"/>
  <c r="GA89" i="21"/>
  <c r="FY89" i="21"/>
  <c r="DD90" i="21"/>
  <c r="FL90" i="21"/>
  <c r="DZ89" i="21"/>
  <c r="CX88" i="21"/>
  <c r="FK90" i="21"/>
  <c r="FR89" i="21" s="1"/>
  <c r="FO88" i="21"/>
  <c r="FP88" i="21"/>
  <c r="FM91" i="21"/>
  <c r="FQ88" i="21"/>
  <c r="FA91" i="21"/>
  <c r="FH90" i="21" s="1"/>
  <c r="FC92" i="21"/>
  <c r="FG89" i="21"/>
  <c r="FB91" i="21"/>
  <c r="FD90" i="21"/>
  <c r="EQ91" i="21"/>
  <c r="EX90" i="21" s="1"/>
  <c r="EU89" i="21"/>
  <c r="ES92" i="21"/>
  <c r="EW89" i="21"/>
  <c r="ER91" i="21"/>
  <c r="EV89" i="21"/>
  <c r="CJ90" i="21"/>
  <c r="CO88" i="21"/>
  <c r="BP90" i="21"/>
  <c r="DN90" i="21"/>
  <c r="AQ89" i="21"/>
  <c r="BS88" i="21"/>
  <c r="AY88" i="21"/>
  <c r="AO89" i="21"/>
  <c r="EG90" i="21"/>
  <c r="EN89" i="21" s="1"/>
  <c r="EI91" i="21"/>
  <c r="EH90" i="21"/>
  <c r="EJ89" i="21"/>
  <c r="DW90" i="21"/>
  <c r="ED89" i="21" s="1"/>
  <c r="DY91" i="21"/>
  <c r="DX90" i="21"/>
  <c r="EB88" i="21"/>
  <c r="EA88" i="21"/>
  <c r="EC88" i="21"/>
  <c r="DM90" i="21"/>
  <c r="DT89" i="21" s="1"/>
  <c r="DO91" i="21"/>
  <c r="DP89" i="21"/>
  <c r="CE88" i="21"/>
  <c r="DI88" i="21"/>
  <c r="DF89" i="21"/>
  <c r="DH88" i="21"/>
  <c r="DE91" i="21"/>
  <c r="DG88" i="21"/>
  <c r="DC90" i="21"/>
  <c r="DJ89" i="21" s="1"/>
  <c r="CU91" i="21"/>
  <c r="CT90" i="21"/>
  <c r="CS90" i="21"/>
  <c r="CZ89" i="21" s="1"/>
  <c r="CV89" i="21"/>
  <c r="CK91" i="21"/>
  <c r="CL89" i="21"/>
  <c r="CI90" i="21"/>
  <c r="CP89" i="21" s="1"/>
  <c r="CN88" i="21"/>
  <c r="CA91" i="21"/>
  <c r="BY90" i="21"/>
  <c r="CF89" i="21" s="1"/>
  <c r="BZ90" i="21"/>
  <c r="CB89" i="21"/>
  <c r="BR89" i="21"/>
  <c r="BO90" i="21"/>
  <c r="BV89" i="21" s="1"/>
  <c r="BQ91" i="21"/>
  <c r="AZ88" i="21"/>
  <c r="BJ89" i="21"/>
  <c r="BH90" i="21"/>
  <c r="BI89" i="21"/>
  <c r="BE91" i="21"/>
  <c r="BL90" i="21" s="1"/>
  <c r="BG92" i="21"/>
  <c r="AU90" i="21"/>
  <c r="BB89" i="21" s="1"/>
  <c r="AW91" i="21"/>
  <c r="AX89" i="21"/>
  <c r="BA89" i="21" s="1"/>
  <c r="AK91" i="21"/>
  <c r="AR90" i="21" s="1"/>
  <c r="AM92" i="21"/>
  <c r="AL91" i="21"/>
  <c r="AN90" i="21"/>
  <c r="Q176" i="25"/>
  <c r="N176" i="25"/>
  <c r="O176" i="25"/>
  <c r="R175" i="25"/>
  <c r="P175" i="25"/>
  <c r="M177" i="25"/>
  <c r="S174" i="25"/>
  <c r="FF90" i="21" l="1"/>
  <c r="AW92" i="25"/>
  <c r="AX92" i="25" s="1"/>
  <c r="BH92" i="25" s="1"/>
  <c r="BE91" i="25"/>
  <c r="AU92" i="25"/>
  <c r="AY92" i="25"/>
  <c r="BD92" i="25" s="1"/>
  <c r="BA92" i="25"/>
  <c r="AQ92" i="25"/>
  <c r="BB91" i="25"/>
  <c r="V100" i="25"/>
  <c r="AZ99" i="25"/>
  <c r="M98" i="30"/>
  <c r="K174" i="30"/>
  <c r="L174" i="30" s="1"/>
  <c r="EK89" i="21"/>
  <c r="EC89" i="21"/>
  <c r="C99" i="30"/>
  <c r="AL97" i="25"/>
  <c r="BC97" i="25" s="1"/>
  <c r="AN96" i="25"/>
  <c r="AO94" i="25"/>
  <c r="AR99" i="25"/>
  <c r="AV99" i="25"/>
  <c r="BF99" i="25" s="1"/>
  <c r="AN97" i="25"/>
  <c r="AL96" i="25"/>
  <c r="BC96" i="25" s="1"/>
  <c r="AT96" i="25"/>
  <c r="BG96" i="25" s="1"/>
  <c r="AT97" i="25"/>
  <c r="BG97" i="25" s="1"/>
  <c r="W99" i="25"/>
  <c r="X99" i="25" s="1"/>
  <c r="AP93" i="25"/>
  <c r="AA99" i="25"/>
  <c r="AB99" i="25"/>
  <c r="AD98" i="25"/>
  <c r="X98" i="25"/>
  <c r="AD99" i="25"/>
  <c r="AS100" i="25"/>
  <c r="AI99" i="25"/>
  <c r="AJ99" i="25"/>
  <c r="Y99" i="25"/>
  <c r="AM96" i="25"/>
  <c r="AC99" i="25"/>
  <c r="AF99" i="25"/>
  <c r="AG99" i="25"/>
  <c r="AE99" i="25"/>
  <c r="S175" i="25"/>
  <c r="HY89" i="21"/>
  <c r="IH90" i="21"/>
  <c r="HO90" i="21"/>
  <c r="BF92" i="21"/>
  <c r="KX91" i="21"/>
  <c r="LA90" i="21"/>
  <c r="KW93" i="21"/>
  <c r="KV92" i="21"/>
  <c r="KU92" i="21"/>
  <c r="LB91" i="21" s="1"/>
  <c r="KZ90" i="21"/>
  <c r="KY90" i="21"/>
  <c r="IR90" i="21"/>
  <c r="HD89" i="21"/>
  <c r="DS89" i="21"/>
  <c r="GZ91" i="21"/>
  <c r="HW89" i="21"/>
  <c r="IS90" i="21"/>
  <c r="IQ90" i="21"/>
  <c r="FV92" i="21"/>
  <c r="CW89" i="21"/>
  <c r="EA89" i="21"/>
  <c r="HN90" i="21"/>
  <c r="IO93" i="21"/>
  <c r="IM92" i="21"/>
  <c r="IT91" i="21" s="1"/>
  <c r="IN92" i="21"/>
  <c r="IP91" i="21"/>
  <c r="FE90" i="21"/>
  <c r="FZ90" i="21"/>
  <c r="HE89" i="21"/>
  <c r="HJ92" i="21"/>
  <c r="HX89" i="21"/>
  <c r="DR89" i="21"/>
  <c r="GT90" i="21"/>
  <c r="HM90" i="21"/>
  <c r="GR91" i="21"/>
  <c r="EB89" i="21"/>
  <c r="IE93" i="21"/>
  <c r="IC92" i="21"/>
  <c r="IJ91" i="21" s="1"/>
  <c r="ID92" i="21"/>
  <c r="IF91" i="21"/>
  <c r="II90" i="21"/>
  <c r="IG90" i="21"/>
  <c r="HU92" i="21"/>
  <c r="HS91" i="21"/>
  <c r="HZ90" i="21" s="1"/>
  <c r="HV90" i="21"/>
  <c r="HT91" i="21"/>
  <c r="HK93" i="21"/>
  <c r="HI92" i="21"/>
  <c r="HP91" i="21" s="1"/>
  <c r="HL91" i="21"/>
  <c r="GY91" i="21"/>
  <c r="HF90" i="21" s="1"/>
  <c r="HA92" i="21"/>
  <c r="HC89" i="21"/>
  <c r="HB90" i="21"/>
  <c r="CT91" i="21"/>
  <c r="GQ93" i="21"/>
  <c r="GP92" i="21"/>
  <c r="GO92" i="21"/>
  <c r="GV91" i="21" s="1"/>
  <c r="GU90" i="21"/>
  <c r="GS90" i="21"/>
  <c r="EU90" i="21"/>
  <c r="FQ89" i="21"/>
  <c r="EV90" i="21"/>
  <c r="FB92" i="21"/>
  <c r="FG90" i="21"/>
  <c r="FP89" i="21"/>
  <c r="FY90" i="21"/>
  <c r="EW90" i="21"/>
  <c r="FO89" i="21"/>
  <c r="GA90" i="21"/>
  <c r="GF92" i="21"/>
  <c r="GG93" i="21"/>
  <c r="GK90" i="21"/>
  <c r="GH91" i="21"/>
  <c r="GI90" i="21"/>
  <c r="GJ90" i="21"/>
  <c r="GE92" i="21"/>
  <c r="GL91" i="21" s="1"/>
  <c r="FU92" i="21"/>
  <c r="GB91" i="21" s="1"/>
  <c r="FW93" i="21"/>
  <c r="FX91" i="21"/>
  <c r="DD91" i="21"/>
  <c r="BS89" i="21"/>
  <c r="FM92" i="21"/>
  <c r="FL91" i="21"/>
  <c r="FK91" i="21"/>
  <c r="FR90" i="21" s="1"/>
  <c r="FN90" i="21"/>
  <c r="FC93" i="21"/>
  <c r="FD91" i="21"/>
  <c r="FA92" i="21"/>
  <c r="FH91" i="21" s="1"/>
  <c r="EQ92" i="21"/>
  <c r="EX91" i="21" s="1"/>
  <c r="ES93" i="21"/>
  <c r="ER92" i="21"/>
  <c r="ET91" i="21"/>
  <c r="EM89" i="21"/>
  <c r="DQ89" i="21"/>
  <c r="DG89" i="21"/>
  <c r="DX91" i="21"/>
  <c r="EL89" i="21"/>
  <c r="AQ90" i="21"/>
  <c r="EI92" i="21"/>
  <c r="EH91" i="21"/>
  <c r="EJ90" i="21"/>
  <c r="EG91" i="21"/>
  <c r="EN90" i="21" s="1"/>
  <c r="DY92" i="21"/>
  <c r="DW91" i="21"/>
  <c r="ED90" i="21" s="1"/>
  <c r="DZ90" i="21"/>
  <c r="DM91" i="21"/>
  <c r="DT90" i="21" s="1"/>
  <c r="DO92" i="21"/>
  <c r="DP90" i="21"/>
  <c r="DN91" i="21"/>
  <c r="CX89" i="21"/>
  <c r="DH89" i="21"/>
  <c r="DF90" i="21"/>
  <c r="DE92" i="21"/>
  <c r="DC91" i="21"/>
  <c r="DJ90" i="21" s="1"/>
  <c r="DI89" i="21"/>
  <c r="CS91" i="21"/>
  <c r="CZ90" i="21" s="1"/>
  <c r="CV90" i="21"/>
  <c r="CY89" i="21"/>
  <c r="CU92" i="21"/>
  <c r="CB90" i="21"/>
  <c r="CL90" i="21"/>
  <c r="BZ91" i="21"/>
  <c r="CI91" i="21"/>
  <c r="CP90" i="21" s="1"/>
  <c r="CO89" i="21"/>
  <c r="CM89" i="21"/>
  <c r="CK92" i="21"/>
  <c r="CN89" i="21"/>
  <c r="CJ91" i="21"/>
  <c r="CC89" i="21"/>
  <c r="BY91" i="21"/>
  <c r="CF90" i="21" s="1"/>
  <c r="CA92" i="21"/>
  <c r="CE89" i="21"/>
  <c r="CD89" i="21"/>
  <c r="BO91" i="21"/>
  <c r="BV90" i="21" s="1"/>
  <c r="BQ92" i="21"/>
  <c r="BR90" i="21"/>
  <c r="BT89" i="21"/>
  <c r="BU89" i="21"/>
  <c r="BP91" i="21"/>
  <c r="BI90" i="21"/>
  <c r="BJ90" i="21"/>
  <c r="BE92" i="21"/>
  <c r="BL91" i="21" s="1"/>
  <c r="BH91" i="21"/>
  <c r="BG93" i="21"/>
  <c r="BK90" i="21"/>
  <c r="AU91" i="21"/>
  <c r="BB90" i="21" s="1"/>
  <c r="AZ89" i="21"/>
  <c r="AW92" i="21"/>
  <c r="AX90" i="21"/>
  <c r="AY89" i="21"/>
  <c r="AV91" i="21"/>
  <c r="AL92" i="21"/>
  <c r="AP90" i="21"/>
  <c r="AK92" i="21"/>
  <c r="AR91" i="21" s="1"/>
  <c r="AM93" i="21"/>
  <c r="AN91" i="21"/>
  <c r="AO90" i="21"/>
  <c r="Q177" i="25"/>
  <c r="O177" i="25"/>
  <c r="N177" i="25"/>
  <c r="M178" i="25"/>
  <c r="R176" i="25"/>
  <c r="P176" i="25"/>
  <c r="HY90" i="21" l="1"/>
  <c r="AW93" i="25"/>
  <c r="AX93" i="25" s="1"/>
  <c r="BH93" i="25" s="1"/>
  <c r="BE92" i="25"/>
  <c r="AU93" i="25"/>
  <c r="AY93" i="25"/>
  <c r="BD93" i="25" s="1"/>
  <c r="BA93" i="25"/>
  <c r="AQ93" i="25"/>
  <c r="BB92" i="25"/>
  <c r="V101" i="25"/>
  <c r="AS101" i="25" s="1"/>
  <c r="AZ100" i="25"/>
  <c r="M99" i="30"/>
  <c r="K175" i="30"/>
  <c r="L175" i="30" s="1"/>
  <c r="C100" i="30"/>
  <c r="AO95" i="25"/>
  <c r="AR100" i="25"/>
  <c r="AV100" i="25"/>
  <c r="BF100" i="25" s="1"/>
  <c r="AP94" i="25"/>
  <c r="AA100" i="25"/>
  <c r="AB100" i="25"/>
  <c r="AI100" i="25"/>
  <c r="AJ100" i="25"/>
  <c r="AH99" i="25"/>
  <c r="Z99" i="25"/>
  <c r="Y100" i="25"/>
  <c r="W100" i="25"/>
  <c r="AM97" i="25"/>
  <c r="AK98" i="25"/>
  <c r="AG100" i="25"/>
  <c r="AH100" i="25"/>
  <c r="AC100" i="25"/>
  <c r="AD100" i="25"/>
  <c r="AE100" i="25"/>
  <c r="S176" i="25"/>
  <c r="KV93" i="21"/>
  <c r="HJ93" i="21"/>
  <c r="KY91" i="21"/>
  <c r="KZ91" i="21"/>
  <c r="LA91" i="21"/>
  <c r="KU93" i="21"/>
  <c r="LB92" i="21" s="1"/>
  <c r="KW94" i="21"/>
  <c r="KX92" i="21"/>
  <c r="BU90" i="21"/>
  <c r="HE90" i="21"/>
  <c r="GS91" i="21"/>
  <c r="EV91" i="21"/>
  <c r="EB90" i="21"/>
  <c r="GP93" i="21"/>
  <c r="GJ91" i="21"/>
  <c r="HC90" i="21"/>
  <c r="ID93" i="21"/>
  <c r="HX90" i="21"/>
  <c r="IP92" i="21"/>
  <c r="IO94" i="21"/>
  <c r="IN93" i="21"/>
  <c r="IR91" i="21"/>
  <c r="IQ91" i="21"/>
  <c r="IM93" i="21"/>
  <c r="IT92" i="21" s="1"/>
  <c r="IS91" i="21"/>
  <c r="GU91" i="21"/>
  <c r="FY91" i="21"/>
  <c r="GT91" i="21"/>
  <c r="CO90" i="21"/>
  <c r="IF92" i="21"/>
  <c r="II91" i="21"/>
  <c r="IH91" i="21"/>
  <c r="IC93" i="21"/>
  <c r="IJ92" i="21" s="1"/>
  <c r="IG91" i="21"/>
  <c r="IE94" i="21"/>
  <c r="HU93" i="21"/>
  <c r="HS92" i="21"/>
  <c r="HZ91" i="21" s="1"/>
  <c r="HT92" i="21"/>
  <c r="HV91" i="21"/>
  <c r="HW90" i="21"/>
  <c r="HI93" i="21"/>
  <c r="HP92" i="21" s="1"/>
  <c r="HK94" i="21"/>
  <c r="HL92" i="21"/>
  <c r="HM91" i="21"/>
  <c r="HO91" i="21"/>
  <c r="HN91" i="21"/>
  <c r="HA93" i="21"/>
  <c r="GY92" i="21"/>
  <c r="HF91" i="21" s="1"/>
  <c r="GZ92" i="21"/>
  <c r="HB91" i="21"/>
  <c r="HD90" i="21"/>
  <c r="FO90" i="21"/>
  <c r="GO93" i="21"/>
  <c r="GV92" i="21" s="1"/>
  <c r="GR92" i="21"/>
  <c r="GQ94" i="21"/>
  <c r="GA91" i="21"/>
  <c r="FQ90" i="21"/>
  <c r="EU91" i="21"/>
  <c r="FZ91" i="21"/>
  <c r="GH92" i="21"/>
  <c r="FP90" i="21"/>
  <c r="FD92" i="21"/>
  <c r="DG90" i="21"/>
  <c r="GK91" i="21"/>
  <c r="GI91" i="21"/>
  <c r="GG94" i="21"/>
  <c r="GE93" i="21"/>
  <c r="GL92" i="21" s="1"/>
  <c r="GF93" i="21"/>
  <c r="FW94" i="21"/>
  <c r="FV93" i="21"/>
  <c r="FU93" i="21"/>
  <c r="GB92" i="21" s="1"/>
  <c r="FX92" i="21"/>
  <c r="CV91" i="21"/>
  <c r="DH90" i="21"/>
  <c r="EC90" i="21"/>
  <c r="FL92" i="21"/>
  <c r="EA90" i="21"/>
  <c r="EH92" i="21"/>
  <c r="CC90" i="21"/>
  <c r="DI90" i="21"/>
  <c r="DP91" i="21"/>
  <c r="FK92" i="21"/>
  <c r="FR91" i="21" s="1"/>
  <c r="FN91" i="21"/>
  <c r="FM93" i="21"/>
  <c r="FE91" i="21"/>
  <c r="FC94" i="21"/>
  <c r="FF91" i="21"/>
  <c r="FG91" i="21"/>
  <c r="FA93" i="21"/>
  <c r="FH92" i="21" s="1"/>
  <c r="FB93" i="21"/>
  <c r="EQ93" i="21"/>
  <c r="EX92" i="21" s="1"/>
  <c r="ER93" i="21"/>
  <c r="ES94" i="21"/>
  <c r="ET92" i="21"/>
  <c r="EW91" i="21"/>
  <c r="CD90" i="21"/>
  <c r="CE90" i="21"/>
  <c r="EJ91" i="21"/>
  <c r="EM90" i="21"/>
  <c r="EL90" i="21"/>
  <c r="EI93" i="21"/>
  <c r="EG92" i="21"/>
  <c r="EN91" i="21" s="1"/>
  <c r="EK90" i="21"/>
  <c r="DW92" i="21"/>
  <c r="ED91" i="21" s="1"/>
  <c r="DY93" i="21"/>
  <c r="DZ91" i="21"/>
  <c r="DX92" i="21"/>
  <c r="DO93" i="21"/>
  <c r="DR90" i="21"/>
  <c r="DS90" i="21"/>
  <c r="DM92" i="21"/>
  <c r="DT91" i="21" s="1"/>
  <c r="DN92" i="21"/>
  <c r="DQ90" i="21"/>
  <c r="CN90" i="21"/>
  <c r="CM90" i="21"/>
  <c r="BT90" i="21"/>
  <c r="AY90" i="21"/>
  <c r="DE93" i="21"/>
  <c r="DD92" i="21"/>
  <c r="DC92" i="21"/>
  <c r="DJ91" i="21" s="1"/>
  <c r="DF91" i="21"/>
  <c r="CS92" i="21"/>
  <c r="CZ91" i="21" s="1"/>
  <c r="CY90" i="21"/>
  <c r="CW90" i="21"/>
  <c r="CX90" i="21"/>
  <c r="CU93" i="21"/>
  <c r="CT92" i="21"/>
  <c r="BJ91" i="21"/>
  <c r="BR91" i="21"/>
  <c r="CK93" i="21"/>
  <c r="CI92" i="21"/>
  <c r="CP91" i="21" s="1"/>
  <c r="CJ92" i="21"/>
  <c r="CL91" i="21"/>
  <c r="CA93" i="21"/>
  <c r="BZ92" i="21"/>
  <c r="BY92" i="21"/>
  <c r="CF91" i="21" s="1"/>
  <c r="CB91" i="21"/>
  <c r="BQ93" i="21"/>
  <c r="BS90" i="21"/>
  <c r="BO92" i="21"/>
  <c r="BV91" i="21" s="1"/>
  <c r="BP92" i="21"/>
  <c r="BI91" i="21"/>
  <c r="BE93" i="21"/>
  <c r="BL92" i="21" s="1"/>
  <c r="BG94" i="21"/>
  <c r="BH92" i="21"/>
  <c r="BK91" i="21"/>
  <c r="BF93" i="21"/>
  <c r="AN92" i="21"/>
  <c r="AX91" i="21"/>
  <c r="AZ90" i="21"/>
  <c r="AU92" i="21"/>
  <c r="BB91" i="21" s="1"/>
  <c r="AW93" i="21"/>
  <c r="AV92" i="21"/>
  <c r="BA90" i="21"/>
  <c r="AL93" i="21"/>
  <c r="AP91" i="21"/>
  <c r="AM94" i="21"/>
  <c r="AK93" i="21"/>
  <c r="AR92" i="21" s="1"/>
  <c r="AO91" i="21"/>
  <c r="AQ91" i="21"/>
  <c r="O178" i="25"/>
  <c r="Q178" i="25"/>
  <c r="N178" i="25"/>
  <c r="M179" i="25"/>
  <c r="P177" i="25"/>
  <c r="R177" i="25"/>
  <c r="AW94" i="25" l="1"/>
  <c r="AX94" i="25" s="1"/>
  <c r="BH94" i="25" s="1"/>
  <c r="BE93" i="25"/>
  <c r="AU94" i="25"/>
  <c r="HE91" i="21"/>
  <c r="AY94" i="25"/>
  <c r="BD94" i="25" s="1"/>
  <c r="BA94" i="25"/>
  <c r="AQ94" i="25"/>
  <c r="BB93" i="25"/>
  <c r="V102" i="25"/>
  <c r="AS102" i="25" s="1"/>
  <c r="AZ101" i="25"/>
  <c r="M100" i="30"/>
  <c r="K176" i="30"/>
  <c r="L176" i="30" s="1"/>
  <c r="C101" i="30"/>
  <c r="AN98" i="25"/>
  <c r="AO96" i="25"/>
  <c r="AV101" i="25"/>
  <c r="BF101" i="25" s="1"/>
  <c r="AL98" i="25"/>
  <c r="BC98" i="25" s="1"/>
  <c r="AT98" i="25"/>
  <c r="BG98" i="25" s="1"/>
  <c r="W101" i="25"/>
  <c r="X101" i="25" s="1"/>
  <c r="AR101" i="25"/>
  <c r="Y101" i="25"/>
  <c r="Z101" i="25" s="1"/>
  <c r="AP95" i="25"/>
  <c r="AB101" i="25"/>
  <c r="AA101" i="25"/>
  <c r="X100" i="25"/>
  <c r="AF100" i="25"/>
  <c r="Z100" i="25"/>
  <c r="AH101" i="25"/>
  <c r="AD101" i="25"/>
  <c r="AI101" i="25"/>
  <c r="AJ101" i="25"/>
  <c r="AK99" i="25"/>
  <c r="AM98" i="25"/>
  <c r="AE101" i="25"/>
  <c r="AF101" i="25"/>
  <c r="AC101" i="25"/>
  <c r="AG101" i="25"/>
  <c r="GS92" i="21"/>
  <c r="GJ92" i="21"/>
  <c r="EU92" i="21"/>
  <c r="KX93" i="21"/>
  <c r="KY92" i="21"/>
  <c r="HV92" i="21"/>
  <c r="KW95" i="21"/>
  <c r="KV94" i="21"/>
  <c r="KZ92" i="21"/>
  <c r="LA92" i="21"/>
  <c r="KU94" i="21"/>
  <c r="LB93" i="21" s="1"/>
  <c r="HL93" i="21"/>
  <c r="FN92" i="21"/>
  <c r="FL93" i="21"/>
  <c r="ID94" i="21"/>
  <c r="GU92" i="21"/>
  <c r="HT93" i="21"/>
  <c r="FF92" i="21"/>
  <c r="HM92" i="21"/>
  <c r="IS92" i="21"/>
  <c r="FZ92" i="21"/>
  <c r="HO92" i="21"/>
  <c r="DQ91" i="21"/>
  <c r="IQ92" i="21"/>
  <c r="CX91" i="21"/>
  <c r="GZ93" i="21"/>
  <c r="IR92" i="21"/>
  <c r="CW91" i="21"/>
  <c r="CY91" i="21"/>
  <c r="DS91" i="21"/>
  <c r="DR91" i="21"/>
  <c r="IN94" i="21"/>
  <c r="IO95" i="21"/>
  <c r="IM94" i="21"/>
  <c r="IT93" i="21" s="1"/>
  <c r="IP93" i="21"/>
  <c r="FV94" i="21"/>
  <c r="HC91" i="21"/>
  <c r="BT91" i="21"/>
  <c r="FG92" i="21"/>
  <c r="IG92" i="21"/>
  <c r="IH92" i="21"/>
  <c r="II92" i="21"/>
  <c r="IC94" i="21"/>
  <c r="IJ93" i="21" s="1"/>
  <c r="IE95" i="21"/>
  <c r="IF93" i="21"/>
  <c r="HS93" i="21"/>
  <c r="HZ92" i="21" s="1"/>
  <c r="HU94" i="21"/>
  <c r="HX91" i="21"/>
  <c r="HW91" i="21"/>
  <c r="HY91" i="21"/>
  <c r="HK95" i="21"/>
  <c r="HI94" i="21"/>
  <c r="HP93" i="21" s="1"/>
  <c r="HN92" i="21"/>
  <c r="HJ94" i="21"/>
  <c r="GY93" i="21"/>
  <c r="HF92" i="21" s="1"/>
  <c r="HD91" i="21"/>
  <c r="HA94" i="21"/>
  <c r="HB92" i="21"/>
  <c r="HE92" i="21" s="1"/>
  <c r="CC91" i="21"/>
  <c r="GQ95" i="21"/>
  <c r="GR93" i="21"/>
  <c r="GT92" i="21"/>
  <c r="GP94" i="21"/>
  <c r="GO94" i="21"/>
  <c r="GV93" i="21" s="1"/>
  <c r="EK91" i="21"/>
  <c r="EW92" i="21"/>
  <c r="EL91" i="21"/>
  <c r="CN91" i="21"/>
  <c r="EM91" i="21"/>
  <c r="AY91" i="21"/>
  <c r="GI92" i="21"/>
  <c r="DD93" i="21"/>
  <c r="FE92" i="21"/>
  <c r="EH93" i="21"/>
  <c r="GK92" i="21"/>
  <c r="GG95" i="21"/>
  <c r="GF94" i="21"/>
  <c r="GE94" i="21"/>
  <c r="GL93" i="21" s="1"/>
  <c r="GH93" i="21"/>
  <c r="FW95" i="21"/>
  <c r="FX93" i="21"/>
  <c r="GA92" i="21"/>
  <c r="FU94" i="21"/>
  <c r="GB93" i="21" s="1"/>
  <c r="FY92" i="21"/>
  <c r="CM91" i="21"/>
  <c r="FK93" i="21"/>
  <c r="FR92" i="21" s="1"/>
  <c r="FP91" i="21"/>
  <c r="FQ91" i="21"/>
  <c r="FM94" i="21"/>
  <c r="FO91" i="21"/>
  <c r="FC95" i="21"/>
  <c r="FA94" i="21"/>
  <c r="FH93" i="21" s="1"/>
  <c r="FB94" i="21"/>
  <c r="FD93" i="21"/>
  <c r="ER94" i="21"/>
  <c r="EQ94" i="21"/>
  <c r="EX93" i="21" s="1"/>
  <c r="ES95" i="21"/>
  <c r="ET93" i="21"/>
  <c r="EV92" i="21"/>
  <c r="BS91" i="21"/>
  <c r="DZ92" i="21"/>
  <c r="DN93" i="21"/>
  <c r="CO91" i="21"/>
  <c r="BZ93" i="21"/>
  <c r="EI94" i="21"/>
  <c r="EG93" i="21"/>
  <c r="EN92" i="21" s="1"/>
  <c r="EJ92" i="21"/>
  <c r="EB91" i="21"/>
  <c r="DW93" i="21"/>
  <c r="ED92" i="21" s="1"/>
  <c r="DY94" i="21"/>
  <c r="EA91" i="21"/>
  <c r="DX93" i="21"/>
  <c r="EC91" i="21"/>
  <c r="DM93" i="21"/>
  <c r="DT92" i="21" s="1"/>
  <c r="DO94" i="21"/>
  <c r="DP92" i="21"/>
  <c r="BA91" i="21"/>
  <c r="CD91" i="21"/>
  <c r="BU91" i="21"/>
  <c r="DF92" i="21"/>
  <c r="DH91" i="21"/>
  <c r="DG91" i="21"/>
  <c r="DI91" i="21"/>
  <c r="DC93" i="21"/>
  <c r="DJ92" i="21" s="1"/>
  <c r="DE94" i="21"/>
  <c r="CU94" i="21"/>
  <c r="CS93" i="21"/>
  <c r="CZ92" i="21" s="1"/>
  <c r="CT93" i="21"/>
  <c r="CV92" i="21"/>
  <c r="AZ91" i="21"/>
  <c r="CE91" i="21"/>
  <c r="CJ93" i="21"/>
  <c r="CK94" i="21"/>
  <c r="CI93" i="21"/>
  <c r="CP92" i="21" s="1"/>
  <c r="CL92" i="21"/>
  <c r="CA94" i="21"/>
  <c r="BY93" i="21"/>
  <c r="CF92" i="21" s="1"/>
  <c r="CB92" i="21"/>
  <c r="BO93" i="21"/>
  <c r="BV92" i="21" s="1"/>
  <c r="BQ94" i="21"/>
  <c r="BP93" i="21"/>
  <c r="BR92" i="21"/>
  <c r="AO92" i="21"/>
  <c r="BH93" i="21"/>
  <c r="AQ92" i="21"/>
  <c r="AP92" i="21"/>
  <c r="BE94" i="21"/>
  <c r="BL93" i="21" s="1"/>
  <c r="BG95" i="21"/>
  <c r="BF94" i="21"/>
  <c r="BI92" i="21"/>
  <c r="BK92" i="21"/>
  <c r="BJ92" i="21"/>
  <c r="AU93" i="21"/>
  <c r="BB92" i="21" s="1"/>
  <c r="AV93" i="21"/>
  <c r="AX92" i="21"/>
  <c r="AW94" i="21"/>
  <c r="AM95" i="21"/>
  <c r="AL94" i="21"/>
  <c r="AK94" i="21"/>
  <c r="AR93" i="21" s="1"/>
  <c r="AN93" i="21"/>
  <c r="S177" i="25"/>
  <c r="Q179" i="25"/>
  <c r="N179" i="25"/>
  <c r="O179" i="25"/>
  <c r="M180" i="25"/>
  <c r="R178" i="25"/>
  <c r="P178" i="25"/>
  <c r="AW95" i="25" l="1"/>
  <c r="AX95" i="25" s="1"/>
  <c r="BH95" i="25" s="1"/>
  <c r="BE94" i="25"/>
  <c r="AU95" i="25"/>
  <c r="AQ95" i="25"/>
  <c r="BB94" i="25"/>
  <c r="AY95" i="25"/>
  <c r="BD95" i="25" s="1"/>
  <c r="BA95" i="25"/>
  <c r="V103" i="25"/>
  <c r="AS103" i="25" s="1"/>
  <c r="AZ102" i="25"/>
  <c r="M101" i="30"/>
  <c r="K177" i="30"/>
  <c r="L177" i="30" s="1"/>
  <c r="C102" i="30"/>
  <c r="AN99" i="25"/>
  <c r="AO97" i="25"/>
  <c r="AV102" i="25"/>
  <c r="BF102" i="25" s="1"/>
  <c r="AL99" i="25"/>
  <c r="BC99" i="25" s="1"/>
  <c r="AT99" i="25"/>
  <c r="BG99" i="25" s="1"/>
  <c r="Y102" i="25"/>
  <c r="Z102" i="25" s="1"/>
  <c r="AR102" i="25"/>
  <c r="AP96" i="25"/>
  <c r="W102" i="25"/>
  <c r="X102" i="25" s="1"/>
  <c r="AB102" i="25"/>
  <c r="AA102" i="25"/>
  <c r="AH102" i="25"/>
  <c r="AJ102" i="25"/>
  <c r="AI102" i="25"/>
  <c r="AM99" i="25"/>
  <c r="AK100" i="25"/>
  <c r="AE102" i="25"/>
  <c r="AK101" i="25"/>
  <c r="AC102" i="25"/>
  <c r="AF102" i="25"/>
  <c r="AD102" i="25"/>
  <c r="AG102" i="25"/>
  <c r="S178" i="25"/>
  <c r="EB92" i="21"/>
  <c r="GP95" i="21"/>
  <c r="DR92" i="21"/>
  <c r="LA93" i="21"/>
  <c r="KY93" i="21"/>
  <c r="KZ93" i="21"/>
  <c r="EH94" i="21"/>
  <c r="HY92" i="21"/>
  <c r="HW92" i="21"/>
  <c r="IS93" i="21"/>
  <c r="HM93" i="21"/>
  <c r="FO92" i="21"/>
  <c r="HX92" i="21"/>
  <c r="KV95" i="21"/>
  <c r="FQ92" i="21"/>
  <c r="FP92" i="21"/>
  <c r="KU95" i="21"/>
  <c r="LB94" i="21" s="1"/>
  <c r="KW96" i="21"/>
  <c r="KX94" i="21"/>
  <c r="GA93" i="21"/>
  <c r="HN93" i="21"/>
  <c r="GZ94" i="21"/>
  <c r="HO93" i="21"/>
  <c r="FF93" i="21"/>
  <c r="AP93" i="21"/>
  <c r="IR93" i="21"/>
  <c r="HD92" i="21"/>
  <c r="IO96" i="21"/>
  <c r="IN95" i="21"/>
  <c r="IM95" i="21"/>
  <c r="IT94" i="21" s="1"/>
  <c r="IP94" i="21"/>
  <c r="IQ93" i="21"/>
  <c r="GT93" i="21"/>
  <c r="DH92" i="21"/>
  <c r="EL92" i="21"/>
  <c r="IG93" i="21"/>
  <c r="IH93" i="21"/>
  <c r="IE96" i="21"/>
  <c r="IC95" i="21"/>
  <c r="IJ94" i="21" s="1"/>
  <c r="IF94" i="21"/>
  <c r="II93" i="21"/>
  <c r="ID95" i="21"/>
  <c r="HU95" i="21"/>
  <c r="HS94" i="21"/>
  <c r="HZ93" i="21" s="1"/>
  <c r="HT94" i="21"/>
  <c r="HV93" i="21"/>
  <c r="HI95" i="21"/>
  <c r="HP94" i="21" s="1"/>
  <c r="HK96" i="21"/>
  <c r="HJ95" i="21"/>
  <c r="HL94" i="21"/>
  <c r="HA95" i="21"/>
  <c r="GY94" i="21"/>
  <c r="HF93" i="21" s="1"/>
  <c r="HB93" i="21"/>
  <c r="HC92" i="21"/>
  <c r="CT94" i="21"/>
  <c r="GR94" i="21"/>
  <c r="GQ96" i="21"/>
  <c r="GU93" i="21"/>
  <c r="GO95" i="21"/>
  <c r="GV94" i="21" s="1"/>
  <c r="GS93" i="21"/>
  <c r="GF95" i="21"/>
  <c r="BS92" i="21"/>
  <c r="AX93" i="21"/>
  <c r="CL93" i="21"/>
  <c r="DG92" i="21"/>
  <c r="BZ94" i="21"/>
  <c r="EC92" i="21"/>
  <c r="GH94" i="21"/>
  <c r="GJ93" i="21"/>
  <c r="GK93" i="21"/>
  <c r="GE95" i="21"/>
  <c r="GL94" i="21" s="1"/>
  <c r="GI93" i="21"/>
  <c r="GG96" i="21"/>
  <c r="FX94" i="21"/>
  <c r="FW96" i="21"/>
  <c r="FU95" i="21"/>
  <c r="GB94" i="21" s="1"/>
  <c r="FV95" i="21"/>
  <c r="FY93" i="21"/>
  <c r="FZ93" i="21"/>
  <c r="FB95" i="21"/>
  <c r="BK93" i="21"/>
  <c r="BJ93" i="21"/>
  <c r="CB93" i="21"/>
  <c r="EA92" i="21"/>
  <c r="ET94" i="21"/>
  <c r="FK94" i="21"/>
  <c r="FR93" i="21" s="1"/>
  <c r="FM95" i="21"/>
  <c r="FN93" i="21"/>
  <c r="FL94" i="21"/>
  <c r="FE93" i="21"/>
  <c r="FC96" i="21"/>
  <c r="FA95" i="21"/>
  <c r="FH94" i="21" s="1"/>
  <c r="FD94" i="21"/>
  <c r="FG93" i="21"/>
  <c r="EW93" i="21"/>
  <c r="EQ95" i="21"/>
  <c r="EX94" i="21" s="1"/>
  <c r="ES96" i="21"/>
  <c r="ER95" i="21"/>
  <c r="EV93" i="21"/>
  <c r="EU93" i="21"/>
  <c r="BP94" i="21"/>
  <c r="CD92" i="21"/>
  <c r="CV93" i="21"/>
  <c r="DI92" i="21"/>
  <c r="EM92" i="21"/>
  <c r="EK92" i="21"/>
  <c r="EG94" i="21"/>
  <c r="EN93" i="21" s="1"/>
  <c r="EI95" i="21"/>
  <c r="EJ93" i="21"/>
  <c r="DY95" i="21"/>
  <c r="DW94" i="21"/>
  <c r="ED93" i="21" s="1"/>
  <c r="DX94" i="21"/>
  <c r="DZ93" i="21"/>
  <c r="DM94" i="21"/>
  <c r="DT93" i="21" s="1"/>
  <c r="DO95" i="21"/>
  <c r="DP93" i="21"/>
  <c r="DS92" i="21"/>
  <c r="DQ92" i="21"/>
  <c r="DN94" i="21"/>
  <c r="DE95" i="21"/>
  <c r="DC94" i="21"/>
  <c r="DJ93" i="21" s="1"/>
  <c r="DD94" i="21"/>
  <c r="DF93" i="21"/>
  <c r="CX92" i="21"/>
  <c r="CS94" i="21"/>
  <c r="CZ93" i="21" s="1"/>
  <c r="CU95" i="21"/>
  <c r="CY92" i="21"/>
  <c r="CW92" i="21"/>
  <c r="BI93" i="21"/>
  <c r="CM92" i="21"/>
  <c r="CN92" i="21"/>
  <c r="CK95" i="21"/>
  <c r="CO92" i="21"/>
  <c r="CI94" i="21"/>
  <c r="CP93" i="21" s="1"/>
  <c r="CJ94" i="21"/>
  <c r="CA95" i="21"/>
  <c r="CE92" i="21"/>
  <c r="BY94" i="21"/>
  <c r="CF93" i="21" s="1"/>
  <c r="CC92" i="21"/>
  <c r="BT92" i="21"/>
  <c r="BR93" i="21"/>
  <c r="BU92" i="21"/>
  <c r="BO94" i="21"/>
  <c r="BV93" i="21" s="1"/>
  <c r="BQ95" i="21"/>
  <c r="BF95" i="21"/>
  <c r="BE95" i="21"/>
  <c r="BL94" i="21" s="1"/>
  <c r="BG96" i="21"/>
  <c r="BH94" i="21"/>
  <c r="AY92" i="21"/>
  <c r="BA92" i="21"/>
  <c r="AV94" i="21"/>
  <c r="AW95" i="21"/>
  <c r="AU94" i="21"/>
  <c r="BB93" i="21" s="1"/>
  <c r="AZ92" i="21"/>
  <c r="AN94" i="21"/>
  <c r="AO93" i="21"/>
  <c r="AL95" i="21"/>
  <c r="AQ93" i="21"/>
  <c r="AM96" i="21"/>
  <c r="AK95" i="21"/>
  <c r="AR94" i="21" s="1"/>
  <c r="M181" i="25"/>
  <c r="Q180" i="25"/>
  <c r="O180" i="25"/>
  <c r="N180" i="25"/>
  <c r="R179" i="25"/>
  <c r="P179" i="25"/>
  <c r="AW96" i="25" l="1"/>
  <c r="AX96" i="25" s="1"/>
  <c r="BH96" i="25" s="1"/>
  <c r="BE95" i="25"/>
  <c r="AU96" i="25"/>
  <c r="AY96" i="25"/>
  <c r="BD96" i="25" s="1"/>
  <c r="BA96" i="25"/>
  <c r="AQ96" i="25"/>
  <c r="BB95" i="25"/>
  <c r="V104" i="25"/>
  <c r="AS104" i="25" s="1"/>
  <c r="AZ103" i="25"/>
  <c r="M102" i="30"/>
  <c r="CM93" i="21"/>
  <c r="K178" i="30"/>
  <c r="L178" i="30" s="1"/>
  <c r="C103" i="30"/>
  <c r="AL101" i="25"/>
  <c r="BC101" i="25" s="1"/>
  <c r="AN100" i="25"/>
  <c r="AO98" i="25"/>
  <c r="AR103" i="25"/>
  <c r="AV103" i="25"/>
  <c r="BF103" i="25" s="1"/>
  <c r="Y103" i="25"/>
  <c r="Z103" i="25" s="1"/>
  <c r="AN101" i="25"/>
  <c r="AT101" i="25"/>
  <c r="BG101" i="25" s="1"/>
  <c r="AL100" i="25"/>
  <c r="BC100" i="25" s="1"/>
  <c r="AT100" i="25"/>
  <c r="BG100" i="25" s="1"/>
  <c r="AP97" i="25"/>
  <c r="AB103" i="25"/>
  <c r="AA103" i="25"/>
  <c r="W103" i="25"/>
  <c r="X103" i="25" s="1"/>
  <c r="AF103" i="25"/>
  <c r="AJ103" i="25"/>
  <c r="AI103" i="25"/>
  <c r="AD103" i="25"/>
  <c r="AM100" i="25"/>
  <c r="AC103" i="25"/>
  <c r="AH103" i="25"/>
  <c r="AE103" i="25"/>
  <c r="AG103" i="25"/>
  <c r="AP94" i="21"/>
  <c r="HY93" i="21"/>
  <c r="EH95" i="21"/>
  <c r="HN94" i="21"/>
  <c r="KV96" i="21"/>
  <c r="KW97" i="21"/>
  <c r="KY94" i="21"/>
  <c r="KX95" i="21"/>
  <c r="KZ94" i="21"/>
  <c r="LA94" i="21"/>
  <c r="KU96" i="21"/>
  <c r="LB95" i="21" s="1"/>
  <c r="GA94" i="21"/>
  <c r="IQ94" i="21"/>
  <c r="DG93" i="21"/>
  <c r="HJ96" i="21"/>
  <c r="IR94" i="21"/>
  <c r="II94" i="21"/>
  <c r="HT95" i="21"/>
  <c r="CO93" i="21"/>
  <c r="BP95" i="21"/>
  <c r="CN93" i="21"/>
  <c r="CX93" i="21"/>
  <c r="IN96" i="21"/>
  <c r="IM96" i="21"/>
  <c r="IT95" i="21" s="1"/>
  <c r="IO97" i="21"/>
  <c r="IP95" i="21"/>
  <c r="IS94" i="21"/>
  <c r="BA93" i="21"/>
  <c r="HB94" i="21"/>
  <c r="HX93" i="21"/>
  <c r="AY93" i="21"/>
  <c r="AZ93" i="21"/>
  <c r="GU94" i="21"/>
  <c r="HW93" i="21"/>
  <c r="CT95" i="21"/>
  <c r="IF95" i="21"/>
  <c r="IC96" i="21"/>
  <c r="IJ95" i="21" s="1"/>
  <c r="IH94" i="21"/>
  <c r="IE97" i="21"/>
  <c r="ID96" i="21"/>
  <c r="IG94" i="21"/>
  <c r="HS95" i="21"/>
  <c r="HZ94" i="21" s="1"/>
  <c r="HU96" i="21"/>
  <c r="HV94" i="21"/>
  <c r="HM94" i="21"/>
  <c r="HL95" i="21"/>
  <c r="HO94" i="21"/>
  <c r="HK97" i="21"/>
  <c r="HI96" i="21"/>
  <c r="HP95" i="21" s="1"/>
  <c r="HA96" i="21"/>
  <c r="HE93" i="21"/>
  <c r="GY95" i="21"/>
  <c r="HF94" i="21" s="1"/>
  <c r="HD93" i="21"/>
  <c r="HC93" i="21"/>
  <c r="GZ95" i="21"/>
  <c r="CD93" i="21"/>
  <c r="FN94" i="21"/>
  <c r="CW93" i="21"/>
  <c r="GF96" i="21"/>
  <c r="CY93" i="21"/>
  <c r="FZ94" i="21"/>
  <c r="FY94" i="21"/>
  <c r="CC93" i="21"/>
  <c r="GQ97" i="21"/>
  <c r="GR95" i="21"/>
  <c r="GT94" i="21"/>
  <c r="GO96" i="21"/>
  <c r="GV95" i="21" s="1"/>
  <c r="GS94" i="21"/>
  <c r="GP96" i="21"/>
  <c r="BU93" i="21"/>
  <c r="GI94" i="21"/>
  <c r="DX95" i="21"/>
  <c r="ER96" i="21"/>
  <c r="FE94" i="21"/>
  <c r="GK94" i="21"/>
  <c r="GJ94" i="21"/>
  <c r="FV96" i="21"/>
  <c r="EW94" i="21"/>
  <c r="FG94" i="21"/>
  <c r="EU94" i="21"/>
  <c r="GE96" i="21"/>
  <c r="GL95" i="21" s="1"/>
  <c r="GG97" i="21"/>
  <c r="GH95" i="21"/>
  <c r="FU96" i="21"/>
  <c r="GB95" i="21" s="1"/>
  <c r="FW97" i="21"/>
  <c r="FX95" i="21"/>
  <c r="DZ94" i="21"/>
  <c r="EV94" i="21"/>
  <c r="BI94" i="21"/>
  <c r="DQ93" i="21"/>
  <c r="EM93" i="21"/>
  <c r="CE93" i="21"/>
  <c r="FO93" i="21"/>
  <c r="FQ93" i="21"/>
  <c r="FM96" i="21"/>
  <c r="FK95" i="21"/>
  <c r="FR94" i="21" s="1"/>
  <c r="FL95" i="21"/>
  <c r="FP93" i="21"/>
  <c r="FA96" i="21"/>
  <c r="FH95" i="21" s="1"/>
  <c r="FC97" i="21"/>
  <c r="FB96" i="21"/>
  <c r="FD95" i="21"/>
  <c r="FF94" i="21"/>
  <c r="EQ96" i="21"/>
  <c r="EX95" i="21" s="1"/>
  <c r="ES97" i="21"/>
  <c r="ET95" i="21"/>
  <c r="DS93" i="21"/>
  <c r="DP94" i="21"/>
  <c r="DD95" i="21"/>
  <c r="EI96" i="21"/>
  <c r="EG95" i="21"/>
  <c r="EN94" i="21" s="1"/>
  <c r="EJ94" i="21"/>
  <c r="EK93" i="21"/>
  <c r="EL93" i="21"/>
  <c r="EB93" i="21"/>
  <c r="DW95" i="21"/>
  <c r="ED94" i="21" s="1"/>
  <c r="EA93" i="21"/>
  <c r="EC93" i="21"/>
  <c r="DY96" i="21"/>
  <c r="DO96" i="21"/>
  <c r="DM95" i="21"/>
  <c r="DT94" i="21" s="1"/>
  <c r="DN95" i="21"/>
  <c r="DR93" i="21"/>
  <c r="DH93" i="21"/>
  <c r="DC95" i="21"/>
  <c r="DJ94" i="21" s="1"/>
  <c r="DE96" i="21"/>
  <c r="DF94" i="21"/>
  <c r="DI93" i="21"/>
  <c r="CS95" i="21"/>
  <c r="CZ94" i="21" s="1"/>
  <c r="CU96" i="21"/>
  <c r="CV94" i="21"/>
  <c r="BT93" i="21"/>
  <c r="CI95" i="21"/>
  <c r="CP94" i="21" s="1"/>
  <c r="CK96" i="21"/>
  <c r="CJ95" i="21"/>
  <c r="CL94" i="21"/>
  <c r="BY95" i="21"/>
  <c r="CF94" i="21" s="1"/>
  <c r="CB94" i="21"/>
  <c r="CA96" i="21"/>
  <c r="BZ95" i="21"/>
  <c r="BO95" i="21"/>
  <c r="BV94" i="21" s="1"/>
  <c r="BR94" i="21"/>
  <c r="BQ96" i="21"/>
  <c r="BS93" i="21"/>
  <c r="BE96" i="21"/>
  <c r="BL95" i="21" s="1"/>
  <c r="BH95" i="21"/>
  <c r="BF96" i="21"/>
  <c r="BG97" i="21"/>
  <c r="BJ94" i="21"/>
  <c r="BK94" i="21"/>
  <c r="AQ94" i="21"/>
  <c r="AO94" i="21"/>
  <c r="AW96" i="21"/>
  <c r="AU95" i="21"/>
  <c r="BB94" i="21" s="1"/>
  <c r="AV95" i="21"/>
  <c r="AX94" i="21"/>
  <c r="AM97" i="21"/>
  <c r="AL96" i="21"/>
  <c r="AK96" i="21"/>
  <c r="AR95" i="21" s="1"/>
  <c r="AN95" i="21"/>
  <c r="S179" i="25"/>
  <c r="P180" i="25"/>
  <c r="R180" i="25"/>
  <c r="M182" i="25"/>
  <c r="O181" i="25"/>
  <c r="N181" i="25"/>
  <c r="Q181" i="25"/>
  <c r="AW97" i="25" l="1"/>
  <c r="AX97" i="25" s="1"/>
  <c r="BH97" i="25" s="1"/>
  <c r="BE96" i="25"/>
  <c r="AU97" i="25"/>
  <c r="AY97" i="25"/>
  <c r="BD97" i="25" s="1"/>
  <c r="BA97" i="25"/>
  <c r="AQ97" i="25"/>
  <c r="BB96" i="25"/>
  <c r="V105" i="25"/>
  <c r="AZ104" i="25"/>
  <c r="M103" i="30"/>
  <c r="K179" i="30"/>
  <c r="L179" i="30" s="1"/>
  <c r="C104" i="30"/>
  <c r="AO99" i="25"/>
  <c r="AV104" i="25"/>
  <c r="BF104" i="25" s="1"/>
  <c r="W104" i="25"/>
  <c r="X104" i="25" s="1"/>
  <c r="AR104" i="25"/>
  <c r="Y104" i="25"/>
  <c r="Z104" i="25" s="1"/>
  <c r="AP98" i="25"/>
  <c r="AB104" i="25"/>
  <c r="AA104" i="25"/>
  <c r="AH104" i="25"/>
  <c r="AJ104" i="25"/>
  <c r="AI104" i="25"/>
  <c r="AM101" i="25"/>
  <c r="AK102" i="25"/>
  <c r="AE104" i="25"/>
  <c r="AF104" i="25"/>
  <c r="AG104" i="25"/>
  <c r="AD104" i="25"/>
  <c r="AC104" i="25"/>
  <c r="EB94" i="21"/>
  <c r="FQ94" i="21"/>
  <c r="HN95" i="21"/>
  <c r="KV97" i="21"/>
  <c r="KZ95" i="21"/>
  <c r="LA95" i="21"/>
  <c r="KX96" i="21"/>
  <c r="II95" i="21"/>
  <c r="KY95" i="21"/>
  <c r="KW98" i="21"/>
  <c r="KU97" i="21"/>
  <c r="LB96" i="21" s="1"/>
  <c r="HV95" i="21"/>
  <c r="FO94" i="21"/>
  <c r="DX96" i="21"/>
  <c r="EJ95" i="21"/>
  <c r="HC94" i="21"/>
  <c r="HD94" i="21"/>
  <c r="HE94" i="21"/>
  <c r="IR95" i="21"/>
  <c r="IS95" i="21"/>
  <c r="ER97" i="21"/>
  <c r="IG95" i="21"/>
  <c r="HW94" i="21"/>
  <c r="IP96" i="21"/>
  <c r="GI95" i="21"/>
  <c r="HO95" i="21"/>
  <c r="IQ95" i="21"/>
  <c r="IN97" i="21"/>
  <c r="IH95" i="21"/>
  <c r="IO98" i="21"/>
  <c r="IM97" i="21"/>
  <c r="IT96" i="21" s="1"/>
  <c r="GT95" i="21"/>
  <c r="HX94" i="21"/>
  <c r="FP94" i="21"/>
  <c r="GS95" i="21"/>
  <c r="IE98" i="21"/>
  <c r="IC97" i="21"/>
  <c r="IJ96" i="21" s="1"/>
  <c r="ID97" i="21"/>
  <c r="IF96" i="21"/>
  <c r="HU97" i="21"/>
  <c r="HS96" i="21"/>
  <c r="HZ95" i="21" s="1"/>
  <c r="HY94" i="21"/>
  <c r="HT96" i="21"/>
  <c r="HK98" i="21"/>
  <c r="HJ97" i="21"/>
  <c r="HI97" i="21"/>
  <c r="HP96" i="21" s="1"/>
  <c r="HL96" i="21"/>
  <c r="HM95" i="21"/>
  <c r="GY96" i="21"/>
  <c r="HF95" i="21" s="1"/>
  <c r="HA97" i="21"/>
  <c r="GZ96" i="21"/>
  <c r="HB95" i="21"/>
  <c r="GK95" i="21"/>
  <c r="DQ94" i="21"/>
  <c r="FY95" i="21"/>
  <c r="CC94" i="21"/>
  <c r="GO97" i="21"/>
  <c r="GV96" i="21" s="1"/>
  <c r="GR96" i="21"/>
  <c r="GQ98" i="21"/>
  <c r="GP97" i="21"/>
  <c r="GU95" i="21"/>
  <c r="FZ95" i="21"/>
  <c r="GA95" i="21"/>
  <c r="EA94" i="21"/>
  <c r="GJ95" i="21"/>
  <c r="ET96" i="21"/>
  <c r="GE97" i="21"/>
  <c r="GL96" i="21" s="1"/>
  <c r="GG98" i="21"/>
  <c r="GH96" i="21"/>
  <c r="GF97" i="21"/>
  <c r="FU97" i="21"/>
  <c r="GB96" i="21" s="1"/>
  <c r="FW98" i="21"/>
  <c r="FX96" i="21"/>
  <c r="FV97" i="21"/>
  <c r="DR94" i="21"/>
  <c r="DN96" i="21"/>
  <c r="EW95" i="21"/>
  <c r="DF95" i="21"/>
  <c r="FL96" i="21"/>
  <c r="EC94" i="21"/>
  <c r="EV95" i="21"/>
  <c r="FD96" i="21"/>
  <c r="EU95" i="21"/>
  <c r="FB97" i="21"/>
  <c r="FM97" i="21"/>
  <c r="FK96" i="21"/>
  <c r="FR95" i="21" s="1"/>
  <c r="FN95" i="21"/>
  <c r="FG95" i="21"/>
  <c r="FE95" i="21"/>
  <c r="FC98" i="21"/>
  <c r="FA97" i="21"/>
  <c r="FH96" i="21" s="1"/>
  <c r="FF95" i="21"/>
  <c r="ES98" i="21"/>
  <c r="ER98" i="21" s="1"/>
  <c r="EQ97" i="21"/>
  <c r="EX96" i="21" s="1"/>
  <c r="AO95" i="21"/>
  <c r="DS94" i="21"/>
  <c r="EG96" i="21"/>
  <c r="EN95" i="21" s="1"/>
  <c r="EI97" i="21"/>
  <c r="EK94" i="21"/>
  <c r="EL94" i="21"/>
  <c r="EM94" i="21"/>
  <c r="EH96" i="21"/>
  <c r="DW96" i="21"/>
  <c r="ED95" i="21" s="1"/>
  <c r="DY97" i="21"/>
  <c r="DZ95" i="21"/>
  <c r="DM96" i="21"/>
  <c r="DT95" i="21" s="1"/>
  <c r="DO97" i="21"/>
  <c r="DP95" i="21"/>
  <c r="CV95" i="21"/>
  <c r="BJ95" i="21"/>
  <c r="BT94" i="21"/>
  <c r="CL95" i="21"/>
  <c r="CX94" i="21"/>
  <c r="AV96" i="21"/>
  <c r="CY94" i="21"/>
  <c r="DH94" i="21"/>
  <c r="DC96" i="21"/>
  <c r="DJ95" i="21" s="1"/>
  <c r="DE97" i="21"/>
  <c r="DI94" i="21"/>
  <c r="DG94" i="21"/>
  <c r="DD96" i="21"/>
  <c r="CU97" i="21"/>
  <c r="CS96" i="21"/>
  <c r="CZ95" i="21" s="1"/>
  <c r="CW94" i="21"/>
  <c r="CT96" i="21"/>
  <c r="BU94" i="21"/>
  <c r="CI96" i="21"/>
  <c r="CP95" i="21" s="1"/>
  <c r="CK97" i="21"/>
  <c r="CM94" i="21"/>
  <c r="CN94" i="21"/>
  <c r="CJ96" i="21"/>
  <c r="CO94" i="21"/>
  <c r="CD94" i="21"/>
  <c r="CB95" i="21"/>
  <c r="CE94" i="21"/>
  <c r="BY96" i="21"/>
  <c r="CF95" i="21" s="1"/>
  <c r="CA97" i="21"/>
  <c r="BZ96" i="21"/>
  <c r="BR95" i="21"/>
  <c r="BO96" i="21"/>
  <c r="BV95" i="21" s="1"/>
  <c r="BQ97" i="21"/>
  <c r="BS94" i="21"/>
  <c r="BP96" i="21"/>
  <c r="BH96" i="21"/>
  <c r="BI95" i="21"/>
  <c r="BG98" i="21"/>
  <c r="BE97" i="21"/>
  <c r="BL96" i="21" s="1"/>
  <c r="BF97" i="21"/>
  <c r="BK95" i="21"/>
  <c r="AL97" i="21"/>
  <c r="AU96" i="21"/>
  <c r="BB95" i="21" s="1"/>
  <c r="BA94" i="21"/>
  <c r="AY94" i="21"/>
  <c r="AX95" i="21"/>
  <c r="AW97" i="21"/>
  <c r="AZ94" i="21"/>
  <c r="AP95" i="21"/>
  <c r="AK97" i="21"/>
  <c r="AR96" i="21" s="1"/>
  <c r="AM98" i="21"/>
  <c r="AN96" i="21"/>
  <c r="AQ95" i="21"/>
  <c r="S180" i="25"/>
  <c r="O182" i="25"/>
  <c r="Q182" i="25"/>
  <c r="N182" i="25"/>
  <c r="M183" i="25"/>
  <c r="P181" i="25"/>
  <c r="R181" i="25"/>
  <c r="AW98" i="25" l="1"/>
  <c r="AX98" i="25" s="1"/>
  <c r="BH98" i="25" s="1"/>
  <c r="BE97" i="25"/>
  <c r="AU98" i="25"/>
  <c r="FQ95" i="21"/>
  <c r="DI95" i="21"/>
  <c r="AY98" i="25"/>
  <c r="BD98" i="25" s="1"/>
  <c r="BA98" i="25"/>
  <c r="AQ98" i="25"/>
  <c r="BB97" i="25"/>
  <c r="V106" i="25"/>
  <c r="AZ105" i="25"/>
  <c r="AS105" i="25"/>
  <c r="M104" i="30"/>
  <c r="K180" i="30"/>
  <c r="L180" i="30" s="1"/>
  <c r="EM95" i="21"/>
  <c r="C105" i="30"/>
  <c r="AN102" i="25"/>
  <c r="AO100" i="25"/>
  <c r="AR105" i="25"/>
  <c r="AV105" i="25"/>
  <c r="BF105" i="25" s="1"/>
  <c r="AL102" i="25"/>
  <c r="BC102" i="25" s="1"/>
  <c r="AT102" i="25"/>
  <c r="BG102" i="25" s="1"/>
  <c r="AP99" i="25"/>
  <c r="AA105" i="25"/>
  <c r="AB105" i="25"/>
  <c r="AS106" i="25"/>
  <c r="AJ105" i="25"/>
  <c r="AI105" i="25"/>
  <c r="Y105" i="25"/>
  <c r="W105" i="25"/>
  <c r="AM102" i="25"/>
  <c r="AK103" i="25"/>
  <c r="AC105" i="25"/>
  <c r="AE105" i="25"/>
  <c r="AG105" i="25"/>
  <c r="AH105" i="25"/>
  <c r="HY95" i="21"/>
  <c r="CC95" i="21"/>
  <c r="AV97" i="21"/>
  <c r="EK95" i="21"/>
  <c r="KY96" i="21"/>
  <c r="KV98" i="21"/>
  <c r="HX95" i="21"/>
  <c r="EL95" i="21"/>
  <c r="KZ96" i="21"/>
  <c r="DX97" i="21"/>
  <c r="IQ96" i="21"/>
  <c r="HW95" i="21"/>
  <c r="LA96" i="21"/>
  <c r="KU98" i="21"/>
  <c r="LB97" i="21" s="1"/>
  <c r="KW99" i="21"/>
  <c r="KX97" i="21"/>
  <c r="IR96" i="21"/>
  <c r="CW95" i="21"/>
  <c r="DH95" i="21"/>
  <c r="DR95" i="21"/>
  <c r="HB96" i="21"/>
  <c r="GS96" i="21"/>
  <c r="DG95" i="21"/>
  <c r="CX95" i="21"/>
  <c r="IS96" i="21"/>
  <c r="IG96" i="21"/>
  <c r="ID98" i="21"/>
  <c r="HC95" i="21"/>
  <c r="HJ98" i="21"/>
  <c r="GK96" i="21"/>
  <c r="IO99" i="21"/>
  <c r="IM98" i="21"/>
  <c r="IT97" i="21" s="1"/>
  <c r="IN98" i="21"/>
  <c r="IP97" i="21"/>
  <c r="HL97" i="21"/>
  <c r="IC98" i="21"/>
  <c r="IJ97" i="21" s="1"/>
  <c r="II96" i="21"/>
  <c r="IF97" i="21"/>
  <c r="IH96" i="21"/>
  <c r="IE99" i="21"/>
  <c r="HS97" i="21"/>
  <c r="HZ96" i="21" s="1"/>
  <c r="HU98" i="21"/>
  <c r="HT97" i="21"/>
  <c r="HV96" i="21"/>
  <c r="HI98" i="21"/>
  <c r="HP97" i="21" s="1"/>
  <c r="HO96" i="21"/>
  <c r="HK99" i="21"/>
  <c r="HM96" i="21"/>
  <c r="HN96" i="21"/>
  <c r="HA98" i="21"/>
  <c r="HE95" i="21"/>
  <c r="GY97" i="21"/>
  <c r="HF96" i="21" s="1"/>
  <c r="GZ97" i="21"/>
  <c r="HD95" i="21"/>
  <c r="FL97" i="21"/>
  <c r="EW96" i="21"/>
  <c r="EU96" i="21"/>
  <c r="EV96" i="21"/>
  <c r="FZ96" i="21"/>
  <c r="GP98" i="21"/>
  <c r="GQ99" i="21"/>
  <c r="GR97" i="21"/>
  <c r="GO98" i="21"/>
  <c r="GV97" i="21" s="1"/>
  <c r="GU96" i="21"/>
  <c r="GT96" i="21"/>
  <c r="FP95" i="21"/>
  <c r="AO96" i="21"/>
  <c r="FO95" i="21"/>
  <c r="BU95" i="21"/>
  <c r="GA96" i="21"/>
  <c r="GI96" i="21"/>
  <c r="GG99" i="21"/>
  <c r="GE98" i="21"/>
  <c r="GL97" i="21" s="1"/>
  <c r="GF98" i="21"/>
  <c r="GH97" i="21"/>
  <c r="GJ96" i="21"/>
  <c r="FW99" i="21"/>
  <c r="FU98" i="21"/>
  <c r="GB97" i="21" s="1"/>
  <c r="FV98" i="21"/>
  <c r="FX97" i="21"/>
  <c r="FY96" i="21"/>
  <c r="EC95" i="21"/>
  <c r="FF96" i="21"/>
  <c r="FE96" i="21"/>
  <c r="CY95" i="21"/>
  <c r="FG96" i="21"/>
  <c r="FK97" i="21"/>
  <c r="FR96" i="21" s="1"/>
  <c r="FN96" i="21"/>
  <c r="FM98" i="21"/>
  <c r="FC99" i="21"/>
  <c r="FB98" i="21"/>
  <c r="FA98" i="21"/>
  <c r="FH97" i="21" s="1"/>
  <c r="FD97" i="21"/>
  <c r="EQ98" i="21"/>
  <c r="EX97" i="21" s="1"/>
  <c r="ES99" i="21"/>
  <c r="ET97" i="21"/>
  <c r="CO95" i="21"/>
  <c r="EB95" i="21"/>
  <c r="BS95" i="21"/>
  <c r="CM95" i="21"/>
  <c r="EI98" i="21"/>
  <c r="EG97" i="21"/>
  <c r="EN96" i="21" s="1"/>
  <c r="EH97" i="21"/>
  <c r="EJ96" i="21"/>
  <c r="DW97" i="21"/>
  <c r="ED96" i="21" s="1"/>
  <c r="DY98" i="21"/>
  <c r="DZ96" i="21"/>
  <c r="EA95" i="21"/>
  <c r="DO98" i="21"/>
  <c r="DN97" i="21"/>
  <c r="DQ95" i="21"/>
  <c r="DP96" i="21"/>
  <c r="DS95" i="21"/>
  <c r="DM97" i="21"/>
  <c r="DT96" i="21" s="1"/>
  <c r="CE95" i="21"/>
  <c r="CT97" i="21"/>
  <c r="CJ97" i="21"/>
  <c r="CN95" i="21"/>
  <c r="DC97" i="21"/>
  <c r="DJ96" i="21" s="1"/>
  <c r="DE98" i="21"/>
  <c r="DD97" i="21"/>
  <c r="DF96" i="21"/>
  <c r="CS97" i="21"/>
  <c r="CZ96" i="21" s="1"/>
  <c r="CU98" i="21"/>
  <c r="CV96" i="21"/>
  <c r="BK96" i="21"/>
  <c r="AX96" i="21"/>
  <c r="BI96" i="21"/>
  <c r="CK98" i="21"/>
  <c r="CI97" i="21"/>
  <c r="CP96" i="21" s="1"/>
  <c r="CL96" i="21"/>
  <c r="BY97" i="21"/>
  <c r="CF96" i="21" s="1"/>
  <c r="CB96" i="21"/>
  <c r="CA98" i="21"/>
  <c r="BZ97" i="21"/>
  <c r="CD95" i="21"/>
  <c r="BQ98" i="21"/>
  <c r="BO97" i="21"/>
  <c r="BV96" i="21" s="1"/>
  <c r="BP97" i="21"/>
  <c r="BR96" i="21"/>
  <c r="BT95" i="21"/>
  <c r="BG99" i="21"/>
  <c r="BE98" i="21"/>
  <c r="BL97" i="21" s="1"/>
  <c r="BH97" i="21"/>
  <c r="BF98" i="21"/>
  <c r="BJ96" i="21"/>
  <c r="AY95" i="21"/>
  <c r="BA95" i="21"/>
  <c r="AU97" i="21"/>
  <c r="BB96" i="21" s="1"/>
  <c r="AW98" i="21"/>
  <c r="AZ95" i="21"/>
  <c r="AP96" i="21"/>
  <c r="AQ96" i="21"/>
  <c r="AM99" i="21"/>
  <c r="AK98" i="21"/>
  <c r="AR97" i="21" s="1"/>
  <c r="AL98" i="21"/>
  <c r="AN97" i="21"/>
  <c r="S181" i="25"/>
  <c r="N183" i="25"/>
  <c r="Q183" i="25"/>
  <c r="O183" i="25"/>
  <c r="M184" i="25"/>
  <c r="P182" i="25"/>
  <c r="R182" i="25"/>
  <c r="KV99" i="21" l="1"/>
  <c r="AW99" i="25"/>
  <c r="AX99" i="25" s="1"/>
  <c r="BH99" i="25" s="1"/>
  <c r="BE98" i="25"/>
  <c r="AU99" i="25"/>
  <c r="AV98" i="21"/>
  <c r="AY99" i="25"/>
  <c r="BD99" i="25" s="1"/>
  <c r="BA99" i="25"/>
  <c r="AQ99" i="25"/>
  <c r="BB98" i="25"/>
  <c r="V107" i="25"/>
  <c r="AS107" i="25" s="1"/>
  <c r="AZ106" i="25"/>
  <c r="M105" i="30"/>
  <c r="K181" i="30"/>
  <c r="L181" i="30" s="1"/>
  <c r="HY96" i="21"/>
  <c r="C106" i="30"/>
  <c r="AN103" i="25"/>
  <c r="AO101" i="25"/>
  <c r="AV106" i="25"/>
  <c r="BF106" i="25" s="1"/>
  <c r="AL103" i="25"/>
  <c r="BC103" i="25" s="1"/>
  <c r="AT103" i="25"/>
  <c r="BG103" i="25" s="1"/>
  <c r="Y106" i="25"/>
  <c r="Z106" i="25" s="1"/>
  <c r="AR106" i="25"/>
  <c r="W106" i="25"/>
  <c r="X106" i="25" s="1"/>
  <c r="AP100" i="25"/>
  <c r="AA106" i="25"/>
  <c r="AB106" i="25"/>
  <c r="AD106" i="25"/>
  <c r="AF105" i="25"/>
  <c r="Z105" i="25"/>
  <c r="AD105" i="25"/>
  <c r="X105" i="25"/>
  <c r="AH106" i="25"/>
  <c r="AI106" i="25"/>
  <c r="AJ106" i="25"/>
  <c r="AM103" i="25"/>
  <c r="AK104" i="25"/>
  <c r="AC106" i="25"/>
  <c r="AG106" i="25"/>
  <c r="AE106" i="25"/>
  <c r="AF106" i="25"/>
  <c r="AY96" i="21"/>
  <c r="EL96" i="21"/>
  <c r="IN99" i="21"/>
  <c r="LA97" i="21"/>
  <c r="KZ97" i="21"/>
  <c r="KX98" i="21"/>
  <c r="KW100" i="21"/>
  <c r="KV100" i="21" s="1"/>
  <c r="KU99" i="21"/>
  <c r="LB98" i="21" s="1"/>
  <c r="KY97" i="21"/>
  <c r="GS97" i="21"/>
  <c r="HM97" i="21"/>
  <c r="HC96" i="21"/>
  <c r="HD96" i="21"/>
  <c r="ID99" i="21"/>
  <c r="DH96" i="21"/>
  <c r="FN97" i="21"/>
  <c r="HE96" i="21"/>
  <c r="GZ98" i="21"/>
  <c r="HO97" i="21"/>
  <c r="IF98" i="21"/>
  <c r="FG97" i="21"/>
  <c r="FV99" i="21"/>
  <c r="HN97" i="21"/>
  <c r="IS97" i="21"/>
  <c r="IR97" i="21"/>
  <c r="IQ97" i="21"/>
  <c r="IP98" i="21"/>
  <c r="IM99" i="21"/>
  <c r="IT98" i="21" s="1"/>
  <c r="IO100" i="21"/>
  <c r="IM3" i="21" s="1" a="1"/>
  <c r="IM3" i="21" s="1"/>
  <c r="IM2" i="21" s="1"/>
  <c r="HT98" i="21"/>
  <c r="DQ96" i="21"/>
  <c r="IH97" i="21"/>
  <c r="II97" i="21"/>
  <c r="IC99" i="21"/>
  <c r="IJ98" i="21" s="1"/>
  <c r="IE100" i="21"/>
  <c r="IC3" i="21" s="1" a="1"/>
  <c r="IC3" i="21" s="1"/>
  <c r="IC2" i="21" s="1"/>
  <c r="D31" i="21" s="1"/>
  <c r="IG97" i="21"/>
  <c r="HV97" i="21"/>
  <c r="HX96" i="21"/>
  <c r="HW96" i="21"/>
  <c r="HU99" i="21"/>
  <c r="HS98" i="21"/>
  <c r="HZ97" i="21" s="1"/>
  <c r="HK100" i="21"/>
  <c r="HI3" i="21" s="1" a="1"/>
  <c r="HI3" i="21" s="1"/>
  <c r="HI2" i="21" s="1"/>
  <c r="D29" i="21" s="1"/>
  <c r="HJ99" i="21"/>
  <c r="HI99" i="21"/>
  <c r="HP98" i="21" s="1"/>
  <c r="HL98" i="21"/>
  <c r="GY98" i="21"/>
  <c r="HF97" i="21" s="1"/>
  <c r="HA99" i="21"/>
  <c r="HB97" i="21"/>
  <c r="EC96" i="21"/>
  <c r="GT97" i="21"/>
  <c r="GO99" i="21"/>
  <c r="GV98" i="21" s="1"/>
  <c r="GR98" i="21"/>
  <c r="GQ100" i="21"/>
  <c r="GO3" i="21" s="1" a="1"/>
  <c r="GO3" i="21" s="1"/>
  <c r="GO2" i="21" s="1"/>
  <c r="D27" i="21" s="1"/>
  <c r="GU97" i="21"/>
  <c r="GP99" i="21"/>
  <c r="EB96" i="21"/>
  <c r="CM96" i="21"/>
  <c r="FB99" i="21"/>
  <c r="GF99" i="21"/>
  <c r="FX98" i="21"/>
  <c r="FF97" i="21"/>
  <c r="CT98" i="21"/>
  <c r="FE97" i="21"/>
  <c r="BA96" i="21"/>
  <c r="GH98" i="21"/>
  <c r="GK97" i="21"/>
  <c r="GI97" i="21"/>
  <c r="GE99" i="21"/>
  <c r="GL98" i="21" s="1"/>
  <c r="GG100" i="21"/>
  <c r="GE3" i="21" s="1" a="1"/>
  <c r="GE3" i="21" s="1"/>
  <c r="GE2" i="21" s="1"/>
  <c r="D26" i="21" s="1"/>
  <c r="GJ97" i="21"/>
  <c r="FZ97" i="21"/>
  <c r="GA97" i="21"/>
  <c r="FU99" i="21"/>
  <c r="GB98" i="21" s="1"/>
  <c r="FW100" i="21"/>
  <c r="FU3" i="21" s="1" a="1"/>
  <c r="FU3" i="21" s="1"/>
  <c r="FU2" i="21" s="1"/>
  <c r="D25" i="21" s="1"/>
  <c r="FY97" i="21"/>
  <c r="DS96" i="21"/>
  <c r="EA96" i="21"/>
  <c r="AZ96" i="21"/>
  <c r="DP97" i="21"/>
  <c r="FK98" i="21"/>
  <c r="FR97" i="21" s="1"/>
  <c r="FP96" i="21"/>
  <c r="FO96" i="21"/>
  <c r="FQ96" i="21"/>
  <c r="FM99" i="21"/>
  <c r="FL98" i="21"/>
  <c r="FA99" i="21"/>
  <c r="FH98" i="21" s="1"/>
  <c r="FC100" i="21"/>
  <c r="FA3" i="21" s="1" a="1"/>
  <c r="FA3" i="21" s="1"/>
  <c r="FA2" i="21" s="1"/>
  <c r="D23" i="21" s="1"/>
  <c r="FD98" i="21"/>
  <c r="ES100" i="21"/>
  <c r="EQ3" i="21" s="1" a="1"/>
  <c r="EQ3" i="21" s="1"/>
  <c r="EQ2" i="21" s="1"/>
  <c r="D22" i="21" s="1"/>
  <c r="EU97" i="21"/>
  <c r="ET98" i="21"/>
  <c r="EW97" i="21"/>
  <c r="EV97" i="21"/>
  <c r="EQ99" i="21"/>
  <c r="EX98" i="21" s="1"/>
  <c r="ER99" i="21"/>
  <c r="EM96" i="21"/>
  <c r="DN98" i="21"/>
  <c r="EH98" i="21"/>
  <c r="DD98" i="21"/>
  <c r="EG98" i="21"/>
  <c r="EN97" i="21" s="1"/>
  <c r="EI99" i="21"/>
  <c r="EJ97" i="21"/>
  <c r="EK96" i="21"/>
  <c r="DY99" i="21"/>
  <c r="DW98" i="21"/>
  <c r="ED97" i="21" s="1"/>
  <c r="DZ97" i="21"/>
  <c r="DX98" i="21"/>
  <c r="DO99" i="21"/>
  <c r="DM98" i="21"/>
  <c r="DT97" i="21" s="1"/>
  <c r="DR96" i="21"/>
  <c r="CN96" i="21"/>
  <c r="BR97" i="21"/>
  <c r="DC98" i="21"/>
  <c r="DJ97" i="21" s="1"/>
  <c r="DE99" i="21"/>
  <c r="DF97" i="21"/>
  <c r="DG96" i="21"/>
  <c r="DI96" i="21"/>
  <c r="CV97" i="21"/>
  <c r="CX96" i="21"/>
  <c r="CY96" i="21"/>
  <c r="CW96" i="21"/>
  <c r="CU99" i="21"/>
  <c r="CS98" i="21"/>
  <c r="CZ97" i="21" s="1"/>
  <c r="CB97" i="21"/>
  <c r="CI98" i="21"/>
  <c r="CP97" i="21" s="1"/>
  <c r="CK99" i="21"/>
  <c r="CL97" i="21"/>
  <c r="CO96" i="21"/>
  <c r="CJ98" i="21"/>
  <c r="CA99" i="21"/>
  <c r="BZ98" i="21"/>
  <c r="BY98" i="21"/>
  <c r="CF97" i="21" s="1"/>
  <c r="CD96" i="21"/>
  <c r="CE96" i="21"/>
  <c r="CC96" i="21"/>
  <c r="BP98" i="21"/>
  <c r="BO98" i="21"/>
  <c r="BV97" i="21" s="1"/>
  <c r="BS96" i="21"/>
  <c r="BU96" i="21"/>
  <c r="BQ99" i="21"/>
  <c r="BT96" i="21"/>
  <c r="BF99" i="21"/>
  <c r="BH98" i="21"/>
  <c r="AL99" i="21"/>
  <c r="BE99" i="21"/>
  <c r="BL98" i="21" s="1"/>
  <c r="BG100" i="21"/>
  <c r="BE3" i="21" s="1" a="1"/>
  <c r="BE3" i="21" s="1"/>
  <c r="BE2" i="21" s="1"/>
  <c r="D13" i="21" s="1"/>
  <c r="BK97" i="21"/>
  <c r="BI97" i="21"/>
  <c r="BJ97" i="21"/>
  <c r="AU98" i="21"/>
  <c r="BB97" i="21" s="1"/>
  <c r="AW99" i="21"/>
  <c r="AV99" i="21" s="1"/>
  <c r="AX97" i="21"/>
  <c r="AP97" i="21"/>
  <c r="AN98" i="21"/>
  <c r="AQ97" i="21"/>
  <c r="AK99" i="21"/>
  <c r="AR98" i="21" s="1"/>
  <c r="AM100" i="21"/>
  <c r="AK3" i="21" s="1" a="1"/>
  <c r="AK3" i="21" s="1"/>
  <c r="AK2" i="21" s="1"/>
  <c r="D11" i="21" s="1"/>
  <c r="AO97" i="21"/>
  <c r="S182" i="25"/>
  <c r="M185" i="25"/>
  <c r="O184" i="25"/>
  <c r="Q184" i="25"/>
  <c r="N184" i="25"/>
  <c r="P183" i="25"/>
  <c r="R183" i="25"/>
  <c r="FO97" i="21" l="1"/>
  <c r="AW100" i="25"/>
  <c r="AX100" i="25" s="1"/>
  <c r="BH100" i="25" s="1"/>
  <c r="BE99" i="25"/>
  <c r="AU100" i="25"/>
  <c r="HE97" i="21"/>
  <c r="AQ100" i="25"/>
  <c r="BB99" i="25"/>
  <c r="AY100" i="25"/>
  <c r="BD100" i="25" s="1"/>
  <c r="BA100" i="25"/>
  <c r="V108" i="25"/>
  <c r="AZ107" i="25"/>
  <c r="M106" i="30"/>
  <c r="K182" i="30"/>
  <c r="L182" i="30" s="1"/>
  <c r="C107" i="30"/>
  <c r="AN104" i="25"/>
  <c r="AO102" i="25"/>
  <c r="AR107" i="25"/>
  <c r="AV107" i="25"/>
  <c r="BF107" i="25" s="1"/>
  <c r="AL104" i="25"/>
  <c r="BC104" i="25" s="1"/>
  <c r="AT104" i="25"/>
  <c r="BG104" i="25" s="1"/>
  <c r="W107" i="25"/>
  <c r="X107" i="25" s="1"/>
  <c r="Y107" i="25"/>
  <c r="Z107" i="25" s="1"/>
  <c r="AP101" i="25"/>
  <c r="AA107" i="25"/>
  <c r="AB107" i="25"/>
  <c r="AF107" i="25"/>
  <c r="AI107" i="25"/>
  <c r="AJ107" i="25"/>
  <c r="AK105" i="25"/>
  <c r="AM104" i="25"/>
  <c r="AE107" i="25"/>
  <c r="AG107" i="25"/>
  <c r="AH107" i="25"/>
  <c r="AD107" i="25"/>
  <c r="AC107" i="25"/>
  <c r="AK106" i="25"/>
  <c r="BU97" i="21"/>
  <c r="KY98" i="21"/>
  <c r="KU3" i="21" a="1"/>
  <c r="KU3" i="21" s="1"/>
  <c r="KU2" i="21" s="1"/>
  <c r="FP97" i="21"/>
  <c r="IN100" i="21"/>
  <c r="GI98" i="21"/>
  <c r="FQ97" i="21"/>
  <c r="KZ98" i="21"/>
  <c r="DR97" i="21"/>
  <c r="IG98" i="21"/>
  <c r="LA98" i="21"/>
  <c r="KX99" i="21"/>
  <c r="KU100" i="21"/>
  <c r="LB99" i="21" s="1"/>
  <c r="LB100" i="21" s="1"/>
  <c r="BJ98" i="21"/>
  <c r="DQ97" i="21"/>
  <c r="GT98" i="21"/>
  <c r="GR99" i="21"/>
  <c r="HJ100" i="21"/>
  <c r="IH98" i="21"/>
  <c r="II98" i="21"/>
  <c r="FY98" i="21"/>
  <c r="HD97" i="21"/>
  <c r="HW97" i="21"/>
  <c r="HX97" i="21"/>
  <c r="IQ98" i="21"/>
  <c r="IM100" i="21"/>
  <c r="IT99" i="21" s="1"/>
  <c r="IT100" i="21" s="1"/>
  <c r="IP99" i="21"/>
  <c r="IR98" i="21"/>
  <c r="IS98" i="21"/>
  <c r="BT97" i="21"/>
  <c r="HL99" i="21"/>
  <c r="GF100" i="21"/>
  <c r="GU98" i="21"/>
  <c r="HV98" i="21"/>
  <c r="IC100" i="21"/>
  <c r="IJ99" i="21" s="1"/>
  <c r="IJ100" i="21" s="1"/>
  <c r="IF99" i="21"/>
  <c r="ID100" i="21"/>
  <c r="HU100" i="21"/>
  <c r="HS3" i="21" s="1" a="1"/>
  <c r="HS3" i="21" s="1"/>
  <c r="HS2" i="21" s="1"/>
  <c r="D30" i="21" s="1"/>
  <c r="HT99" i="21"/>
  <c r="HS99" i="21"/>
  <c r="HZ98" i="21" s="1"/>
  <c r="HY97" i="21"/>
  <c r="HN98" i="21"/>
  <c r="HO98" i="21"/>
  <c r="HM98" i="21"/>
  <c r="HI100" i="21"/>
  <c r="HP99" i="21" s="1"/>
  <c r="HP100" i="21" s="1"/>
  <c r="HA100" i="21"/>
  <c r="GY3" i="21" s="1" a="1"/>
  <c r="GY3" i="21" s="1"/>
  <c r="GY2" i="21" s="1"/>
  <c r="D28" i="21" s="1"/>
  <c r="GZ99" i="21"/>
  <c r="HB98" i="21"/>
  <c r="HC97" i="21"/>
  <c r="GY99" i="21"/>
  <c r="HF98" i="21" s="1"/>
  <c r="GA98" i="21"/>
  <c r="GK98" i="21"/>
  <c r="FZ98" i="21"/>
  <c r="FE98" i="21"/>
  <c r="GO100" i="21"/>
  <c r="GV99" i="21" s="1"/>
  <c r="GV100" i="21" s="1"/>
  <c r="GP100" i="21"/>
  <c r="GS98" i="21"/>
  <c r="EV98" i="21"/>
  <c r="CT99" i="21"/>
  <c r="GJ98" i="21"/>
  <c r="BS97" i="21"/>
  <c r="AL100" i="21"/>
  <c r="ER100" i="21"/>
  <c r="GE100" i="21"/>
  <c r="GL99" i="21" s="1"/>
  <c r="GL100" i="21" s="1"/>
  <c r="GH99" i="21"/>
  <c r="FU100" i="21"/>
  <c r="GB99" i="21" s="1"/>
  <c r="GB100" i="21" s="1"/>
  <c r="FV100" i="21"/>
  <c r="FX99" i="21"/>
  <c r="ET99" i="21"/>
  <c r="DZ98" i="21"/>
  <c r="DF98" i="21"/>
  <c r="DS97" i="21"/>
  <c r="EJ98" i="21"/>
  <c r="EH99" i="21"/>
  <c r="FM100" i="21"/>
  <c r="FK3" i="21" s="1" a="1"/>
  <c r="FK3" i="21" s="1"/>
  <c r="FK2" i="21" s="1"/>
  <c r="D24" i="21" s="1"/>
  <c r="FK99" i="21"/>
  <c r="FR98" i="21" s="1"/>
  <c r="FL99" i="21"/>
  <c r="FN98" i="21"/>
  <c r="FO98" i="21" s="1"/>
  <c r="FA100" i="21"/>
  <c r="FH99" i="21" s="1"/>
  <c r="FH100" i="21" s="1"/>
  <c r="FB100" i="21"/>
  <c r="FD99" i="21"/>
  <c r="FG98" i="21"/>
  <c r="FF98" i="21"/>
  <c r="EW98" i="21"/>
  <c r="EU98" i="21"/>
  <c r="EQ100" i="21"/>
  <c r="EX99" i="21" s="1"/>
  <c r="EX100" i="21" s="1"/>
  <c r="EI100" i="21"/>
  <c r="EG3" i="21" s="1" a="1"/>
  <c r="EG3" i="21" s="1"/>
  <c r="EG2" i="21" s="1"/>
  <c r="D21" i="21" s="1"/>
  <c r="EM97" i="21"/>
  <c r="EG99" i="21"/>
  <c r="EN98" i="21" s="1"/>
  <c r="EK97" i="21"/>
  <c r="EL97" i="21"/>
  <c r="EA97" i="21"/>
  <c r="EC97" i="21"/>
  <c r="DW99" i="21"/>
  <c r="ED98" i="21" s="1"/>
  <c r="EB97" i="21"/>
  <c r="DY100" i="21"/>
  <c r="DW3" i="21" s="1" a="1"/>
  <c r="DW3" i="21" s="1"/>
  <c r="DW2" i="21" s="1"/>
  <c r="D20" i="21" s="1"/>
  <c r="DX99" i="21"/>
  <c r="DO100" i="21"/>
  <c r="DM3" i="21" s="1" a="1"/>
  <c r="DM3" i="21" s="1"/>
  <c r="DM2" i="21" s="1"/>
  <c r="D19" i="21" s="1"/>
  <c r="DM99" i="21"/>
  <c r="DT98" i="21" s="1"/>
  <c r="DN99" i="21"/>
  <c r="DP98" i="21"/>
  <c r="DG97" i="21"/>
  <c r="BK98" i="21"/>
  <c r="CL98" i="21"/>
  <c r="CW97" i="21"/>
  <c r="CX97" i="21"/>
  <c r="DE100" i="21"/>
  <c r="DC3" i="21" s="1" a="1"/>
  <c r="DC3" i="21" s="1"/>
  <c r="DC2" i="21" s="1"/>
  <c r="D18" i="21" s="1"/>
  <c r="DH97" i="21"/>
  <c r="DC99" i="21"/>
  <c r="DJ98" i="21" s="1"/>
  <c r="DI97" i="21"/>
  <c r="DD99" i="21"/>
  <c r="CS99" i="21"/>
  <c r="CZ98" i="21" s="1"/>
  <c r="CU100" i="21"/>
  <c r="CY97" i="21"/>
  <c r="CV98" i="21"/>
  <c r="CC97" i="21"/>
  <c r="CE97" i="21"/>
  <c r="CD97" i="21"/>
  <c r="BF100" i="21"/>
  <c r="CK100" i="21"/>
  <c r="CI3" i="21" s="1" a="1"/>
  <c r="CI3" i="21" s="1"/>
  <c r="CI2" i="21" s="1"/>
  <c r="D16" i="21" s="1"/>
  <c r="CN97" i="21"/>
  <c r="CI99" i="21"/>
  <c r="CP98" i="21" s="1"/>
  <c r="CO97" i="21"/>
  <c r="CM97" i="21"/>
  <c r="CJ99" i="21"/>
  <c r="BZ99" i="21"/>
  <c r="CA100" i="21"/>
  <c r="BY3" i="21" s="1" a="1"/>
  <c r="BY3" i="21" s="1"/>
  <c r="BY2" i="21" s="1"/>
  <c r="D15" i="21" s="1"/>
  <c r="BY99" i="21"/>
  <c r="CF98" i="21" s="1"/>
  <c r="CB98" i="21"/>
  <c r="BQ100" i="21"/>
  <c r="BO3" i="21" s="1" a="1"/>
  <c r="BO3" i="21" s="1"/>
  <c r="BO2" i="21" s="1"/>
  <c r="D14" i="21" s="1"/>
  <c r="BO99" i="21"/>
  <c r="BV98" i="21" s="1"/>
  <c r="BP99" i="21"/>
  <c r="BR98" i="21"/>
  <c r="AQ98" i="21"/>
  <c r="BI98" i="21"/>
  <c r="BE100" i="21"/>
  <c r="BL99" i="21" s="1"/>
  <c r="BL100" i="21" s="1"/>
  <c r="BH99" i="21"/>
  <c r="AO98" i="21"/>
  <c r="AY97" i="21"/>
  <c r="AX98" i="21"/>
  <c r="AZ97" i="21"/>
  <c r="BA97" i="21"/>
  <c r="AW100" i="21"/>
  <c r="AV100" i="21" s="1"/>
  <c r="AU99" i="21"/>
  <c r="BB98" i="21" s="1"/>
  <c r="AP98" i="21"/>
  <c r="AK100" i="21"/>
  <c r="AR99" i="21" s="1"/>
  <c r="AR100" i="21" s="1"/>
  <c r="AN99" i="21"/>
  <c r="S183" i="25"/>
  <c r="R184" i="25"/>
  <c r="P184" i="25"/>
  <c r="M186" i="25"/>
  <c r="N185" i="25"/>
  <c r="O185" i="25"/>
  <c r="Q185" i="25"/>
  <c r="AW101" i="25" l="1"/>
  <c r="AX101" i="25" s="1"/>
  <c r="BH101" i="25" s="1"/>
  <c r="BE100" i="25"/>
  <c r="AU101" i="25"/>
  <c r="CT100" i="21"/>
  <c r="KY99" i="21"/>
  <c r="AY101" i="25"/>
  <c r="BD101" i="25" s="1"/>
  <c r="BA101" i="25"/>
  <c r="AQ101" i="25"/>
  <c r="BB100" i="25"/>
  <c r="V109" i="25"/>
  <c r="AS109" i="25" s="1"/>
  <c r="AZ108" i="25"/>
  <c r="AS108" i="25"/>
  <c r="M107" i="30"/>
  <c r="K183" i="30"/>
  <c r="L183" i="30" s="1"/>
  <c r="C108" i="30"/>
  <c r="AL106" i="25"/>
  <c r="BC106" i="25" s="1"/>
  <c r="AN105" i="25"/>
  <c r="AO103" i="25"/>
  <c r="AR108" i="25"/>
  <c r="AV108" i="25"/>
  <c r="BF108" i="25" s="1"/>
  <c r="AN106" i="25"/>
  <c r="AL105" i="25"/>
  <c r="BC105" i="25" s="1"/>
  <c r="AT105" i="25"/>
  <c r="BG105" i="25" s="1"/>
  <c r="AT106" i="25"/>
  <c r="BG106" i="25" s="1"/>
  <c r="AP102" i="25"/>
  <c r="AA108" i="25"/>
  <c r="AB108" i="25"/>
  <c r="W108" i="25"/>
  <c r="X108" i="25" s="1"/>
  <c r="AD108" i="25"/>
  <c r="AI108" i="25"/>
  <c r="AJ108" i="25"/>
  <c r="Y108" i="25"/>
  <c r="AM105" i="25"/>
  <c r="AC108" i="25"/>
  <c r="AK107" i="25"/>
  <c r="AG108" i="25"/>
  <c r="AH108" i="25"/>
  <c r="AE108" i="25"/>
  <c r="DH98" i="21"/>
  <c r="DR98" i="21"/>
  <c r="CM98" i="21"/>
  <c r="AU3" i="21" a="1"/>
  <c r="AU3" i="21" s="1"/>
  <c r="AU2" i="21" s="1"/>
  <c r="D12" i="21" s="1"/>
  <c r="CS3" i="21" a="1"/>
  <c r="CS3" i="21" s="1"/>
  <c r="CS2" i="21" s="1"/>
  <c r="D17" i="21" s="1"/>
  <c r="II99" i="21"/>
  <c r="GS99" i="21"/>
  <c r="IS99" i="21"/>
  <c r="KZ99" i="21"/>
  <c r="KX100" i="21"/>
  <c r="LA99" i="21"/>
  <c r="GU99" i="21"/>
  <c r="HM99" i="21"/>
  <c r="GT99" i="21"/>
  <c r="IR99" i="21"/>
  <c r="IQ99" i="21"/>
  <c r="HT100" i="21"/>
  <c r="EV99" i="21"/>
  <c r="HO99" i="21"/>
  <c r="HC98" i="21"/>
  <c r="HN99" i="21"/>
  <c r="GZ100" i="21"/>
  <c r="HW98" i="21"/>
  <c r="IP100" i="21"/>
  <c r="GH100" i="21"/>
  <c r="CO98" i="21"/>
  <c r="DI98" i="21"/>
  <c r="HX98" i="21"/>
  <c r="DG98" i="21"/>
  <c r="CX98" i="21"/>
  <c r="HY98" i="21"/>
  <c r="IH99" i="21"/>
  <c r="IF100" i="21"/>
  <c r="IG99" i="21"/>
  <c r="HS100" i="21"/>
  <c r="HZ99" i="21" s="1"/>
  <c r="HZ100" i="21" s="1"/>
  <c r="HV99" i="21"/>
  <c r="HL100" i="21"/>
  <c r="GY100" i="21"/>
  <c r="HF99" i="21" s="1"/>
  <c r="HF100" i="21" s="1"/>
  <c r="HB99" i="21"/>
  <c r="HD98" i="21"/>
  <c r="HE98" i="21"/>
  <c r="EB98" i="21"/>
  <c r="EA98" i="21"/>
  <c r="GR100" i="21"/>
  <c r="EU99" i="21"/>
  <c r="EW99" i="21"/>
  <c r="EC98" i="21"/>
  <c r="FF99" i="21"/>
  <c r="FG99" i="21"/>
  <c r="FX100" i="21"/>
  <c r="GJ99" i="21"/>
  <c r="GK99" i="21"/>
  <c r="GI99" i="21"/>
  <c r="FZ99" i="21"/>
  <c r="GA99" i="21"/>
  <c r="FY99" i="21"/>
  <c r="EL98" i="21"/>
  <c r="CE98" i="21"/>
  <c r="EK98" i="21"/>
  <c r="FL100" i="21"/>
  <c r="FQ98" i="21"/>
  <c r="CN98" i="21"/>
  <c r="CY98" i="21"/>
  <c r="DN100" i="21"/>
  <c r="EM98" i="21"/>
  <c r="FD100" i="21"/>
  <c r="FK100" i="21"/>
  <c r="FR99" i="21" s="1"/>
  <c r="FR100" i="21" s="1"/>
  <c r="FP98" i="21"/>
  <c r="FN99" i="21"/>
  <c r="FE99" i="21"/>
  <c r="ET100" i="21"/>
  <c r="CC98" i="21"/>
  <c r="EG100" i="21"/>
  <c r="EN99" i="21" s="1"/>
  <c r="EN100" i="21" s="1"/>
  <c r="EH100" i="21"/>
  <c r="EJ99" i="21"/>
  <c r="DW100" i="21"/>
  <c r="ED99" i="21" s="1"/>
  <c r="ED100" i="21" s="1"/>
  <c r="DX100" i="21"/>
  <c r="DZ99" i="21"/>
  <c r="DM100" i="21"/>
  <c r="DT99" i="21" s="1"/>
  <c r="DT100" i="21" s="1"/>
  <c r="DQ98" i="21"/>
  <c r="DS98" i="21"/>
  <c r="DP99" i="21"/>
  <c r="CV99" i="21"/>
  <c r="DD100" i="21"/>
  <c r="CW98" i="21"/>
  <c r="DC100" i="21"/>
  <c r="DJ99" i="21" s="1"/>
  <c r="DJ100" i="21" s="1"/>
  <c r="DF99" i="21"/>
  <c r="CS100" i="21"/>
  <c r="CZ99" i="21" s="1"/>
  <c r="CZ100" i="21" s="1"/>
  <c r="CD98" i="21"/>
  <c r="BR99" i="21"/>
  <c r="BP100" i="21"/>
  <c r="CI100" i="21"/>
  <c r="CP99" i="21" s="1"/>
  <c r="CP100" i="21" s="1"/>
  <c r="CJ100" i="21"/>
  <c r="CL99" i="21"/>
  <c r="BY100" i="21"/>
  <c r="CF99" i="21" s="1"/>
  <c r="CF100" i="21" s="1"/>
  <c r="CB99" i="21"/>
  <c r="BZ100" i="21"/>
  <c r="BT98" i="21"/>
  <c r="BO100" i="21"/>
  <c r="BV99" i="21" s="1"/>
  <c r="BV100" i="21" s="1"/>
  <c r="BU98" i="21"/>
  <c r="BS98" i="21"/>
  <c r="BH100" i="21"/>
  <c r="BA98" i="21"/>
  <c r="AZ98" i="21"/>
  <c r="BJ99" i="21"/>
  <c r="BI99" i="21"/>
  <c r="BK99" i="21"/>
  <c r="AU100" i="21"/>
  <c r="BB99" i="21" s="1"/>
  <c r="BB100" i="21" s="1"/>
  <c r="AX99" i="21"/>
  <c r="AY98" i="21"/>
  <c r="AP99" i="21"/>
  <c r="AN100" i="21"/>
  <c r="AQ99" i="21"/>
  <c r="AO99" i="21"/>
  <c r="S184" i="25"/>
  <c r="M187" i="25"/>
  <c r="N186" i="25"/>
  <c r="O186" i="25"/>
  <c r="Q186" i="25"/>
  <c r="P185" i="25"/>
  <c r="R185" i="25"/>
  <c r="AW102" i="25" l="1"/>
  <c r="AX102" i="25" s="1"/>
  <c r="BH102" i="25" s="1"/>
  <c r="BE101" i="25"/>
  <c r="AU102" i="25"/>
  <c r="AY102" i="25"/>
  <c r="BD102" i="25" s="1"/>
  <c r="BA102" i="25"/>
  <c r="AQ102" i="25"/>
  <c r="BB101" i="25"/>
  <c r="V110" i="25"/>
  <c r="AZ109" i="25"/>
  <c r="M108" i="30"/>
  <c r="K184" i="30"/>
  <c r="L184" i="30" s="1"/>
  <c r="C109" i="30"/>
  <c r="AL107" i="25"/>
  <c r="BC107" i="25" s="1"/>
  <c r="AO104" i="25"/>
  <c r="AR109" i="25"/>
  <c r="AV109" i="25"/>
  <c r="BF109" i="25" s="1"/>
  <c r="AT107" i="25"/>
  <c r="BG107" i="25" s="1"/>
  <c r="AN107" i="25"/>
  <c r="AP103" i="25"/>
  <c r="AA109" i="25"/>
  <c r="AB109" i="25"/>
  <c r="Y109" i="25"/>
  <c r="Z109" i="25" s="1"/>
  <c r="AF108" i="25"/>
  <c r="Z108" i="25"/>
  <c r="AF109" i="25"/>
  <c r="AI109" i="25"/>
  <c r="AJ109" i="25"/>
  <c r="W109" i="25"/>
  <c r="AM106" i="25"/>
  <c r="AC109" i="25"/>
  <c r="AD109" i="25"/>
  <c r="AH109" i="25"/>
  <c r="AG109" i="25"/>
  <c r="AE109" i="25"/>
  <c r="II100" i="21"/>
  <c r="EV100" i="21"/>
  <c r="D8" i="21"/>
  <c r="D7" i="21" s="1"/>
  <c r="KZ100" i="21"/>
  <c r="CX99" i="21"/>
  <c r="KY100" i="21"/>
  <c r="LA100" i="21"/>
  <c r="IR100" i="21"/>
  <c r="HE99" i="21"/>
  <c r="HD99" i="21"/>
  <c r="HM100" i="21"/>
  <c r="AP100" i="21"/>
  <c r="IQ100" i="21"/>
  <c r="IS100" i="21"/>
  <c r="HB100" i="21"/>
  <c r="FY100" i="21"/>
  <c r="DF100" i="21"/>
  <c r="GI100" i="21"/>
  <c r="GK100" i="21"/>
  <c r="IG100" i="21"/>
  <c r="GJ100" i="21"/>
  <c r="FN100" i="21"/>
  <c r="IH100" i="21"/>
  <c r="HX99" i="21"/>
  <c r="HV100" i="21"/>
  <c r="HW99" i="21"/>
  <c r="HY99" i="21"/>
  <c r="HN100" i="21"/>
  <c r="HO100" i="21"/>
  <c r="HC99" i="21"/>
  <c r="GT100" i="21"/>
  <c r="GU100" i="21"/>
  <c r="GS100" i="21"/>
  <c r="CY99" i="21"/>
  <c r="DZ100" i="21"/>
  <c r="EJ100" i="21"/>
  <c r="FF100" i="21"/>
  <c r="FE100" i="21"/>
  <c r="FG100" i="21"/>
  <c r="GA100" i="21"/>
  <c r="DP100" i="21"/>
  <c r="FZ100" i="21"/>
  <c r="FQ99" i="21"/>
  <c r="FP99" i="21"/>
  <c r="FO99" i="21"/>
  <c r="EW100" i="21"/>
  <c r="EU100" i="21"/>
  <c r="BS99" i="21"/>
  <c r="BT99" i="21"/>
  <c r="AX100" i="21"/>
  <c r="CW99" i="21"/>
  <c r="EM99" i="21"/>
  <c r="EL99" i="21"/>
  <c r="EK99" i="21"/>
  <c r="EA99" i="21"/>
  <c r="EC99" i="21"/>
  <c r="EB99" i="21"/>
  <c r="DS99" i="21"/>
  <c r="DQ99" i="21"/>
  <c r="DR99" i="21"/>
  <c r="BU99" i="21"/>
  <c r="CL100" i="21"/>
  <c r="DI99" i="21"/>
  <c r="DH99" i="21"/>
  <c r="DG99" i="21"/>
  <c r="CV100" i="21"/>
  <c r="BK100" i="21"/>
  <c r="BI100" i="21"/>
  <c r="BJ100" i="21"/>
  <c r="CB100" i="21"/>
  <c r="CN99" i="21"/>
  <c r="CM99" i="21"/>
  <c r="CO99" i="21"/>
  <c r="CC99" i="21"/>
  <c r="CD99" i="21"/>
  <c r="CE99" i="21"/>
  <c r="BR100" i="21"/>
  <c r="BA99" i="21"/>
  <c r="AY99" i="21"/>
  <c r="AZ99" i="21"/>
  <c r="AQ100" i="21"/>
  <c r="AO100" i="21"/>
  <c r="S185" i="25"/>
  <c r="P186" i="25"/>
  <c r="R186" i="25"/>
  <c r="O187" i="25"/>
  <c r="Q187" i="25"/>
  <c r="N187" i="25"/>
  <c r="M188" i="25"/>
  <c r="AW103" i="25" l="1"/>
  <c r="AX103" i="25" s="1"/>
  <c r="BH103" i="25" s="1"/>
  <c r="BE102" i="25"/>
  <c r="AU103" i="25"/>
  <c r="HD100" i="21"/>
  <c r="AQ103" i="25"/>
  <c r="BB102" i="25"/>
  <c r="AY103" i="25"/>
  <c r="BD103" i="25" s="1"/>
  <c r="BA103" i="25"/>
  <c r="V111" i="25"/>
  <c r="AZ110" i="25"/>
  <c r="AS110" i="25"/>
  <c r="M109" i="30"/>
  <c r="K185" i="30"/>
  <c r="L185" i="30" s="1"/>
  <c r="C110" i="30"/>
  <c r="W110" i="25"/>
  <c r="X110" i="25" s="1"/>
  <c r="AO105" i="25"/>
  <c r="Y110" i="25"/>
  <c r="Z110" i="25" s="1"/>
  <c r="AR110" i="25"/>
  <c r="AV110" i="25"/>
  <c r="BF110" i="25" s="1"/>
  <c r="AP104" i="25"/>
  <c r="AB110" i="25"/>
  <c r="AA110" i="25"/>
  <c r="X109" i="25"/>
  <c r="AD110" i="25"/>
  <c r="AF110" i="25"/>
  <c r="AM107" i="25"/>
  <c r="AS111" i="25"/>
  <c r="AJ110" i="25"/>
  <c r="AI110" i="25"/>
  <c r="AK108" i="25"/>
  <c r="AK109" i="25"/>
  <c r="AG110" i="25"/>
  <c r="AE110" i="25"/>
  <c r="AH110" i="25"/>
  <c r="AC110" i="25"/>
  <c r="DQ100" i="21"/>
  <c r="EA100" i="21"/>
  <c r="FQ100" i="21"/>
  <c r="EC100" i="21"/>
  <c r="HC100" i="21"/>
  <c r="HE100" i="21"/>
  <c r="EB100" i="21"/>
  <c r="CM100" i="21"/>
  <c r="HX100" i="21"/>
  <c r="DG100" i="21"/>
  <c r="DH100" i="21"/>
  <c r="HY100" i="21"/>
  <c r="DI100" i="21"/>
  <c r="FO100" i="21"/>
  <c r="EM100" i="21"/>
  <c r="FP100" i="21"/>
  <c r="HW100" i="21"/>
  <c r="AY100" i="21"/>
  <c r="AZ100" i="21"/>
  <c r="BA100" i="21"/>
  <c r="EK100" i="21"/>
  <c r="EL100" i="21"/>
  <c r="DS100" i="21"/>
  <c r="CO100" i="21"/>
  <c r="DR100" i="21"/>
  <c r="BU100" i="21"/>
  <c r="CN100" i="21"/>
  <c r="CE100" i="21"/>
  <c r="CY100" i="21"/>
  <c r="CW100" i="21"/>
  <c r="CX100" i="21"/>
  <c r="CD100" i="21"/>
  <c r="CC100" i="21"/>
  <c r="BT100" i="21"/>
  <c r="BS100" i="21"/>
  <c r="N188" i="25"/>
  <c r="Q188" i="25"/>
  <c r="O188" i="25"/>
  <c r="M189" i="25"/>
  <c r="P187" i="25"/>
  <c r="R187" i="25"/>
  <c r="S186" i="25"/>
  <c r="AW104" i="25" l="1"/>
  <c r="AX104" i="25" s="1"/>
  <c r="BH104" i="25" s="1"/>
  <c r="BE103" i="25"/>
  <c r="AU104" i="25"/>
  <c r="AY104" i="25"/>
  <c r="BD104" i="25" s="1"/>
  <c r="BA104" i="25"/>
  <c r="AQ104" i="25"/>
  <c r="BB103" i="25"/>
  <c r="V112" i="25"/>
  <c r="AS112" i="25" s="1"/>
  <c r="AZ111" i="25"/>
  <c r="M110" i="30"/>
  <c r="K186" i="30"/>
  <c r="L186" i="30" s="1"/>
  <c r="C111" i="30"/>
  <c r="AL109" i="25"/>
  <c r="BC109" i="25" s="1"/>
  <c r="AN108" i="25"/>
  <c r="AO106" i="25"/>
  <c r="AR111" i="25"/>
  <c r="AV111" i="25"/>
  <c r="BF111" i="25" s="1"/>
  <c r="AN109" i="25"/>
  <c r="AL108" i="25"/>
  <c r="BC108" i="25" s="1"/>
  <c r="AT108" i="25"/>
  <c r="BG108" i="25" s="1"/>
  <c r="AT109" i="25"/>
  <c r="BG109" i="25" s="1"/>
  <c r="AP105" i="25"/>
  <c r="AB111" i="25"/>
  <c r="AA111" i="25"/>
  <c r="AJ111" i="25"/>
  <c r="AI111" i="25"/>
  <c r="Y111" i="25"/>
  <c r="W111" i="25"/>
  <c r="AM108" i="25"/>
  <c r="AK110" i="25"/>
  <c r="AD111" i="25"/>
  <c r="AC111" i="25"/>
  <c r="AG111" i="25"/>
  <c r="AE111" i="25"/>
  <c r="AF111" i="25"/>
  <c r="S187" i="25"/>
  <c r="O189" i="25"/>
  <c r="N189" i="25"/>
  <c r="Q189" i="25"/>
  <c r="M190" i="25"/>
  <c r="R188" i="25"/>
  <c r="P188" i="25"/>
  <c r="AW105" i="25" l="1"/>
  <c r="AX105" i="25" s="1"/>
  <c r="BH105" i="25" s="1"/>
  <c r="BE104" i="25"/>
  <c r="AU105" i="25"/>
  <c r="AQ105" i="25"/>
  <c r="BB104" i="25"/>
  <c r="AY105" i="25"/>
  <c r="BD105" i="25" s="1"/>
  <c r="BA105" i="25"/>
  <c r="V113" i="25"/>
  <c r="AS113" i="25" s="1"/>
  <c r="AZ112" i="25"/>
  <c r="M111" i="30"/>
  <c r="K187" i="30"/>
  <c r="L187" i="30" s="1"/>
  <c r="C112" i="30"/>
  <c r="AL110" i="25"/>
  <c r="BC110" i="25" s="1"/>
  <c r="AO107" i="25"/>
  <c r="AV112" i="25"/>
  <c r="BF112" i="25" s="1"/>
  <c r="AN110" i="25"/>
  <c r="AT110" i="25"/>
  <c r="BG110" i="25" s="1"/>
  <c r="W112" i="25"/>
  <c r="X112" i="25" s="1"/>
  <c r="AR112" i="25"/>
  <c r="AP106" i="25"/>
  <c r="AB112" i="25"/>
  <c r="AA112" i="25"/>
  <c r="AH111" i="25"/>
  <c r="Z111" i="25"/>
  <c r="AM109" i="25"/>
  <c r="AM110" i="25" s="1"/>
  <c r="AJ112" i="25"/>
  <c r="AI112" i="25"/>
  <c r="X111" i="25"/>
  <c r="Y112" i="25"/>
  <c r="AD112" i="25"/>
  <c r="AC112" i="25"/>
  <c r="AH112" i="25"/>
  <c r="AE112" i="25"/>
  <c r="AG112" i="25"/>
  <c r="S188" i="25"/>
  <c r="M191" i="25"/>
  <c r="O190" i="25"/>
  <c r="N190" i="25"/>
  <c r="Q190" i="25"/>
  <c r="P189" i="25"/>
  <c r="R189" i="25"/>
  <c r="AW106" i="25" l="1"/>
  <c r="AX106" i="25" s="1"/>
  <c r="BH106" i="25" s="1"/>
  <c r="BE105" i="25"/>
  <c r="AU106" i="25"/>
  <c r="AY106" i="25"/>
  <c r="BD106" i="25" s="1"/>
  <c r="BA106" i="25"/>
  <c r="AQ106" i="25"/>
  <c r="BB105" i="25"/>
  <c r="V114" i="25"/>
  <c r="AS114" i="25" s="1"/>
  <c r="AZ113" i="25"/>
  <c r="M112" i="30"/>
  <c r="K188" i="30"/>
  <c r="L188" i="30" s="1"/>
  <c r="C113" i="30"/>
  <c r="AO108" i="25"/>
  <c r="AV113" i="25"/>
  <c r="BF113" i="25" s="1"/>
  <c r="W113" i="25"/>
  <c r="X113" i="25" s="1"/>
  <c r="AR113" i="25"/>
  <c r="AP107" i="25"/>
  <c r="Y113" i="25"/>
  <c r="Z113" i="25" s="1"/>
  <c r="AB113" i="25"/>
  <c r="AA113" i="25"/>
  <c r="AJ113" i="25"/>
  <c r="AI113" i="25"/>
  <c r="AF112" i="25"/>
  <c r="Z112" i="25"/>
  <c r="AF113" i="25"/>
  <c r="AK111" i="25"/>
  <c r="AE113" i="25"/>
  <c r="AH113" i="25"/>
  <c r="AG113" i="25"/>
  <c r="AC113" i="25"/>
  <c r="AD113" i="25"/>
  <c r="AK112" i="25"/>
  <c r="S189" i="25"/>
  <c r="R190" i="25"/>
  <c r="P190" i="25"/>
  <c r="M192" i="25"/>
  <c r="O191" i="25"/>
  <c r="Q191" i="25"/>
  <c r="N191" i="25"/>
  <c r="AW107" i="25" l="1"/>
  <c r="AX107" i="25" s="1"/>
  <c r="BH107" i="25" s="1"/>
  <c r="BE106" i="25"/>
  <c r="AU107" i="25"/>
  <c r="AQ107" i="25"/>
  <c r="BB106" i="25"/>
  <c r="AY107" i="25"/>
  <c r="BD107" i="25" s="1"/>
  <c r="BA107" i="25"/>
  <c r="V115" i="25"/>
  <c r="AS115" i="25" s="1"/>
  <c r="AZ114" i="25"/>
  <c r="M113" i="30"/>
  <c r="K189" i="30"/>
  <c r="L189" i="30" s="1"/>
  <c r="C114" i="30"/>
  <c r="AN111" i="25"/>
  <c r="AL112" i="25"/>
  <c r="BC112" i="25" s="1"/>
  <c r="AO109" i="25"/>
  <c r="AR114" i="25"/>
  <c r="AV114" i="25"/>
  <c r="BF114" i="25" s="1"/>
  <c r="AN112" i="25"/>
  <c r="AL111" i="25"/>
  <c r="BC111" i="25" s="1"/>
  <c r="AT111" i="25"/>
  <c r="BG111" i="25" s="1"/>
  <c r="AT112" i="25"/>
  <c r="BG112" i="25" s="1"/>
  <c r="AP108" i="25"/>
  <c r="AA114" i="25"/>
  <c r="AB114" i="25"/>
  <c r="Y114" i="25"/>
  <c r="Z114" i="25" s="1"/>
  <c r="W114" i="25"/>
  <c r="X114" i="25" s="1"/>
  <c r="AM111" i="25"/>
  <c r="AH114" i="25"/>
  <c r="AI114" i="25"/>
  <c r="AJ114" i="25"/>
  <c r="AG114" i="25"/>
  <c r="AF114" i="25"/>
  <c r="AD114" i="25"/>
  <c r="AC114" i="25"/>
  <c r="AE114" i="25"/>
  <c r="S190" i="25"/>
  <c r="M193" i="25"/>
  <c r="Q192" i="25"/>
  <c r="O192" i="25"/>
  <c r="N192" i="25"/>
  <c r="R191" i="25"/>
  <c r="P191" i="25"/>
  <c r="AW108" i="25" l="1"/>
  <c r="AX108" i="25" s="1"/>
  <c r="BH108" i="25" s="1"/>
  <c r="BE107" i="25"/>
  <c r="AU108" i="25"/>
  <c r="AY108" i="25"/>
  <c r="BD108" i="25" s="1"/>
  <c r="BA108" i="25"/>
  <c r="AQ108" i="25"/>
  <c r="BB107" i="25"/>
  <c r="V116" i="25"/>
  <c r="AS116" i="25" s="1"/>
  <c r="AZ115" i="25"/>
  <c r="M114" i="30"/>
  <c r="K190" i="30"/>
  <c r="L190" i="30" s="1"/>
  <c r="C115" i="30"/>
  <c r="AO110" i="25"/>
  <c r="AR115" i="25"/>
  <c r="AV115" i="25"/>
  <c r="BF115" i="25" s="1"/>
  <c r="AP109" i="25"/>
  <c r="AA115" i="25"/>
  <c r="AB115" i="25"/>
  <c r="AI115" i="25"/>
  <c r="AJ115" i="25"/>
  <c r="Y115" i="25"/>
  <c r="W115" i="25"/>
  <c r="AM112" i="25"/>
  <c r="AK113" i="25"/>
  <c r="AD115" i="25"/>
  <c r="AG115" i="25"/>
  <c r="AE115" i="25"/>
  <c r="AC115" i="25"/>
  <c r="AH115" i="25"/>
  <c r="S191" i="25"/>
  <c r="R192" i="25"/>
  <c r="P192" i="25"/>
  <c r="O193" i="25"/>
  <c r="Q193" i="25"/>
  <c r="N193" i="25"/>
  <c r="M194" i="25"/>
  <c r="AW109" i="25" l="1"/>
  <c r="AX109" i="25" s="1"/>
  <c r="BH109" i="25" s="1"/>
  <c r="BE108" i="25"/>
  <c r="AU109" i="25"/>
  <c r="AY109" i="25"/>
  <c r="BD109" i="25" s="1"/>
  <c r="BA109" i="25"/>
  <c r="AQ109" i="25"/>
  <c r="BB108" i="25"/>
  <c r="V117" i="25"/>
  <c r="AS117" i="25" s="1"/>
  <c r="AZ116" i="25"/>
  <c r="M115" i="30"/>
  <c r="K191" i="30"/>
  <c r="L191" i="30" s="1"/>
  <c r="C116" i="30"/>
  <c r="AN113" i="25"/>
  <c r="AO111" i="25"/>
  <c r="AV116" i="25"/>
  <c r="BF116" i="25" s="1"/>
  <c r="W116" i="25"/>
  <c r="X116" i="25" s="1"/>
  <c r="AL113" i="25"/>
  <c r="BC113" i="25" s="1"/>
  <c r="AT113" i="25"/>
  <c r="BG113" i="25" s="1"/>
  <c r="Y116" i="25"/>
  <c r="Z116" i="25" s="1"/>
  <c r="AR116" i="25"/>
  <c r="AP110" i="25"/>
  <c r="AA116" i="25"/>
  <c r="AB116" i="25"/>
  <c r="AF115" i="25"/>
  <c r="Z115" i="25"/>
  <c r="X115" i="25"/>
  <c r="AF116" i="25"/>
  <c r="AI116" i="25"/>
  <c r="AJ116" i="25"/>
  <c r="AM113" i="25"/>
  <c r="AK114" i="25"/>
  <c r="AD116" i="25"/>
  <c r="AC116" i="25"/>
  <c r="AG116" i="25"/>
  <c r="AH116" i="25"/>
  <c r="AE116" i="25"/>
  <c r="S192" i="25"/>
  <c r="N194" i="25"/>
  <c r="Q194" i="25"/>
  <c r="O194" i="25"/>
  <c r="M195" i="25"/>
  <c r="R193" i="25"/>
  <c r="P193" i="25"/>
  <c r="AW110" i="25" l="1"/>
  <c r="AX110" i="25" s="1"/>
  <c r="BH110" i="25" s="1"/>
  <c r="BE109" i="25"/>
  <c r="AU110" i="25"/>
  <c r="AQ110" i="25"/>
  <c r="BB109" i="25"/>
  <c r="AY110" i="25"/>
  <c r="BD110" i="25" s="1"/>
  <c r="BA110" i="25"/>
  <c r="V118" i="25"/>
  <c r="AS118" i="25" s="1"/>
  <c r="AZ117" i="25"/>
  <c r="M116" i="30"/>
  <c r="K192" i="30"/>
  <c r="L192" i="30" s="1"/>
  <c r="C117" i="30"/>
  <c r="AN114" i="25"/>
  <c r="AO112" i="25"/>
  <c r="AR117" i="25"/>
  <c r="AV117" i="25"/>
  <c r="BF117" i="25" s="1"/>
  <c r="AL114" i="25"/>
  <c r="BC114" i="25" s="1"/>
  <c r="AT114" i="25"/>
  <c r="BG114" i="25" s="1"/>
  <c r="Y117" i="25"/>
  <c r="Z117" i="25" s="1"/>
  <c r="W117" i="25"/>
  <c r="X117" i="25" s="1"/>
  <c r="AP111" i="25"/>
  <c r="AB117" i="25"/>
  <c r="AA117" i="25"/>
  <c r="AF117" i="25"/>
  <c r="AI117" i="25"/>
  <c r="AJ117" i="25"/>
  <c r="AD117" i="25"/>
  <c r="AM114" i="25"/>
  <c r="AK115" i="25"/>
  <c r="AK116" i="25"/>
  <c r="AG117" i="25"/>
  <c r="AH117" i="25"/>
  <c r="AE117" i="25"/>
  <c r="AC117" i="25"/>
  <c r="S193" i="25"/>
  <c r="M196" i="25"/>
  <c r="N195" i="25"/>
  <c r="O195" i="25"/>
  <c r="Q195" i="25"/>
  <c r="P194" i="25"/>
  <c r="R194" i="25"/>
  <c r="AW111" i="25" l="1"/>
  <c r="AX111" i="25" s="1"/>
  <c r="BH111" i="25" s="1"/>
  <c r="BE110" i="25"/>
  <c r="AU111" i="25"/>
  <c r="AY111" i="25"/>
  <c r="BD111" i="25" s="1"/>
  <c r="BA111" i="25"/>
  <c r="AQ111" i="25"/>
  <c r="BB110" i="25"/>
  <c r="V119" i="25"/>
  <c r="AS119" i="25" s="1"/>
  <c r="AZ118" i="25"/>
  <c r="M117" i="30"/>
  <c r="K193" i="30"/>
  <c r="L193" i="30" s="1"/>
  <c r="C118" i="30"/>
  <c r="AL116" i="25"/>
  <c r="BC116" i="25" s="1"/>
  <c r="AN115" i="25"/>
  <c r="AO113" i="25"/>
  <c r="AR118" i="25"/>
  <c r="AV118" i="25"/>
  <c r="BF118" i="25" s="1"/>
  <c r="AN116" i="25"/>
  <c r="AT116" i="25"/>
  <c r="BG116" i="25" s="1"/>
  <c r="AL115" i="25"/>
  <c r="BC115" i="25" s="1"/>
  <c r="AT115" i="25"/>
  <c r="BG115" i="25" s="1"/>
  <c r="AP112" i="25"/>
  <c r="AB118" i="25"/>
  <c r="AA118" i="25"/>
  <c r="W118" i="25"/>
  <c r="X118" i="25" s="1"/>
  <c r="Y118" i="25"/>
  <c r="Z118" i="25" s="1"/>
  <c r="AJ118" i="25"/>
  <c r="AI118" i="25"/>
  <c r="AH118" i="25"/>
  <c r="AM115" i="25"/>
  <c r="AE118" i="25"/>
  <c r="AF118" i="25"/>
  <c r="AD118" i="25"/>
  <c r="AC118" i="25"/>
  <c r="AG118" i="25"/>
  <c r="S194" i="25"/>
  <c r="P195" i="25"/>
  <c r="R195" i="25"/>
  <c r="M197" i="25"/>
  <c r="N196" i="25"/>
  <c r="O196" i="25"/>
  <c r="Q196" i="25"/>
  <c r="AW112" i="25" l="1"/>
  <c r="AX112" i="25" s="1"/>
  <c r="BH112" i="25" s="1"/>
  <c r="BE111" i="25"/>
  <c r="AU112" i="25"/>
  <c r="AY112" i="25"/>
  <c r="BD112" i="25" s="1"/>
  <c r="BA112" i="25"/>
  <c r="AQ112" i="25"/>
  <c r="BB111" i="25"/>
  <c r="V120" i="25"/>
  <c r="AZ119" i="25"/>
  <c r="M118" i="30"/>
  <c r="K194" i="30"/>
  <c r="L194" i="30" s="1"/>
  <c r="C119" i="30"/>
  <c r="AO114" i="25"/>
  <c r="AR119" i="25"/>
  <c r="AV119" i="25"/>
  <c r="BF119" i="25" s="1"/>
  <c r="AP113" i="25"/>
  <c r="W119" i="25"/>
  <c r="X119" i="25" s="1"/>
  <c r="AB119" i="25"/>
  <c r="AA119" i="25"/>
  <c r="Y119" i="25"/>
  <c r="Z119" i="25" s="1"/>
  <c r="AD119" i="25"/>
  <c r="AH119" i="25"/>
  <c r="AJ119" i="25"/>
  <c r="AI119" i="25"/>
  <c r="AC119" i="25"/>
  <c r="AM116" i="25"/>
  <c r="AK117" i="25"/>
  <c r="AF119" i="25"/>
  <c r="AK118" i="25"/>
  <c r="AE119" i="25"/>
  <c r="AG119" i="25"/>
  <c r="S195" i="25"/>
  <c r="Q197" i="25"/>
  <c r="O197" i="25"/>
  <c r="N197" i="25"/>
  <c r="P196" i="25"/>
  <c r="R196" i="25"/>
  <c r="M198" i="25"/>
  <c r="AW113" i="25" l="1"/>
  <c r="AX113" i="25" s="1"/>
  <c r="BH113" i="25" s="1"/>
  <c r="BE112" i="25"/>
  <c r="AU113" i="25"/>
  <c r="AY113" i="25"/>
  <c r="BD113" i="25" s="1"/>
  <c r="BA113" i="25"/>
  <c r="AQ113" i="25"/>
  <c r="BB112" i="25"/>
  <c r="V121" i="25"/>
  <c r="AS121" i="25" s="1"/>
  <c r="AZ120" i="25"/>
  <c r="AS120" i="25"/>
  <c r="M119" i="30"/>
  <c r="K195" i="30"/>
  <c r="L195" i="30" s="1"/>
  <c r="C120" i="30"/>
  <c r="AN117" i="25"/>
  <c r="AL118" i="25"/>
  <c r="BC118" i="25" s="1"/>
  <c r="AO115" i="25"/>
  <c r="W120" i="25"/>
  <c r="X120" i="25" s="1"/>
  <c r="AV120" i="25"/>
  <c r="BF120" i="25" s="1"/>
  <c r="AN118" i="25"/>
  <c r="AL117" i="25"/>
  <c r="BC117" i="25" s="1"/>
  <c r="AT117" i="25"/>
  <c r="BG117" i="25" s="1"/>
  <c r="AT118" i="25"/>
  <c r="BG118" i="25" s="1"/>
  <c r="Y120" i="25"/>
  <c r="Z120" i="25" s="1"/>
  <c r="AR120" i="25"/>
  <c r="AP114" i="25"/>
  <c r="AB120" i="25"/>
  <c r="AA120" i="25"/>
  <c r="AJ120" i="25"/>
  <c r="AI120" i="25"/>
  <c r="AH120" i="25"/>
  <c r="AM117" i="25"/>
  <c r="AK119" i="25"/>
  <c r="AG120" i="25"/>
  <c r="AD120" i="25"/>
  <c r="AC120" i="25"/>
  <c r="AF120" i="25"/>
  <c r="AE120" i="25"/>
  <c r="S196" i="25"/>
  <c r="M199" i="25"/>
  <c r="Q198" i="25"/>
  <c r="N198" i="25"/>
  <c r="O198" i="25"/>
  <c r="P197" i="25"/>
  <c r="R197" i="25"/>
  <c r="AW114" i="25" l="1"/>
  <c r="AX114" i="25" s="1"/>
  <c r="BH114" i="25" s="1"/>
  <c r="BE113" i="25"/>
  <c r="AU114" i="25"/>
  <c r="AY114" i="25"/>
  <c r="BD114" i="25" s="1"/>
  <c r="BA114" i="25"/>
  <c r="AQ114" i="25"/>
  <c r="BB113" i="25"/>
  <c r="V122" i="25"/>
  <c r="AS122" i="25" s="1"/>
  <c r="AZ121" i="25"/>
  <c r="M120" i="30"/>
  <c r="K196" i="30"/>
  <c r="L196" i="30" s="1"/>
  <c r="C121" i="30"/>
  <c r="AL119" i="25"/>
  <c r="BC119" i="25" s="1"/>
  <c r="AO116" i="25"/>
  <c r="AV121" i="25"/>
  <c r="BF121" i="25" s="1"/>
  <c r="AN119" i="25"/>
  <c r="AT119" i="25"/>
  <c r="BG119" i="25" s="1"/>
  <c r="W121" i="25"/>
  <c r="X121" i="25" s="1"/>
  <c r="AR121" i="25"/>
  <c r="AP115" i="25"/>
  <c r="AB121" i="25"/>
  <c r="AA121" i="25"/>
  <c r="Y121" i="25"/>
  <c r="Z121" i="25" s="1"/>
  <c r="AD121" i="25"/>
  <c r="AF121" i="25"/>
  <c r="AJ121" i="25"/>
  <c r="AI121" i="25"/>
  <c r="AM118" i="25"/>
  <c r="AK120" i="25"/>
  <c r="AH121" i="25"/>
  <c r="AE121" i="25"/>
  <c r="AG121" i="25"/>
  <c r="AC121" i="25"/>
  <c r="S197" i="25"/>
  <c r="R198" i="25"/>
  <c r="P198" i="25"/>
  <c r="M200" i="25"/>
  <c r="N199" i="25"/>
  <c r="Q199" i="25"/>
  <c r="O199" i="25"/>
  <c r="AW115" i="25" l="1"/>
  <c r="AX115" i="25" s="1"/>
  <c r="BH115" i="25" s="1"/>
  <c r="BE114" i="25"/>
  <c r="AU115" i="25"/>
  <c r="AQ115" i="25"/>
  <c r="BB114" i="25"/>
  <c r="AY115" i="25"/>
  <c r="BD115" i="25" s="1"/>
  <c r="BA115" i="25"/>
  <c r="V123" i="25"/>
  <c r="AS123" i="25" s="1"/>
  <c r="AZ122" i="25"/>
  <c r="M121" i="30"/>
  <c r="K197" i="30"/>
  <c r="L197" i="30" s="1"/>
  <c r="C122" i="30"/>
  <c r="AL120" i="25"/>
  <c r="BC120" i="25" s="1"/>
  <c r="AO117" i="25"/>
  <c r="AR122" i="25"/>
  <c r="AV122" i="25"/>
  <c r="BF122" i="25" s="1"/>
  <c r="AN120" i="25"/>
  <c r="AT120" i="25"/>
  <c r="BG120" i="25" s="1"/>
  <c r="AP116" i="25"/>
  <c r="AA122" i="25"/>
  <c r="AB122" i="25"/>
  <c r="AM119" i="25"/>
  <c r="AM120" i="25" s="1"/>
  <c r="AI122" i="25"/>
  <c r="AJ122" i="25"/>
  <c r="Y122" i="25"/>
  <c r="W122" i="25"/>
  <c r="AC122" i="25"/>
  <c r="AF122" i="25"/>
  <c r="AG122" i="25"/>
  <c r="AE122" i="25"/>
  <c r="S198" i="25"/>
  <c r="Q200" i="25"/>
  <c r="O200" i="25"/>
  <c r="N200" i="25"/>
  <c r="R199" i="25"/>
  <c r="P199" i="25"/>
  <c r="M201" i="25"/>
  <c r="AW116" i="25" l="1"/>
  <c r="AX116" i="25" s="1"/>
  <c r="BH116" i="25" s="1"/>
  <c r="BE115" i="25"/>
  <c r="AU116" i="25"/>
  <c r="AY116" i="25"/>
  <c r="BD116" i="25" s="1"/>
  <c r="BA116" i="25"/>
  <c r="AQ116" i="25"/>
  <c r="BB115" i="25"/>
  <c r="V124" i="25"/>
  <c r="AS124" i="25" s="1"/>
  <c r="AZ123" i="25"/>
  <c r="M122" i="30"/>
  <c r="K198" i="30"/>
  <c r="L198" i="30" s="1"/>
  <c r="C123" i="30"/>
  <c r="AO118" i="25"/>
  <c r="AV123" i="25"/>
  <c r="BF123" i="25" s="1"/>
  <c r="W123" i="25"/>
  <c r="X123" i="25" s="1"/>
  <c r="AR123" i="25"/>
  <c r="AP117" i="25"/>
  <c r="AA123" i="25"/>
  <c r="AB123" i="25"/>
  <c r="Y123" i="25"/>
  <c r="Z123" i="25" s="1"/>
  <c r="AD122" i="25"/>
  <c r="X122" i="25"/>
  <c r="AH122" i="25"/>
  <c r="Z122" i="25"/>
  <c r="AH123" i="25"/>
  <c r="AI123" i="25"/>
  <c r="AJ123" i="25"/>
  <c r="AK121" i="25"/>
  <c r="AK122" i="25"/>
  <c r="AC123" i="25"/>
  <c r="AF123" i="25"/>
  <c r="AE123" i="25"/>
  <c r="AD123" i="25"/>
  <c r="AG123" i="25"/>
  <c r="S199" i="25"/>
  <c r="M202" i="25"/>
  <c r="Q201" i="25"/>
  <c r="O201" i="25"/>
  <c r="N201" i="25"/>
  <c r="P200" i="25"/>
  <c r="R200" i="25"/>
  <c r="AW117" i="25" l="1"/>
  <c r="AX117" i="25" s="1"/>
  <c r="BH117" i="25" s="1"/>
  <c r="BE116" i="25"/>
  <c r="AU117" i="25"/>
  <c r="AY117" i="25"/>
  <c r="BD117" i="25" s="1"/>
  <c r="BA117" i="25"/>
  <c r="AQ117" i="25"/>
  <c r="BB116" i="25"/>
  <c r="V125" i="25"/>
  <c r="AS125" i="25" s="1"/>
  <c r="AZ124" i="25"/>
  <c r="M123" i="30"/>
  <c r="K199" i="30"/>
  <c r="L199" i="30" s="1"/>
  <c r="C124" i="30"/>
  <c r="AL122" i="25"/>
  <c r="BC122" i="25" s="1"/>
  <c r="AN121" i="25"/>
  <c r="AO119" i="25"/>
  <c r="AV124" i="25"/>
  <c r="BF124" i="25" s="1"/>
  <c r="AN122" i="25"/>
  <c r="AL121" i="25"/>
  <c r="BC121" i="25" s="1"/>
  <c r="AT121" i="25"/>
  <c r="BG121" i="25" s="1"/>
  <c r="AT122" i="25"/>
  <c r="BG122" i="25" s="1"/>
  <c r="W124" i="25"/>
  <c r="X124" i="25" s="1"/>
  <c r="AR124" i="25"/>
  <c r="Y124" i="25"/>
  <c r="Z124" i="25" s="1"/>
  <c r="AP118" i="25"/>
  <c r="AB124" i="25"/>
  <c r="AA124" i="25"/>
  <c r="AF124" i="25"/>
  <c r="AI124" i="25"/>
  <c r="AJ124" i="25"/>
  <c r="AM121" i="25"/>
  <c r="AC124" i="25"/>
  <c r="AG124" i="25"/>
  <c r="AD124" i="25"/>
  <c r="AE124" i="25"/>
  <c r="AK123" i="25"/>
  <c r="AH124" i="25"/>
  <c r="S200" i="25"/>
  <c r="M203" i="25"/>
  <c r="P201" i="25"/>
  <c r="R201" i="25"/>
  <c r="N202" i="25"/>
  <c r="O202" i="25"/>
  <c r="Q202" i="25"/>
  <c r="AW118" i="25" l="1"/>
  <c r="AX118" i="25" s="1"/>
  <c r="BH118" i="25" s="1"/>
  <c r="BE117" i="25"/>
  <c r="AU118" i="25"/>
  <c r="AY118" i="25"/>
  <c r="BD118" i="25" s="1"/>
  <c r="BA118" i="25"/>
  <c r="AQ118" i="25"/>
  <c r="BB117" i="25"/>
  <c r="V126" i="25"/>
  <c r="AZ125" i="25"/>
  <c r="M124" i="30"/>
  <c r="K200" i="30"/>
  <c r="L200" i="30" s="1"/>
  <c r="C125" i="30"/>
  <c r="AL123" i="25"/>
  <c r="BC123" i="25" s="1"/>
  <c r="AO120" i="25"/>
  <c r="AR125" i="25"/>
  <c r="AV125" i="25"/>
  <c r="BF125" i="25" s="1"/>
  <c r="AN123" i="25"/>
  <c r="AT123" i="25"/>
  <c r="BG123" i="25" s="1"/>
  <c r="AP119" i="25"/>
  <c r="AB125" i="25"/>
  <c r="AA125" i="25"/>
  <c r="AI125" i="25"/>
  <c r="AJ125" i="25"/>
  <c r="W125" i="25"/>
  <c r="Y125" i="25"/>
  <c r="AM122" i="25"/>
  <c r="AK124" i="25"/>
  <c r="AC125" i="25"/>
  <c r="AF125" i="25"/>
  <c r="AG125" i="25"/>
  <c r="AE125" i="25"/>
  <c r="S201" i="25"/>
  <c r="P202" i="25"/>
  <c r="R202" i="25"/>
  <c r="N203" i="25"/>
  <c r="O203" i="25"/>
  <c r="Q203" i="25"/>
  <c r="M204" i="25"/>
  <c r="AW119" i="25" l="1"/>
  <c r="AX119" i="25" s="1"/>
  <c r="BH119" i="25" s="1"/>
  <c r="BE118" i="25"/>
  <c r="AU119" i="25"/>
  <c r="AQ119" i="25"/>
  <c r="BB118" i="25"/>
  <c r="AY119" i="25"/>
  <c r="BD119" i="25" s="1"/>
  <c r="BA119" i="25"/>
  <c r="V127" i="25"/>
  <c r="AS127" i="25" s="1"/>
  <c r="AZ126" i="25"/>
  <c r="AS126" i="25"/>
  <c r="M125" i="30"/>
  <c r="K201" i="30"/>
  <c r="L201" i="30" s="1"/>
  <c r="C126" i="30"/>
  <c r="AL124" i="25"/>
  <c r="BC124" i="25" s="1"/>
  <c r="AO121" i="25"/>
  <c r="AV126" i="25"/>
  <c r="BF126" i="25" s="1"/>
  <c r="AN124" i="25"/>
  <c r="AT124" i="25"/>
  <c r="BG124" i="25" s="1"/>
  <c r="Y126" i="25"/>
  <c r="Z126" i="25" s="1"/>
  <c r="AR126" i="25"/>
  <c r="AP120" i="25"/>
  <c r="AB126" i="25"/>
  <c r="AA126" i="25"/>
  <c r="W126" i="25"/>
  <c r="X126" i="25" s="1"/>
  <c r="AM123" i="25"/>
  <c r="AM124" i="25" s="1"/>
  <c r="AH125" i="25"/>
  <c r="Z125" i="25"/>
  <c r="AD125" i="25"/>
  <c r="X125" i="25"/>
  <c r="AF126" i="25"/>
  <c r="AJ126" i="25"/>
  <c r="AI126" i="25"/>
  <c r="AH126" i="25"/>
  <c r="AD126" i="25"/>
  <c r="AG126" i="25"/>
  <c r="AE126" i="25"/>
  <c r="AC126" i="25"/>
  <c r="S202" i="25"/>
  <c r="M205" i="25"/>
  <c r="O204" i="25"/>
  <c r="N204" i="25"/>
  <c r="Q204" i="25"/>
  <c r="R203" i="25"/>
  <c r="P203" i="25"/>
  <c r="AW120" i="25" l="1"/>
  <c r="AX120" i="25" s="1"/>
  <c r="BH120" i="25" s="1"/>
  <c r="BE119" i="25"/>
  <c r="AU120" i="25"/>
  <c r="AY120" i="25"/>
  <c r="BD120" i="25" s="1"/>
  <c r="BA120" i="25"/>
  <c r="AQ120" i="25"/>
  <c r="BB119" i="25"/>
  <c r="V128" i="25"/>
  <c r="AS128" i="25" s="1"/>
  <c r="AZ127" i="25"/>
  <c r="M126" i="30"/>
  <c r="K202" i="30"/>
  <c r="L202" i="30" s="1"/>
  <c r="C127" i="30"/>
  <c r="AO122" i="25"/>
  <c r="AV127" i="25"/>
  <c r="BF127" i="25" s="1"/>
  <c r="W127" i="25"/>
  <c r="X127" i="25" s="1"/>
  <c r="AR127" i="25"/>
  <c r="AP121" i="25"/>
  <c r="AB127" i="25"/>
  <c r="AA127" i="25"/>
  <c r="AJ127" i="25"/>
  <c r="AI127" i="25"/>
  <c r="Y127" i="25"/>
  <c r="AK125" i="25"/>
  <c r="AC127" i="25"/>
  <c r="AD127" i="25"/>
  <c r="AG127" i="25"/>
  <c r="AE127" i="25"/>
  <c r="AF127" i="25"/>
  <c r="S203" i="25"/>
  <c r="P204" i="25"/>
  <c r="R204" i="25"/>
  <c r="M206" i="25"/>
  <c r="N205" i="25"/>
  <c r="O205" i="25"/>
  <c r="Q205" i="25"/>
  <c r="AW121" i="25" l="1"/>
  <c r="AX121" i="25" s="1"/>
  <c r="BH121" i="25" s="1"/>
  <c r="BE120" i="25"/>
  <c r="AU121" i="25"/>
  <c r="AQ121" i="25"/>
  <c r="BB120" i="25"/>
  <c r="AY121" i="25"/>
  <c r="BD121" i="25" s="1"/>
  <c r="BA121" i="25"/>
  <c r="V129" i="25"/>
  <c r="AS129" i="25" s="1"/>
  <c r="AZ128" i="25"/>
  <c r="M127" i="30"/>
  <c r="K203" i="30"/>
  <c r="L203" i="30" s="1"/>
  <c r="C128" i="30"/>
  <c r="AN125" i="25"/>
  <c r="AO123" i="25"/>
  <c r="AR128" i="25"/>
  <c r="AV128" i="25"/>
  <c r="BF128" i="25" s="1"/>
  <c r="AL125" i="25"/>
  <c r="BC125" i="25" s="1"/>
  <c r="AT125" i="25"/>
  <c r="BG125" i="25" s="1"/>
  <c r="AP122" i="25"/>
  <c r="AB128" i="25"/>
  <c r="AA128" i="25"/>
  <c r="AG128" i="25"/>
  <c r="W128" i="25"/>
  <c r="X128" i="25" s="1"/>
  <c r="AE128" i="25"/>
  <c r="Y128" i="25"/>
  <c r="Z128" i="25" s="1"/>
  <c r="AH127" i="25"/>
  <c r="Z127" i="25"/>
  <c r="AF128" i="25"/>
  <c r="AJ128" i="25"/>
  <c r="AI128" i="25"/>
  <c r="AM125" i="25"/>
  <c r="AK126" i="25"/>
  <c r="AK127" i="25"/>
  <c r="AH128" i="25"/>
  <c r="AC128" i="25"/>
  <c r="AD128" i="25"/>
  <c r="S204" i="25"/>
  <c r="R205" i="25"/>
  <c r="P205" i="25"/>
  <c r="M207" i="25"/>
  <c r="N206" i="25"/>
  <c r="O206" i="25"/>
  <c r="Q206" i="25"/>
  <c r="AW122" i="25" l="1"/>
  <c r="AX122" i="25" s="1"/>
  <c r="BH122" i="25" s="1"/>
  <c r="BE121" i="25"/>
  <c r="AU122" i="25"/>
  <c r="AY122" i="25"/>
  <c r="BD122" i="25" s="1"/>
  <c r="BA122" i="25"/>
  <c r="AQ122" i="25"/>
  <c r="BB121" i="25"/>
  <c r="V130" i="25"/>
  <c r="AS130" i="25" s="1"/>
  <c r="AZ129" i="25"/>
  <c r="M128" i="30"/>
  <c r="K204" i="30"/>
  <c r="L204" i="30" s="1"/>
  <c r="C129" i="30"/>
  <c r="AL127" i="25"/>
  <c r="BC127" i="25" s="1"/>
  <c r="AN126" i="25"/>
  <c r="AO124" i="25"/>
  <c r="AR129" i="25"/>
  <c r="AV129" i="25"/>
  <c r="BF129" i="25" s="1"/>
  <c r="AN127" i="25"/>
  <c r="AT127" i="25"/>
  <c r="BG127" i="25" s="1"/>
  <c r="AL126" i="25"/>
  <c r="BC126" i="25" s="1"/>
  <c r="AT126" i="25"/>
  <c r="BG126" i="25" s="1"/>
  <c r="AP123" i="25"/>
  <c r="AA129" i="25"/>
  <c r="AB129" i="25"/>
  <c r="AJ129" i="25"/>
  <c r="AI129" i="25"/>
  <c r="W129" i="25"/>
  <c r="Y129" i="25"/>
  <c r="AM126" i="25"/>
  <c r="AG129" i="25"/>
  <c r="AK128" i="25"/>
  <c r="AC129" i="25"/>
  <c r="AE129" i="25"/>
  <c r="AF129" i="25"/>
  <c r="S205" i="25"/>
  <c r="P206" i="25"/>
  <c r="R206" i="25"/>
  <c r="N207" i="25"/>
  <c r="O207" i="25"/>
  <c r="Q207" i="25"/>
  <c r="M208" i="25"/>
  <c r="AW123" i="25" l="1"/>
  <c r="AX123" i="25" s="1"/>
  <c r="BH123" i="25" s="1"/>
  <c r="BE122" i="25"/>
  <c r="AU123" i="25"/>
  <c r="AQ123" i="25"/>
  <c r="BB122" i="25"/>
  <c r="AY123" i="25"/>
  <c r="BD123" i="25" s="1"/>
  <c r="BA123" i="25"/>
  <c r="V131" i="25"/>
  <c r="AS131" i="25" s="1"/>
  <c r="AZ130" i="25"/>
  <c r="M129" i="30"/>
  <c r="K205" i="30"/>
  <c r="L205" i="30" s="1"/>
  <c r="C130" i="30"/>
  <c r="AL128" i="25"/>
  <c r="BC128" i="25" s="1"/>
  <c r="AO125" i="25"/>
  <c r="AR130" i="25"/>
  <c r="AV130" i="25"/>
  <c r="BF130" i="25" s="1"/>
  <c r="AN128" i="25"/>
  <c r="AT128" i="25"/>
  <c r="BG128" i="25" s="1"/>
  <c r="W130" i="25"/>
  <c r="X130" i="25" s="1"/>
  <c r="Y130" i="25"/>
  <c r="Z130" i="25" s="1"/>
  <c r="AP124" i="25"/>
  <c r="AA130" i="25"/>
  <c r="AB130" i="25"/>
  <c r="AD129" i="25"/>
  <c r="X129" i="25"/>
  <c r="AH129" i="25"/>
  <c r="Z129" i="25"/>
  <c r="AH130" i="25"/>
  <c r="AM127" i="25"/>
  <c r="AM128" i="25" s="1"/>
  <c r="AI130" i="25"/>
  <c r="AJ130" i="25"/>
  <c r="AG130" i="25"/>
  <c r="AD130" i="25"/>
  <c r="AE130" i="25"/>
  <c r="AC130" i="25"/>
  <c r="AF130" i="25"/>
  <c r="N208" i="25"/>
  <c r="O208" i="25"/>
  <c r="Q208" i="25"/>
  <c r="P207" i="25"/>
  <c r="R207" i="25"/>
  <c r="M209" i="25"/>
  <c r="S206" i="25"/>
  <c r="AW124" i="25" l="1"/>
  <c r="AX124" i="25" s="1"/>
  <c r="BH124" i="25" s="1"/>
  <c r="BE123" i="25"/>
  <c r="AU124" i="25"/>
  <c r="AY124" i="25"/>
  <c r="BD124" i="25" s="1"/>
  <c r="BA124" i="25"/>
  <c r="AQ124" i="25"/>
  <c r="BB123" i="25"/>
  <c r="V132" i="25"/>
  <c r="AS132" i="25" s="1"/>
  <c r="AZ131" i="25"/>
  <c r="M130" i="30"/>
  <c r="K206" i="30"/>
  <c r="L206" i="30" s="1"/>
  <c r="C131" i="30"/>
  <c r="AO126" i="25"/>
  <c r="AR131" i="25"/>
  <c r="AV131" i="25"/>
  <c r="BF131" i="25" s="1"/>
  <c r="Y131" i="25"/>
  <c r="Z131" i="25" s="1"/>
  <c r="AP125" i="25"/>
  <c r="AA131" i="25"/>
  <c r="AB131" i="25"/>
  <c r="W131" i="25"/>
  <c r="X131" i="25" s="1"/>
  <c r="AH131" i="25"/>
  <c r="AI131" i="25"/>
  <c r="AJ131" i="25"/>
  <c r="AK129" i="25"/>
  <c r="AD131" i="25"/>
  <c r="AC131" i="25"/>
  <c r="AF131" i="25"/>
  <c r="AG131" i="25"/>
  <c r="AE131" i="25"/>
  <c r="S207" i="25"/>
  <c r="Q209" i="25"/>
  <c r="O209" i="25"/>
  <c r="N209" i="25"/>
  <c r="M210" i="25"/>
  <c r="R208" i="25"/>
  <c r="P208" i="25"/>
  <c r="AW125" i="25" l="1"/>
  <c r="AX125" i="25" s="1"/>
  <c r="BH125" i="25" s="1"/>
  <c r="BE124" i="25"/>
  <c r="AU125" i="25"/>
  <c r="AQ125" i="25"/>
  <c r="BB124" i="25"/>
  <c r="AY125" i="25"/>
  <c r="BD125" i="25" s="1"/>
  <c r="BA125" i="25"/>
  <c r="V133" i="25"/>
  <c r="AS133" i="25" s="1"/>
  <c r="AZ132" i="25"/>
  <c r="M131" i="30"/>
  <c r="K207" i="30"/>
  <c r="L207" i="30" s="1"/>
  <c r="C132" i="30"/>
  <c r="AN129" i="25"/>
  <c r="AO127" i="25"/>
  <c r="AR132" i="25"/>
  <c r="AV132" i="25"/>
  <c r="BF132" i="25" s="1"/>
  <c r="AL129" i="25"/>
  <c r="BC129" i="25" s="1"/>
  <c r="AT129" i="25"/>
  <c r="BG129" i="25" s="1"/>
  <c r="AP126" i="25"/>
  <c r="AA132" i="25"/>
  <c r="AB132" i="25"/>
  <c r="AI132" i="25"/>
  <c r="AJ132" i="25"/>
  <c r="Y132" i="25"/>
  <c r="W132" i="25"/>
  <c r="AM129" i="25"/>
  <c r="AK130" i="25"/>
  <c r="AK131" i="25"/>
  <c r="AC132" i="25"/>
  <c r="AH132" i="25"/>
  <c r="AE132" i="25"/>
  <c r="AG132" i="25"/>
  <c r="S208" i="25"/>
  <c r="N210" i="25"/>
  <c r="Q210" i="25"/>
  <c r="O210" i="25"/>
  <c r="M211" i="25"/>
  <c r="P209" i="25"/>
  <c r="R209" i="25"/>
  <c r="AW126" i="25" l="1"/>
  <c r="AX126" i="25" s="1"/>
  <c r="BH126" i="25" s="1"/>
  <c r="BE125" i="25"/>
  <c r="AU126" i="25"/>
  <c r="AY126" i="25"/>
  <c r="BD126" i="25" s="1"/>
  <c r="BA126" i="25"/>
  <c r="AQ126" i="25"/>
  <c r="BB125" i="25"/>
  <c r="V134" i="25"/>
  <c r="AZ133" i="25"/>
  <c r="M132" i="30"/>
  <c r="K208" i="30"/>
  <c r="L208" i="30" s="1"/>
  <c r="C133" i="30"/>
  <c r="AL131" i="25"/>
  <c r="BC131" i="25" s="1"/>
  <c r="AN130" i="25"/>
  <c r="AO128" i="25"/>
  <c r="AV133" i="25"/>
  <c r="BF133" i="25" s="1"/>
  <c r="AN131" i="25"/>
  <c r="AL130" i="25"/>
  <c r="BC130" i="25" s="1"/>
  <c r="AT130" i="25"/>
  <c r="BG130" i="25" s="1"/>
  <c r="AT131" i="25"/>
  <c r="BG131" i="25" s="1"/>
  <c r="W133" i="25"/>
  <c r="X133" i="25" s="1"/>
  <c r="AR133" i="25"/>
  <c r="AP127" i="25"/>
  <c r="AA133" i="25"/>
  <c r="AB133" i="25"/>
  <c r="Y133" i="25"/>
  <c r="Z133" i="25" s="1"/>
  <c r="AD132" i="25"/>
  <c r="X132" i="25"/>
  <c r="AF132" i="25"/>
  <c r="Z132" i="25"/>
  <c r="AF133" i="25"/>
  <c r="AI133" i="25"/>
  <c r="AJ133" i="25"/>
  <c r="AM130" i="25"/>
  <c r="AG133" i="25"/>
  <c r="AE133" i="25"/>
  <c r="AC133" i="25"/>
  <c r="AD133" i="25"/>
  <c r="AH133" i="25"/>
  <c r="M213" i="25"/>
  <c r="S209" i="25"/>
  <c r="O211" i="25"/>
  <c r="Q211" i="25"/>
  <c r="N211" i="25"/>
  <c r="M212" i="25"/>
  <c r="P210" i="25"/>
  <c r="R210" i="25"/>
  <c r="AW127" i="25" l="1"/>
  <c r="AX127" i="25" s="1"/>
  <c r="BH127" i="25" s="1"/>
  <c r="BE126" i="25"/>
  <c r="AU127" i="25"/>
  <c r="AQ127" i="25"/>
  <c r="BB126" i="25"/>
  <c r="AY127" i="25"/>
  <c r="BD127" i="25" s="1"/>
  <c r="BA127" i="25"/>
  <c r="V135" i="25"/>
  <c r="AS135" i="25" s="1"/>
  <c r="AZ134" i="25"/>
  <c r="AS134" i="25"/>
  <c r="M133" i="30"/>
  <c r="K209" i="30"/>
  <c r="L209" i="30" s="1"/>
  <c r="C134" i="30"/>
  <c r="AO129" i="25"/>
  <c r="AR134" i="25"/>
  <c r="AV134" i="25"/>
  <c r="BF134" i="25" s="1"/>
  <c r="AP128" i="25"/>
  <c r="AB134" i="25"/>
  <c r="AA134" i="25"/>
  <c r="Y134" i="25"/>
  <c r="Z134" i="25" s="1"/>
  <c r="W134" i="25"/>
  <c r="AJ134" i="25"/>
  <c r="AI134" i="25"/>
  <c r="AM131" i="25"/>
  <c r="AH134" i="25"/>
  <c r="AK132" i="25"/>
  <c r="AC134" i="25"/>
  <c r="AG134" i="25"/>
  <c r="AF134" i="25"/>
  <c r="AE134" i="25"/>
  <c r="O213" i="25"/>
  <c r="N213" i="25"/>
  <c r="Q213" i="25"/>
  <c r="M214" i="25"/>
  <c r="S210" i="25"/>
  <c r="O212" i="25"/>
  <c r="N212" i="25"/>
  <c r="Q212" i="25"/>
  <c r="P211" i="25"/>
  <c r="R211" i="25"/>
  <c r="AW128" i="25" l="1"/>
  <c r="AX128" i="25" s="1"/>
  <c r="BH128" i="25" s="1"/>
  <c r="BE127" i="25"/>
  <c r="AU128" i="25"/>
  <c r="AY128" i="25"/>
  <c r="BD128" i="25" s="1"/>
  <c r="BA128" i="25"/>
  <c r="AQ128" i="25"/>
  <c r="BB127" i="25"/>
  <c r="V136" i="25"/>
  <c r="AS136" i="25" s="1"/>
  <c r="AZ135" i="25"/>
  <c r="M134" i="30"/>
  <c r="K210" i="30"/>
  <c r="L210" i="30" s="1"/>
  <c r="C135" i="30"/>
  <c r="AN132" i="25"/>
  <c r="AO130" i="25"/>
  <c r="AV135" i="25"/>
  <c r="BF135" i="25" s="1"/>
  <c r="AL132" i="25"/>
  <c r="BC132" i="25" s="1"/>
  <c r="AT132" i="25"/>
  <c r="BG132" i="25" s="1"/>
  <c r="W135" i="25"/>
  <c r="X135" i="25" s="1"/>
  <c r="AR135" i="25"/>
  <c r="AP129" i="25"/>
  <c r="Y135" i="25"/>
  <c r="Z135" i="25" s="1"/>
  <c r="AB135" i="25"/>
  <c r="AA135" i="25"/>
  <c r="AH135" i="25"/>
  <c r="AJ135" i="25"/>
  <c r="AI135" i="25"/>
  <c r="AD135" i="25"/>
  <c r="AD134" i="25"/>
  <c r="X134" i="25"/>
  <c r="AM132" i="25"/>
  <c r="AK133" i="25"/>
  <c r="AF135" i="25"/>
  <c r="AC135" i="25"/>
  <c r="AE135" i="25"/>
  <c r="AG135" i="25"/>
  <c r="S211" i="25"/>
  <c r="M215" i="25"/>
  <c r="N214" i="25"/>
  <c r="Q214" i="25"/>
  <c r="O214" i="25"/>
  <c r="P213" i="25"/>
  <c r="R213" i="25"/>
  <c r="P212" i="25"/>
  <c r="R212" i="25"/>
  <c r="AW129" i="25" l="1"/>
  <c r="AX129" i="25" s="1"/>
  <c r="BH129" i="25" s="1"/>
  <c r="BE128" i="25"/>
  <c r="AU129" i="25"/>
  <c r="AQ129" i="25"/>
  <c r="BB128" i="25"/>
  <c r="AY129" i="25"/>
  <c r="BD129" i="25" s="1"/>
  <c r="BA129" i="25"/>
  <c r="V137" i="25"/>
  <c r="AS137" i="25" s="1"/>
  <c r="AZ136" i="25"/>
  <c r="M135" i="30"/>
  <c r="K211" i="30"/>
  <c r="L211" i="30" s="1"/>
  <c r="C136" i="30"/>
  <c r="AN133" i="25"/>
  <c r="AO131" i="25"/>
  <c r="AR136" i="25"/>
  <c r="AV136" i="25"/>
  <c r="BF136" i="25" s="1"/>
  <c r="AL133" i="25"/>
  <c r="BC133" i="25" s="1"/>
  <c r="AT133" i="25"/>
  <c r="BG133" i="25" s="1"/>
  <c r="Y136" i="25"/>
  <c r="Z136" i="25" s="1"/>
  <c r="AP130" i="25"/>
  <c r="AB136" i="25"/>
  <c r="AA136" i="25"/>
  <c r="W136" i="25"/>
  <c r="X136" i="25" s="1"/>
  <c r="AF136" i="25"/>
  <c r="AJ136" i="25"/>
  <c r="AI136" i="25"/>
  <c r="AD136" i="25"/>
  <c r="AK134" i="25"/>
  <c r="AM133" i="25"/>
  <c r="AG136" i="25"/>
  <c r="AH136" i="25"/>
  <c r="AC136" i="25"/>
  <c r="AE136" i="25"/>
  <c r="S213" i="25"/>
  <c r="P214" i="25"/>
  <c r="R214" i="25"/>
  <c r="M216" i="25"/>
  <c r="N215" i="25"/>
  <c r="Q215" i="25"/>
  <c r="O215" i="25"/>
  <c r="S212" i="25"/>
  <c r="AW130" i="25" l="1"/>
  <c r="AX130" i="25" s="1"/>
  <c r="BH130" i="25" s="1"/>
  <c r="BE129" i="25"/>
  <c r="AU130" i="25"/>
  <c r="AY130" i="25"/>
  <c r="BD130" i="25" s="1"/>
  <c r="BA130" i="25"/>
  <c r="AQ130" i="25"/>
  <c r="BB129" i="25"/>
  <c r="V138" i="25"/>
  <c r="AS138" i="25" s="1"/>
  <c r="AZ137" i="25"/>
  <c r="M136" i="30"/>
  <c r="K212" i="30"/>
  <c r="L212" i="30" s="1"/>
  <c r="K213" i="30"/>
  <c r="L213" i="30" s="1"/>
  <c r="C137" i="30"/>
  <c r="AN134" i="25"/>
  <c r="AO132" i="25"/>
  <c r="AR137" i="25"/>
  <c r="AV137" i="25"/>
  <c r="BF137" i="25" s="1"/>
  <c r="AL134" i="25"/>
  <c r="BC134" i="25" s="1"/>
  <c r="AT134" i="25"/>
  <c r="BG134" i="25" s="1"/>
  <c r="AP131" i="25"/>
  <c r="AB137" i="25"/>
  <c r="AA137" i="25"/>
  <c r="AJ137" i="25"/>
  <c r="AI137" i="25"/>
  <c r="Y137" i="25"/>
  <c r="W137" i="25"/>
  <c r="AK135" i="25"/>
  <c r="AM134" i="25"/>
  <c r="AG137" i="25"/>
  <c r="AE137" i="25"/>
  <c r="AF137" i="25"/>
  <c r="AD137" i="25"/>
  <c r="AC137" i="25"/>
  <c r="S214" i="25"/>
  <c r="P215" i="25"/>
  <c r="R215" i="25"/>
  <c r="M217" i="25"/>
  <c r="N216" i="25"/>
  <c r="Q216" i="25"/>
  <c r="O216" i="25"/>
  <c r="AW131" i="25" l="1"/>
  <c r="AX131" i="25" s="1"/>
  <c r="BH131" i="25" s="1"/>
  <c r="BE130" i="25"/>
  <c r="AU131" i="25"/>
  <c r="AQ131" i="25"/>
  <c r="BB130" i="25"/>
  <c r="AY131" i="25"/>
  <c r="BD131" i="25" s="1"/>
  <c r="BA131" i="25"/>
  <c r="V139" i="25"/>
  <c r="AS139" i="25" s="1"/>
  <c r="AZ138" i="25"/>
  <c r="M137" i="30"/>
  <c r="K214" i="30"/>
  <c r="L214" i="30" s="1"/>
  <c r="C138" i="30"/>
  <c r="AN135" i="25"/>
  <c r="AO133" i="25"/>
  <c r="AR138" i="25"/>
  <c r="AV138" i="25"/>
  <c r="BF138" i="25" s="1"/>
  <c r="AL135" i="25"/>
  <c r="BC135" i="25" s="1"/>
  <c r="AT135" i="25"/>
  <c r="BG135" i="25" s="1"/>
  <c r="AP132" i="25"/>
  <c r="W138" i="25"/>
  <c r="X138" i="25" s="1"/>
  <c r="AA138" i="25"/>
  <c r="AB138" i="25"/>
  <c r="AD138" i="25"/>
  <c r="AH137" i="25"/>
  <c r="Z137" i="25"/>
  <c r="X137" i="25"/>
  <c r="AI138" i="25"/>
  <c r="AJ138" i="25"/>
  <c r="AM135" i="25"/>
  <c r="Y138" i="25"/>
  <c r="AK136" i="25"/>
  <c r="AC138" i="25"/>
  <c r="AK137" i="25"/>
  <c r="AG138" i="25"/>
  <c r="AF138" i="25"/>
  <c r="AE138" i="25"/>
  <c r="S215" i="25"/>
  <c r="R216" i="25"/>
  <c r="P216" i="25"/>
  <c r="O217" i="25"/>
  <c r="N217" i="25"/>
  <c r="Q217" i="25"/>
  <c r="M218" i="25"/>
  <c r="AW132" i="25" l="1"/>
  <c r="AX132" i="25" s="1"/>
  <c r="BH132" i="25" s="1"/>
  <c r="BE131" i="25"/>
  <c r="AU132" i="25"/>
  <c r="AY132" i="25"/>
  <c r="BD132" i="25" s="1"/>
  <c r="BA132" i="25"/>
  <c r="AQ132" i="25"/>
  <c r="BB131" i="25"/>
  <c r="V140" i="25"/>
  <c r="AS140" i="25" s="1"/>
  <c r="AZ139" i="25"/>
  <c r="M138" i="30"/>
  <c r="K215" i="30"/>
  <c r="L215" i="30" s="1"/>
  <c r="C139" i="30"/>
  <c r="AL137" i="25"/>
  <c r="BC137" i="25" s="1"/>
  <c r="AN136" i="25"/>
  <c r="AO134" i="25"/>
  <c r="AR139" i="25"/>
  <c r="AV139" i="25"/>
  <c r="BF139" i="25" s="1"/>
  <c r="AN137" i="25"/>
  <c r="AL136" i="25"/>
  <c r="BC136" i="25" s="1"/>
  <c r="AT136" i="25"/>
  <c r="BG136" i="25" s="1"/>
  <c r="AT137" i="25"/>
  <c r="BG137" i="25" s="1"/>
  <c r="AP133" i="25"/>
  <c r="AA139" i="25"/>
  <c r="AB139" i="25"/>
  <c r="AI139" i="25"/>
  <c r="AJ139" i="25"/>
  <c r="Y139" i="25"/>
  <c r="AH138" i="25"/>
  <c r="Z138" i="25"/>
  <c r="W139" i="25"/>
  <c r="AM136" i="25"/>
  <c r="AG139" i="25"/>
  <c r="AK138" i="25"/>
  <c r="AF139" i="25"/>
  <c r="AE139" i="25"/>
  <c r="AC139" i="25"/>
  <c r="AD139" i="25"/>
  <c r="S216" i="25"/>
  <c r="M219" i="25"/>
  <c r="O218" i="25"/>
  <c r="N218" i="25"/>
  <c r="Q218" i="25"/>
  <c r="P217" i="25"/>
  <c r="R217" i="25"/>
  <c r="AW133" i="25" l="1"/>
  <c r="AX133" i="25" s="1"/>
  <c r="BH133" i="25" s="1"/>
  <c r="BE132" i="25"/>
  <c r="AU133" i="25"/>
  <c r="AQ133" i="25"/>
  <c r="BB132" i="25"/>
  <c r="AY133" i="25"/>
  <c r="BD133" i="25" s="1"/>
  <c r="BA133" i="25"/>
  <c r="V141" i="25"/>
  <c r="AS141" i="25" s="1"/>
  <c r="AZ140" i="25"/>
  <c r="M139" i="30"/>
  <c r="K216" i="30"/>
  <c r="L216" i="30" s="1"/>
  <c r="C140" i="30"/>
  <c r="AL138" i="25"/>
  <c r="BC138" i="25" s="1"/>
  <c r="AO135" i="25"/>
  <c r="AR140" i="25"/>
  <c r="AV140" i="25"/>
  <c r="BF140" i="25" s="1"/>
  <c r="AN138" i="25"/>
  <c r="AT138" i="25"/>
  <c r="BG138" i="25" s="1"/>
  <c r="AP134" i="25"/>
  <c r="W140" i="25"/>
  <c r="X140" i="25" s="1"/>
  <c r="AA140" i="25"/>
  <c r="AB140" i="25"/>
  <c r="X139" i="25"/>
  <c r="Y140" i="25"/>
  <c r="AI140" i="25"/>
  <c r="AJ140" i="25"/>
  <c r="AH139" i="25"/>
  <c r="Z139" i="25"/>
  <c r="AM137" i="25"/>
  <c r="AD140" i="25"/>
  <c r="AG140" i="25"/>
  <c r="AH140" i="25"/>
  <c r="AE140" i="25"/>
  <c r="AC140" i="25"/>
  <c r="S217" i="25"/>
  <c r="R218" i="25"/>
  <c r="P218" i="25"/>
  <c r="Q219" i="25"/>
  <c r="O219" i="25"/>
  <c r="N219" i="25"/>
  <c r="M220" i="25"/>
  <c r="AW134" i="25" l="1"/>
  <c r="AX134" i="25" s="1"/>
  <c r="BH134" i="25" s="1"/>
  <c r="BE133" i="25"/>
  <c r="AU134" i="25"/>
  <c r="AY134" i="25"/>
  <c r="BD134" i="25" s="1"/>
  <c r="BA134" i="25"/>
  <c r="AQ134" i="25"/>
  <c r="BB133" i="25"/>
  <c r="V142" i="25"/>
  <c r="AS142" i="25" s="1"/>
  <c r="AZ141" i="25"/>
  <c r="M140" i="30"/>
  <c r="K217" i="30"/>
  <c r="L217" i="30" s="1"/>
  <c r="C141" i="30"/>
  <c r="AO136" i="25"/>
  <c r="AV141" i="25"/>
  <c r="BF141" i="25" s="1"/>
  <c r="W141" i="25"/>
  <c r="X141" i="25" s="1"/>
  <c r="AR141" i="25"/>
  <c r="S218" i="25"/>
  <c r="Y141" i="25"/>
  <c r="Z141" i="25" s="1"/>
  <c r="AP135" i="25"/>
  <c r="AA141" i="25"/>
  <c r="AB141" i="25"/>
  <c r="AF140" i="25"/>
  <c r="Z140" i="25"/>
  <c r="AF141" i="25"/>
  <c r="AI141" i="25"/>
  <c r="AJ141" i="25"/>
  <c r="AM138" i="25"/>
  <c r="AK139" i="25"/>
  <c r="AD141" i="25"/>
  <c r="AC141" i="25"/>
  <c r="AE141" i="25"/>
  <c r="AH141" i="25"/>
  <c r="AG141" i="25"/>
  <c r="N220" i="25"/>
  <c r="Q220" i="25"/>
  <c r="O220" i="25"/>
  <c r="R219" i="25"/>
  <c r="P219" i="25"/>
  <c r="M221" i="25"/>
  <c r="AW135" i="25" l="1"/>
  <c r="AX135" i="25" s="1"/>
  <c r="BH135" i="25" s="1"/>
  <c r="BE134" i="25"/>
  <c r="AU135" i="25"/>
  <c r="AQ135" i="25"/>
  <c r="BB134" i="25"/>
  <c r="AY135" i="25"/>
  <c r="BD135" i="25" s="1"/>
  <c r="BA135" i="25"/>
  <c r="V143" i="25"/>
  <c r="AS143" i="25" s="1"/>
  <c r="AZ142" i="25"/>
  <c r="M141" i="30"/>
  <c r="K218" i="30"/>
  <c r="L218" i="30" s="1"/>
  <c r="C142" i="30"/>
  <c r="AN139" i="25"/>
  <c r="AO137" i="25"/>
  <c r="W142" i="25"/>
  <c r="X142" i="25" s="1"/>
  <c r="AV142" i="25"/>
  <c r="BF142" i="25" s="1"/>
  <c r="AL139" i="25"/>
  <c r="BC139" i="25" s="1"/>
  <c r="AT139" i="25"/>
  <c r="BG139" i="25" s="1"/>
  <c r="Y142" i="25"/>
  <c r="Z142" i="25" s="1"/>
  <c r="AR142" i="25"/>
  <c r="AP136" i="25"/>
  <c r="AB142" i="25"/>
  <c r="AA142" i="25"/>
  <c r="AD142" i="25"/>
  <c r="AF142" i="25"/>
  <c r="AJ142" i="25"/>
  <c r="AI142" i="25"/>
  <c r="AM139" i="25"/>
  <c r="AK140" i="25"/>
  <c r="AH142" i="25"/>
  <c r="AG142" i="25"/>
  <c r="AE142" i="25"/>
  <c r="AC142" i="25"/>
  <c r="S219" i="25"/>
  <c r="M222" i="25"/>
  <c r="N221" i="25"/>
  <c r="Q221" i="25"/>
  <c r="O221" i="25"/>
  <c r="P220" i="25"/>
  <c r="R220" i="25"/>
  <c r="AW136" i="25" l="1"/>
  <c r="AX136" i="25" s="1"/>
  <c r="BH136" i="25" s="1"/>
  <c r="BE135" i="25"/>
  <c r="AU136" i="25"/>
  <c r="AY136" i="25"/>
  <c r="BD136" i="25" s="1"/>
  <c r="BA136" i="25"/>
  <c r="AQ136" i="25"/>
  <c r="BB135" i="25"/>
  <c r="V144" i="25"/>
  <c r="AS144" i="25" s="1"/>
  <c r="AZ143" i="25"/>
  <c r="M142" i="30"/>
  <c r="K219" i="30"/>
  <c r="L219" i="30" s="1"/>
  <c r="C143" i="30"/>
  <c r="AN140" i="25"/>
  <c r="AO138" i="25"/>
  <c r="AR143" i="25"/>
  <c r="AV143" i="25"/>
  <c r="BF143" i="25" s="1"/>
  <c r="AL140" i="25"/>
  <c r="BC140" i="25" s="1"/>
  <c r="AT140" i="25"/>
  <c r="BG140" i="25" s="1"/>
  <c r="AP137" i="25"/>
  <c r="W143" i="25"/>
  <c r="X143" i="25" s="1"/>
  <c r="AB143" i="25"/>
  <c r="AA143" i="25"/>
  <c r="AD143" i="25"/>
  <c r="Y143" i="25"/>
  <c r="AJ143" i="25"/>
  <c r="AI143" i="25"/>
  <c r="AM140" i="25"/>
  <c r="AK141" i="25"/>
  <c r="AF143" i="25"/>
  <c r="AG143" i="25"/>
  <c r="AC143" i="25"/>
  <c r="AE143" i="25"/>
  <c r="S220" i="25"/>
  <c r="R221" i="25"/>
  <c r="P221" i="25"/>
  <c r="M223" i="25"/>
  <c r="N222" i="25"/>
  <c r="Q222" i="25"/>
  <c r="O222" i="25"/>
  <c r="AW137" i="25" l="1"/>
  <c r="AX137" i="25" s="1"/>
  <c r="BH137" i="25" s="1"/>
  <c r="BE136" i="25"/>
  <c r="AU137" i="25"/>
  <c r="AY137" i="25"/>
  <c r="BD137" i="25" s="1"/>
  <c r="BA137" i="25"/>
  <c r="AQ137" i="25"/>
  <c r="BB136" i="25"/>
  <c r="V145" i="25"/>
  <c r="AS145" i="25" s="1"/>
  <c r="AZ144" i="25"/>
  <c r="M143" i="30"/>
  <c r="K220" i="30"/>
  <c r="L220" i="30" s="1"/>
  <c r="C144" i="30"/>
  <c r="AN141" i="25"/>
  <c r="AO139" i="25"/>
  <c r="AR144" i="25"/>
  <c r="AV144" i="25"/>
  <c r="BF144" i="25" s="1"/>
  <c r="AL141" i="25"/>
  <c r="BC141" i="25" s="1"/>
  <c r="AT141" i="25"/>
  <c r="BG141" i="25" s="1"/>
  <c r="AP138" i="25"/>
  <c r="AA144" i="25"/>
  <c r="AB144" i="25"/>
  <c r="AJ144" i="25"/>
  <c r="AI144" i="25"/>
  <c r="AH143" i="25"/>
  <c r="Z143" i="25"/>
  <c r="Y144" i="25"/>
  <c r="W144" i="25"/>
  <c r="AM141" i="25"/>
  <c r="AK142" i="25"/>
  <c r="AG144" i="25"/>
  <c r="AH144" i="25"/>
  <c r="AE144" i="25"/>
  <c r="AC144" i="25"/>
  <c r="S221" i="25"/>
  <c r="R222" i="25"/>
  <c r="P222" i="25"/>
  <c r="N223" i="25"/>
  <c r="O223" i="25"/>
  <c r="Q223" i="25"/>
  <c r="M224" i="25"/>
  <c r="AW138" i="25" l="1"/>
  <c r="AX138" i="25" s="1"/>
  <c r="BH138" i="25" s="1"/>
  <c r="BE137" i="25"/>
  <c r="AU138" i="25"/>
  <c r="AY138" i="25"/>
  <c r="BD138" i="25" s="1"/>
  <c r="BA138" i="25"/>
  <c r="AQ138" i="25"/>
  <c r="BB137" i="25"/>
  <c r="V146" i="25"/>
  <c r="AS146" i="25" s="1"/>
  <c r="AZ145" i="25"/>
  <c r="M144" i="30"/>
  <c r="K221" i="30"/>
  <c r="L221" i="30" s="1"/>
  <c r="C145" i="30"/>
  <c r="AN142" i="25"/>
  <c r="AO140" i="25"/>
  <c r="AV145" i="25"/>
  <c r="BF145" i="25" s="1"/>
  <c r="AL142" i="25"/>
  <c r="BC142" i="25" s="1"/>
  <c r="AT142" i="25"/>
  <c r="BG142" i="25" s="1"/>
  <c r="W145" i="25"/>
  <c r="X145" i="25" s="1"/>
  <c r="AR145" i="25"/>
  <c r="AP139" i="25"/>
  <c r="AB145" i="25"/>
  <c r="AA145" i="25"/>
  <c r="Y145" i="25"/>
  <c r="Z145" i="25" s="1"/>
  <c r="AF144" i="25"/>
  <c r="Z144" i="25"/>
  <c r="S222" i="25"/>
  <c r="AF145" i="25"/>
  <c r="AD144" i="25"/>
  <c r="X144" i="25"/>
  <c r="AJ145" i="25"/>
  <c r="AI145" i="25"/>
  <c r="AM142" i="25"/>
  <c r="AK143" i="25"/>
  <c r="AE145" i="25"/>
  <c r="AC145" i="25"/>
  <c r="AH145" i="25"/>
  <c r="AD145" i="25"/>
  <c r="AG145" i="25"/>
  <c r="N224" i="25"/>
  <c r="Q224" i="25"/>
  <c r="O224" i="25"/>
  <c r="M225" i="25"/>
  <c r="P223" i="25"/>
  <c r="R223" i="25"/>
  <c r="AW139" i="25" l="1"/>
  <c r="AX139" i="25" s="1"/>
  <c r="BH139" i="25" s="1"/>
  <c r="BE138" i="25"/>
  <c r="AU139" i="25"/>
  <c r="AQ139" i="25"/>
  <c r="BB138" i="25"/>
  <c r="AY139" i="25"/>
  <c r="BD139" i="25" s="1"/>
  <c r="BA139" i="25"/>
  <c r="V147" i="25"/>
  <c r="AS147" i="25" s="1"/>
  <c r="AZ146" i="25"/>
  <c r="M145" i="30"/>
  <c r="K222" i="30"/>
  <c r="L222" i="30" s="1"/>
  <c r="C146" i="30"/>
  <c r="AN143" i="25"/>
  <c r="AO141" i="25"/>
  <c r="AV146" i="25"/>
  <c r="BF146" i="25" s="1"/>
  <c r="AL143" i="25"/>
  <c r="BC143" i="25" s="1"/>
  <c r="AT143" i="25"/>
  <c r="BG143" i="25" s="1"/>
  <c r="W146" i="25"/>
  <c r="X146" i="25" s="1"/>
  <c r="AR146" i="25"/>
  <c r="Y146" i="25"/>
  <c r="Z146" i="25" s="1"/>
  <c r="AP140" i="25"/>
  <c r="AA146" i="25"/>
  <c r="AB146" i="25"/>
  <c r="AH146" i="25"/>
  <c r="AI146" i="25"/>
  <c r="AJ146" i="25"/>
  <c r="AM143" i="25"/>
  <c r="AK144" i="25"/>
  <c r="AG146" i="25"/>
  <c r="AF146" i="25"/>
  <c r="AE146" i="25"/>
  <c r="AC146" i="25"/>
  <c r="AD146" i="25"/>
  <c r="S223" i="25"/>
  <c r="O225" i="25"/>
  <c r="N225" i="25"/>
  <c r="Q225" i="25"/>
  <c r="M226" i="25"/>
  <c r="R224" i="25"/>
  <c r="P224" i="25"/>
  <c r="AW140" i="25" l="1"/>
  <c r="AX140" i="25" s="1"/>
  <c r="BH140" i="25" s="1"/>
  <c r="BE139" i="25"/>
  <c r="AU140" i="25"/>
  <c r="AY140" i="25"/>
  <c r="BD140" i="25" s="1"/>
  <c r="BA140" i="25"/>
  <c r="AQ140" i="25"/>
  <c r="BB139" i="25"/>
  <c r="V148" i="25"/>
  <c r="AS148" i="25" s="1"/>
  <c r="AZ147" i="25"/>
  <c r="M146" i="30"/>
  <c r="K223" i="30"/>
  <c r="L223" i="30" s="1"/>
  <c r="C147" i="30"/>
  <c r="AO142" i="25"/>
  <c r="AV147" i="25"/>
  <c r="BF147" i="25" s="1"/>
  <c r="AT144" i="25"/>
  <c r="BG144" i="25" s="1"/>
  <c r="AN144" i="25"/>
  <c r="W147" i="25"/>
  <c r="X147" i="25" s="1"/>
  <c r="AR147" i="25"/>
  <c r="AP141" i="25"/>
  <c r="AA147" i="25"/>
  <c r="AB147" i="25"/>
  <c r="Y147" i="25"/>
  <c r="Z147" i="25" s="1"/>
  <c r="AI147" i="25"/>
  <c r="AJ147" i="25"/>
  <c r="AF147" i="25"/>
  <c r="AK145" i="25"/>
  <c r="AL144" i="25"/>
  <c r="BC144" i="25" s="1"/>
  <c r="AM144" i="25"/>
  <c r="AC147" i="25"/>
  <c r="AH147" i="25"/>
  <c r="AE147" i="25"/>
  <c r="AG147" i="25"/>
  <c r="AD147" i="25"/>
  <c r="S224" i="25"/>
  <c r="O226" i="25"/>
  <c r="Q226" i="25"/>
  <c r="N226" i="25"/>
  <c r="M227" i="25"/>
  <c r="R225" i="25"/>
  <c r="P225" i="25"/>
  <c r="AW141" i="25" l="1"/>
  <c r="AX141" i="25" s="1"/>
  <c r="BH141" i="25" s="1"/>
  <c r="BE140" i="25"/>
  <c r="AU141" i="25"/>
  <c r="AY141" i="25"/>
  <c r="BD141" i="25" s="1"/>
  <c r="BA141" i="25"/>
  <c r="AQ141" i="25"/>
  <c r="BB140" i="25"/>
  <c r="V149" i="25"/>
  <c r="AZ148" i="25"/>
  <c r="M147" i="30"/>
  <c r="K224" i="30"/>
  <c r="L224" i="30" s="1"/>
  <c r="C148" i="30"/>
  <c r="AN145" i="25"/>
  <c r="AO143" i="25"/>
  <c r="AR148" i="25"/>
  <c r="AV148" i="25"/>
  <c r="BF148" i="25" s="1"/>
  <c r="AL145" i="25"/>
  <c r="BC145" i="25" s="1"/>
  <c r="AT145" i="25"/>
  <c r="BG145" i="25" s="1"/>
  <c r="AP142" i="25"/>
  <c r="Y148" i="25"/>
  <c r="Z148" i="25" s="1"/>
  <c r="AA148" i="25"/>
  <c r="AB148" i="25"/>
  <c r="AH148" i="25"/>
  <c r="AM145" i="25"/>
  <c r="AI148" i="25"/>
  <c r="AJ148" i="25"/>
  <c r="W148" i="25"/>
  <c r="AK146" i="25"/>
  <c r="AK147" i="25"/>
  <c r="AC148" i="25"/>
  <c r="AG148" i="25"/>
  <c r="AE148" i="25"/>
  <c r="AF148" i="25"/>
  <c r="S225" i="25"/>
  <c r="M228" i="25"/>
  <c r="Q227" i="25"/>
  <c r="O227" i="25"/>
  <c r="N227" i="25"/>
  <c r="P226" i="25"/>
  <c r="R226" i="25"/>
  <c r="AW142" i="25" l="1"/>
  <c r="AX142" i="25" s="1"/>
  <c r="BH142" i="25" s="1"/>
  <c r="BE141" i="25"/>
  <c r="AU142" i="25"/>
  <c r="AY142" i="25"/>
  <c r="BD142" i="25" s="1"/>
  <c r="BA142" i="25"/>
  <c r="AQ142" i="25"/>
  <c r="BB141" i="25"/>
  <c r="V150" i="25"/>
  <c r="AS150" i="25" s="1"/>
  <c r="AZ149" i="25"/>
  <c r="AS149" i="25"/>
  <c r="M148" i="30"/>
  <c r="K225" i="30"/>
  <c r="L225" i="30" s="1"/>
  <c r="C149" i="30"/>
  <c r="AL147" i="25"/>
  <c r="BC147" i="25" s="1"/>
  <c r="AN146" i="25"/>
  <c r="AO144" i="25"/>
  <c r="AR149" i="25"/>
  <c r="AV149" i="25"/>
  <c r="BF149" i="25" s="1"/>
  <c r="AN147" i="25"/>
  <c r="AL146" i="25"/>
  <c r="BC146" i="25" s="1"/>
  <c r="AT146" i="25"/>
  <c r="BG146" i="25" s="1"/>
  <c r="AT147" i="25"/>
  <c r="BG147" i="25" s="1"/>
  <c r="AP143" i="25"/>
  <c r="AB149" i="25"/>
  <c r="AA149" i="25"/>
  <c r="AI149" i="25"/>
  <c r="AJ149" i="25"/>
  <c r="Y149" i="25"/>
  <c r="W149" i="25"/>
  <c r="AM146" i="25"/>
  <c r="AD148" i="25"/>
  <c r="X148" i="25"/>
  <c r="AK148" i="25"/>
  <c r="AH149" i="25"/>
  <c r="AG149" i="25"/>
  <c r="AE149" i="25"/>
  <c r="AC149" i="25"/>
  <c r="AD149" i="25"/>
  <c r="S226" i="25"/>
  <c r="R227" i="25"/>
  <c r="P227" i="25"/>
  <c r="Q228" i="25"/>
  <c r="O228" i="25"/>
  <c r="N228" i="25"/>
  <c r="M229" i="25"/>
  <c r="E33" i="28"/>
  <c r="I33" i="28"/>
  <c r="K33" i="28" s="1"/>
  <c r="E32" i="28"/>
  <c r="I32" i="28"/>
  <c r="K32" i="28" s="1"/>
  <c r="E31" i="28"/>
  <c r="I31" i="28"/>
  <c r="K31" i="28" s="1"/>
  <c r="E30" i="28"/>
  <c r="I30" i="28"/>
  <c r="K30" i="28" s="1"/>
  <c r="E29" i="28"/>
  <c r="I29" i="28"/>
  <c r="K29" i="28" s="1"/>
  <c r="E28" i="28"/>
  <c r="I28" i="28"/>
  <c r="K28" i="28" s="1"/>
  <c r="V28" i="28" s="1"/>
  <c r="AE28" i="28" s="1"/>
  <c r="E27" i="28"/>
  <c r="I27" i="28"/>
  <c r="K27" i="28" s="1"/>
  <c r="V27" i="28" s="1"/>
  <c r="E26" i="28"/>
  <c r="I26" i="28"/>
  <c r="K26" i="28" s="1"/>
  <c r="V26" i="28" s="1"/>
  <c r="E25" i="28"/>
  <c r="I25" i="28"/>
  <c r="K25" i="28" s="1"/>
  <c r="V25" i="28" s="1"/>
  <c r="E24" i="28"/>
  <c r="I24" i="28"/>
  <c r="K24" i="28" s="1"/>
  <c r="V24" i="28" s="1"/>
  <c r="E23" i="28"/>
  <c r="I23" i="28"/>
  <c r="K23" i="28" s="1"/>
  <c r="V23" i="28" s="1"/>
  <c r="E22" i="28"/>
  <c r="I22" i="28"/>
  <c r="K22" i="28" s="1"/>
  <c r="V22" i="28" s="1"/>
  <c r="E21" i="28"/>
  <c r="I21" i="28"/>
  <c r="K21" i="28" s="1"/>
  <c r="V21" i="28" s="1"/>
  <c r="E20" i="28"/>
  <c r="I20" i="28"/>
  <c r="K20" i="28" s="1"/>
  <c r="V20" i="28" s="1"/>
  <c r="E19" i="28"/>
  <c r="I19" i="28"/>
  <c r="K19" i="28" s="1"/>
  <c r="V19" i="28" s="1"/>
  <c r="I5" i="28"/>
  <c r="I7" i="28"/>
  <c r="K7" i="28" s="1"/>
  <c r="V7" i="28" s="1"/>
  <c r="AE7" i="28" s="1"/>
  <c r="I8" i="28"/>
  <c r="K8" i="28" s="1"/>
  <c r="V8" i="28" s="1"/>
  <c r="I9" i="28"/>
  <c r="K9" i="28" s="1"/>
  <c r="V9" i="28" s="1"/>
  <c r="I10" i="28"/>
  <c r="K10" i="28" s="1"/>
  <c r="V10" i="28" s="1"/>
  <c r="I11" i="28"/>
  <c r="K11" i="28" s="1"/>
  <c r="V11" i="28" s="1"/>
  <c r="I12" i="28"/>
  <c r="K12" i="28" s="1"/>
  <c r="V12" i="28" s="1"/>
  <c r="I13" i="28"/>
  <c r="K13" i="28" s="1"/>
  <c r="V13" i="28" s="1"/>
  <c r="I14" i="28"/>
  <c r="K14" i="28" s="1"/>
  <c r="V14" i="28" s="1"/>
  <c r="I15" i="28"/>
  <c r="K15" i="28" s="1"/>
  <c r="V15" i="28" s="1"/>
  <c r="AE15" i="28" s="1"/>
  <c r="I16" i="28"/>
  <c r="K16" i="28" s="1"/>
  <c r="V16" i="28" s="1"/>
  <c r="I17" i="28"/>
  <c r="K17" i="28" s="1"/>
  <c r="V17" i="28" s="1"/>
  <c r="I18" i="28"/>
  <c r="K18" i="28" s="1"/>
  <c r="V18" i="28" s="1"/>
  <c r="E18" i="28"/>
  <c r="E17" i="28"/>
  <c r="E16" i="28"/>
  <c r="E5" i="28"/>
  <c r="E7" i="28"/>
  <c r="E8" i="28"/>
  <c r="E9" i="28"/>
  <c r="E10" i="28"/>
  <c r="E11" i="28"/>
  <c r="E12" i="28"/>
  <c r="E13" i="28"/>
  <c r="E14" i="28"/>
  <c r="E15" i="28"/>
  <c r="B5" i="28"/>
  <c r="AW143" i="25" l="1"/>
  <c r="AX143" i="25" s="1"/>
  <c r="BH143" i="25" s="1"/>
  <c r="BE142" i="25"/>
  <c r="AU143" i="25"/>
  <c r="AY143" i="25"/>
  <c r="BD143" i="25" s="1"/>
  <c r="BA143" i="25"/>
  <c r="AQ143" i="25"/>
  <c r="BB142" i="25"/>
  <c r="V151" i="25"/>
  <c r="AS151" i="25" s="1"/>
  <c r="AZ150" i="25"/>
  <c r="M149" i="30"/>
  <c r="K226" i="30"/>
  <c r="L226" i="30" s="1"/>
  <c r="C150" i="30"/>
  <c r="AL148" i="25"/>
  <c r="BC148" i="25" s="1"/>
  <c r="AO145" i="25"/>
  <c r="AV150" i="25"/>
  <c r="BF150" i="25" s="1"/>
  <c r="AN148" i="25"/>
  <c r="AT148" i="25"/>
  <c r="BG148" i="25" s="1"/>
  <c r="W150" i="25"/>
  <c r="X150" i="25" s="1"/>
  <c r="AR150" i="25"/>
  <c r="AP144" i="25"/>
  <c r="AB150" i="25"/>
  <c r="AA150" i="25"/>
  <c r="Y150" i="25"/>
  <c r="Z150" i="25" s="1"/>
  <c r="X149" i="25"/>
  <c r="AF149" i="25"/>
  <c r="Z149" i="25"/>
  <c r="AH150" i="25"/>
  <c r="AM147" i="25"/>
  <c r="AJ150" i="25"/>
  <c r="AI150" i="25"/>
  <c r="AE150" i="25"/>
  <c r="AF150" i="25"/>
  <c r="AD150" i="25"/>
  <c r="AG150" i="25"/>
  <c r="AC150" i="25"/>
  <c r="S227" i="25"/>
  <c r="S32" i="28"/>
  <c r="V32" i="28"/>
  <c r="S29" i="28"/>
  <c r="V29" i="28"/>
  <c r="S33" i="28"/>
  <c r="V33" i="28"/>
  <c r="S30" i="28"/>
  <c r="V30" i="28"/>
  <c r="S31" i="28"/>
  <c r="V31" i="28"/>
  <c r="Q229" i="25"/>
  <c r="O229" i="25"/>
  <c r="N229" i="25"/>
  <c r="M230" i="25"/>
  <c r="P228" i="25"/>
  <c r="R228" i="25"/>
  <c r="B6" i="28"/>
  <c r="K5" i="28"/>
  <c r="I1" i="28"/>
  <c r="U14" i="28"/>
  <c r="T14" i="28"/>
  <c r="S14" i="28"/>
  <c r="U30" i="28"/>
  <c r="T30" i="28"/>
  <c r="U15" i="28"/>
  <c r="T15" i="28"/>
  <c r="S15" i="28"/>
  <c r="T13" i="28"/>
  <c r="S13" i="28"/>
  <c r="U13" i="28"/>
  <c r="U12" i="28"/>
  <c r="T12" i="28"/>
  <c r="S12" i="28"/>
  <c r="T31" i="28"/>
  <c r="U31" i="28"/>
  <c r="S10" i="28"/>
  <c r="U10" i="28"/>
  <c r="T10" i="28"/>
  <c r="AI28" i="28"/>
  <c r="U28" i="28"/>
  <c r="T28" i="28"/>
  <c r="S28" i="28"/>
  <c r="U32" i="28"/>
  <c r="T32" i="28"/>
  <c r="T11" i="28"/>
  <c r="S11" i="28"/>
  <c r="U11" i="28"/>
  <c r="U9" i="28"/>
  <c r="S9" i="28"/>
  <c r="T9" i="28"/>
  <c r="S8" i="28"/>
  <c r="U8" i="28"/>
  <c r="T8" i="28"/>
  <c r="T29" i="28"/>
  <c r="U29" i="28"/>
  <c r="U33" i="28"/>
  <c r="T33" i="28"/>
  <c r="U7" i="28"/>
  <c r="T7" i="28"/>
  <c r="S7" i="28"/>
  <c r="S18" i="28"/>
  <c r="T18" i="28"/>
  <c r="U18" i="28"/>
  <c r="S17" i="28"/>
  <c r="T17" i="28"/>
  <c r="U17" i="28"/>
  <c r="S16" i="28"/>
  <c r="T16" i="28"/>
  <c r="U16" i="28"/>
  <c r="S25" i="28"/>
  <c r="T25" i="28"/>
  <c r="U25" i="28"/>
  <c r="U21" i="28"/>
  <c r="S21" i="28"/>
  <c r="T21" i="28"/>
  <c r="T22" i="28"/>
  <c r="U22" i="28"/>
  <c r="S22" i="28"/>
  <c r="S26" i="28"/>
  <c r="T26" i="28"/>
  <c r="U26" i="28"/>
  <c r="U23" i="28"/>
  <c r="T23" i="28"/>
  <c r="S23" i="28"/>
  <c r="U27" i="28"/>
  <c r="S27" i="28"/>
  <c r="T27" i="28"/>
  <c r="U19" i="28"/>
  <c r="S19" i="28"/>
  <c r="T19" i="28"/>
  <c r="U20" i="28"/>
  <c r="S20" i="28"/>
  <c r="T20" i="28"/>
  <c r="S24" i="28"/>
  <c r="T24" i="28"/>
  <c r="U24" i="28"/>
  <c r="AI15" i="28"/>
  <c r="AI7" i="28"/>
  <c r="B7" i="28"/>
  <c r="B8" i="28" s="1"/>
  <c r="B9" i="28" s="1"/>
  <c r="B10" i="28" s="1"/>
  <c r="B11" i="28" s="1"/>
  <c r="B12" i="28" s="1"/>
  <c r="B13" i="28" s="1"/>
  <c r="B14" i="28" s="1"/>
  <c r="B15" i="28" s="1"/>
  <c r="B16" i="28" s="1"/>
  <c r="B17" i="28" s="1"/>
  <c r="B18" i="28" s="1"/>
  <c r="B19" i="28" s="1"/>
  <c r="B20" i="28" s="1"/>
  <c r="B21" i="28" s="1"/>
  <c r="B22" i="28" s="1"/>
  <c r="B23" i="28" s="1"/>
  <c r="B24" i="28" s="1"/>
  <c r="B25" i="28" s="1"/>
  <c r="B26" i="28" s="1"/>
  <c r="B27" i="28" s="1"/>
  <c r="B28" i="28" s="1"/>
  <c r="B29" i="28" s="1"/>
  <c r="B30" i="28" s="1"/>
  <c r="B31" i="28" s="1"/>
  <c r="B32" i="28" s="1"/>
  <c r="B33" i="28" s="1"/>
  <c r="B34" i="28" s="1"/>
  <c r="B35" i="28" s="1"/>
  <c r="B36" i="28" s="1"/>
  <c r="B37" i="28" s="1"/>
  <c r="B38" i="28" s="1"/>
  <c r="B39" i="28" s="1"/>
  <c r="B40" i="28" s="1"/>
  <c r="B41" i="28" s="1"/>
  <c r="B42" i="28" s="1"/>
  <c r="B43" i="28" s="1"/>
  <c r="B44" i="28" s="1"/>
  <c r="B45" i="28" s="1"/>
  <c r="B46" i="28" s="1"/>
  <c r="B47" i="28" s="1"/>
  <c r="B48" i="28" s="1"/>
  <c r="B49" i="28" s="1"/>
  <c r="B50" i="28" s="1"/>
  <c r="B51" i="28" s="1"/>
  <c r="B52" i="28" s="1"/>
  <c r="B53" i="28" s="1"/>
  <c r="B54" i="28" s="1"/>
  <c r="B55" i="28" s="1"/>
  <c r="B56" i="28" s="1"/>
  <c r="B57" i="28" s="1"/>
  <c r="B58" i="28" s="1"/>
  <c r="B59" i="28" s="1"/>
  <c r="B60" i="28" s="1"/>
  <c r="B61" i="28" s="1"/>
  <c r="B62" i="28" s="1"/>
  <c r="B63" i="28" s="1"/>
  <c r="B64" i="28" s="1"/>
  <c r="B65" i="28" s="1"/>
  <c r="B66" i="28" s="1"/>
  <c r="B67" i="28" s="1"/>
  <c r="B68" i="28" s="1"/>
  <c r="B69" i="28" s="1"/>
  <c r="B70" i="28" s="1"/>
  <c r="B71" i="28" s="1"/>
  <c r="B72" i="28" s="1"/>
  <c r="B73" i="28" s="1"/>
  <c r="B74" i="28" s="1"/>
  <c r="B75" i="28" s="1"/>
  <c r="B76" i="28" s="1"/>
  <c r="B77" i="28" s="1"/>
  <c r="B78" i="28" s="1"/>
  <c r="B79" i="28" s="1"/>
  <c r="B80" i="28" s="1"/>
  <c r="B81" i="28" s="1"/>
  <c r="B82" i="28" s="1"/>
  <c r="AW144" i="25" l="1"/>
  <c r="AX144" i="25" s="1"/>
  <c r="BH144" i="25" s="1"/>
  <c r="BE143" i="25"/>
  <c r="AU144" i="25"/>
  <c r="AQ144" i="25"/>
  <c r="BB143" i="25"/>
  <c r="AY144" i="25"/>
  <c r="BD144" i="25" s="1"/>
  <c r="BA144" i="25"/>
  <c r="V152" i="25"/>
  <c r="AS152" i="25" s="1"/>
  <c r="AZ151" i="25"/>
  <c r="M150" i="30"/>
  <c r="K227" i="30"/>
  <c r="L227" i="30" s="1"/>
  <c r="C151" i="30"/>
  <c r="AO146" i="25"/>
  <c r="AR151" i="25"/>
  <c r="AV151" i="25"/>
  <c r="BF151" i="25" s="1"/>
  <c r="AP145" i="25"/>
  <c r="Y151" i="25"/>
  <c r="Z151" i="25" s="1"/>
  <c r="AB151" i="25"/>
  <c r="AA151" i="25"/>
  <c r="W151" i="25"/>
  <c r="X151" i="25" s="1"/>
  <c r="AH151" i="25"/>
  <c r="AJ151" i="25"/>
  <c r="AI151" i="25"/>
  <c r="AM148" i="25"/>
  <c r="AK149" i="25"/>
  <c r="AE151" i="25"/>
  <c r="AF151" i="25"/>
  <c r="AK150" i="25"/>
  <c r="AC151" i="25"/>
  <c r="AD151" i="25"/>
  <c r="AG151" i="25"/>
  <c r="K1" i="28"/>
  <c r="J1" i="28" s="1"/>
  <c r="V5" i="28"/>
  <c r="AE5" i="28" s="1"/>
  <c r="S228" i="25"/>
  <c r="N230" i="25"/>
  <c r="Q230" i="25"/>
  <c r="O230" i="25"/>
  <c r="M231" i="25"/>
  <c r="R229" i="25"/>
  <c r="P229" i="25"/>
  <c r="I12" i="8"/>
  <c r="I11" i="8"/>
  <c r="I10" i="8"/>
  <c r="S5" i="28"/>
  <c r="S1" i="28" s="1"/>
  <c r="L1" i="28" s="1"/>
  <c r="I9" i="8"/>
  <c r="T5" i="28"/>
  <c r="T1" i="28" s="1"/>
  <c r="M1" i="28" s="1"/>
  <c r="U5" i="28"/>
  <c r="U1" i="28" s="1"/>
  <c r="N1" i="28" s="1"/>
  <c r="AG28" i="28"/>
  <c r="AC28" i="28"/>
  <c r="AF28" i="28"/>
  <c r="AD28" i="28"/>
  <c r="AF7" i="28"/>
  <c r="AG7" i="28"/>
  <c r="AD7" i="28"/>
  <c r="AC7" i="28"/>
  <c r="AG15" i="28"/>
  <c r="AC15" i="28"/>
  <c r="AD15" i="28"/>
  <c r="AF15" i="28"/>
  <c r="AF5" i="28"/>
  <c r="AD5" i="28"/>
  <c r="Z12" i="28"/>
  <c r="AA15" i="28"/>
  <c r="AB15" i="28"/>
  <c r="Z15" i="28"/>
  <c r="Z18" i="28"/>
  <c r="Z11" i="28"/>
  <c r="AA7" i="28"/>
  <c r="AB7" i="28"/>
  <c r="Z7" i="28"/>
  <c r="Z31" i="28"/>
  <c r="Z33" i="28"/>
  <c r="Z20" i="28"/>
  <c r="Z27" i="28"/>
  <c r="Z25" i="28"/>
  <c r="AB5" i="28"/>
  <c r="AA5" i="28"/>
  <c r="Z5" i="28"/>
  <c r="Z32" i="28"/>
  <c r="Z8" i="28"/>
  <c r="Z9" i="28"/>
  <c r="Z13" i="28"/>
  <c r="Z19" i="28"/>
  <c r="Z10" i="28"/>
  <c r="Z26" i="28"/>
  <c r="Z16" i="28"/>
  <c r="Z22" i="28"/>
  <c r="Z23" i="28"/>
  <c r="Z21" i="28"/>
  <c r="Z24" i="28"/>
  <c r="Z17" i="28"/>
  <c r="Z30" i="28"/>
  <c r="Z14" i="28"/>
  <c r="Z29" i="28"/>
  <c r="Z28" i="28"/>
  <c r="AA28" i="28"/>
  <c r="AB28" i="28"/>
  <c r="Y32" i="28"/>
  <c r="X32" i="28"/>
  <c r="W32" i="28"/>
  <c r="X12" i="28"/>
  <c r="Y12" i="28"/>
  <c r="W12" i="28"/>
  <c r="Y7" i="28"/>
  <c r="X7" i="28"/>
  <c r="W7" i="28"/>
  <c r="Y10" i="28"/>
  <c r="X10" i="28"/>
  <c r="W10" i="28"/>
  <c r="Y15" i="28"/>
  <c r="X15" i="28"/>
  <c r="W15" i="28"/>
  <c r="W5" i="28"/>
  <c r="Y5" i="28"/>
  <c r="X5" i="28"/>
  <c r="W13" i="28"/>
  <c r="Y13" i="28"/>
  <c r="X13" i="28"/>
  <c r="Y29" i="28"/>
  <c r="X29" i="28"/>
  <c r="W29" i="28"/>
  <c r="W33" i="28"/>
  <c r="Y33" i="28"/>
  <c r="X33" i="28"/>
  <c r="X28" i="28"/>
  <c r="Y28" i="28"/>
  <c r="W28" i="28"/>
  <c r="W31" i="28"/>
  <c r="Y31" i="28"/>
  <c r="X31" i="28"/>
  <c r="Y8" i="28"/>
  <c r="W8" i="28"/>
  <c r="X8" i="28"/>
  <c r="Y9" i="28"/>
  <c r="X9" i="28"/>
  <c r="W9" i="28"/>
  <c r="W11" i="28"/>
  <c r="Y11" i="28"/>
  <c r="X11" i="28"/>
  <c r="Y30" i="28"/>
  <c r="X30" i="28"/>
  <c r="W30" i="28"/>
  <c r="X14" i="28"/>
  <c r="W14" i="28"/>
  <c r="Y14" i="28"/>
  <c r="Y26" i="28"/>
  <c r="W26" i="28"/>
  <c r="X26" i="28"/>
  <c r="X21" i="28"/>
  <c r="Y21" i="28"/>
  <c r="W21" i="28"/>
  <c r="X23" i="28"/>
  <c r="Y23" i="28"/>
  <c r="W23" i="28"/>
  <c r="W16" i="28"/>
  <c r="X16" i="28"/>
  <c r="Y16" i="28"/>
  <c r="W20" i="28"/>
  <c r="Y20" i="28"/>
  <c r="X20" i="28"/>
  <c r="Y27" i="28"/>
  <c r="W27" i="28"/>
  <c r="X27" i="28"/>
  <c r="W25" i="28"/>
  <c r="X25" i="28"/>
  <c r="Y25" i="28"/>
  <c r="Y22" i="28"/>
  <c r="X22" i="28"/>
  <c r="W22" i="28"/>
  <c r="W24" i="28"/>
  <c r="X24" i="28"/>
  <c r="Y24" i="28"/>
  <c r="W17" i="28"/>
  <c r="X17" i="28"/>
  <c r="Y17" i="28"/>
  <c r="Y18" i="28"/>
  <c r="W18" i="28"/>
  <c r="X18" i="28"/>
  <c r="Y19" i="28"/>
  <c r="W19" i="28"/>
  <c r="X19" i="28"/>
  <c r="AW145" i="25" l="1"/>
  <c r="AX145" i="25" s="1"/>
  <c r="BH145" i="25" s="1"/>
  <c r="BE144" i="25"/>
  <c r="AU145" i="25"/>
  <c r="K11" i="8"/>
  <c r="J11" i="8"/>
  <c r="L11" i="8"/>
  <c r="J12" i="8"/>
  <c r="K12" i="8"/>
  <c r="L12" i="8"/>
  <c r="L9" i="8"/>
  <c r="K9" i="8"/>
  <c r="J9" i="8"/>
  <c r="K10" i="8"/>
  <c r="J10" i="8"/>
  <c r="L10" i="8"/>
  <c r="AY145" i="25"/>
  <c r="BD145" i="25" s="1"/>
  <c r="BA145" i="25"/>
  <c r="AQ145" i="25"/>
  <c r="BB144" i="25"/>
  <c r="V153" i="25"/>
  <c r="AZ152" i="25"/>
  <c r="M151" i="30"/>
  <c r="AJ28" i="28"/>
  <c r="K228" i="30"/>
  <c r="L228" i="30" s="1"/>
  <c r="C152" i="30"/>
  <c r="AN149" i="25"/>
  <c r="AL150" i="25"/>
  <c r="BC150" i="25" s="1"/>
  <c r="AO147" i="25"/>
  <c r="AR152" i="25"/>
  <c r="AV152" i="25"/>
  <c r="BF152" i="25" s="1"/>
  <c r="AN150" i="25"/>
  <c r="AL149" i="25"/>
  <c r="BC149" i="25" s="1"/>
  <c r="AT149" i="25"/>
  <c r="BG149" i="25" s="1"/>
  <c r="AT150" i="25"/>
  <c r="BG150" i="25" s="1"/>
  <c r="AP146" i="25"/>
  <c r="AA152" i="25"/>
  <c r="AB152" i="25"/>
  <c r="AM149" i="25"/>
  <c r="AM150" i="25" s="1"/>
  <c r="AS153" i="25"/>
  <c r="AJ152" i="25"/>
  <c r="AI152" i="25"/>
  <c r="Y152" i="25"/>
  <c r="W152" i="25"/>
  <c r="AD152" i="25"/>
  <c r="AH152" i="25"/>
  <c r="AG152" i="25"/>
  <c r="AC152" i="25"/>
  <c r="AE152" i="25"/>
  <c r="AJ7" i="28"/>
  <c r="AJ15" i="28"/>
  <c r="AI5" i="28"/>
  <c r="AC5" i="28"/>
  <c r="V2" i="28"/>
  <c r="AG5" i="28"/>
  <c r="AH5" i="28" s="1"/>
  <c r="M232" i="25"/>
  <c r="Q231" i="25"/>
  <c r="O231" i="25"/>
  <c r="N231" i="25"/>
  <c r="P230" i="25"/>
  <c r="R230" i="25"/>
  <c r="S229" i="25"/>
  <c r="AH15" i="28"/>
  <c r="AH7" i="28"/>
  <c r="AH28" i="28"/>
  <c r="AB22" i="28"/>
  <c r="AD22" i="28" s="1"/>
  <c r="AB29" i="28"/>
  <c r="AD29" i="28" s="1"/>
  <c r="AB24" i="28"/>
  <c r="AD24" i="28" s="1"/>
  <c r="AA27" i="28"/>
  <c r="AC27" i="28" s="1"/>
  <c r="AF27" i="28" s="1"/>
  <c r="AB23" i="28"/>
  <c r="AD23" i="28" s="1"/>
  <c r="AB33" i="28"/>
  <c r="AD33" i="28" s="1"/>
  <c r="AA11" i="28"/>
  <c r="AC11" i="28" s="1"/>
  <c r="AF11" i="28" s="1"/>
  <c r="AA14" i="28"/>
  <c r="AC14" i="28" s="1"/>
  <c r="AF14" i="28" s="1"/>
  <c r="AA9" i="28"/>
  <c r="AC9" i="28" s="1"/>
  <c r="AF9" i="28" s="1"/>
  <c r="AA31" i="28"/>
  <c r="AC31" i="28" s="1"/>
  <c r="AF31" i="28" s="1"/>
  <c r="AB21" i="28"/>
  <c r="AD21" i="28" s="1"/>
  <c r="AA20" i="28"/>
  <c r="AC20" i="28" s="1"/>
  <c r="AF20" i="28" s="1"/>
  <c r="AB18" i="28"/>
  <c r="AD18" i="28" s="1"/>
  <c r="AA17" i="28"/>
  <c r="AC17" i="28" s="1"/>
  <c r="AF17" i="28" s="1"/>
  <c r="AA19" i="28"/>
  <c r="AC19" i="28" s="1"/>
  <c r="AF19" i="28" s="1"/>
  <c r="AB8" i="28"/>
  <c r="AD8" i="28" s="1"/>
  <c r="AA16" i="28"/>
  <c r="AC16" i="28" s="1"/>
  <c r="AF16" i="28" s="1"/>
  <c r="AB26" i="28"/>
  <c r="AD26" i="28" s="1"/>
  <c r="AB30" i="28"/>
  <c r="AD30" i="28" s="1"/>
  <c r="AA24" i="28"/>
  <c r="AC24" i="28" s="1"/>
  <c r="AF24" i="28" s="1"/>
  <c r="AB13" i="28"/>
  <c r="AD13" i="28" s="1"/>
  <c r="AB14" i="28"/>
  <c r="AD14" i="28" s="1"/>
  <c r="AA21" i="28"/>
  <c r="AC21" i="28" s="1"/>
  <c r="AF21" i="28" s="1"/>
  <c r="AA30" i="28"/>
  <c r="AC30" i="28" s="1"/>
  <c r="AF30" i="28" s="1"/>
  <c r="AA33" i="28"/>
  <c r="AC33" i="28" s="1"/>
  <c r="AF33" i="28" s="1"/>
  <c r="AA32" i="28"/>
  <c r="AC32" i="28" s="1"/>
  <c r="AF32" i="28" s="1"/>
  <c r="AA23" i="28"/>
  <c r="AC23" i="28" s="1"/>
  <c r="AF23" i="28" s="1"/>
  <c r="AA26" i="28"/>
  <c r="AC26" i="28" s="1"/>
  <c r="AF26" i="28" s="1"/>
  <c r="AA13" i="28"/>
  <c r="AC13" i="28" s="1"/>
  <c r="AF13" i="28" s="1"/>
  <c r="AA8" i="28"/>
  <c r="AC8" i="28" s="1"/>
  <c r="AF8" i="28" s="1"/>
  <c r="AA25" i="28"/>
  <c r="AC25" i="28" s="1"/>
  <c r="AF25" i="28" s="1"/>
  <c r="AA18" i="28"/>
  <c r="AC18" i="28" s="1"/>
  <c r="AF18" i="28" s="1"/>
  <c r="AA22" i="28"/>
  <c r="AC22" i="28" s="1"/>
  <c r="AF22" i="28" s="1"/>
  <c r="AB10" i="28"/>
  <c r="AD10" i="28" s="1"/>
  <c r="AB32" i="28"/>
  <c r="AB27" i="28"/>
  <c r="AA10" i="28"/>
  <c r="AB9" i="28"/>
  <c r="AB31" i="28"/>
  <c r="AA29" i="28"/>
  <c r="AC29" i="28" s="1"/>
  <c r="AF29" i="28" s="1"/>
  <c r="AB11" i="28"/>
  <c r="AD11" i="28" s="1"/>
  <c r="AB17" i="28"/>
  <c r="AB16" i="28"/>
  <c r="AB19" i="28"/>
  <c r="AD19" i="28" s="1"/>
  <c r="AB20" i="28"/>
  <c r="AD20" i="28" s="1"/>
  <c r="AB12" i="28"/>
  <c r="AD12" i="28" s="1"/>
  <c r="AA12" i="28"/>
  <c r="AC12" i="28" s="1"/>
  <c r="AF12" i="28" s="1"/>
  <c r="AB25" i="28"/>
  <c r="AD25" i="28" s="1"/>
  <c r="AW146" i="25" l="1"/>
  <c r="AX146" i="25" s="1"/>
  <c r="BH146" i="25" s="1"/>
  <c r="BE145" i="25"/>
  <c r="AU146" i="25"/>
  <c r="AY146" i="25"/>
  <c r="BD146" i="25" s="1"/>
  <c r="BA146" i="25"/>
  <c r="AQ146" i="25"/>
  <c r="BB145" i="25"/>
  <c r="V154" i="25"/>
  <c r="AZ153" i="25"/>
  <c r="M152" i="30"/>
  <c r="K229" i="30"/>
  <c r="L229" i="30" s="1"/>
  <c r="AG11" i="28"/>
  <c r="AJ11" i="28" s="1"/>
  <c r="C153" i="30"/>
  <c r="AO148" i="25"/>
  <c r="AV153" i="25"/>
  <c r="BF153" i="25" s="1"/>
  <c r="Y153" i="25"/>
  <c r="Z153" i="25" s="1"/>
  <c r="AR153" i="25"/>
  <c r="AP147" i="25"/>
  <c r="AA153" i="25"/>
  <c r="AB153" i="25"/>
  <c r="W153" i="25"/>
  <c r="X153" i="25" s="1"/>
  <c r="X152" i="25"/>
  <c r="AF152" i="25"/>
  <c r="Z152" i="25"/>
  <c r="AH153" i="25"/>
  <c r="AJ153" i="25"/>
  <c r="AI153" i="25"/>
  <c r="AK151" i="25"/>
  <c r="AC153" i="25"/>
  <c r="AG153" i="25"/>
  <c r="AD153" i="25"/>
  <c r="AF153" i="25"/>
  <c r="AE153" i="25"/>
  <c r="S230" i="25"/>
  <c r="AJ5" i="28"/>
  <c r="AG25" i="28"/>
  <c r="AE25" i="28" s="1"/>
  <c r="R231" i="25"/>
  <c r="P231" i="25"/>
  <c r="Q232" i="25"/>
  <c r="O232" i="25"/>
  <c r="N232" i="25"/>
  <c r="M233" i="25"/>
  <c r="AG14" i="28"/>
  <c r="AE14" i="28" s="1"/>
  <c r="AG26" i="28"/>
  <c r="AE26" i="28" s="1"/>
  <c r="AG33" i="28"/>
  <c r="AE33" i="28" s="1"/>
  <c r="AD9" i="28"/>
  <c r="AG9" i="28" s="1"/>
  <c r="AG12" i="28"/>
  <c r="AE12" i="28" s="1"/>
  <c r="AD31" i="28"/>
  <c r="AG31" i="28" s="1"/>
  <c r="AE31" i="28" s="1"/>
  <c r="AG19" i="28"/>
  <c r="AE19" i="28" s="1"/>
  <c r="AE11" i="28"/>
  <c r="AC10" i="28"/>
  <c r="AF10" i="28" s="1"/>
  <c r="AG18" i="28"/>
  <c r="AE18" i="28" s="1"/>
  <c r="AG23" i="28"/>
  <c r="AE23" i="28" s="1"/>
  <c r="AD27" i="28"/>
  <c r="AG27" i="28" s="1"/>
  <c r="AE27" i="28" s="1"/>
  <c r="AG20" i="28"/>
  <c r="AE20" i="28" s="1"/>
  <c r="AD16" i="28"/>
  <c r="AG16" i="28" s="1"/>
  <c r="AE16" i="28" s="1"/>
  <c r="AD32" i="28"/>
  <c r="AG32" i="28" s="1"/>
  <c r="AE32" i="28" s="1"/>
  <c r="AG30" i="28"/>
  <c r="AE30" i="28" s="1"/>
  <c r="AG21" i="28"/>
  <c r="AE21" i="28" s="1"/>
  <c r="AG24" i="28"/>
  <c r="AE24" i="28" s="1"/>
  <c r="AD17" i="28"/>
  <c r="AG17" i="28" s="1"/>
  <c r="AE17" i="28" s="1"/>
  <c r="AG29" i="28"/>
  <c r="AE29" i="28" s="1"/>
  <c r="AG22" i="28"/>
  <c r="AE22" i="28" s="1"/>
  <c r="AG8" i="28"/>
  <c r="AG13" i="28"/>
  <c r="AE13" i="28" s="1"/>
  <c r="AW147" i="25" l="1"/>
  <c r="AX147" i="25" s="1"/>
  <c r="BH147" i="25" s="1"/>
  <c r="BE146" i="25"/>
  <c r="AU147" i="25"/>
  <c r="AQ147" i="25"/>
  <c r="BB146" i="25"/>
  <c r="AY147" i="25"/>
  <c r="BD147" i="25" s="1"/>
  <c r="BA147" i="25"/>
  <c r="V155" i="25"/>
  <c r="AS155" i="25" s="1"/>
  <c r="AZ154" i="25"/>
  <c r="AS154" i="25"/>
  <c r="E47" i="30"/>
  <c r="E41" i="30"/>
  <c r="E59" i="30"/>
  <c r="E6" i="30"/>
  <c r="E55" i="30"/>
  <c r="E32" i="30"/>
  <c r="M153" i="30"/>
  <c r="E40" i="30"/>
  <c r="E57" i="30"/>
  <c r="E26" i="30"/>
  <c r="E44" i="30"/>
  <c r="E45" i="30"/>
  <c r="E48" i="30"/>
  <c r="E56" i="30"/>
  <c r="E42" i="30"/>
  <c r="E27" i="30"/>
  <c r="E38" i="30"/>
  <c r="E46" i="30"/>
  <c r="E31" i="30"/>
  <c r="E25" i="30"/>
  <c r="E58" i="30"/>
  <c r="E43" i="30"/>
  <c r="E39" i="30"/>
  <c r="AE9" i="28"/>
  <c r="AJ16" i="28"/>
  <c r="K230" i="30"/>
  <c r="L230" i="30" s="1"/>
  <c r="AE8" i="28"/>
  <c r="C154" i="30"/>
  <c r="AO149" i="25"/>
  <c r="AV154" i="25"/>
  <c r="BF154" i="25" s="1"/>
  <c r="Y154" i="25"/>
  <c r="Z154" i="25" s="1"/>
  <c r="AT151" i="25"/>
  <c r="BG151" i="25" s="1"/>
  <c r="AN151" i="25"/>
  <c r="W154" i="25"/>
  <c r="X154" i="25" s="1"/>
  <c r="AR154" i="25"/>
  <c r="AP148" i="25"/>
  <c r="AA154" i="25"/>
  <c r="AB154" i="25"/>
  <c r="AE154" i="25"/>
  <c r="AH154" i="25"/>
  <c r="AI154" i="25"/>
  <c r="AJ154" i="25"/>
  <c r="AL151" i="25"/>
  <c r="BC151" i="25" s="1"/>
  <c r="AM151" i="25"/>
  <c r="AK152" i="25"/>
  <c r="AC154" i="25"/>
  <c r="S231" i="25"/>
  <c r="AD154" i="25"/>
  <c r="AF154" i="25"/>
  <c r="AG154" i="25"/>
  <c r="AJ26" i="28"/>
  <c r="AJ14" i="28"/>
  <c r="AJ31" i="28"/>
  <c r="AJ20" i="28"/>
  <c r="AJ8" i="28"/>
  <c r="AJ32" i="28"/>
  <c r="AJ24" i="28"/>
  <c r="AJ19" i="28"/>
  <c r="AJ27" i="28"/>
  <c r="AJ23" i="28"/>
  <c r="AJ12" i="28"/>
  <c r="AJ21" i="28"/>
  <c r="AJ25" i="28"/>
  <c r="AJ18" i="28"/>
  <c r="AJ29" i="28"/>
  <c r="AJ30" i="28"/>
  <c r="AJ13" i="28"/>
  <c r="AJ9" i="28"/>
  <c r="AJ33" i="28"/>
  <c r="AJ17" i="28"/>
  <c r="AJ22" i="28"/>
  <c r="AH9" i="28"/>
  <c r="AH23" i="28"/>
  <c r="AI23" i="28" s="1"/>
  <c r="AH33" i="28"/>
  <c r="AI33" i="28" s="1"/>
  <c r="AH24" i="28"/>
  <c r="AI24" i="28" s="1"/>
  <c r="AH18" i="28"/>
  <c r="AI18" i="28" s="1"/>
  <c r="AH26" i="28"/>
  <c r="AI26" i="28" s="1"/>
  <c r="AH27" i="28"/>
  <c r="AI27" i="28" s="1"/>
  <c r="AH14" i="28"/>
  <c r="AI14" i="28" s="1"/>
  <c r="AH21" i="28"/>
  <c r="AI21" i="28" s="1"/>
  <c r="AH30" i="28"/>
  <c r="AI30" i="28" s="1"/>
  <c r="AH11" i="28"/>
  <c r="AI11" i="28" s="1"/>
  <c r="AH17" i="28"/>
  <c r="AI17" i="28" s="1"/>
  <c r="AH13" i="28"/>
  <c r="AI13" i="28" s="1"/>
  <c r="AH32" i="28"/>
  <c r="AI32" i="28" s="1"/>
  <c r="AH19" i="28"/>
  <c r="AI19" i="28" s="1"/>
  <c r="AH29" i="28"/>
  <c r="AI29" i="28" s="1"/>
  <c r="AH16" i="28"/>
  <c r="AI16" i="28" s="1"/>
  <c r="AH31" i="28"/>
  <c r="AI31" i="28" s="1"/>
  <c r="AH8" i="28"/>
  <c r="AI8" i="28" s="1"/>
  <c r="AH22" i="28"/>
  <c r="AI22" i="28" s="1"/>
  <c r="AH20" i="28"/>
  <c r="AI20" i="28" s="1"/>
  <c r="AH12" i="28"/>
  <c r="AI12" i="28" s="1"/>
  <c r="AH25" i="28"/>
  <c r="AI25" i="28" s="1"/>
  <c r="M234" i="25"/>
  <c r="P232" i="25"/>
  <c r="R232" i="25"/>
  <c r="O233" i="25"/>
  <c r="N233" i="25"/>
  <c r="Q233" i="25"/>
  <c r="AG10" i="28"/>
  <c r="E98" i="30" s="1"/>
  <c r="AW148" i="25" l="1"/>
  <c r="AX148" i="25" s="1"/>
  <c r="BH148" i="25" s="1"/>
  <c r="BE147" i="25"/>
  <c r="AU148" i="25"/>
  <c r="AY148" i="25"/>
  <c r="BD148" i="25" s="1"/>
  <c r="BA148" i="25"/>
  <c r="AQ148" i="25"/>
  <c r="BB147" i="25"/>
  <c r="V156" i="25"/>
  <c r="AZ155" i="25"/>
  <c r="E34" i="30"/>
  <c r="E96" i="30"/>
  <c r="E66" i="30"/>
  <c r="E35" i="30"/>
  <c r="E92" i="30"/>
  <c r="E118" i="30"/>
  <c r="E72" i="30"/>
  <c r="E73" i="30"/>
  <c r="E28" i="30"/>
  <c r="E104" i="30"/>
  <c r="E105" i="30"/>
  <c r="E95" i="30"/>
  <c r="E87" i="30"/>
  <c r="E71" i="30"/>
  <c r="E100" i="30"/>
  <c r="E107" i="30"/>
  <c r="E102" i="30"/>
  <c r="E86" i="30"/>
  <c r="E70" i="30"/>
  <c r="E88" i="30"/>
  <c r="E113" i="30"/>
  <c r="E97" i="30"/>
  <c r="E110" i="30"/>
  <c r="E94" i="30"/>
  <c r="E109" i="30"/>
  <c r="E101" i="30"/>
  <c r="E111" i="30"/>
  <c r="E33" i="30"/>
  <c r="E122" i="30"/>
  <c r="E91" i="30"/>
  <c r="E30" i="30"/>
  <c r="E108" i="30"/>
  <c r="E37" i="30"/>
  <c r="E93" i="30"/>
  <c r="E69" i="30"/>
  <c r="E83" i="30"/>
  <c r="E84" i="30"/>
  <c r="E90" i="30"/>
  <c r="E29" i="30"/>
  <c r="E85" i="30"/>
  <c r="E103" i="30"/>
  <c r="E89" i="30"/>
  <c r="E99" i="30"/>
  <c r="E106" i="30"/>
  <c r="E36" i="30"/>
  <c r="M154" i="30"/>
  <c r="E13" i="30"/>
  <c r="E133" i="30"/>
  <c r="E125" i="30"/>
  <c r="E129" i="30"/>
  <c r="E22" i="30"/>
  <c r="E68" i="30"/>
  <c r="E11" i="30"/>
  <c r="E63" i="30"/>
  <c r="E49" i="30"/>
  <c r="E115" i="30"/>
  <c r="E16" i="30"/>
  <c r="E20" i="30"/>
  <c r="E136" i="30"/>
  <c r="E17" i="30"/>
  <c r="E61" i="30"/>
  <c r="E9" i="30"/>
  <c r="E117" i="30"/>
  <c r="E65" i="30"/>
  <c r="E51" i="30"/>
  <c r="E128" i="30"/>
  <c r="E120" i="30"/>
  <c r="E53" i="30"/>
  <c r="E112" i="30"/>
  <c r="E131" i="30"/>
  <c r="E123" i="30"/>
  <c r="E21" i="30"/>
  <c r="E130" i="30"/>
  <c r="E8" i="30"/>
  <c r="E12" i="30"/>
  <c r="E64" i="30"/>
  <c r="E52" i="30"/>
  <c r="E121" i="30"/>
  <c r="E14" i="30"/>
  <c r="E67" i="30"/>
  <c r="E119" i="30"/>
  <c r="E24" i="30"/>
  <c r="E132" i="30"/>
  <c r="E135" i="30"/>
  <c r="E138" i="30"/>
  <c r="E124" i="30"/>
  <c r="E54" i="30"/>
  <c r="E23" i="30"/>
  <c r="E19" i="30"/>
  <c r="E134" i="30"/>
  <c r="E116" i="30"/>
  <c r="E141" i="30"/>
  <c r="E114" i="30"/>
  <c r="E15" i="30"/>
  <c r="E7" i="30"/>
  <c r="E60" i="30"/>
  <c r="E18" i="30"/>
  <c r="E10" i="30"/>
  <c r="E126" i="30"/>
  <c r="E140" i="30"/>
  <c r="E50" i="30"/>
  <c r="E137" i="30"/>
  <c r="E139" i="30"/>
  <c r="E127" i="30"/>
  <c r="E62" i="30"/>
  <c r="AI9" i="28"/>
  <c r="K231" i="30"/>
  <c r="L231" i="30" s="1"/>
  <c r="AE10" i="28"/>
  <c r="C155" i="30"/>
  <c r="AN152" i="25"/>
  <c r="AO150" i="25"/>
  <c r="AR155" i="25"/>
  <c r="AV155" i="25"/>
  <c r="BF155" i="25" s="1"/>
  <c r="AL152" i="25"/>
  <c r="BC152" i="25" s="1"/>
  <c r="AT152" i="25"/>
  <c r="BG152" i="25" s="1"/>
  <c r="W155" i="25"/>
  <c r="X155" i="25" s="1"/>
  <c r="AP149" i="25"/>
  <c r="AA155" i="25"/>
  <c r="AB155" i="25"/>
  <c r="AI155" i="25"/>
  <c r="AJ155" i="25"/>
  <c r="Y155" i="25"/>
  <c r="AM152" i="25"/>
  <c r="AK153" i="25"/>
  <c r="AC155" i="25"/>
  <c r="AG155" i="25"/>
  <c r="AE155" i="25"/>
  <c r="AF155" i="25"/>
  <c r="AD155" i="25"/>
  <c r="AJ10" i="28"/>
  <c r="AJ2" i="28" s="1"/>
  <c r="R233" i="25"/>
  <c r="P233" i="25"/>
  <c r="S232" i="25"/>
  <c r="M235" i="25"/>
  <c r="N234" i="25"/>
  <c r="Q234" i="25"/>
  <c r="O234" i="25"/>
  <c r="AH10" i="28"/>
  <c r="E80" i="30" s="1"/>
  <c r="AW149" i="25" l="1"/>
  <c r="AX149" i="25" s="1"/>
  <c r="BH149" i="25" s="1"/>
  <c r="BE148" i="25"/>
  <c r="AU149" i="25"/>
  <c r="AY149" i="25"/>
  <c r="BD149" i="25" s="1"/>
  <c r="BA149" i="25"/>
  <c r="AQ149" i="25"/>
  <c r="BB148" i="25"/>
  <c r="V157" i="25"/>
  <c r="AS157" i="25" s="1"/>
  <c r="AZ156" i="25"/>
  <c r="AS156" i="25"/>
  <c r="E78" i="30"/>
  <c r="E77" i="30"/>
  <c r="E79" i="30"/>
  <c r="E82" i="30"/>
  <c r="E74" i="30"/>
  <c r="E75" i="30"/>
  <c r="E76" i="30"/>
  <c r="E81" i="30"/>
  <c r="E146" i="30"/>
  <c r="E148" i="30"/>
  <c r="E149" i="30"/>
  <c r="M155" i="30"/>
  <c r="E155" i="30" s="1"/>
  <c r="E153" i="30"/>
  <c r="E143" i="30"/>
  <c r="E147" i="30"/>
  <c r="E152" i="30"/>
  <c r="E142" i="30"/>
  <c r="E154" i="30"/>
  <c r="E144" i="30"/>
  <c r="E145" i="30"/>
  <c r="E151" i="30"/>
  <c r="E150" i="30"/>
  <c r="K232" i="30"/>
  <c r="L232" i="30" s="1"/>
  <c r="C156" i="30"/>
  <c r="AN153" i="25"/>
  <c r="AO151" i="25"/>
  <c r="AV156" i="25"/>
  <c r="BF156" i="25" s="1"/>
  <c r="AL153" i="25"/>
  <c r="BC153" i="25" s="1"/>
  <c r="AT153" i="25"/>
  <c r="BG153" i="25" s="1"/>
  <c r="W156" i="25"/>
  <c r="X156" i="25" s="1"/>
  <c r="AR156" i="25"/>
  <c r="Y156" i="25"/>
  <c r="Z156" i="25" s="1"/>
  <c r="AP150" i="25"/>
  <c r="AA156" i="25"/>
  <c r="AB156" i="25"/>
  <c r="AC156" i="25"/>
  <c r="AD156" i="25"/>
  <c r="AH155" i="25"/>
  <c r="Z155" i="25"/>
  <c r="AF156" i="25"/>
  <c r="AI156" i="25"/>
  <c r="AJ156" i="25"/>
  <c r="AK154" i="25"/>
  <c r="AM153" i="25"/>
  <c r="AG156" i="25"/>
  <c r="AE156" i="25"/>
  <c r="AH156" i="25"/>
  <c r="S233" i="25"/>
  <c r="R234" i="25"/>
  <c r="P234" i="25"/>
  <c r="M236" i="25"/>
  <c r="O235" i="25"/>
  <c r="Q235" i="25"/>
  <c r="N235" i="25"/>
  <c r="AI10" i="28"/>
  <c r="AW150" i="25" l="1"/>
  <c r="AX150" i="25" s="1"/>
  <c r="BH150" i="25" s="1"/>
  <c r="Y157" i="25"/>
  <c r="BE149" i="25"/>
  <c r="AU150" i="25"/>
  <c r="AY150" i="25"/>
  <c r="BD150" i="25" s="1"/>
  <c r="BA150" i="25"/>
  <c r="AQ150" i="25"/>
  <c r="BB149" i="25"/>
  <c r="V158" i="25"/>
  <c r="AS158" i="25" s="1"/>
  <c r="AZ157" i="25"/>
  <c r="M156" i="30"/>
  <c r="E156" i="30" s="1"/>
  <c r="K233" i="30"/>
  <c r="L233" i="30" s="1"/>
  <c r="C157" i="30"/>
  <c r="AN154" i="25"/>
  <c r="AO152" i="25"/>
  <c r="W157" i="25"/>
  <c r="X157" i="25" s="1"/>
  <c r="AV157" i="25"/>
  <c r="BF157" i="25" s="1"/>
  <c r="AL154" i="25"/>
  <c r="BC154" i="25" s="1"/>
  <c r="AT154" i="25"/>
  <c r="BG154" i="25" s="1"/>
  <c r="AE157" i="25"/>
  <c r="AR157" i="25"/>
  <c r="AP151" i="25"/>
  <c r="AA157" i="25"/>
  <c r="AB157" i="25"/>
  <c r="AM154" i="25"/>
  <c r="AF157" i="25"/>
  <c r="Z157" i="25"/>
  <c r="AI157" i="25"/>
  <c r="AJ157" i="25"/>
  <c r="AK155" i="25"/>
  <c r="AK156" i="25"/>
  <c r="AG157" i="25"/>
  <c r="AH157" i="25"/>
  <c r="AC157" i="25"/>
  <c r="AD157" i="25"/>
  <c r="R235" i="25"/>
  <c r="P235" i="25"/>
  <c r="M237" i="25"/>
  <c r="O236" i="25"/>
  <c r="N236" i="25"/>
  <c r="Q236" i="25"/>
  <c r="S234" i="25"/>
  <c r="AW151" i="25" l="1"/>
  <c r="AX151" i="25" s="1"/>
  <c r="BH151" i="25" s="1"/>
  <c r="BE150" i="25"/>
  <c r="AU151" i="25"/>
  <c r="AQ151" i="25"/>
  <c r="BB150" i="25"/>
  <c r="AY151" i="25"/>
  <c r="BD151" i="25" s="1"/>
  <c r="BA151" i="25"/>
  <c r="V159" i="25"/>
  <c r="AS159" i="25" s="1"/>
  <c r="AZ158" i="25"/>
  <c r="M157" i="30"/>
  <c r="E157" i="30" s="1"/>
  <c r="K234" i="30"/>
  <c r="L234" i="30" s="1"/>
  <c r="C158" i="30"/>
  <c r="AL156" i="25"/>
  <c r="BC156" i="25" s="1"/>
  <c r="AN155" i="25"/>
  <c r="AO153" i="25"/>
  <c r="AV158" i="25"/>
  <c r="BF158" i="25" s="1"/>
  <c r="AN156" i="25"/>
  <c r="AT156" i="25"/>
  <c r="BG156" i="25" s="1"/>
  <c r="AL155" i="25"/>
  <c r="BC155" i="25" s="1"/>
  <c r="AT155" i="25"/>
  <c r="BG155" i="25" s="1"/>
  <c r="Y158" i="25"/>
  <c r="Z158" i="25" s="1"/>
  <c r="AR158" i="25"/>
  <c r="AP152" i="25"/>
  <c r="AB158" i="25"/>
  <c r="AA158" i="25"/>
  <c r="AJ158" i="25"/>
  <c r="AI158" i="25"/>
  <c r="W158" i="25"/>
  <c r="AH158" i="25"/>
  <c r="AM155" i="25"/>
  <c r="AE158" i="25"/>
  <c r="AC158" i="25"/>
  <c r="AG158" i="25"/>
  <c r="AF158" i="25"/>
  <c r="P236" i="25"/>
  <c r="R236" i="25"/>
  <c r="M238" i="25"/>
  <c r="O237" i="25"/>
  <c r="N237" i="25"/>
  <c r="Q237" i="25"/>
  <c r="S235" i="25"/>
  <c r="AW152" i="25" l="1"/>
  <c r="AX152" i="25" s="1"/>
  <c r="BH152" i="25" s="1"/>
  <c r="BE151" i="25"/>
  <c r="AU152" i="25"/>
  <c r="AY152" i="25"/>
  <c r="BD152" i="25" s="1"/>
  <c r="BA152" i="25"/>
  <c r="AQ152" i="25"/>
  <c r="BB151" i="25"/>
  <c r="V160" i="25"/>
  <c r="AS160" i="25" s="1"/>
  <c r="AZ159" i="25"/>
  <c r="M158" i="30"/>
  <c r="E158" i="30" s="1"/>
  <c r="K235" i="30"/>
  <c r="L235" i="30" s="1"/>
  <c r="C159" i="30"/>
  <c r="AO154" i="25"/>
  <c r="AV159" i="25"/>
  <c r="BF159" i="25" s="1"/>
  <c r="W159" i="25"/>
  <c r="X159" i="25" s="1"/>
  <c r="AR159" i="25"/>
  <c r="Y159" i="25"/>
  <c r="Z159" i="25" s="1"/>
  <c r="AP153" i="25"/>
  <c r="AB159" i="25"/>
  <c r="AA159" i="25"/>
  <c r="AH159" i="25"/>
  <c r="AD158" i="25"/>
  <c r="X158" i="25"/>
  <c r="AM156" i="25"/>
  <c r="AJ159" i="25"/>
  <c r="AI159" i="25"/>
  <c r="AK157" i="25"/>
  <c r="AE159" i="25"/>
  <c r="AG159" i="25"/>
  <c r="AF159" i="25"/>
  <c r="AC159" i="25"/>
  <c r="AD159" i="25"/>
  <c r="S236" i="25"/>
  <c r="P237" i="25"/>
  <c r="R237" i="25"/>
  <c r="M239" i="25"/>
  <c r="Q238" i="25"/>
  <c r="O238" i="25"/>
  <c r="N238" i="25"/>
  <c r="AW153" i="25" l="1"/>
  <c r="AX153" i="25" s="1"/>
  <c r="BH153" i="25" s="1"/>
  <c r="BE152" i="25"/>
  <c r="AU153" i="25"/>
  <c r="AQ153" i="25"/>
  <c r="BB152" i="25"/>
  <c r="AY153" i="25"/>
  <c r="BD153" i="25" s="1"/>
  <c r="BA153" i="25"/>
  <c r="V161" i="25"/>
  <c r="AS161" i="25" s="1"/>
  <c r="AZ160" i="25"/>
  <c r="M159" i="30"/>
  <c r="E159" i="30" s="1"/>
  <c r="K236" i="30"/>
  <c r="L236" i="30" s="1"/>
  <c r="C160" i="30"/>
  <c r="AN157" i="25"/>
  <c r="AO155" i="25"/>
  <c r="AR160" i="25"/>
  <c r="AV160" i="25"/>
  <c r="BF160" i="25" s="1"/>
  <c r="AL157" i="25"/>
  <c r="BC157" i="25" s="1"/>
  <c r="AT157" i="25"/>
  <c r="BG157" i="25" s="1"/>
  <c r="W160" i="25"/>
  <c r="X160" i="25" s="1"/>
  <c r="AP154" i="25"/>
  <c r="Y160" i="25"/>
  <c r="Z160" i="25" s="1"/>
  <c r="AB160" i="25"/>
  <c r="AA160" i="25"/>
  <c r="AH160" i="25"/>
  <c r="AD160" i="25"/>
  <c r="AJ160" i="25"/>
  <c r="AI160" i="25"/>
  <c r="AM157" i="25"/>
  <c r="AK158" i="25"/>
  <c r="AG160" i="25"/>
  <c r="AC160" i="25"/>
  <c r="AE160" i="25"/>
  <c r="AK159" i="25"/>
  <c r="AF160" i="25"/>
  <c r="P238" i="25"/>
  <c r="R238" i="25"/>
  <c r="Q239" i="25"/>
  <c r="O239" i="25"/>
  <c r="N239" i="25"/>
  <c r="M240" i="25"/>
  <c r="S237" i="25"/>
  <c r="AW154" i="25" l="1"/>
  <c r="AX154" i="25" s="1"/>
  <c r="BH154" i="25" s="1"/>
  <c r="BE153" i="25"/>
  <c r="AU154" i="25"/>
  <c r="AY154" i="25"/>
  <c r="BD154" i="25" s="1"/>
  <c r="BA154" i="25"/>
  <c r="AQ154" i="25"/>
  <c r="BB153" i="25"/>
  <c r="V162" i="25"/>
  <c r="AS162" i="25" s="1"/>
  <c r="AZ161" i="25"/>
  <c r="M160" i="30"/>
  <c r="E160" i="30"/>
  <c r="K237" i="30"/>
  <c r="L237" i="30" s="1"/>
  <c r="C161" i="30"/>
  <c r="AL159" i="25"/>
  <c r="BC159" i="25" s="1"/>
  <c r="AN158" i="25"/>
  <c r="AO156" i="25"/>
  <c r="AR161" i="25"/>
  <c r="AV161" i="25"/>
  <c r="BF161" i="25" s="1"/>
  <c r="AN159" i="25"/>
  <c r="AT159" i="25"/>
  <c r="BG159" i="25" s="1"/>
  <c r="AL158" i="25"/>
  <c r="BC158" i="25" s="1"/>
  <c r="AT158" i="25"/>
  <c r="BG158" i="25" s="1"/>
  <c r="AP155" i="25"/>
  <c r="AB161" i="25"/>
  <c r="AA161" i="25"/>
  <c r="AJ161" i="25"/>
  <c r="AI161" i="25"/>
  <c r="AM158" i="25"/>
  <c r="Y161" i="25"/>
  <c r="W161" i="25"/>
  <c r="AC161" i="25"/>
  <c r="AH161" i="25"/>
  <c r="AE161" i="25"/>
  <c r="AG161" i="25"/>
  <c r="S238" i="25"/>
  <c r="N240" i="25"/>
  <c r="O240" i="25"/>
  <c r="Q240" i="25"/>
  <c r="R239" i="25"/>
  <c r="P239" i="25"/>
  <c r="M241" i="25"/>
  <c r="AW155" i="25" l="1"/>
  <c r="AX155" i="25" s="1"/>
  <c r="BH155" i="25" s="1"/>
  <c r="BE154" i="25"/>
  <c r="AU155" i="25"/>
  <c r="AY155" i="25"/>
  <c r="BD155" i="25" s="1"/>
  <c r="BA155" i="25"/>
  <c r="AQ155" i="25"/>
  <c r="BB154" i="25"/>
  <c r="V163" i="25"/>
  <c r="AS163" i="25" s="1"/>
  <c r="AZ162" i="25"/>
  <c r="M161" i="30"/>
  <c r="E161" i="30" s="1"/>
  <c r="K238" i="30"/>
  <c r="L238" i="30" s="1"/>
  <c r="C162" i="30"/>
  <c r="AO157" i="25"/>
  <c r="AV162" i="25"/>
  <c r="BF162" i="25" s="1"/>
  <c r="W162" i="25"/>
  <c r="X162" i="25" s="1"/>
  <c r="AR162" i="25"/>
  <c r="Y162" i="25"/>
  <c r="Z162" i="25" s="1"/>
  <c r="AP156" i="25"/>
  <c r="AA162" i="25"/>
  <c r="AB162" i="25"/>
  <c r="AF161" i="25"/>
  <c r="Z161" i="25"/>
  <c r="AM159" i="25"/>
  <c r="AH162" i="25"/>
  <c r="AI162" i="25"/>
  <c r="AJ162" i="25"/>
  <c r="AD161" i="25"/>
  <c r="X161" i="25"/>
  <c r="AD162" i="25"/>
  <c r="AK160" i="25"/>
  <c r="AG162" i="25"/>
  <c r="AE162" i="25"/>
  <c r="AC162" i="25"/>
  <c r="AF162" i="25"/>
  <c r="AK161" i="25"/>
  <c r="Q241" i="25"/>
  <c r="O241" i="25"/>
  <c r="N241" i="25"/>
  <c r="S239" i="25"/>
  <c r="M242" i="25"/>
  <c r="R240" i="25"/>
  <c r="P240" i="25"/>
  <c r="AW156" i="25" l="1"/>
  <c r="AX156" i="25" s="1"/>
  <c r="BH156" i="25" s="1"/>
  <c r="BE155" i="25"/>
  <c r="AU156" i="25"/>
  <c r="AY156" i="25"/>
  <c r="BD156" i="25" s="1"/>
  <c r="BA156" i="25"/>
  <c r="AQ156" i="25"/>
  <c r="BB155" i="25"/>
  <c r="V164" i="25"/>
  <c r="AS164" i="25" s="1"/>
  <c r="AZ163" i="25"/>
  <c r="M162" i="30"/>
  <c r="E162" i="30" s="1"/>
  <c r="K239" i="30"/>
  <c r="L239" i="30" s="1"/>
  <c r="C163" i="30"/>
  <c r="AL161" i="25"/>
  <c r="BC161" i="25" s="1"/>
  <c r="AN160" i="25"/>
  <c r="AO158" i="25"/>
  <c r="AV163" i="25"/>
  <c r="BF163" i="25" s="1"/>
  <c r="AN161" i="25"/>
  <c r="AL160" i="25"/>
  <c r="BC160" i="25" s="1"/>
  <c r="AT160" i="25"/>
  <c r="BG160" i="25" s="1"/>
  <c r="AT161" i="25"/>
  <c r="BG161" i="25" s="1"/>
  <c r="W163" i="25"/>
  <c r="X163" i="25" s="1"/>
  <c r="AR163" i="25"/>
  <c r="AP157" i="25"/>
  <c r="AA163" i="25"/>
  <c r="AB163" i="25"/>
  <c r="AI163" i="25"/>
  <c r="AJ163" i="25"/>
  <c r="Y163" i="25"/>
  <c r="AM160" i="25"/>
  <c r="AE163" i="25"/>
  <c r="AF163" i="25"/>
  <c r="AD163" i="25"/>
  <c r="AG163" i="25"/>
  <c r="AC163" i="25"/>
  <c r="S240" i="25"/>
  <c r="M243" i="25"/>
  <c r="Q242" i="25"/>
  <c r="O242" i="25"/>
  <c r="N242" i="25"/>
  <c r="R241" i="25"/>
  <c r="P241" i="25"/>
  <c r="AW157" i="25" l="1"/>
  <c r="AX157" i="25" s="1"/>
  <c r="BH157" i="25" s="1"/>
  <c r="BE156" i="25"/>
  <c r="AU157" i="25"/>
  <c r="AQ157" i="25"/>
  <c r="BB156" i="25"/>
  <c r="AY157" i="25"/>
  <c r="BD157" i="25" s="1"/>
  <c r="BA157" i="25"/>
  <c r="V165" i="25"/>
  <c r="AS165" i="25" s="1"/>
  <c r="AZ164" i="25"/>
  <c r="M163" i="30"/>
  <c r="E163" i="30"/>
  <c r="K240" i="30"/>
  <c r="L240" i="30" s="1"/>
  <c r="C164" i="30"/>
  <c r="AO159" i="25"/>
  <c r="AV164" i="25"/>
  <c r="BF164" i="25" s="1"/>
  <c r="S241" i="25"/>
  <c r="Y164" i="25"/>
  <c r="Z164" i="25" s="1"/>
  <c r="AR164" i="25"/>
  <c r="AP158" i="25"/>
  <c r="AA164" i="25"/>
  <c r="AB164" i="25"/>
  <c r="AH163" i="25"/>
  <c r="Z163" i="25"/>
  <c r="AM161" i="25"/>
  <c r="AF164" i="25"/>
  <c r="AI164" i="25"/>
  <c r="AJ164" i="25"/>
  <c r="W164" i="25"/>
  <c r="AK162" i="25"/>
  <c r="AC164" i="25"/>
  <c r="AG164" i="25"/>
  <c r="AE164" i="25"/>
  <c r="AH164" i="25"/>
  <c r="AD164" i="25"/>
  <c r="P242" i="25"/>
  <c r="R242" i="25"/>
  <c r="N243" i="25"/>
  <c r="Q243" i="25"/>
  <c r="O243" i="25"/>
  <c r="M244" i="25"/>
  <c r="AW158" i="25" l="1"/>
  <c r="AX158" i="25" s="1"/>
  <c r="BH158" i="25" s="1"/>
  <c r="BE157" i="25"/>
  <c r="AU158" i="25"/>
  <c r="AY158" i="25"/>
  <c r="BD158" i="25" s="1"/>
  <c r="BA158" i="25"/>
  <c r="AQ158" i="25"/>
  <c r="BB157" i="25"/>
  <c r="V166" i="25"/>
  <c r="AZ165" i="25"/>
  <c r="M164" i="30"/>
  <c r="E164" i="30" s="1"/>
  <c r="K241" i="30"/>
  <c r="L241" i="30" s="1"/>
  <c r="C165" i="30"/>
  <c r="AN162" i="25"/>
  <c r="AO160" i="25"/>
  <c r="AV165" i="25"/>
  <c r="BF165" i="25" s="1"/>
  <c r="AL162" i="25"/>
  <c r="BC162" i="25" s="1"/>
  <c r="AT162" i="25"/>
  <c r="BG162" i="25" s="1"/>
  <c r="W165" i="25"/>
  <c r="X165" i="25" s="1"/>
  <c r="AR165" i="25"/>
  <c r="AP159" i="25"/>
  <c r="AA165" i="25"/>
  <c r="AB165" i="25"/>
  <c r="Y165" i="25"/>
  <c r="Z165" i="25" s="1"/>
  <c r="AI165" i="25"/>
  <c r="AJ165" i="25"/>
  <c r="AF165" i="25"/>
  <c r="X164" i="25"/>
  <c r="AM162" i="25"/>
  <c r="AK163" i="25"/>
  <c r="AD165" i="25"/>
  <c r="AH165" i="25"/>
  <c r="AE165" i="25"/>
  <c r="AG165" i="25"/>
  <c r="AC165" i="25"/>
  <c r="S242" i="25"/>
  <c r="M245" i="25"/>
  <c r="O244" i="25"/>
  <c r="N244" i="25"/>
  <c r="Q244" i="25"/>
  <c r="R243" i="25"/>
  <c r="P243" i="25"/>
  <c r="AW159" i="25" l="1"/>
  <c r="AX159" i="25" s="1"/>
  <c r="BH159" i="25" s="1"/>
  <c r="BE158" i="25"/>
  <c r="AU159" i="25"/>
  <c r="AQ159" i="25"/>
  <c r="BB158" i="25"/>
  <c r="AY159" i="25"/>
  <c r="BD159" i="25" s="1"/>
  <c r="BA159" i="25"/>
  <c r="V167" i="25"/>
  <c r="AS167" i="25" s="1"/>
  <c r="AZ166" i="25"/>
  <c r="AS166" i="25"/>
  <c r="M165" i="30"/>
  <c r="E165" i="30" s="1"/>
  <c r="K242" i="30"/>
  <c r="L242" i="30" s="1"/>
  <c r="C166" i="30"/>
  <c r="AN163" i="25"/>
  <c r="AO161" i="25"/>
  <c r="AV166" i="25"/>
  <c r="BF166" i="25" s="1"/>
  <c r="AL163" i="25"/>
  <c r="BC163" i="25" s="1"/>
  <c r="AT163" i="25"/>
  <c r="BG163" i="25" s="1"/>
  <c r="AG166" i="25"/>
  <c r="AR166" i="25"/>
  <c r="Y166" i="25"/>
  <c r="Z166" i="25" s="1"/>
  <c r="AD166" i="25"/>
  <c r="AF166" i="25"/>
  <c r="AP160" i="25"/>
  <c r="W166" i="25"/>
  <c r="X166" i="25" s="1"/>
  <c r="AH166" i="25"/>
  <c r="AE166" i="25"/>
  <c r="AB166" i="25"/>
  <c r="AA166" i="25"/>
  <c r="AC166" i="25"/>
  <c r="AJ166" i="25"/>
  <c r="AI166" i="25"/>
  <c r="AM163" i="25"/>
  <c r="AK164" i="25"/>
  <c r="AK165" i="25"/>
  <c r="S243" i="25"/>
  <c r="R244" i="25"/>
  <c r="P244" i="25"/>
  <c r="M246" i="25"/>
  <c r="O245" i="25"/>
  <c r="N245" i="25"/>
  <c r="Q245" i="25"/>
  <c r="AW160" i="25" l="1"/>
  <c r="AX160" i="25" s="1"/>
  <c r="BH160" i="25" s="1"/>
  <c r="BE159" i="25"/>
  <c r="AU160" i="25"/>
  <c r="AY160" i="25"/>
  <c r="BD160" i="25" s="1"/>
  <c r="BA160" i="25"/>
  <c r="AQ160" i="25"/>
  <c r="BB159" i="25"/>
  <c r="V168" i="25"/>
  <c r="AS168" i="25" s="1"/>
  <c r="AZ167" i="25"/>
  <c r="M166" i="30"/>
  <c r="E166" i="30"/>
  <c r="K243" i="30"/>
  <c r="L243" i="30" s="1"/>
  <c r="C167" i="30"/>
  <c r="AL165" i="25"/>
  <c r="BC165" i="25" s="1"/>
  <c r="AN164" i="25"/>
  <c r="AO162" i="25"/>
  <c r="AD167" i="25"/>
  <c r="AV167" i="25"/>
  <c r="BF167" i="25" s="1"/>
  <c r="AN165" i="25"/>
  <c r="AL164" i="25"/>
  <c r="BC164" i="25" s="1"/>
  <c r="AT164" i="25"/>
  <c r="BG164" i="25" s="1"/>
  <c r="AT165" i="25"/>
  <c r="BG165" i="25" s="1"/>
  <c r="W167" i="25"/>
  <c r="X167" i="25" s="1"/>
  <c r="AR167" i="25"/>
  <c r="AC167" i="25"/>
  <c r="AE167" i="25"/>
  <c r="AH167" i="25"/>
  <c r="AP161" i="25"/>
  <c r="AF167" i="25"/>
  <c r="AB167" i="25"/>
  <c r="AA167" i="25"/>
  <c r="AK166" i="25"/>
  <c r="AM164" i="25"/>
  <c r="AM165" i="25" s="1"/>
  <c r="AJ167" i="25"/>
  <c r="AI167" i="25"/>
  <c r="AG167" i="25"/>
  <c r="Y167" i="25"/>
  <c r="Z167" i="25" s="1"/>
  <c r="S244" i="25"/>
  <c r="P245" i="25"/>
  <c r="R245" i="25"/>
  <c r="M247" i="25"/>
  <c r="Q246" i="25"/>
  <c r="O246" i="25"/>
  <c r="N246" i="25"/>
  <c r="AW161" i="25" l="1"/>
  <c r="AX161" i="25" s="1"/>
  <c r="BH161" i="25" s="1"/>
  <c r="BE160" i="25"/>
  <c r="AU161" i="25"/>
  <c r="AQ161" i="25"/>
  <c r="BB160" i="25"/>
  <c r="AY161" i="25"/>
  <c r="BD161" i="25" s="1"/>
  <c r="BA161" i="25"/>
  <c r="V169" i="25"/>
  <c r="AS169" i="25" s="1"/>
  <c r="AZ168" i="25"/>
  <c r="M167" i="30"/>
  <c r="E167" i="30" s="1"/>
  <c r="K244" i="30"/>
  <c r="L244" i="30" s="1"/>
  <c r="C168" i="30"/>
  <c r="AL166" i="25"/>
  <c r="BC166" i="25" s="1"/>
  <c r="AO163" i="25"/>
  <c r="AV168" i="25"/>
  <c r="BF168" i="25" s="1"/>
  <c r="AN166" i="25"/>
  <c r="AT166" i="25"/>
  <c r="BG166" i="25" s="1"/>
  <c r="AK167" i="25"/>
  <c r="AG168" i="25"/>
  <c r="AR168" i="25"/>
  <c r="AP162" i="25"/>
  <c r="AC168" i="25"/>
  <c r="AF168" i="25"/>
  <c r="Y168" i="25"/>
  <c r="Z168" i="25" s="1"/>
  <c r="W168" i="25"/>
  <c r="X168" i="25" s="1"/>
  <c r="AB168" i="25"/>
  <c r="AA168" i="25"/>
  <c r="AD168" i="25"/>
  <c r="AE168" i="25"/>
  <c r="AM166" i="25"/>
  <c r="AJ168" i="25"/>
  <c r="AI168" i="25"/>
  <c r="AH168" i="25"/>
  <c r="Q247" i="25"/>
  <c r="O247" i="25"/>
  <c r="N247" i="25"/>
  <c r="M248" i="25"/>
  <c r="P246" i="25"/>
  <c r="R246" i="25"/>
  <c r="S245" i="25"/>
  <c r="AW162" i="25" l="1"/>
  <c r="AX162" i="25" s="1"/>
  <c r="BH162" i="25" s="1"/>
  <c r="BE161" i="25"/>
  <c r="AU162" i="25"/>
  <c r="AY162" i="25"/>
  <c r="BD162" i="25" s="1"/>
  <c r="BA162" i="25"/>
  <c r="AQ162" i="25"/>
  <c r="BB161" i="25"/>
  <c r="V170" i="25"/>
  <c r="AS170" i="25" s="1"/>
  <c r="AZ169" i="25"/>
  <c r="M168" i="30"/>
  <c r="E168" i="30" s="1"/>
  <c r="K245" i="30"/>
  <c r="L245" i="30" s="1"/>
  <c r="C169" i="30"/>
  <c r="AL167" i="25"/>
  <c r="BC167" i="25" s="1"/>
  <c r="AO164" i="25"/>
  <c r="AV169" i="25"/>
  <c r="BF169" i="25" s="1"/>
  <c r="AT167" i="25"/>
  <c r="BG167" i="25" s="1"/>
  <c r="AM167" i="25"/>
  <c r="AN167" i="25"/>
  <c r="AF169" i="25"/>
  <c r="AR169" i="25"/>
  <c r="AH169" i="25"/>
  <c r="AG169" i="25"/>
  <c r="Y169" i="25"/>
  <c r="Z169" i="25" s="1"/>
  <c r="AE169" i="25"/>
  <c r="AD169" i="25"/>
  <c r="W169" i="25"/>
  <c r="X169" i="25" s="1"/>
  <c r="AP163" i="25"/>
  <c r="AA169" i="25"/>
  <c r="AB169" i="25"/>
  <c r="AK168" i="25"/>
  <c r="AJ169" i="25"/>
  <c r="AI169" i="25"/>
  <c r="AC169" i="25"/>
  <c r="S246" i="25"/>
  <c r="Q248" i="25"/>
  <c r="O248" i="25"/>
  <c r="N248" i="25"/>
  <c r="M249" i="25"/>
  <c r="R247" i="25"/>
  <c r="P247" i="25"/>
  <c r="AW163" i="25" l="1"/>
  <c r="AX163" i="25" s="1"/>
  <c r="BH163" i="25" s="1"/>
  <c r="BE162" i="25"/>
  <c r="AU163" i="25"/>
  <c r="AQ163" i="25"/>
  <c r="BB162" i="25"/>
  <c r="AY163" i="25"/>
  <c r="BD163" i="25" s="1"/>
  <c r="BA163" i="25"/>
  <c r="V171" i="25"/>
  <c r="AS171" i="25" s="1"/>
  <c r="AZ170" i="25"/>
  <c r="M169" i="30"/>
  <c r="E169" i="30" s="1"/>
  <c r="K246" i="30"/>
  <c r="L246" i="30" s="1"/>
  <c r="C170" i="30"/>
  <c r="AL168" i="25"/>
  <c r="BC168" i="25" s="1"/>
  <c r="AO165" i="25"/>
  <c r="AV170" i="25"/>
  <c r="BF170" i="25" s="1"/>
  <c r="AN168" i="25"/>
  <c r="AT168" i="25"/>
  <c r="BG168" i="25" s="1"/>
  <c r="AM168" i="25"/>
  <c r="AD170" i="25"/>
  <c r="AR170" i="25"/>
  <c r="AP164" i="25"/>
  <c r="W170" i="25"/>
  <c r="X170" i="25" s="1"/>
  <c r="AC170" i="25"/>
  <c r="AA170" i="25"/>
  <c r="AB170" i="25"/>
  <c r="AH170" i="25"/>
  <c r="AF170" i="25"/>
  <c r="AE170" i="25"/>
  <c r="Y170" i="25"/>
  <c r="Z170" i="25" s="1"/>
  <c r="AK169" i="25"/>
  <c r="AI170" i="25"/>
  <c r="AJ170" i="25"/>
  <c r="AG170" i="25"/>
  <c r="S247" i="25"/>
  <c r="Q249" i="25"/>
  <c r="N249" i="25"/>
  <c r="O249" i="25"/>
  <c r="M250" i="25"/>
  <c r="R248" i="25"/>
  <c r="P248" i="25"/>
  <c r="AW164" i="25" l="1"/>
  <c r="AX164" i="25" s="1"/>
  <c r="BH164" i="25" s="1"/>
  <c r="BE163" i="25"/>
  <c r="AU164" i="25"/>
  <c r="AY164" i="25"/>
  <c r="BD164" i="25" s="1"/>
  <c r="BA164" i="25"/>
  <c r="AQ164" i="25"/>
  <c r="BB163" i="25"/>
  <c r="V172" i="25"/>
  <c r="AS172" i="25" s="1"/>
  <c r="AZ171" i="25"/>
  <c r="M170" i="30"/>
  <c r="E170" i="30" s="1"/>
  <c r="K247" i="30"/>
  <c r="L247" i="30" s="1"/>
  <c r="C171" i="30"/>
  <c r="AL169" i="25"/>
  <c r="BC169" i="25" s="1"/>
  <c r="AO166" i="25"/>
  <c r="AH171" i="25"/>
  <c r="AV171" i="25"/>
  <c r="BF171" i="25" s="1"/>
  <c r="AN169" i="25"/>
  <c r="AT169" i="25"/>
  <c r="BG169" i="25" s="1"/>
  <c r="AC171" i="25"/>
  <c r="AR171" i="25"/>
  <c r="Y171" i="25"/>
  <c r="Z171" i="25" s="1"/>
  <c r="AD171" i="25"/>
  <c r="AP165" i="25"/>
  <c r="AK170" i="25"/>
  <c r="W171" i="25"/>
  <c r="X171" i="25" s="1"/>
  <c r="AA171" i="25"/>
  <c r="AB171" i="25"/>
  <c r="AE171" i="25"/>
  <c r="AG171" i="25"/>
  <c r="AM169" i="25"/>
  <c r="AF171" i="25"/>
  <c r="AI171" i="25"/>
  <c r="AJ171" i="25"/>
  <c r="S248" i="25"/>
  <c r="M251" i="25"/>
  <c r="O250" i="25"/>
  <c r="N250" i="25"/>
  <c r="Q250" i="25"/>
  <c r="R249" i="25"/>
  <c r="P249" i="25"/>
  <c r="AW165" i="25" l="1"/>
  <c r="AX165" i="25" s="1"/>
  <c r="BH165" i="25" s="1"/>
  <c r="BE164" i="25"/>
  <c r="AU165" i="25"/>
  <c r="AY165" i="25"/>
  <c r="BD165" i="25" s="1"/>
  <c r="BA165" i="25"/>
  <c r="AQ165" i="25"/>
  <c r="BB164" i="25"/>
  <c r="V173" i="25"/>
  <c r="AS173" i="25" s="1"/>
  <c r="AZ172" i="25"/>
  <c r="M171" i="30"/>
  <c r="E171" i="30" s="1"/>
  <c r="K248" i="30"/>
  <c r="L248" i="30" s="1"/>
  <c r="C172" i="30"/>
  <c r="AL170" i="25"/>
  <c r="BC170" i="25" s="1"/>
  <c r="AO167" i="25"/>
  <c r="AV172" i="25"/>
  <c r="BF172" i="25" s="1"/>
  <c r="AN170" i="25"/>
  <c r="AT170" i="25"/>
  <c r="BG170" i="25" s="1"/>
  <c r="AD172" i="25"/>
  <c r="AR172" i="25"/>
  <c r="AK171" i="25"/>
  <c r="AP166" i="25"/>
  <c r="Y172" i="25"/>
  <c r="Z172" i="25" s="1"/>
  <c r="AH172" i="25"/>
  <c r="AM170" i="25"/>
  <c r="AA172" i="25"/>
  <c r="AB172" i="25"/>
  <c r="AF172" i="25"/>
  <c r="AI172" i="25"/>
  <c r="AJ172" i="25"/>
  <c r="AC172" i="25"/>
  <c r="AE172" i="25"/>
  <c r="AG172" i="25"/>
  <c r="W172" i="25"/>
  <c r="X172" i="25" s="1"/>
  <c r="S249" i="25"/>
  <c r="M252" i="25"/>
  <c r="R250" i="25"/>
  <c r="P250" i="25"/>
  <c r="N251" i="25"/>
  <c r="O251" i="25"/>
  <c r="Q251" i="25"/>
  <c r="AW166" i="25" l="1"/>
  <c r="AX166" i="25" s="1"/>
  <c r="BH166" i="25" s="1"/>
  <c r="BE165" i="25"/>
  <c r="AU166" i="25"/>
  <c r="AQ166" i="25"/>
  <c r="BB165" i="25"/>
  <c r="AY166" i="25"/>
  <c r="BD166" i="25" s="1"/>
  <c r="BA166" i="25"/>
  <c r="V174" i="25"/>
  <c r="AS174" i="25" s="1"/>
  <c r="AZ173" i="25"/>
  <c r="M172" i="30"/>
  <c r="E172" i="30" s="1"/>
  <c r="K249" i="30"/>
  <c r="L249" i="30" s="1"/>
  <c r="C173" i="30"/>
  <c r="AL171" i="25"/>
  <c r="BC171" i="25" s="1"/>
  <c r="AO168" i="25"/>
  <c r="AR173" i="25"/>
  <c r="AV173" i="25"/>
  <c r="BF173" i="25" s="1"/>
  <c r="AN171" i="25"/>
  <c r="AM171" i="25"/>
  <c r="AT171" i="25"/>
  <c r="BG171" i="25" s="1"/>
  <c r="AD173" i="25"/>
  <c r="Y173" i="25"/>
  <c r="Z173" i="25" s="1"/>
  <c r="W173" i="25"/>
  <c r="X173" i="25" s="1"/>
  <c r="AK172" i="25"/>
  <c r="AP167" i="25"/>
  <c r="AB173" i="25"/>
  <c r="AA173" i="25"/>
  <c r="AG173" i="25"/>
  <c r="AE173" i="25"/>
  <c r="AH173" i="25"/>
  <c r="AF173" i="25"/>
  <c r="AC173" i="25"/>
  <c r="AI173" i="25"/>
  <c r="AJ173" i="25"/>
  <c r="S250" i="25"/>
  <c r="R251" i="25"/>
  <c r="P251" i="25"/>
  <c r="M253" i="25"/>
  <c r="O252" i="25"/>
  <c r="N252" i="25"/>
  <c r="Q252" i="25"/>
  <c r="AW167" i="25" l="1"/>
  <c r="AX167" i="25" s="1"/>
  <c r="BH167" i="25" s="1"/>
  <c r="BE166" i="25"/>
  <c r="AU167" i="25"/>
  <c r="AY167" i="25"/>
  <c r="BD167" i="25" s="1"/>
  <c r="BA167" i="25"/>
  <c r="AQ167" i="25"/>
  <c r="BB166" i="25"/>
  <c r="V175" i="25"/>
  <c r="AS175" i="25" s="1"/>
  <c r="AZ174" i="25"/>
  <c r="M173" i="30"/>
  <c r="E173" i="30" s="1"/>
  <c r="K250" i="30"/>
  <c r="L250" i="30" s="1"/>
  <c r="C174" i="30"/>
  <c r="AL172" i="25"/>
  <c r="BC172" i="25" s="1"/>
  <c r="AO169" i="25"/>
  <c r="AV174" i="25"/>
  <c r="BF174" i="25" s="1"/>
  <c r="AN172" i="25"/>
  <c r="AT172" i="25"/>
  <c r="BG172" i="25" s="1"/>
  <c r="AE174" i="25"/>
  <c r="AR174" i="25"/>
  <c r="AM172" i="25"/>
  <c r="W174" i="25"/>
  <c r="X174" i="25" s="1"/>
  <c r="AP168" i="25"/>
  <c r="AK173" i="25"/>
  <c r="AF174" i="25"/>
  <c r="AB174" i="25"/>
  <c r="AA174" i="25"/>
  <c r="AH174" i="25"/>
  <c r="AJ174" i="25"/>
  <c r="AI174" i="25"/>
  <c r="AC174" i="25"/>
  <c r="AD174" i="25"/>
  <c r="Y174" i="25"/>
  <c r="Z174" i="25" s="1"/>
  <c r="AG174" i="25"/>
  <c r="P252" i="25"/>
  <c r="R252" i="25"/>
  <c r="M254" i="25"/>
  <c r="N253" i="25"/>
  <c r="Q253" i="25"/>
  <c r="O253" i="25"/>
  <c r="S251" i="25"/>
  <c r="AW168" i="25" l="1"/>
  <c r="AX168" i="25" s="1"/>
  <c r="BH168" i="25" s="1"/>
  <c r="BE167" i="25"/>
  <c r="AU168" i="25"/>
  <c r="AQ168" i="25"/>
  <c r="BB167" i="25"/>
  <c r="AY168" i="25"/>
  <c r="BD168" i="25" s="1"/>
  <c r="BA168" i="25"/>
  <c r="V176" i="25"/>
  <c r="AS176" i="25" s="1"/>
  <c r="AZ175" i="25"/>
  <c r="M174" i="30"/>
  <c r="E174" i="30"/>
  <c r="K251" i="30"/>
  <c r="L251" i="30" s="1"/>
  <c r="C175" i="30"/>
  <c r="AL173" i="25"/>
  <c r="BC173" i="25" s="1"/>
  <c r="AO170" i="25"/>
  <c r="AR175" i="25"/>
  <c r="AV175" i="25"/>
  <c r="BF175" i="25" s="1"/>
  <c r="AN173" i="25"/>
  <c r="AT173" i="25"/>
  <c r="BG173" i="25" s="1"/>
  <c r="AF175" i="25"/>
  <c r="Y175" i="25"/>
  <c r="Z175" i="25" s="1"/>
  <c r="AG175" i="25"/>
  <c r="AH175" i="25"/>
  <c r="AD175" i="25"/>
  <c r="AP169" i="25"/>
  <c r="AM173" i="25"/>
  <c r="AB175" i="25"/>
  <c r="AA175" i="25"/>
  <c r="AC175" i="25"/>
  <c r="AE175" i="25"/>
  <c r="W175" i="25"/>
  <c r="X175" i="25" s="1"/>
  <c r="AK174" i="25"/>
  <c r="AJ175" i="25"/>
  <c r="AI175" i="25"/>
  <c r="S252" i="25"/>
  <c r="R253" i="25"/>
  <c r="P253" i="25"/>
  <c r="M255" i="25"/>
  <c r="Q254" i="25"/>
  <c r="O254" i="25"/>
  <c r="N254" i="25"/>
  <c r="AW169" i="25" l="1"/>
  <c r="AX169" i="25" s="1"/>
  <c r="BH169" i="25" s="1"/>
  <c r="BE168" i="25"/>
  <c r="AU169" i="25"/>
  <c r="AY169" i="25"/>
  <c r="BD169" i="25" s="1"/>
  <c r="BA169" i="25"/>
  <c r="AQ169" i="25"/>
  <c r="BB168" i="25"/>
  <c r="V177" i="25"/>
  <c r="AS177" i="25" s="1"/>
  <c r="AZ176" i="25"/>
  <c r="M175" i="30"/>
  <c r="E175" i="30" s="1"/>
  <c r="K252" i="30"/>
  <c r="L252" i="30" s="1"/>
  <c r="C176" i="30"/>
  <c r="AL174" i="25"/>
  <c r="BC174" i="25" s="1"/>
  <c r="AO171" i="25"/>
  <c r="AR176" i="25"/>
  <c r="AV176" i="25"/>
  <c r="BF176" i="25" s="1"/>
  <c r="AN174" i="25"/>
  <c r="AT174" i="25"/>
  <c r="BG174" i="25" s="1"/>
  <c r="AP170" i="25"/>
  <c r="AB176" i="25"/>
  <c r="AA176" i="25"/>
  <c r="AC176" i="25"/>
  <c r="AD176" i="25"/>
  <c r="AK175" i="25"/>
  <c r="AJ176" i="25"/>
  <c r="AI176" i="25"/>
  <c r="AH176" i="25"/>
  <c r="Y176" i="25"/>
  <c r="Z176" i="25" s="1"/>
  <c r="AF176" i="25"/>
  <c r="AG176" i="25"/>
  <c r="W176" i="25"/>
  <c r="X176" i="25" s="1"/>
  <c r="AM174" i="25"/>
  <c r="AE176" i="25"/>
  <c r="S253" i="25"/>
  <c r="R254" i="25"/>
  <c r="P254" i="25"/>
  <c r="O255" i="25"/>
  <c r="Q255" i="25"/>
  <c r="N255" i="25"/>
  <c r="M256" i="25"/>
  <c r="AW170" i="25" l="1"/>
  <c r="AX170" i="25" s="1"/>
  <c r="BH170" i="25" s="1"/>
  <c r="BE169" i="25"/>
  <c r="AU170" i="25"/>
  <c r="AY170" i="25"/>
  <c r="BD170" i="25" s="1"/>
  <c r="BA170" i="25"/>
  <c r="AQ170" i="25"/>
  <c r="BB169" i="25"/>
  <c r="V178" i="25"/>
  <c r="AS178" i="25" s="1"/>
  <c r="AZ177" i="25"/>
  <c r="M176" i="30"/>
  <c r="E176" i="30" s="1"/>
  <c r="K253" i="30"/>
  <c r="L253" i="30" s="1"/>
  <c r="C177" i="30"/>
  <c r="AL175" i="25"/>
  <c r="BC175" i="25" s="1"/>
  <c r="AO172" i="25"/>
  <c r="AV177" i="25"/>
  <c r="BF177" i="25" s="1"/>
  <c r="AN175" i="25"/>
  <c r="AT175" i="25"/>
  <c r="BG175" i="25" s="1"/>
  <c r="AK176" i="25"/>
  <c r="AD177" i="25"/>
  <c r="AR177" i="25"/>
  <c r="AG177" i="25"/>
  <c r="Y177" i="25"/>
  <c r="Z177" i="25" s="1"/>
  <c r="W177" i="25"/>
  <c r="X177" i="25" s="1"/>
  <c r="AH177" i="25"/>
  <c r="AP171" i="25"/>
  <c r="AB177" i="25"/>
  <c r="AA177" i="25"/>
  <c r="AF177" i="25"/>
  <c r="AC177" i="25"/>
  <c r="AE177" i="25"/>
  <c r="AM175" i="25"/>
  <c r="AJ177" i="25"/>
  <c r="AI177" i="25"/>
  <c r="M257" i="25"/>
  <c r="O256" i="25"/>
  <c r="N256" i="25"/>
  <c r="Q256" i="25"/>
  <c r="R255" i="25"/>
  <c r="P255" i="25"/>
  <c r="S254" i="25"/>
  <c r="AW171" i="25" l="1"/>
  <c r="AX171" i="25" s="1"/>
  <c r="BH171" i="25" s="1"/>
  <c r="BE170" i="25"/>
  <c r="AU171" i="25"/>
  <c r="AY171" i="25"/>
  <c r="BD171" i="25" s="1"/>
  <c r="BA171" i="25"/>
  <c r="AQ171" i="25"/>
  <c r="BB170" i="25"/>
  <c r="V179" i="25"/>
  <c r="AS179" i="25" s="1"/>
  <c r="AZ178" i="25"/>
  <c r="M177" i="30"/>
  <c r="E177" i="30" s="1"/>
  <c r="K254" i="30"/>
  <c r="L254" i="30" s="1"/>
  <c r="C178" i="30"/>
  <c r="AL176" i="25"/>
  <c r="BC176" i="25" s="1"/>
  <c r="AM176" i="25"/>
  <c r="AO173" i="25"/>
  <c r="AV178" i="25"/>
  <c r="BF178" i="25" s="1"/>
  <c r="AN176" i="25"/>
  <c r="AT176" i="25"/>
  <c r="BG176" i="25" s="1"/>
  <c r="W178" i="25"/>
  <c r="X178" i="25" s="1"/>
  <c r="AR178" i="25"/>
  <c r="AP172" i="25"/>
  <c r="AA178" i="25"/>
  <c r="AB178" i="25"/>
  <c r="AD178" i="25"/>
  <c r="AG178" i="25"/>
  <c r="AC178" i="25"/>
  <c r="AF178" i="25"/>
  <c r="AE178" i="25"/>
  <c r="Y178" i="25"/>
  <c r="Z178" i="25" s="1"/>
  <c r="AK177" i="25"/>
  <c r="AI178" i="25"/>
  <c r="AJ178" i="25"/>
  <c r="AH178" i="25"/>
  <c r="S255" i="25"/>
  <c r="P256" i="25"/>
  <c r="R256" i="25"/>
  <c r="N257" i="25"/>
  <c r="O257" i="25"/>
  <c r="Q257" i="25"/>
  <c r="M258" i="25"/>
  <c r="AW172" i="25" l="1"/>
  <c r="AX172" i="25" s="1"/>
  <c r="BH172" i="25" s="1"/>
  <c r="BE171" i="25"/>
  <c r="AU172" i="25"/>
  <c r="AQ172" i="25"/>
  <c r="BB171" i="25"/>
  <c r="AY172" i="25"/>
  <c r="BD172" i="25" s="1"/>
  <c r="BA172" i="25"/>
  <c r="V180" i="25"/>
  <c r="AS180" i="25" s="1"/>
  <c r="AZ179" i="25"/>
  <c r="M178" i="30"/>
  <c r="E178" i="30" s="1"/>
  <c r="K255" i="30"/>
  <c r="L255" i="30" s="1"/>
  <c r="C179" i="30"/>
  <c r="AL177" i="25"/>
  <c r="BC177" i="25" s="1"/>
  <c r="AO174" i="25"/>
  <c r="AF179" i="25"/>
  <c r="AV179" i="25"/>
  <c r="BF179" i="25" s="1"/>
  <c r="AN177" i="25"/>
  <c r="AT177" i="25"/>
  <c r="BG177" i="25" s="1"/>
  <c r="W179" i="25"/>
  <c r="X179" i="25" s="1"/>
  <c r="AK178" i="25"/>
  <c r="AG179" i="25"/>
  <c r="AR179" i="25"/>
  <c r="Y179" i="25"/>
  <c r="Z179" i="25" s="1"/>
  <c r="AM177" i="25"/>
  <c r="AH179" i="25"/>
  <c r="AP173" i="25"/>
  <c r="AA179" i="25"/>
  <c r="AB179" i="25"/>
  <c r="AC179" i="25"/>
  <c r="AE179" i="25"/>
  <c r="AD179" i="25"/>
  <c r="AI179" i="25"/>
  <c r="AJ179" i="25"/>
  <c r="S256" i="25"/>
  <c r="M259" i="25"/>
  <c r="R257" i="25"/>
  <c r="P257" i="25"/>
  <c r="O258" i="25"/>
  <c r="Q258" i="25"/>
  <c r="N258" i="25"/>
  <c r="AW173" i="25" l="1"/>
  <c r="AX173" i="25" s="1"/>
  <c r="BH173" i="25" s="1"/>
  <c r="BE172" i="25"/>
  <c r="AU173" i="25"/>
  <c r="AY173" i="25"/>
  <c r="BD173" i="25" s="1"/>
  <c r="BA173" i="25"/>
  <c r="AQ173" i="25"/>
  <c r="BB172" i="25"/>
  <c r="V181" i="25"/>
  <c r="AS181" i="25" s="1"/>
  <c r="AZ180" i="25"/>
  <c r="M179" i="30"/>
  <c r="E179" i="30" s="1"/>
  <c r="K256" i="30"/>
  <c r="L256" i="30" s="1"/>
  <c r="C180" i="30"/>
  <c r="AL178" i="25"/>
  <c r="BC178" i="25" s="1"/>
  <c r="AO175" i="25"/>
  <c r="AV180" i="25"/>
  <c r="BF180" i="25" s="1"/>
  <c r="AM178" i="25"/>
  <c r="AN178" i="25"/>
  <c r="AT178" i="25"/>
  <c r="BG178" i="25" s="1"/>
  <c r="AH180" i="25"/>
  <c r="AR180" i="25"/>
  <c r="AK179" i="25"/>
  <c r="AP174" i="25"/>
  <c r="AA180" i="25"/>
  <c r="AB180" i="25"/>
  <c r="AF180" i="25"/>
  <c r="Y180" i="25"/>
  <c r="Z180" i="25" s="1"/>
  <c r="AE180" i="25"/>
  <c r="AC180" i="25"/>
  <c r="AD180" i="25"/>
  <c r="W180" i="25"/>
  <c r="X180" i="25" s="1"/>
  <c r="AI180" i="25"/>
  <c r="AJ180" i="25"/>
  <c r="AG180" i="25"/>
  <c r="S257" i="25"/>
  <c r="R258" i="25"/>
  <c r="P258" i="25"/>
  <c r="N259" i="25"/>
  <c r="Q259" i="25"/>
  <c r="O259" i="25"/>
  <c r="M260" i="25"/>
  <c r="AW174" i="25" l="1"/>
  <c r="AX174" i="25" s="1"/>
  <c r="BH174" i="25" s="1"/>
  <c r="BE173" i="25"/>
  <c r="AU174" i="25"/>
  <c r="AY174" i="25"/>
  <c r="BD174" i="25" s="1"/>
  <c r="BA174" i="25"/>
  <c r="AQ174" i="25"/>
  <c r="BB173" i="25"/>
  <c r="V182" i="25"/>
  <c r="AS182" i="25" s="1"/>
  <c r="AZ181" i="25"/>
  <c r="M180" i="30"/>
  <c r="E180" i="30" s="1"/>
  <c r="K257" i="30"/>
  <c r="L257" i="30" s="1"/>
  <c r="C181" i="30"/>
  <c r="AL179" i="25"/>
  <c r="BC179" i="25" s="1"/>
  <c r="AO176" i="25"/>
  <c r="AH181" i="25"/>
  <c r="AV181" i="25"/>
  <c r="BF181" i="25" s="1"/>
  <c r="AN179" i="25"/>
  <c r="AT179" i="25"/>
  <c r="BG179" i="25" s="1"/>
  <c r="S258" i="25"/>
  <c r="AM179" i="25"/>
  <c r="AK180" i="25"/>
  <c r="Y181" i="25"/>
  <c r="Z181" i="25" s="1"/>
  <c r="AF181" i="25"/>
  <c r="AR181" i="25"/>
  <c r="AC181" i="25"/>
  <c r="AG181" i="25"/>
  <c r="AE181" i="25"/>
  <c r="W181" i="25"/>
  <c r="X181" i="25" s="1"/>
  <c r="AD181" i="25"/>
  <c r="AP175" i="25"/>
  <c r="AA181" i="25"/>
  <c r="AB181" i="25"/>
  <c r="AI181" i="25"/>
  <c r="AJ181" i="25"/>
  <c r="Q260" i="25"/>
  <c r="N260" i="25"/>
  <c r="O260" i="25"/>
  <c r="M261" i="25"/>
  <c r="P259" i="25"/>
  <c r="R259" i="25"/>
  <c r="AW175" i="25" l="1"/>
  <c r="AX175" i="25" s="1"/>
  <c r="BH175" i="25" s="1"/>
  <c r="BE174" i="25"/>
  <c r="AU175" i="25"/>
  <c r="AQ175" i="25"/>
  <c r="BB174" i="25"/>
  <c r="AY175" i="25"/>
  <c r="BD175" i="25" s="1"/>
  <c r="BA175" i="25"/>
  <c r="V183" i="25"/>
  <c r="AS183" i="25" s="1"/>
  <c r="AZ182" i="25"/>
  <c r="M181" i="30"/>
  <c r="E181" i="30"/>
  <c r="K258" i="30"/>
  <c r="L258" i="30" s="1"/>
  <c r="C182" i="30"/>
  <c r="AL180" i="25"/>
  <c r="BC180" i="25" s="1"/>
  <c r="AO177" i="25"/>
  <c r="AV182" i="25"/>
  <c r="BF182" i="25" s="1"/>
  <c r="AN180" i="25"/>
  <c r="AT180" i="25"/>
  <c r="BG180" i="25" s="1"/>
  <c r="AM180" i="25"/>
  <c r="W182" i="25"/>
  <c r="X182" i="25" s="1"/>
  <c r="AR182" i="25"/>
  <c r="AC182" i="25"/>
  <c r="AP176" i="25"/>
  <c r="AE182" i="25"/>
  <c r="AK181" i="25"/>
  <c r="AB182" i="25"/>
  <c r="AA182" i="25"/>
  <c r="AD182" i="25"/>
  <c r="AF182" i="25"/>
  <c r="AH182" i="25"/>
  <c r="AJ182" i="25"/>
  <c r="AI182" i="25"/>
  <c r="AG182" i="25"/>
  <c r="Y182" i="25"/>
  <c r="Z182" i="25" s="1"/>
  <c r="S259" i="25"/>
  <c r="O261" i="25"/>
  <c r="N261" i="25"/>
  <c r="Q261" i="25"/>
  <c r="M262" i="25"/>
  <c r="R260" i="25"/>
  <c r="P260" i="25"/>
  <c r="AW176" i="25" l="1"/>
  <c r="AX176" i="25" s="1"/>
  <c r="BH176" i="25" s="1"/>
  <c r="BE175" i="25"/>
  <c r="AU176" i="25"/>
  <c r="AY176" i="25"/>
  <c r="BD176" i="25" s="1"/>
  <c r="BA176" i="25"/>
  <c r="AQ176" i="25"/>
  <c r="BB175" i="25"/>
  <c r="V184" i="25"/>
  <c r="AS184" i="25" s="1"/>
  <c r="AZ183" i="25"/>
  <c r="M182" i="30"/>
  <c r="E182" i="30" s="1"/>
  <c r="K259" i="30"/>
  <c r="L259" i="30" s="1"/>
  <c r="C183" i="30"/>
  <c r="AL181" i="25"/>
  <c r="BC181" i="25" s="1"/>
  <c r="AO178" i="25"/>
  <c r="AC183" i="25"/>
  <c r="AV183" i="25"/>
  <c r="BF183" i="25" s="1"/>
  <c r="AN181" i="25"/>
  <c r="AT181" i="25"/>
  <c r="BG181" i="25" s="1"/>
  <c r="Y183" i="25"/>
  <c r="Z183" i="25" s="1"/>
  <c r="AH183" i="25"/>
  <c r="AR183" i="25"/>
  <c r="AE183" i="25"/>
  <c r="AD183" i="25"/>
  <c r="AG183" i="25"/>
  <c r="AP177" i="25"/>
  <c r="AM181" i="25"/>
  <c r="AB183" i="25"/>
  <c r="AA183" i="25"/>
  <c r="AF183" i="25"/>
  <c r="W183" i="25"/>
  <c r="X183" i="25" s="1"/>
  <c r="AK182" i="25"/>
  <c r="AJ183" i="25"/>
  <c r="AI183" i="25"/>
  <c r="S260" i="25"/>
  <c r="O262" i="25"/>
  <c r="Q262" i="25"/>
  <c r="N262" i="25"/>
  <c r="M263" i="25"/>
  <c r="R261" i="25"/>
  <c r="P261" i="25"/>
  <c r="AW177" i="25" l="1"/>
  <c r="AX177" i="25" s="1"/>
  <c r="BH177" i="25" s="1"/>
  <c r="BE176" i="25"/>
  <c r="AU177" i="25"/>
  <c r="AQ177" i="25"/>
  <c r="BB176" i="25"/>
  <c r="AY177" i="25"/>
  <c r="BD177" i="25" s="1"/>
  <c r="BA177" i="25"/>
  <c r="V185" i="25"/>
  <c r="AS185" i="25" s="1"/>
  <c r="AZ184" i="25"/>
  <c r="M183" i="30"/>
  <c r="E183" i="30" s="1"/>
  <c r="K260" i="30"/>
  <c r="L260" i="30" s="1"/>
  <c r="C184" i="30"/>
  <c r="AL182" i="25"/>
  <c r="BC182" i="25" s="1"/>
  <c r="AO179" i="25"/>
  <c r="AR184" i="25"/>
  <c r="AV184" i="25"/>
  <c r="BF184" i="25" s="1"/>
  <c r="AN182" i="25"/>
  <c r="AT182" i="25"/>
  <c r="BG182" i="25" s="1"/>
  <c r="AP178" i="25"/>
  <c r="AM182" i="25"/>
  <c r="AB184" i="25"/>
  <c r="AA184" i="25"/>
  <c r="AE184" i="25"/>
  <c r="AF184" i="25"/>
  <c r="AK183" i="25"/>
  <c r="AJ184" i="25"/>
  <c r="AI184" i="25"/>
  <c r="AG184" i="25"/>
  <c r="AH184" i="25"/>
  <c r="AC184" i="25"/>
  <c r="Y184" i="25"/>
  <c r="Z184" i="25" s="1"/>
  <c r="AD184" i="25"/>
  <c r="W184" i="25"/>
  <c r="X184" i="25" s="1"/>
  <c r="S261" i="25"/>
  <c r="Q263" i="25"/>
  <c r="N263" i="25"/>
  <c r="O263" i="25"/>
  <c r="M264" i="25"/>
  <c r="R262" i="25"/>
  <c r="P262" i="25"/>
  <c r="AW178" i="25" l="1"/>
  <c r="AX178" i="25" s="1"/>
  <c r="BH178" i="25" s="1"/>
  <c r="BE177" i="25"/>
  <c r="AU178" i="25"/>
  <c r="AY178" i="25"/>
  <c r="BD178" i="25" s="1"/>
  <c r="BA178" i="25"/>
  <c r="AQ178" i="25"/>
  <c r="BB177" i="25"/>
  <c r="V186" i="25"/>
  <c r="AS186" i="25" s="1"/>
  <c r="AZ185" i="25"/>
  <c r="M184" i="30"/>
  <c r="E184" i="30" s="1"/>
  <c r="K261" i="30"/>
  <c r="L261" i="30" s="1"/>
  <c r="C185" i="30"/>
  <c r="AL183" i="25"/>
  <c r="BC183" i="25" s="1"/>
  <c r="AO180" i="25"/>
  <c r="AR185" i="25"/>
  <c r="AV185" i="25"/>
  <c r="BF185" i="25" s="1"/>
  <c r="AN183" i="25"/>
  <c r="AT183" i="25"/>
  <c r="BG183" i="25" s="1"/>
  <c r="AP179" i="25"/>
  <c r="AB185" i="25"/>
  <c r="AA185" i="25"/>
  <c r="AC185" i="25"/>
  <c r="AE185" i="25"/>
  <c r="AD185" i="25"/>
  <c r="Y185" i="25"/>
  <c r="Z185" i="25" s="1"/>
  <c r="AH185" i="25"/>
  <c r="AK184" i="25"/>
  <c r="AM183" i="25"/>
  <c r="AJ185" i="25"/>
  <c r="AI185" i="25"/>
  <c r="AG185" i="25"/>
  <c r="AF185" i="25"/>
  <c r="W185" i="25"/>
  <c r="X185" i="25" s="1"/>
  <c r="S262" i="25"/>
  <c r="M265" i="25"/>
  <c r="O264" i="25"/>
  <c r="Q264" i="25"/>
  <c r="N264" i="25"/>
  <c r="R263" i="25"/>
  <c r="P263" i="25"/>
  <c r="AW179" i="25" l="1"/>
  <c r="AX179" i="25" s="1"/>
  <c r="BH179" i="25" s="1"/>
  <c r="BE178" i="25"/>
  <c r="AU179" i="25"/>
  <c r="AY179" i="25"/>
  <c r="BD179" i="25" s="1"/>
  <c r="BA179" i="25"/>
  <c r="AQ179" i="25"/>
  <c r="BB178" i="25"/>
  <c r="V187" i="25"/>
  <c r="AS187" i="25" s="1"/>
  <c r="AZ186" i="25"/>
  <c r="M185" i="30"/>
  <c r="E185" i="30" s="1"/>
  <c r="K262" i="30"/>
  <c r="L262" i="30" s="1"/>
  <c r="C186" i="30"/>
  <c r="AL184" i="25"/>
  <c r="BC184" i="25" s="1"/>
  <c r="AO181" i="25"/>
  <c r="W186" i="25"/>
  <c r="X186" i="25" s="1"/>
  <c r="AV186" i="25"/>
  <c r="BF186" i="25" s="1"/>
  <c r="AN184" i="25"/>
  <c r="AM184" i="25"/>
  <c r="AT184" i="25"/>
  <c r="BG184" i="25" s="1"/>
  <c r="AD186" i="25"/>
  <c r="Y186" i="25"/>
  <c r="Z186" i="25" s="1"/>
  <c r="AF186" i="25"/>
  <c r="AG186" i="25"/>
  <c r="AE186" i="25"/>
  <c r="AR186" i="25"/>
  <c r="AC186" i="25"/>
  <c r="AH186" i="25"/>
  <c r="AP180" i="25"/>
  <c r="AK185" i="25"/>
  <c r="AA186" i="25"/>
  <c r="AB186" i="25"/>
  <c r="AI186" i="25"/>
  <c r="AJ186" i="25"/>
  <c r="S263" i="25"/>
  <c r="P264" i="25"/>
  <c r="R264" i="25"/>
  <c r="M266" i="25"/>
  <c r="N265" i="25"/>
  <c r="O265" i="25"/>
  <c r="Q265" i="25"/>
  <c r="AW180" i="25" l="1"/>
  <c r="AX180" i="25" s="1"/>
  <c r="BH180" i="25" s="1"/>
  <c r="BE179" i="25"/>
  <c r="AU180" i="25"/>
  <c r="AQ180" i="25"/>
  <c r="BB179" i="25"/>
  <c r="AY180" i="25"/>
  <c r="BD180" i="25" s="1"/>
  <c r="BA180" i="25"/>
  <c r="V188" i="25"/>
  <c r="AS188" i="25" s="1"/>
  <c r="AZ187" i="25"/>
  <c r="M186" i="30"/>
  <c r="E186" i="30" s="1"/>
  <c r="K263" i="30"/>
  <c r="L263" i="30" s="1"/>
  <c r="C187" i="30"/>
  <c r="AL185" i="25"/>
  <c r="BC185" i="25" s="1"/>
  <c r="AO182" i="25"/>
  <c r="AR187" i="25"/>
  <c r="AV187" i="25"/>
  <c r="BF187" i="25" s="1"/>
  <c r="AN185" i="25"/>
  <c r="AT185" i="25"/>
  <c r="BG185" i="25" s="1"/>
  <c r="AM185" i="25"/>
  <c r="AK186" i="25"/>
  <c r="AE187" i="25"/>
  <c r="Y187" i="25"/>
  <c r="Z187" i="25" s="1"/>
  <c r="AC187" i="25"/>
  <c r="AH187" i="25"/>
  <c r="AF187" i="25"/>
  <c r="AD187" i="25"/>
  <c r="AP181" i="25"/>
  <c r="AA187" i="25"/>
  <c r="AB187" i="25"/>
  <c r="AG187" i="25"/>
  <c r="W187" i="25"/>
  <c r="X187" i="25" s="1"/>
  <c r="AI187" i="25"/>
  <c r="AJ187" i="25"/>
  <c r="S264" i="25"/>
  <c r="R265" i="25"/>
  <c r="P265" i="25"/>
  <c r="M267" i="25"/>
  <c r="N266" i="25"/>
  <c r="O266" i="25"/>
  <c r="Q266" i="25"/>
  <c r="AW181" i="25" l="1"/>
  <c r="AX181" i="25" s="1"/>
  <c r="BH181" i="25" s="1"/>
  <c r="BE180" i="25"/>
  <c r="AU181" i="25"/>
  <c r="AY181" i="25"/>
  <c r="BD181" i="25" s="1"/>
  <c r="BA181" i="25"/>
  <c r="AQ181" i="25"/>
  <c r="BB180" i="25"/>
  <c r="V189" i="25"/>
  <c r="AS189" i="25" s="1"/>
  <c r="AZ188" i="25"/>
  <c r="M187" i="30"/>
  <c r="E187" i="30" s="1"/>
  <c r="K264" i="30"/>
  <c r="L264" i="30" s="1"/>
  <c r="C188" i="30"/>
  <c r="AL186" i="25"/>
  <c r="BC186" i="25" s="1"/>
  <c r="AO183" i="25"/>
  <c r="AR188" i="25"/>
  <c r="AV188" i="25"/>
  <c r="BF188" i="25" s="1"/>
  <c r="AM186" i="25"/>
  <c r="AT186" i="25"/>
  <c r="BG186" i="25" s="1"/>
  <c r="AN186" i="25"/>
  <c r="AG188" i="25"/>
  <c r="AD188" i="25"/>
  <c r="AK187" i="25"/>
  <c r="AF188" i="25"/>
  <c r="AE188" i="25"/>
  <c r="AP182" i="25"/>
  <c r="AA188" i="25"/>
  <c r="AB188" i="25"/>
  <c r="AH188" i="25"/>
  <c r="AI188" i="25"/>
  <c r="AJ188" i="25"/>
  <c r="AC188" i="25"/>
  <c r="W188" i="25"/>
  <c r="X188" i="25" s="1"/>
  <c r="Y188" i="25"/>
  <c r="Z188" i="25" s="1"/>
  <c r="S265" i="25"/>
  <c r="M268" i="25"/>
  <c r="O267" i="25"/>
  <c r="Q267" i="25"/>
  <c r="N267" i="25"/>
  <c r="R266" i="25"/>
  <c r="P266" i="25"/>
  <c r="AW182" i="25" l="1"/>
  <c r="AX182" i="25" s="1"/>
  <c r="BH182" i="25" s="1"/>
  <c r="BE181" i="25"/>
  <c r="AU182" i="25"/>
  <c r="AY182" i="25"/>
  <c r="BD182" i="25" s="1"/>
  <c r="BA182" i="25"/>
  <c r="AQ182" i="25"/>
  <c r="BB181" i="25"/>
  <c r="V190" i="25"/>
  <c r="AZ189" i="25"/>
  <c r="M188" i="30"/>
  <c r="E188" i="30"/>
  <c r="K265" i="30"/>
  <c r="L265" i="30" s="1"/>
  <c r="C189" i="30"/>
  <c r="AL187" i="25"/>
  <c r="BC187" i="25" s="1"/>
  <c r="AO184" i="25"/>
  <c r="AR189" i="25"/>
  <c r="AV189" i="25"/>
  <c r="BF189" i="25" s="1"/>
  <c r="AN187" i="25"/>
  <c r="AT187" i="25"/>
  <c r="BG187" i="25" s="1"/>
  <c r="AM187" i="25"/>
  <c r="W189" i="25"/>
  <c r="X189" i="25" s="1"/>
  <c r="AK188" i="25"/>
  <c r="AH189" i="25"/>
  <c r="AP183" i="25"/>
  <c r="AB189" i="25"/>
  <c r="AA189" i="25"/>
  <c r="AD189" i="25"/>
  <c r="Y189" i="25"/>
  <c r="Z189" i="25" s="1"/>
  <c r="AG189" i="25"/>
  <c r="AE189" i="25"/>
  <c r="AC189" i="25"/>
  <c r="AF189" i="25"/>
  <c r="AI189" i="25"/>
  <c r="AJ189" i="25"/>
  <c r="S266" i="25"/>
  <c r="R267" i="25"/>
  <c r="P267" i="25"/>
  <c r="Q268" i="25"/>
  <c r="N268" i="25"/>
  <c r="O268" i="25"/>
  <c r="M269" i="25"/>
  <c r="AW183" i="25" l="1"/>
  <c r="AX183" i="25" s="1"/>
  <c r="BH183" i="25" s="1"/>
  <c r="BE182" i="25"/>
  <c r="AU183" i="25"/>
  <c r="AY183" i="25"/>
  <c r="BD183" i="25" s="1"/>
  <c r="BA183" i="25"/>
  <c r="AQ183" i="25"/>
  <c r="BB182" i="25"/>
  <c r="V191" i="25"/>
  <c r="AS191" i="25" s="1"/>
  <c r="AZ190" i="25"/>
  <c r="AS190" i="25"/>
  <c r="M189" i="30"/>
  <c r="E189" i="30" s="1"/>
  <c r="K266" i="30"/>
  <c r="L266" i="30" s="1"/>
  <c r="C190" i="30"/>
  <c r="AL188" i="25"/>
  <c r="BC188" i="25" s="1"/>
  <c r="AO185" i="25"/>
  <c r="AV190" i="25"/>
  <c r="BF190" i="25" s="1"/>
  <c r="AM188" i="25"/>
  <c r="AN188" i="25"/>
  <c r="AT188" i="25"/>
  <c r="BG188" i="25" s="1"/>
  <c r="AF190" i="25"/>
  <c r="AR190" i="25"/>
  <c r="Y190" i="25"/>
  <c r="Z190" i="25" s="1"/>
  <c r="AD190" i="25"/>
  <c r="AE190" i="25"/>
  <c r="AH190" i="25"/>
  <c r="AP184" i="25"/>
  <c r="AK189" i="25"/>
  <c r="AB190" i="25"/>
  <c r="AA190" i="25"/>
  <c r="AC190" i="25"/>
  <c r="AG190" i="25"/>
  <c r="AJ190" i="25"/>
  <c r="AI190" i="25"/>
  <c r="S267" i="25"/>
  <c r="W190" i="25"/>
  <c r="X190" i="25" s="1"/>
  <c r="M270" i="25"/>
  <c r="R268" i="25"/>
  <c r="P268" i="25"/>
  <c r="Q269" i="25"/>
  <c r="N269" i="25"/>
  <c r="O269" i="25"/>
  <c r="AW184" i="25" l="1"/>
  <c r="AX184" i="25" s="1"/>
  <c r="BH184" i="25" s="1"/>
  <c r="BE183" i="25"/>
  <c r="AU184" i="25"/>
  <c r="AQ184" i="25"/>
  <c r="BB183" i="25"/>
  <c r="AY184" i="25"/>
  <c r="BD184" i="25" s="1"/>
  <c r="BA184" i="25"/>
  <c r="V192" i="25"/>
  <c r="AZ191" i="25"/>
  <c r="M190" i="30"/>
  <c r="E190" i="30"/>
  <c r="K267" i="30"/>
  <c r="L267" i="30" s="1"/>
  <c r="C191" i="30"/>
  <c r="AL189" i="25"/>
  <c r="BC189" i="25" s="1"/>
  <c r="AM189" i="25"/>
  <c r="AO186" i="25"/>
  <c r="AV191" i="25"/>
  <c r="BF191" i="25" s="1"/>
  <c r="AN189" i="25"/>
  <c r="AT189" i="25"/>
  <c r="BG189" i="25" s="1"/>
  <c r="AK190" i="25"/>
  <c r="AH191" i="25"/>
  <c r="AR191" i="25"/>
  <c r="AP185" i="25"/>
  <c r="AC191" i="25"/>
  <c r="AE191" i="25"/>
  <c r="AG191" i="25"/>
  <c r="W191" i="25"/>
  <c r="X191" i="25" s="1"/>
  <c r="AB191" i="25"/>
  <c r="AA191" i="25"/>
  <c r="AD191" i="25"/>
  <c r="AF191" i="25"/>
  <c r="Y191" i="25"/>
  <c r="Z191" i="25" s="1"/>
  <c r="AJ191" i="25"/>
  <c r="AI191" i="25"/>
  <c r="S268" i="25"/>
  <c r="P269" i="25"/>
  <c r="R269" i="25"/>
  <c r="Q270" i="25"/>
  <c r="N270" i="25"/>
  <c r="O270" i="25"/>
  <c r="M271" i="25"/>
  <c r="AW185" i="25" l="1"/>
  <c r="AX185" i="25" s="1"/>
  <c r="BH185" i="25" s="1"/>
  <c r="BE184" i="25"/>
  <c r="AU185" i="25"/>
  <c r="AY185" i="25"/>
  <c r="BD185" i="25" s="1"/>
  <c r="BA185" i="25"/>
  <c r="AQ185" i="25"/>
  <c r="BB184" i="25"/>
  <c r="V193" i="25"/>
  <c r="AS193" i="25" s="1"/>
  <c r="AZ192" i="25"/>
  <c r="AS192" i="25"/>
  <c r="M191" i="30"/>
  <c r="E191" i="30" s="1"/>
  <c r="K268" i="30"/>
  <c r="L268" i="30" s="1"/>
  <c r="C192" i="30"/>
  <c r="AL190" i="25"/>
  <c r="BC190" i="25" s="1"/>
  <c r="AM190" i="25"/>
  <c r="AO187" i="25"/>
  <c r="AV192" i="25"/>
  <c r="BF192" i="25" s="1"/>
  <c r="AN190" i="25"/>
  <c r="AT190" i="25"/>
  <c r="BG190" i="25" s="1"/>
  <c r="AK191" i="25"/>
  <c r="AE192" i="25"/>
  <c r="AR192" i="25"/>
  <c r="AG192" i="25"/>
  <c r="AD192" i="25"/>
  <c r="AP186" i="25"/>
  <c r="AB192" i="25"/>
  <c r="AA192" i="25"/>
  <c r="AJ192" i="25"/>
  <c r="AI192" i="25"/>
  <c r="AH192" i="25"/>
  <c r="AF192" i="25"/>
  <c r="AC192" i="25"/>
  <c r="W192" i="25"/>
  <c r="X192" i="25" s="1"/>
  <c r="Y192" i="25"/>
  <c r="Z192" i="25" s="1"/>
  <c r="S269" i="25"/>
  <c r="R270" i="25"/>
  <c r="P270" i="25"/>
  <c r="O271" i="25"/>
  <c r="Q271" i="25"/>
  <c r="N271" i="25"/>
  <c r="M272" i="25"/>
  <c r="AW186" i="25" l="1"/>
  <c r="AX186" i="25" s="1"/>
  <c r="BH186" i="25" s="1"/>
  <c r="BE185" i="25"/>
  <c r="AU186" i="25"/>
  <c r="AY186" i="25"/>
  <c r="BD186" i="25" s="1"/>
  <c r="BA186" i="25"/>
  <c r="AQ186" i="25"/>
  <c r="BB185" i="25"/>
  <c r="V194" i="25"/>
  <c r="AS194" i="25" s="1"/>
  <c r="AZ193" i="25"/>
  <c r="M192" i="30"/>
  <c r="E192" i="30" s="1"/>
  <c r="K269" i="30"/>
  <c r="L269" i="30" s="1"/>
  <c r="C193" i="30"/>
  <c r="AL191" i="25"/>
  <c r="BC191" i="25" s="1"/>
  <c r="AO188" i="25"/>
  <c r="AV193" i="25"/>
  <c r="BF193" i="25" s="1"/>
  <c r="AN191" i="25"/>
  <c r="AT191" i="25"/>
  <c r="BG191" i="25" s="1"/>
  <c r="AM191" i="25"/>
  <c r="AC193" i="25"/>
  <c r="AR193" i="25"/>
  <c r="AG193" i="25"/>
  <c r="AP187" i="25"/>
  <c r="AE193" i="25"/>
  <c r="AD193" i="25"/>
  <c r="W193" i="25"/>
  <c r="X193" i="25" s="1"/>
  <c r="AF193" i="25"/>
  <c r="AH193" i="25"/>
  <c r="Y193" i="25"/>
  <c r="Z193" i="25" s="1"/>
  <c r="AK192" i="25"/>
  <c r="AA193" i="25"/>
  <c r="AB193" i="25"/>
  <c r="AJ193" i="25"/>
  <c r="AI193" i="25"/>
  <c r="S270" i="25"/>
  <c r="N272" i="25"/>
  <c r="O272" i="25"/>
  <c r="Q272" i="25"/>
  <c r="R271" i="25"/>
  <c r="P271" i="25"/>
  <c r="M273" i="25"/>
  <c r="AW187" i="25" l="1"/>
  <c r="AX187" i="25" s="1"/>
  <c r="BH187" i="25" s="1"/>
  <c r="BE186" i="25"/>
  <c r="AU187" i="25"/>
  <c r="AQ187" i="25"/>
  <c r="BB186" i="25"/>
  <c r="AY187" i="25"/>
  <c r="BD187" i="25" s="1"/>
  <c r="BA187" i="25"/>
  <c r="V195" i="25"/>
  <c r="AS195" i="25" s="1"/>
  <c r="AZ194" i="25"/>
  <c r="M193" i="30"/>
  <c r="E193" i="30" s="1"/>
  <c r="K270" i="30"/>
  <c r="L270" i="30" s="1"/>
  <c r="C194" i="30"/>
  <c r="AL192" i="25"/>
  <c r="BC192" i="25" s="1"/>
  <c r="AO189" i="25"/>
  <c r="AV194" i="25"/>
  <c r="BF194" i="25" s="1"/>
  <c r="AN192" i="25"/>
  <c r="AT192" i="25"/>
  <c r="BG192" i="25" s="1"/>
  <c r="W194" i="25"/>
  <c r="X194" i="25" s="1"/>
  <c r="AR194" i="25"/>
  <c r="AK193" i="25"/>
  <c r="AG194" i="25"/>
  <c r="AD194" i="25"/>
  <c r="Y194" i="25"/>
  <c r="Z194" i="25" s="1"/>
  <c r="AM192" i="25"/>
  <c r="AP188" i="25"/>
  <c r="AA194" i="25"/>
  <c r="AB194" i="25"/>
  <c r="AH194" i="25"/>
  <c r="AI194" i="25"/>
  <c r="AJ194" i="25"/>
  <c r="AF194" i="25"/>
  <c r="AC194" i="25"/>
  <c r="AE194" i="25"/>
  <c r="S271" i="25"/>
  <c r="M274" i="25"/>
  <c r="N273" i="25"/>
  <c r="Q273" i="25"/>
  <c r="O273" i="25"/>
  <c r="R272" i="25"/>
  <c r="P272" i="25"/>
  <c r="AW188" i="25" l="1"/>
  <c r="AX188" i="25" s="1"/>
  <c r="BH188" i="25" s="1"/>
  <c r="BE187" i="25"/>
  <c r="AU188" i="25"/>
  <c r="AY188" i="25"/>
  <c r="BD188" i="25" s="1"/>
  <c r="BA188" i="25"/>
  <c r="AQ188" i="25"/>
  <c r="BB187" i="25"/>
  <c r="V196" i="25"/>
  <c r="AS196" i="25" s="1"/>
  <c r="AZ195" i="25"/>
  <c r="M194" i="30"/>
  <c r="E194" i="30" s="1"/>
  <c r="K271" i="30"/>
  <c r="L271" i="30" s="1"/>
  <c r="C195" i="30"/>
  <c r="AL193" i="25"/>
  <c r="BC193" i="25" s="1"/>
  <c r="AO190" i="25"/>
  <c r="W195" i="25"/>
  <c r="X195" i="25" s="1"/>
  <c r="AV195" i="25"/>
  <c r="BF195" i="25" s="1"/>
  <c r="AN193" i="25"/>
  <c r="AM193" i="25"/>
  <c r="AT193" i="25"/>
  <c r="BG193" i="25" s="1"/>
  <c r="Y195" i="25"/>
  <c r="Z195" i="25" s="1"/>
  <c r="AH195" i="25"/>
  <c r="AK194" i="25"/>
  <c r="AE195" i="25"/>
  <c r="AD195" i="25"/>
  <c r="AC195" i="25"/>
  <c r="AR195" i="25"/>
  <c r="AP189" i="25"/>
  <c r="AA195" i="25"/>
  <c r="AB195" i="25"/>
  <c r="AF195" i="25"/>
  <c r="AG195" i="25"/>
  <c r="AI195" i="25"/>
  <c r="AJ195" i="25"/>
  <c r="S272" i="25"/>
  <c r="P273" i="25"/>
  <c r="R273" i="25"/>
  <c r="N274" i="25"/>
  <c r="Q274" i="25"/>
  <c r="O274" i="25"/>
  <c r="M275" i="25"/>
  <c r="AW189" i="25" l="1"/>
  <c r="AX189" i="25" s="1"/>
  <c r="BH189" i="25" s="1"/>
  <c r="BE188" i="25"/>
  <c r="AU189" i="25"/>
  <c r="AQ189" i="25"/>
  <c r="BB188" i="25"/>
  <c r="AY189" i="25"/>
  <c r="BD189" i="25" s="1"/>
  <c r="BA189" i="25"/>
  <c r="V197" i="25"/>
  <c r="AZ196" i="25"/>
  <c r="M195" i="30"/>
  <c r="E195" i="30" s="1"/>
  <c r="K272" i="30"/>
  <c r="L272" i="30" s="1"/>
  <c r="C196" i="30"/>
  <c r="AL194" i="25"/>
  <c r="BC194" i="25" s="1"/>
  <c r="AO191" i="25"/>
  <c r="AR196" i="25"/>
  <c r="AV196" i="25"/>
  <c r="BF196" i="25" s="1"/>
  <c r="AN194" i="25"/>
  <c r="AT194" i="25"/>
  <c r="BG194" i="25" s="1"/>
  <c r="Y196" i="25"/>
  <c r="Z196" i="25" s="1"/>
  <c r="AM194" i="25"/>
  <c r="AD196" i="25"/>
  <c r="AK195" i="25"/>
  <c r="AE196" i="25"/>
  <c r="AP190" i="25"/>
  <c r="AA196" i="25"/>
  <c r="AB196" i="25"/>
  <c r="W196" i="25"/>
  <c r="X196" i="25" s="1"/>
  <c r="AF196" i="25"/>
  <c r="AI196" i="25"/>
  <c r="AJ196" i="25"/>
  <c r="AG196" i="25"/>
  <c r="AH196" i="25"/>
  <c r="AC196" i="25"/>
  <c r="S273" i="25"/>
  <c r="M276" i="25"/>
  <c r="O275" i="25"/>
  <c r="N275" i="25"/>
  <c r="Q275" i="25"/>
  <c r="P274" i="25"/>
  <c r="R274" i="25"/>
  <c r="AW190" i="25" l="1"/>
  <c r="AX190" i="25" s="1"/>
  <c r="BH190" i="25" s="1"/>
  <c r="BE189" i="25"/>
  <c r="AU190" i="25"/>
  <c r="AY190" i="25"/>
  <c r="BD190" i="25" s="1"/>
  <c r="BA190" i="25"/>
  <c r="AQ190" i="25"/>
  <c r="BB189" i="25"/>
  <c r="V198" i="25"/>
  <c r="AS198" i="25" s="1"/>
  <c r="AZ197" i="25"/>
  <c r="AS197" i="25"/>
  <c r="M196" i="30"/>
  <c r="E196" i="30" s="1"/>
  <c r="K273" i="30"/>
  <c r="L273" i="30" s="1"/>
  <c r="C197" i="30"/>
  <c r="AL195" i="25"/>
  <c r="BC195" i="25" s="1"/>
  <c r="AO192" i="25"/>
  <c r="AV197" i="25"/>
  <c r="BF197" i="25" s="1"/>
  <c r="AN195" i="25"/>
  <c r="AT195" i="25"/>
  <c r="BG195" i="25" s="1"/>
  <c r="AM195" i="25"/>
  <c r="AK196" i="25"/>
  <c r="AE197" i="25"/>
  <c r="AR197" i="25"/>
  <c r="AD197" i="25"/>
  <c r="AG197" i="25"/>
  <c r="AC197" i="25"/>
  <c r="AP191" i="25"/>
  <c r="AA197" i="25"/>
  <c r="AB197" i="25"/>
  <c r="Y197" i="25"/>
  <c r="Z197" i="25" s="1"/>
  <c r="W197" i="25"/>
  <c r="X197" i="25" s="1"/>
  <c r="AF197" i="25"/>
  <c r="AH197" i="25"/>
  <c r="AI197" i="25"/>
  <c r="AJ197" i="25"/>
  <c r="S274" i="25"/>
  <c r="P275" i="25"/>
  <c r="R275" i="25"/>
  <c r="Q276" i="25"/>
  <c r="N276" i="25"/>
  <c r="O276" i="25"/>
  <c r="M277" i="25"/>
  <c r="AW191" i="25" l="1"/>
  <c r="AX191" i="25" s="1"/>
  <c r="BH191" i="25" s="1"/>
  <c r="BE190" i="25"/>
  <c r="AU191" i="25"/>
  <c r="AQ191" i="25"/>
  <c r="BB190" i="25"/>
  <c r="AY191" i="25"/>
  <c r="BD191" i="25" s="1"/>
  <c r="BA191" i="25"/>
  <c r="V199" i="25"/>
  <c r="AZ198" i="25"/>
  <c r="M197" i="30"/>
  <c r="E197" i="30" s="1"/>
  <c r="K274" i="30"/>
  <c r="L274" i="30" s="1"/>
  <c r="C198" i="30"/>
  <c r="AL196" i="25"/>
  <c r="BC196" i="25" s="1"/>
  <c r="AM196" i="25"/>
  <c r="AO193" i="25"/>
  <c r="AR198" i="25"/>
  <c r="AV198" i="25"/>
  <c r="BF198" i="25" s="1"/>
  <c r="AN196" i="25"/>
  <c r="AT196" i="25"/>
  <c r="BG196" i="25" s="1"/>
  <c r="AP192" i="25"/>
  <c r="AB198" i="25"/>
  <c r="AA198" i="25"/>
  <c r="AG198" i="25"/>
  <c r="AH198" i="25"/>
  <c r="AE198" i="25"/>
  <c r="AK197" i="25"/>
  <c r="AJ198" i="25"/>
  <c r="AI198" i="25"/>
  <c r="AC198" i="25"/>
  <c r="AF198" i="25"/>
  <c r="Y198" i="25"/>
  <c r="Z198" i="25" s="1"/>
  <c r="W198" i="25"/>
  <c r="X198" i="25" s="1"/>
  <c r="AD198" i="25"/>
  <c r="S275" i="25"/>
  <c r="O277" i="25"/>
  <c r="Q277" i="25"/>
  <c r="N277" i="25"/>
  <c r="R276" i="25"/>
  <c r="P276" i="25"/>
  <c r="M278" i="25"/>
  <c r="AW192" i="25" l="1"/>
  <c r="AX192" i="25" s="1"/>
  <c r="BH192" i="25" s="1"/>
  <c r="BE191" i="25"/>
  <c r="AU192" i="25"/>
  <c r="AY192" i="25"/>
  <c r="BD192" i="25" s="1"/>
  <c r="BA192" i="25"/>
  <c r="AQ192" i="25"/>
  <c r="BB191" i="25"/>
  <c r="V200" i="25"/>
  <c r="AS200" i="25" s="1"/>
  <c r="AZ199" i="25"/>
  <c r="AS199" i="25"/>
  <c r="M198" i="30"/>
  <c r="E198" i="30" s="1"/>
  <c r="K275" i="30"/>
  <c r="L275" i="30" s="1"/>
  <c r="C199" i="30"/>
  <c r="AL197" i="25"/>
  <c r="BC197" i="25" s="1"/>
  <c r="AO194" i="25"/>
  <c r="AR199" i="25"/>
  <c r="AV199" i="25"/>
  <c r="BF199" i="25" s="1"/>
  <c r="AN197" i="25"/>
  <c r="AT197" i="25"/>
  <c r="BG197" i="25" s="1"/>
  <c r="AH199" i="25"/>
  <c r="Y199" i="25"/>
  <c r="Z199" i="25" s="1"/>
  <c r="AD199" i="25"/>
  <c r="AM197" i="25"/>
  <c r="AP193" i="25"/>
  <c r="AB199" i="25"/>
  <c r="AA199" i="25"/>
  <c r="AF199" i="25"/>
  <c r="AC199" i="25"/>
  <c r="AG199" i="25"/>
  <c r="W199" i="25"/>
  <c r="X199" i="25" s="1"/>
  <c r="AE199" i="25"/>
  <c r="AK198" i="25"/>
  <c r="AJ199" i="25"/>
  <c r="AI199" i="25"/>
  <c r="M279" i="25"/>
  <c r="S276" i="25"/>
  <c r="R277" i="25"/>
  <c r="P277" i="25"/>
  <c r="O278" i="25"/>
  <c r="Q278" i="25"/>
  <c r="N278" i="25"/>
  <c r="AW193" i="25" l="1"/>
  <c r="AX193" i="25" s="1"/>
  <c r="BH193" i="25" s="1"/>
  <c r="BE192" i="25"/>
  <c r="AU193" i="25"/>
  <c r="AY193" i="25"/>
  <c r="BD193" i="25" s="1"/>
  <c r="BA193" i="25"/>
  <c r="AQ193" i="25"/>
  <c r="BB192" i="25"/>
  <c r="V201" i="25"/>
  <c r="AZ201" i="25" s="1"/>
  <c r="AZ200" i="25"/>
  <c r="M199" i="30"/>
  <c r="E199" i="30"/>
  <c r="K276" i="30"/>
  <c r="L276" i="30" s="1"/>
  <c r="C200" i="30"/>
  <c r="AL198" i="25"/>
  <c r="BC198" i="25" s="1"/>
  <c r="AO195" i="25"/>
  <c r="AV200" i="25"/>
  <c r="BF200" i="25" s="1"/>
  <c r="AN198" i="25"/>
  <c r="AT198" i="25"/>
  <c r="BG198" i="25" s="1"/>
  <c r="Y200" i="25"/>
  <c r="Z200" i="25" s="1"/>
  <c r="AR200" i="25"/>
  <c r="AE200" i="25"/>
  <c r="AG200" i="25"/>
  <c r="AF200" i="25"/>
  <c r="AC200" i="25"/>
  <c r="AP194" i="25"/>
  <c r="AK199" i="25"/>
  <c r="AA200" i="25"/>
  <c r="AB200" i="25"/>
  <c r="AM198" i="25"/>
  <c r="AJ200" i="25"/>
  <c r="AI200" i="25"/>
  <c r="AD200" i="25"/>
  <c r="W200" i="25"/>
  <c r="X200" i="25" s="1"/>
  <c r="AH200" i="25"/>
  <c r="S277" i="25"/>
  <c r="O279" i="25"/>
  <c r="N279" i="25"/>
  <c r="Q279" i="25"/>
  <c r="R278" i="25"/>
  <c r="P278" i="25"/>
  <c r="M280" i="25"/>
  <c r="AW194" i="25" l="1"/>
  <c r="AX194" i="25" s="1"/>
  <c r="BH194" i="25" s="1"/>
  <c r="BE193" i="25"/>
  <c r="AU194" i="25"/>
  <c r="AY194" i="25"/>
  <c r="BD194" i="25" s="1"/>
  <c r="BA194" i="25"/>
  <c r="AQ194" i="25"/>
  <c r="BB193" i="25"/>
  <c r="AS201" i="25"/>
  <c r="M200" i="30"/>
  <c r="E200" i="30" s="1"/>
  <c r="K277" i="30"/>
  <c r="L277" i="30" s="1"/>
  <c r="C201" i="30"/>
  <c r="AL199" i="25"/>
  <c r="BC199" i="25" s="1"/>
  <c r="AO196" i="25"/>
  <c r="AR201" i="25"/>
  <c r="AV201" i="25"/>
  <c r="BF201" i="25" s="1"/>
  <c r="AN199" i="25"/>
  <c r="AK200" i="25"/>
  <c r="AT199" i="25"/>
  <c r="BG199" i="25" s="1"/>
  <c r="Y201" i="25"/>
  <c r="Z201" i="25" s="1"/>
  <c r="AE201" i="25"/>
  <c r="AP195" i="25"/>
  <c r="AB201" i="25"/>
  <c r="AA201" i="25"/>
  <c r="AF201" i="25"/>
  <c r="AC201" i="25"/>
  <c r="AG201" i="25"/>
  <c r="AD201" i="25"/>
  <c r="AH201" i="25"/>
  <c r="W201" i="25"/>
  <c r="X201" i="25" s="1"/>
  <c r="AM199" i="25"/>
  <c r="AJ201" i="25"/>
  <c r="AI201" i="25"/>
  <c r="S278" i="25"/>
  <c r="N280" i="25"/>
  <c r="Q280" i="25"/>
  <c r="O280" i="25"/>
  <c r="M281" i="25"/>
  <c r="R279" i="25"/>
  <c r="P279" i="25"/>
  <c r="AW195" i="25" l="1"/>
  <c r="AX195" i="25" s="1"/>
  <c r="BH195" i="25" s="1"/>
  <c r="BE194" i="25"/>
  <c r="AU195" i="25"/>
  <c r="AQ195" i="25"/>
  <c r="BB194" i="25"/>
  <c r="AY195" i="25"/>
  <c r="BD195" i="25" s="1"/>
  <c r="BA195" i="25"/>
  <c r="M201" i="30"/>
  <c r="E201" i="30"/>
  <c r="K278" i="30"/>
  <c r="L278" i="30" s="1"/>
  <c r="C202" i="30"/>
  <c r="AL200" i="25"/>
  <c r="BC200" i="25" s="1"/>
  <c r="AO197" i="25"/>
  <c r="AT200" i="25"/>
  <c r="BG200" i="25" s="1"/>
  <c r="AN200" i="25"/>
  <c r="AK201" i="25"/>
  <c r="AP196" i="25"/>
  <c r="AM200" i="25"/>
  <c r="S279" i="25"/>
  <c r="M282" i="25"/>
  <c r="N281" i="25"/>
  <c r="Q281" i="25"/>
  <c r="O281" i="25"/>
  <c r="P280" i="25"/>
  <c r="R280" i="25"/>
  <c r="AW196" i="25" l="1"/>
  <c r="AX196" i="25" s="1"/>
  <c r="BH196" i="25" s="1"/>
  <c r="BE195" i="25"/>
  <c r="AU196" i="25"/>
  <c r="AY196" i="25"/>
  <c r="BD196" i="25" s="1"/>
  <c r="BA196" i="25"/>
  <c r="AQ196" i="25"/>
  <c r="BB195" i="25"/>
  <c r="M202" i="30"/>
  <c r="E202" i="30" s="1"/>
  <c r="K279" i="30"/>
  <c r="L279" i="30" s="1"/>
  <c r="C203" i="30"/>
  <c r="AL201" i="25"/>
  <c r="BC201" i="25" s="1"/>
  <c r="AO198" i="25"/>
  <c r="AT201" i="25"/>
  <c r="BG201" i="25" s="1"/>
  <c r="AN201" i="25"/>
  <c r="AP197" i="25"/>
  <c r="AM201" i="25"/>
  <c r="S280" i="25"/>
  <c r="P281" i="25"/>
  <c r="R281" i="25"/>
  <c r="Q282" i="25"/>
  <c r="N282" i="25"/>
  <c r="O282" i="25"/>
  <c r="M283" i="25"/>
  <c r="AW197" i="25" l="1"/>
  <c r="AX197" i="25" s="1"/>
  <c r="BH197" i="25" s="1"/>
  <c r="BE196" i="25"/>
  <c r="AU197" i="25"/>
  <c r="AY197" i="25"/>
  <c r="BD197" i="25" s="1"/>
  <c r="BA197" i="25"/>
  <c r="AQ197" i="25"/>
  <c r="BB196" i="25"/>
  <c r="M203" i="30"/>
  <c r="E203" i="30" s="1"/>
  <c r="K280" i="30"/>
  <c r="L280" i="30" s="1"/>
  <c r="C204" i="30"/>
  <c r="AO199" i="25"/>
  <c r="AP198" i="25"/>
  <c r="S281" i="25"/>
  <c r="M284" i="25"/>
  <c r="N283" i="25"/>
  <c r="O283" i="25"/>
  <c r="Q283" i="25"/>
  <c r="R282" i="25"/>
  <c r="P282" i="25"/>
  <c r="AW198" i="25" l="1"/>
  <c r="AX198" i="25" s="1"/>
  <c r="BH198" i="25" s="1"/>
  <c r="BE197" i="25"/>
  <c r="AU198" i="25"/>
  <c r="AQ198" i="25"/>
  <c r="BB197" i="25"/>
  <c r="AY198" i="25"/>
  <c r="BD198" i="25" s="1"/>
  <c r="BA198" i="25"/>
  <c r="M204" i="30"/>
  <c r="E204" i="30" s="1"/>
  <c r="K281" i="30"/>
  <c r="L281" i="30" s="1"/>
  <c r="C205" i="30"/>
  <c r="AO200" i="25"/>
  <c r="AP199" i="25"/>
  <c r="S282" i="25"/>
  <c r="P283" i="25"/>
  <c r="R283" i="25"/>
  <c r="O284" i="25"/>
  <c r="N284" i="25"/>
  <c r="Q284" i="25"/>
  <c r="M285" i="25"/>
  <c r="AW199" i="25" l="1"/>
  <c r="AX199" i="25" s="1"/>
  <c r="BH199" i="25" s="1"/>
  <c r="BE198" i="25"/>
  <c r="AU199" i="25"/>
  <c r="AQ199" i="25"/>
  <c r="BB198" i="25"/>
  <c r="AY199" i="25"/>
  <c r="BD199" i="25" s="1"/>
  <c r="BA199" i="25"/>
  <c r="M205" i="30"/>
  <c r="E205" i="30" s="1"/>
  <c r="K282" i="30"/>
  <c r="L282" i="30" s="1"/>
  <c r="C206" i="30"/>
  <c r="AO201" i="25"/>
  <c r="AP200" i="25"/>
  <c r="O285" i="25"/>
  <c r="Q285" i="25"/>
  <c r="N285" i="25"/>
  <c r="M286" i="25"/>
  <c r="P284" i="25"/>
  <c r="R284" i="25"/>
  <c r="S283" i="25"/>
  <c r="AW200" i="25" l="1"/>
  <c r="AX200" i="25" s="1"/>
  <c r="BH200" i="25" s="1"/>
  <c r="BE199" i="25"/>
  <c r="AU200" i="25"/>
  <c r="AY200" i="25"/>
  <c r="BD200" i="25" s="1"/>
  <c r="BA200" i="25"/>
  <c r="AQ200" i="25"/>
  <c r="BB199" i="25"/>
  <c r="M206" i="30"/>
  <c r="E206" i="30" s="1"/>
  <c r="K283" i="30"/>
  <c r="L283" i="30" s="1"/>
  <c r="C207" i="30"/>
  <c r="S284" i="25"/>
  <c r="AP201" i="25"/>
  <c r="Q286" i="25"/>
  <c r="O286" i="25"/>
  <c r="N286" i="25"/>
  <c r="M287" i="25"/>
  <c r="R285" i="25"/>
  <c r="P285" i="25"/>
  <c r="AW201" i="25" l="1"/>
  <c r="AX201" i="25" s="1"/>
  <c r="BH201" i="25" s="1"/>
  <c r="BE200" i="25"/>
  <c r="AU201" i="25"/>
  <c r="BE201" i="25" s="1"/>
  <c r="AQ201" i="25"/>
  <c r="BB201" i="25" s="1"/>
  <c r="BB200" i="25"/>
  <c r="AY201" i="25"/>
  <c r="BD201" i="25" s="1"/>
  <c r="BA201" i="25"/>
  <c r="M207" i="30"/>
  <c r="E207" i="30"/>
  <c r="K284" i="30"/>
  <c r="L284" i="30" s="1"/>
  <c r="C208" i="30"/>
  <c r="S285" i="25"/>
  <c r="Q287" i="25"/>
  <c r="O287" i="25"/>
  <c r="N287" i="25"/>
  <c r="M288" i="25"/>
  <c r="P286" i="25"/>
  <c r="R286" i="25"/>
  <c r="M208" i="30" l="1"/>
  <c r="E208" i="30"/>
  <c r="K285" i="30"/>
  <c r="L285" i="30" s="1"/>
  <c r="C209" i="30"/>
  <c r="S286" i="25"/>
  <c r="N288" i="25"/>
  <c r="Q288" i="25"/>
  <c r="O288" i="25"/>
  <c r="M289" i="25"/>
  <c r="P287" i="25"/>
  <c r="R287" i="25"/>
  <c r="M209" i="30" l="1"/>
  <c r="E209" i="30"/>
  <c r="K286" i="30"/>
  <c r="L286" i="30" s="1"/>
  <c r="C210" i="30"/>
  <c r="S287" i="25"/>
  <c r="N289" i="25"/>
  <c r="Q289" i="25"/>
  <c r="O289" i="25"/>
  <c r="M290" i="25"/>
  <c r="R288" i="25"/>
  <c r="P288" i="25"/>
  <c r="M210" i="30" l="1"/>
  <c r="E210" i="30" s="1"/>
  <c r="K287" i="30"/>
  <c r="L287" i="30" s="1"/>
  <c r="C211" i="30"/>
  <c r="S288" i="25"/>
  <c r="N290" i="25"/>
  <c r="Q290" i="25"/>
  <c r="O290" i="25"/>
  <c r="M291" i="25"/>
  <c r="R289" i="25"/>
  <c r="P289" i="25"/>
  <c r="M211" i="30" l="1"/>
  <c r="E211" i="30" s="1"/>
  <c r="K288" i="30"/>
  <c r="L288" i="30" s="1"/>
  <c r="C212" i="30"/>
  <c r="S289" i="25"/>
  <c r="M292" i="25"/>
  <c r="N291" i="25"/>
  <c r="O291" i="25"/>
  <c r="Q291" i="25"/>
  <c r="P290" i="25"/>
  <c r="R290" i="25"/>
  <c r="M212" i="30" l="1"/>
  <c r="E212" i="30" s="1"/>
  <c r="K289" i="30"/>
  <c r="L289" i="30" s="1"/>
  <c r="C213" i="30"/>
  <c r="S290" i="25"/>
  <c r="M293" i="25"/>
  <c r="O292" i="25"/>
  <c r="N292" i="25"/>
  <c r="Q292" i="25"/>
  <c r="P291" i="25"/>
  <c r="R291" i="25"/>
  <c r="M213" i="30" l="1"/>
  <c r="E213" i="30" s="1"/>
  <c r="K290" i="30"/>
  <c r="L290" i="30" s="1"/>
  <c r="C214" i="30"/>
  <c r="S291" i="25"/>
  <c r="O293" i="25"/>
  <c r="Q293" i="25"/>
  <c r="N293" i="25"/>
  <c r="R292" i="25"/>
  <c r="P292" i="25"/>
  <c r="M294" i="25"/>
  <c r="M214" i="30" l="1"/>
  <c r="E214" i="30"/>
  <c r="K291" i="30"/>
  <c r="L291" i="30" s="1"/>
  <c r="C215" i="30"/>
  <c r="O294" i="25"/>
  <c r="Q294" i="25"/>
  <c r="N294" i="25"/>
  <c r="M295" i="25"/>
  <c r="S292" i="25"/>
  <c r="P293" i="25"/>
  <c r="R293" i="25"/>
  <c r="M215" i="30" l="1"/>
  <c r="E215" i="30"/>
  <c r="K292" i="30"/>
  <c r="L292" i="30" s="1"/>
  <c r="C216" i="30"/>
  <c r="S293" i="25"/>
  <c r="M296" i="25"/>
  <c r="Q295" i="25"/>
  <c r="O295" i="25"/>
  <c r="N295" i="25"/>
  <c r="R294" i="25"/>
  <c r="P294" i="25"/>
  <c r="M216" i="30" l="1"/>
  <c r="E216" i="30"/>
  <c r="K293" i="30"/>
  <c r="L293" i="30" s="1"/>
  <c r="C217" i="30"/>
  <c r="S294" i="25"/>
  <c r="M297" i="25"/>
  <c r="R295" i="25"/>
  <c r="P295" i="25"/>
  <c r="N296" i="25"/>
  <c r="Q296" i="25"/>
  <c r="O296" i="25"/>
  <c r="M217" i="30" l="1"/>
  <c r="E217" i="30"/>
  <c r="K294" i="30"/>
  <c r="L294" i="30" s="1"/>
  <c r="C218" i="30"/>
  <c r="R296" i="25"/>
  <c r="P296" i="25"/>
  <c r="S295" i="25"/>
  <c r="M298" i="25"/>
  <c r="N297" i="25"/>
  <c r="O297" i="25"/>
  <c r="Q297" i="25"/>
  <c r="E218" i="30" l="1"/>
  <c r="M218" i="30"/>
  <c r="K295" i="30"/>
  <c r="L295" i="30" s="1"/>
  <c r="C219" i="30"/>
  <c r="S296" i="25"/>
  <c r="M299" i="25"/>
  <c r="M300" i="25"/>
  <c r="L2" i="25"/>
  <c r="L3" i="30" s="1"/>
  <c r="P297" i="25"/>
  <c r="R297" i="25"/>
  <c r="N298" i="25"/>
  <c r="Q298" i="25"/>
  <c r="O298" i="25"/>
  <c r="M219" i="30" l="1"/>
  <c r="E219" i="30" s="1"/>
  <c r="K296" i="30"/>
  <c r="L296" i="30" s="1"/>
  <c r="C220" i="30"/>
  <c r="A1" i="25"/>
  <c r="R2" i="8" s="1"/>
  <c r="P298" i="25"/>
  <c r="R298" i="25"/>
  <c r="S297" i="25"/>
  <c r="N300" i="25"/>
  <c r="O300" i="25"/>
  <c r="Q300" i="25"/>
  <c r="O299" i="25"/>
  <c r="Q299" i="25"/>
  <c r="N299" i="25"/>
  <c r="M220" i="30" l="1"/>
  <c r="E220" i="30" s="1"/>
  <c r="K297" i="30"/>
  <c r="L297" i="30" s="1"/>
  <c r="C221" i="30"/>
  <c r="R300" i="25"/>
  <c r="P300" i="25"/>
  <c r="P299" i="25"/>
  <c r="R299" i="25"/>
  <c r="S298" i="25"/>
  <c r="M221" i="30" l="1"/>
  <c r="E221" i="30"/>
  <c r="K298" i="30"/>
  <c r="L298" i="30" s="1"/>
  <c r="C222" i="30"/>
  <c r="S300" i="25"/>
  <c r="S299" i="25"/>
  <c r="M222" i="30" l="1"/>
  <c r="E222" i="30" s="1"/>
  <c r="K299" i="30"/>
  <c r="L299" i="30" s="1"/>
  <c r="K300" i="30"/>
  <c r="L300" i="30" s="1"/>
  <c r="C223" i="30"/>
  <c r="M223" i="30" l="1"/>
  <c r="E223" i="30"/>
  <c r="C224" i="30"/>
  <c r="M224" i="30" l="1"/>
  <c r="E224" i="30" s="1"/>
  <c r="C225" i="30"/>
  <c r="M225" i="30" l="1"/>
  <c r="E225" i="30"/>
  <c r="C226" i="30"/>
  <c r="M226" i="30" l="1"/>
  <c r="E226" i="30" s="1"/>
  <c r="C227" i="30"/>
  <c r="M227" i="30" l="1"/>
  <c r="E227" i="30"/>
  <c r="C228" i="30"/>
  <c r="M228" i="30" l="1"/>
  <c r="E228" i="30"/>
  <c r="C229" i="30"/>
  <c r="M229" i="30" l="1"/>
  <c r="E229" i="30"/>
  <c r="C230" i="30"/>
  <c r="M230" i="30" l="1"/>
  <c r="E230" i="30"/>
  <c r="C231" i="30"/>
  <c r="M231" i="30" l="1"/>
  <c r="E231" i="30"/>
  <c r="C232" i="30"/>
  <c r="M232" i="30" l="1"/>
  <c r="E232" i="30"/>
  <c r="C233" i="30"/>
  <c r="M233" i="30" l="1"/>
  <c r="E233" i="30"/>
  <c r="C234" i="30"/>
  <c r="H22" i="21"/>
  <c r="M234" i="30" l="1"/>
  <c r="E234" i="30" s="1"/>
  <c r="C235" i="30"/>
  <c r="M235" i="30" l="1"/>
  <c r="E235" i="30"/>
  <c r="C236" i="30"/>
  <c r="H8" i="25"/>
  <c r="H9" i="25" s="1"/>
  <c r="E7" i="25"/>
  <c r="H6" i="25"/>
  <c r="H7" i="25" s="1"/>
  <c r="E6" i="25"/>
  <c r="I6" i="25" s="1"/>
  <c r="M236" i="30" l="1"/>
  <c r="E236" i="30"/>
  <c r="C237" i="30"/>
  <c r="I9" i="25"/>
  <c r="M237" i="30" l="1"/>
  <c r="E237" i="30"/>
  <c r="C238" i="30"/>
  <c r="M238" i="30" l="1"/>
  <c r="E238" i="30"/>
  <c r="C239" i="30"/>
  <c r="M239" i="30" l="1"/>
  <c r="E239" i="30"/>
  <c r="C240" i="30"/>
  <c r="M240" i="30" l="1"/>
  <c r="E240" i="30"/>
  <c r="C241" i="30"/>
  <c r="M241" i="30" l="1"/>
  <c r="E241" i="30"/>
  <c r="C242" i="30"/>
  <c r="E242" i="30" l="1"/>
  <c r="M242" i="30"/>
  <c r="C243" i="30"/>
  <c r="M243" i="30" l="1"/>
  <c r="E243" i="30"/>
  <c r="C244" i="30"/>
  <c r="M244" i="30" l="1"/>
  <c r="E244" i="30"/>
  <c r="C245" i="30"/>
  <c r="M245" i="30" l="1"/>
  <c r="E245" i="30" s="1"/>
  <c r="C246" i="30"/>
  <c r="M246" i="30" l="1"/>
  <c r="E246" i="30"/>
  <c r="C247" i="30"/>
  <c r="M247" i="30" l="1"/>
  <c r="E247" i="30"/>
  <c r="C248" i="30"/>
  <c r="M248" i="30" l="1"/>
  <c r="E248" i="30"/>
  <c r="C249" i="30"/>
  <c r="M249" i="30" l="1"/>
  <c r="E249" i="30"/>
  <c r="C250" i="30"/>
  <c r="E250" i="30" l="1"/>
  <c r="M250" i="30"/>
  <c r="C251" i="30"/>
  <c r="M251" i="30" l="1"/>
  <c r="E251" i="30"/>
  <c r="C252" i="30"/>
  <c r="M252" i="30" l="1"/>
  <c r="E252" i="30"/>
  <c r="C253" i="30"/>
  <c r="M253" i="30" l="1"/>
  <c r="E253" i="30"/>
  <c r="C254" i="30"/>
  <c r="M254" i="30" l="1"/>
  <c r="E254" i="30"/>
  <c r="C255" i="30"/>
  <c r="M255" i="30" l="1"/>
  <c r="E255" i="30"/>
  <c r="C256" i="30"/>
  <c r="M256" i="30" l="1"/>
  <c r="E256" i="30"/>
  <c r="C257" i="30"/>
  <c r="M257" i="30" l="1"/>
  <c r="E257" i="30"/>
  <c r="C258" i="30"/>
  <c r="E258" i="30" l="1"/>
  <c r="M258" i="30"/>
  <c r="C259" i="30"/>
  <c r="M259" i="30" l="1"/>
  <c r="E259" i="30" s="1"/>
  <c r="C260" i="30"/>
  <c r="M260" i="30" l="1"/>
  <c r="E260" i="30"/>
  <c r="C261" i="30"/>
  <c r="M261" i="30" l="1"/>
  <c r="E261" i="30"/>
  <c r="C262" i="30"/>
  <c r="M262" i="30" l="1"/>
  <c r="E262" i="30" s="1"/>
  <c r="C263" i="30"/>
  <c r="M263" i="30" l="1"/>
  <c r="E263" i="30" s="1"/>
  <c r="C264" i="30"/>
  <c r="M264" i="30" l="1"/>
  <c r="E264" i="30" s="1"/>
  <c r="C265" i="30"/>
  <c r="M265" i="30" l="1"/>
  <c r="E265" i="30" s="1"/>
  <c r="C266" i="30"/>
  <c r="M266" i="30" l="1"/>
  <c r="E266" i="30" s="1"/>
  <c r="C267" i="30"/>
  <c r="E267" i="30" l="1"/>
  <c r="M267" i="30"/>
  <c r="C268" i="30"/>
  <c r="M268" i="30" l="1"/>
  <c r="E268" i="30" s="1"/>
  <c r="C269" i="30"/>
  <c r="M269" i="30" l="1"/>
  <c r="E269" i="30" s="1"/>
  <c r="C270" i="30"/>
  <c r="M270" i="30" l="1"/>
  <c r="E270" i="30" s="1"/>
  <c r="C271" i="30"/>
  <c r="M271" i="30" l="1"/>
  <c r="E271" i="30"/>
  <c r="C272" i="30"/>
  <c r="M272" i="30" l="1"/>
  <c r="E272" i="30" s="1"/>
  <c r="C273" i="30"/>
  <c r="M273" i="30" l="1"/>
  <c r="E273" i="30" s="1"/>
  <c r="C274" i="30"/>
  <c r="M274" i="30" l="1"/>
  <c r="E274" i="30" s="1"/>
  <c r="C275" i="30"/>
  <c r="M275" i="30" l="1"/>
  <c r="E275" i="30" s="1"/>
  <c r="C276" i="30"/>
  <c r="M276" i="30" l="1"/>
  <c r="E276" i="30"/>
  <c r="C277" i="30"/>
  <c r="M277" i="30" l="1"/>
  <c r="E277" i="30"/>
  <c r="C278" i="30"/>
  <c r="M278" i="30" l="1"/>
  <c r="E278" i="30" s="1"/>
  <c r="C279" i="30"/>
  <c r="M279" i="30" l="1"/>
  <c r="E279" i="30"/>
  <c r="C280" i="30"/>
  <c r="M280" i="30" l="1"/>
  <c r="E280" i="30" s="1"/>
  <c r="C281" i="30"/>
  <c r="M281" i="30" l="1"/>
  <c r="E281" i="30"/>
  <c r="C282" i="30"/>
  <c r="M282" i="30" l="1"/>
  <c r="E282" i="30" s="1"/>
  <c r="C283" i="30"/>
  <c r="E283" i="30" l="1"/>
  <c r="M283" i="30"/>
  <c r="C284" i="30"/>
  <c r="M284" i="30" l="1"/>
  <c r="E284" i="30"/>
  <c r="C285" i="30"/>
  <c r="M285" i="30" l="1"/>
  <c r="E285" i="30"/>
  <c r="C286" i="30"/>
  <c r="M286" i="30" l="1"/>
  <c r="E286" i="30" s="1"/>
  <c r="C287" i="30"/>
  <c r="M287" i="30" l="1"/>
  <c r="E287" i="30"/>
  <c r="C288" i="30"/>
  <c r="M288" i="30" l="1"/>
  <c r="E288" i="30" s="1"/>
  <c r="C289" i="30"/>
  <c r="M289" i="30" l="1"/>
  <c r="E289" i="30"/>
  <c r="C290" i="30"/>
  <c r="M290" i="30" l="1"/>
  <c r="E290" i="30" s="1"/>
  <c r="C291" i="30"/>
  <c r="M291" i="30" l="1"/>
  <c r="E291" i="30" s="1"/>
  <c r="C292" i="30"/>
  <c r="M292" i="30" l="1"/>
  <c r="E292" i="30"/>
  <c r="C293" i="30"/>
  <c r="M293" i="30" l="1"/>
  <c r="E293" i="30"/>
  <c r="C294" i="30"/>
  <c r="M294" i="30" l="1"/>
  <c r="E294" i="30"/>
  <c r="C295" i="30"/>
  <c r="M295" i="30" l="1"/>
  <c r="E295" i="30"/>
  <c r="C296" i="30"/>
  <c r="M296" i="30" l="1"/>
  <c r="E296" i="30" s="1"/>
  <c r="C297" i="30"/>
  <c r="M297" i="30" l="1"/>
  <c r="E297" i="30"/>
  <c r="C298" i="30"/>
  <c r="M298" i="30" l="1"/>
  <c r="E298" i="30" s="1"/>
  <c r="C299" i="30"/>
  <c r="J1" i="30" l="1" a="1"/>
  <c r="J1" i="30" s="1"/>
  <c r="C4" i="30" a="1"/>
  <c r="C4" i="30" s="1"/>
  <c r="C3" i="30" s="1"/>
  <c r="M299" i="30"/>
  <c r="E299" i="30" s="1"/>
  <c r="C300" i="30"/>
  <c r="M300" i="30" l="1"/>
  <c r="E300" i="30" s="1"/>
  <c r="K4" i="30"/>
  <c r="K3" i="30" s="1"/>
  <c r="M4" i="30"/>
  <c r="M3" i="30" s="1"/>
  <c r="E4" i="30" l="1"/>
  <c r="K39" i="8" l="1"/>
  <c r="K40" i="8"/>
  <c r="J8" i="4" s="1"/>
  <c r="J40" i="8"/>
  <c r="I8" i="4" s="1"/>
  <c r="J7" i="4" l="1"/>
  <c r="N7" i="4" s="1"/>
  <c r="M8" i="4"/>
  <c r="N8" i="4"/>
  <c r="I7" i="4"/>
  <c r="M7" i="4" l="1"/>
  <c r="AE16" i="20" l="1"/>
  <c r="AE37" i="20" s="1"/>
  <c r="K7" i="20" s="1"/>
  <c r="K8" i="4" l="1"/>
  <c r="K6" i="4"/>
  <c r="O6" i="4" s="1"/>
  <c r="H7" i="24" l="1"/>
  <c r="F7" i="24"/>
  <c r="O8" i="4"/>
  <c r="K7" i="24" l="1"/>
  <c r="M7" i="24" s="1"/>
  <c r="J7" i="24"/>
  <c r="L7" i="24" s="1"/>
  <c r="O7" i="24" s="1"/>
  <c r="P7" i="24" l="1"/>
  <c r="S7" i="24" s="1"/>
  <c r="Q7" i="24" l="1"/>
  <c r="R7" i="24" s="1"/>
  <c r="N7" i="24"/>
  <c r="J38" i="8"/>
  <c r="J36" i="8" s="1"/>
  <c r="K38" i="8"/>
  <c r="K36" i="8" s="1"/>
  <c r="J3" i="4" l="1"/>
  <c r="J6" i="4"/>
  <c r="N6" i="4" s="1"/>
  <c r="I3" i="4"/>
  <c r="I6" i="4"/>
  <c r="M6" i="4" s="1"/>
  <c r="Q9" i="4" l="1"/>
  <c r="S9" i="4" s="1"/>
  <c r="V9" i="4" s="1"/>
  <c r="R9" i="4"/>
  <c r="T9" i="4" s="1"/>
  <c r="Q6" i="4"/>
  <c r="S6" i="4" s="1"/>
  <c r="V6" i="4" s="1"/>
  <c r="R6" i="4"/>
  <c r="T6" i="4" s="1"/>
  <c r="Q7" i="4"/>
  <c r="R7" i="4"/>
  <c r="Q8" i="4"/>
  <c r="R8" i="4"/>
  <c r="W9" i="4" l="1"/>
  <c r="Z9" i="4" s="1"/>
  <c r="T8" i="4"/>
  <c r="T7" i="4"/>
  <c r="S8" i="4"/>
  <c r="S7" i="4"/>
  <c r="W6" i="4"/>
  <c r="Z6" i="4" s="1"/>
  <c r="E8" i="24"/>
  <c r="I52" i="8"/>
  <c r="I51" i="8"/>
  <c r="U6" i="4" l="1"/>
  <c r="U9" i="4"/>
  <c r="X9" i="4"/>
  <c r="Y9" i="4" s="1"/>
  <c r="V7" i="4"/>
  <c r="V8" i="4"/>
  <c r="X6" i="4"/>
  <c r="G8" i="24"/>
  <c r="H8" i="24"/>
  <c r="I8" i="24"/>
  <c r="F8" i="24"/>
  <c r="G194" i="30" l="1"/>
  <c r="G171" i="30"/>
  <c r="G235" i="30"/>
  <c r="G191" i="30"/>
  <c r="G210" i="30"/>
  <c r="G212" i="30"/>
  <c r="G218" i="30"/>
  <c r="G220" i="30"/>
  <c r="G168" i="30"/>
  <c r="G232" i="30"/>
  <c r="G176" i="30"/>
  <c r="G234" i="30"/>
  <c r="G6" i="30"/>
  <c r="G14" i="30"/>
  <c r="G254" i="30"/>
  <c r="G262" i="30"/>
  <c r="G270" i="30"/>
  <c r="G278" i="30"/>
  <c r="G286" i="30"/>
  <c r="G294" i="30"/>
  <c r="G231" i="30"/>
  <c r="G247" i="30"/>
  <c r="G263" i="30"/>
  <c r="G279" i="30"/>
  <c r="G295" i="30"/>
  <c r="G293" i="30"/>
  <c r="G7" i="30"/>
  <c r="G255" i="30"/>
  <c r="G271" i="30"/>
  <c r="G287" i="30"/>
  <c r="G269" i="30"/>
  <c r="G8" i="30"/>
  <c r="G248" i="30"/>
  <c r="G256" i="30"/>
  <c r="G264" i="30"/>
  <c r="G272" i="30"/>
  <c r="G280" i="30"/>
  <c r="G288" i="30"/>
  <c r="G296" i="30"/>
  <c r="G233" i="30"/>
  <c r="G249" i="30"/>
  <c r="G265" i="30"/>
  <c r="G273" i="30"/>
  <c r="G289" i="30"/>
  <c r="G277" i="30"/>
  <c r="G9" i="30"/>
  <c r="G257" i="30"/>
  <c r="G281" i="30"/>
  <c r="G297" i="30"/>
  <c r="G10" i="30"/>
  <c r="G250" i="30"/>
  <c r="G258" i="30"/>
  <c r="G266" i="30"/>
  <c r="G274" i="30"/>
  <c r="G282" i="30"/>
  <c r="G290" i="30"/>
  <c r="G298" i="30"/>
  <c r="G261" i="30"/>
  <c r="G11" i="30"/>
  <c r="G251" i="30"/>
  <c r="G259" i="30"/>
  <c r="G267" i="30"/>
  <c r="G275" i="30"/>
  <c r="G283" i="30"/>
  <c r="G291" i="30"/>
  <c r="G299" i="30"/>
  <c r="G292" i="30"/>
  <c r="G13" i="30"/>
  <c r="G253" i="30"/>
  <c r="G12" i="30"/>
  <c r="G252" i="30"/>
  <c r="G260" i="30"/>
  <c r="G268" i="30"/>
  <c r="G276" i="30"/>
  <c r="G284" i="30"/>
  <c r="G300" i="30"/>
  <c r="G173" i="30"/>
  <c r="G285" i="30"/>
  <c r="G180" i="30"/>
  <c r="Y6" i="4"/>
  <c r="W8" i="4"/>
  <c r="U8" i="4" s="1"/>
  <c r="J8" i="24"/>
  <c r="L8" i="24" s="1"/>
  <c r="O8" i="24" s="1"/>
  <c r="W7" i="4"/>
  <c r="K8" i="24"/>
  <c r="M8" i="24" s="1"/>
  <c r="P8" i="24" s="1"/>
  <c r="I50" i="8"/>
  <c r="E12" i="24" s="1"/>
  <c r="E11" i="24"/>
  <c r="G136" i="30" l="1"/>
  <c r="G154" i="30"/>
  <c r="G131" i="30"/>
  <c r="G159" i="30"/>
  <c r="G146" i="30"/>
  <c r="G133" i="30"/>
  <c r="G72" i="30"/>
  <c r="X8" i="4"/>
  <c r="Y8" i="4" s="1"/>
  <c r="G88" i="30"/>
  <c r="G75" i="30"/>
  <c r="G77" i="30"/>
  <c r="G117" i="30"/>
  <c r="G85" i="30"/>
  <c r="G96" i="30"/>
  <c r="G121" i="30"/>
  <c r="G95" i="30"/>
  <c r="G67" i="30"/>
  <c r="G161" i="30"/>
  <c r="G93" i="30"/>
  <c r="G221" i="30"/>
  <c r="G217" i="30"/>
  <c r="G239" i="30"/>
  <c r="G170" i="30"/>
  <c r="G226" i="30"/>
  <c r="G156" i="30"/>
  <c r="G90" i="30"/>
  <c r="G135" i="30"/>
  <c r="G148" i="30"/>
  <c r="G82" i="30"/>
  <c r="G127" i="30"/>
  <c r="G196" i="30"/>
  <c r="G130" i="30"/>
  <c r="G175" i="30"/>
  <c r="G211" i="30"/>
  <c r="G190" i="30"/>
  <c r="G69" i="30"/>
  <c r="G241" i="30"/>
  <c r="G165" i="30"/>
  <c r="G223" i="30"/>
  <c r="G237" i="30"/>
  <c r="G172" i="30"/>
  <c r="G151" i="30"/>
  <c r="G162" i="30"/>
  <c r="G92" i="30"/>
  <c r="G201" i="30"/>
  <c r="G71" i="30"/>
  <c r="G84" i="30"/>
  <c r="G193" i="30"/>
  <c r="G132" i="30"/>
  <c r="G147" i="30"/>
  <c r="G126" i="30"/>
  <c r="G245" i="30"/>
  <c r="G225" i="30"/>
  <c r="G125" i="30"/>
  <c r="G215" i="30"/>
  <c r="G181" i="30"/>
  <c r="G87" i="30"/>
  <c r="G228" i="30"/>
  <c r="G143" i="30"/>
  <c r="G137" i="30"/>
  <c r="G230" i="30"/>
  <c r="G243" i="30"/>
  <c r="G129" i="30"/>
  <c r="G222" i="30"/>
  <c r="G202" i="30"/>
  <c r="G68" i="30"/>
  <c r="G177" i="30"/>
  <c r="G83" i="30"/>
  <c r="G184" i="30"/>
  <c r="G189" i="30"/>
  <c r="G209" i="30"/>
  <c r="G207" i="30"/>
  <c r="G153" i="30"/>
  <c r="G246" i="30"/>
  <c r="G164" i="30"/>
  <c r="G79" i="30"/>
  <c r="G187" i="30"/>
  <c r="G73" i="30"/>
  <c r="G166" i="30"/>
  <c r="G179" i="30"/>
  <c r="G204" i="30"/>
  <c r="G138" i="30"/>
  <c r="G227" i="30"/>
  <c r="G206" i="30"/>
  <c r="G242" i="30"/>
  <c r="G120" i="30"/>
  <c r="G205" i="30"/>
  <c r="G213" i="30"/>
  <c r="G141" i="30"/>
  <c r="G197" i="30"/>
  <c r="G199" i="30"/>
  <c r="G203" i="30"/>
  <c r="G89" i="30"/>
  <c r="G145" i="30"/>
  <c r="G238" i="30"/>
  <c r="G123" i="30"/>
  <c r="G224" i="30"/>
  <c r="G216" i="30"/>
  <c r="G140" i="30"/>
  <c r="G74" i="30"/>
  <c r="G163" i="30"/>
  <c r="G236" i="30"/>
  <c r="G118" i="30"/>
  <c r="G150" i="30"/>
  <c r="G219" i="30"/>
  <c r="G122" i="30"/>
  <c r="G182" i="30"/>
  <c r="G214" i="30"/>
  <c r="G155" i="30"/>
  <c r="G167" i="30"/>
  <c r="G91" i="30"/>
  <c r="G169" i="30"/>
  <c r="G158" i="30"/>
  <c r="G119" i="30"/>
  <c r="G94" i="30"/>
  <c r="G80" i="30"/>
  <c r="G86" i="30"/>
  <c r="G134" i="30"/>
  <c r="G208" i="30"/>
  <c r="G144" i="30"/>
  <c r="G183" i="30"/>
  <c r="G124" i="30"/>
  <c r="G186" i="30"/>
  <c r="G128" i="30"/>
  <c r="G70" i="30"/>
  <c r="G142" i="30"/>
  <c r="G78" i="30"/>
  <c r="G192" i="30"/>
  <c r="G198" i="30"/>
  <c r="G188" i="30"/>
  <c r="G244" i="30"/>
  <c r="G178" i="30"/>
  <c r="G229" i="30"/>
  <c r="G157" i="30"/>
  <c r="G149" i="30"/>
  <c r="G139" i="30"/>
  <c r="G240" i="30"/>
  <c r="G195" i="30"/>
  <c r="G81" i="30"/>
  <c r="G174" i="30"/>
  <c r="G59" i="30"/>
  <c r="G160" i="30"/>
  <c r="G152" i="30"/>
  <c r="G76" i="30"/>
  <c r="G185" i="30"/>
  <c r="G200" i="30"/>
  <c r="S8" i="24"/>
  <c r="Z8" i="4"/>
  <c r="Z7" i="4"/>
  <c r="X7" i="4"/>
  <c r="G101" i="30" s="1"/>
  <c r="U7" i="4"/>
  <c r="I11" i="24"/>
  <c r="F11" i="24"/>
  <c r="H11" i="24"/>
  <c r="G11" i="24"/>
  <c r="H12" i="24"/>
  <c r="K12" i="24"/>
  <c r="G12" i="24"/>
  <c r="J12" i="24"/>
  <c r="O12" i="24"/>
  <c r="R12" i="24"/>
  <c r="F12" i="24"/>
  <c r="I12" i="24"/>
  <c r="N12" i="24"/>
  <c r="M12" i="24"/>
  <c r="L12" i="24"/>
  <c r="P12" i="24"/>
  <c r="Q8" i="24"/>
  <c r="R8" i="24" s="1"/>
  <c r="N8" i="24"/>
  <c r="E10" i="24"/>
  <c r="G16" i="30" l="1"/>
  <c r="G15" i="30"/>
  <c r="G103" i="30"/>
  <c r="G100" i="30"/>
  <c r="G98" i="30"/>
  <c r="G107" i="30"/>
  <c r="G112" i="30"/>
  <c r="G115" i="30"/>
  <c r="G113" i="30"/>
  <c r="G99" i="30"/>
  <c r="G110" i="30"/>
  <c r="G102" i="30"/>
  <c r="G108" i="30"/>
  <c r="G111" i="30"/>
  <c r="G114" i="30"/>
  <c r="G106" i="30"/>
  <c r="G97" i="30"/>
  <c r="G105" i="30"/>
  <c r="G116" i="30"/>
  <c r="G26" i="30"/>
  <c r="G104" i="30"/>
  <c r="G109" i="30"/>
  <c r="G44" i="30"/>
  <c r="G20" i="30"/>
  <c r="G24" i="30"/>
  <c r="G25" i="30"/>
  <c r="G23" i="30"/>
  <c r="G17" i="30"/>
  <c r="G18" i="30"/>
  <c r="G19" i="30"/>
  <c r="G22" i="30"/>
  <c r="G21" i="30"/>
  <c r="G65" i="30"/>
  <c r="G43" i="30"/>
  <c r="G53" i="30"/>
  <c r="G64" i="30"/>
  <c r="G63" i="30"/>
  <c r="G29" i="30"/>
  <c r="G48" i="30"/>
  <c r="G52" i="30"/>
  <c r="G55" i="30"/>
  <c r="G54" i="30"/>
  <c r="G57" i="30"/>
  <c r="G50" i="30"/>
  <c r="G46" i="30"/>
  <c r="G32" i="30"/>
  <c r="G61" i="30"/>
  <c r="G35" i="30"/>
  <c r="G37" i="30"/>
  <c r="G30" i="30"/>
  <c r="G56" i="30"/>
  <c r="G60" i="30"/>
  <c r="G39" i="30"/>
  <c r="G42" i="30"/>
  <c r="G33" i="30"/>
  <c r="G45" i="30"/>
  <c r="G58" i="30"/>
  <c r="G51" i="30"/>
  <c r="G47" i="30"/>
  <c r="G38" i="30"/>
  <c r="G41" i="30"/>
  <c r="G34" i="30"/>
  <c r="G62" i="30"/>
  <c r="G28" i="30"/>
  <c r="G66" i="30"/>
  <c r="G36" i="30"/>
  <c r="G27" i="30"/>
  <c r="G40" i="30"/>
  <c r="G31" i="30"/>
  <c r="G49" i="30"/>
  <c r="Z3" i="4"/>
  <c r="A1" i="4" s="1"/>
  <c r="R5" i="8" s="1"/>
  <c r="S12" i="24"/>
  <c r="J11" i="24"/>
  <c r="L11" i="24" s="1"/>
  <c r="O11" i="24" s="1"/>
  <c r="Q12" i="24"/>
  <c r="K11" i="24"/>
  <c r="M11" i="24" s="1"/>
  <c r="Y7" i="4"/>
  <c r="H10" i="24"/>
  <c r="G10" i="24"/>
  <c r="F10" i="24"/>
  <c r="I10" i="24"/>
  <c r="E9" i="24"/>
  <c r="E3" i="8"/>
  <c r="I44" i="8"/>
  <c r="G1" i="30" l="1" a="1"/>
  <c r="G1" i="30" s="1"/>
  <c r="G4" i="30"/>
  <c r="G3" i="30" s="1"/>
  <c r="E6" i="24"/>
  <c r="G6" i="24" s="1"/>
  <c r="E5" i="24"/>
  <c r="J10" i="24"/>
  <c r="L10" i="24" s="1"/>
  <c r="O10" i="24" s="1"/>
  <c r="K10" i="24"/>
  <c r="M10" i="24" s="1"/>
  <c r="P11" i="24"/>
  <c r="Q11" i="24" s="1"/>
  <c r="R11" i="24" s="1"/>
  <c r="F9" i="24"/>
  <c r="H9" i="24"/>
  <c r="I9" i="24"/>
  <c r="J9" i="24" s="1"/>
  <c r="L9" i="24" s="1"/>
  <c r="O9" i="24" s="1"/>
  <c r="K9" i="24"/>
  <c r="G9" i="24"/>
  <c r="M9" i="24"/>
  <c r="I42" i="8"/>
  <c r="H2" i="30" s="1"/>
  <c r="I6" i="24" l="1"/>
  <c r="F6" i="24"/>
  <c r="H6" i="24"/>
  <c r="E3" i="24"/>
  <c r="S11" i="24"/>
  <c r="H5" i="24"/>
  <c r="I5" i="24"/>
  <c r="F5" i="24"/>
  <c r="K5" i="24" s="1"/>
  <c r="M5" i="24" s="1"/>
  <c r="G5" i="24"/>
  <c r="P10" i="24"/>
  <c r="N10" i="24" s="1"/>
  <c r="P9" i="24"/>
  <c r="N9" i="24" s="1"/>
  <c r="N11" i="24"/>
  <c r="J42" i="8"/>
  <c r="F2" i="24"/>
  <c r="K42" i="8"/>
  <c r="L42" i="8"/>
  <c r="J6" i="24" l="1"/>
  <c r="L6" i="24" s="1"/>
  <c r="O6" i="24" s="1"/>
  <c r="K6" i="24"/>
  <c r="M6" i="24" s="1"/>
  <c r="E2" i="24"/>
  <c r="S9" i="24"/>
  <c r="S10" i="24"/>
  <c r="J5" i="24"/>
  <c r="L5" i="24" s="1"/>
  <c r="O5" i="24" s="1"/>
  <c r="Q10" i="24"/>
  <c r="R10" i="24" s="1"/>
  <c r="Q9" i="24"/>
  <c r="R9" i="24" s="1"/>
  <c r="P6" i="24" l="1"/>
  <c r="S6" i="24" s="1"/>
  <c r="H6" i="30"/>
  <c r="H161" i="30"/>
  <c r="H162" i="30"/>
  <c r="H163" i="30"/>
  <c r="H164" i="30"/>
  <c r="H165" i="30"/>
  <c r="H166" i="30"/>
  <c r="H167" i="30"/>
  <c r="H168" i="30"/>
  <c r="H169" i="30"/>
  <c r="H170" i="30"/>
  <c r="H171" i="30"/>
  <c r="H172" i="30"/>
  <c r="H173" i="30"/>
  <c r="H174" i="30"/>
  <c r="H175" i="30"/>
  <c r="H176" i="30"/>
  <c r="H177" i="30"/>
  <c r="H178" i="30"/>
  <c r="H179" i="30"/>
  <c r="H180" i="30"/>
  <c r="H181" i="30"/>
  <c r="H182" i="30"/>
  <c r="H183" i="30"/>
  <c r="H184" i="30"/>
  <c r="H185" i="30"/>
  <c r="H186" i="30"/>
  <c r="H187" i="30"/>
  <c r="H188" i="30"/>
  <c r="H189" i="30"/>
  <c r="H190" i="30"/>
  <c r="H191" i="30"/>
  <c r="H192" i="30"/>
  <c r="H193" i="30"/>
  <c r="H194" i="30"/>
  <c r="H195" i="30"/>
  <c r="H196" i="30"/>
  <c r="H197" i="30"/>
  <c r="H198" i="30"/>
  <c r="H199" i="30"/>
  <c r="H200" i="30"/>
  <c r="H201" i="30"/>
  <c r="H202" i="30"/>
  <c r="H203" i="30"/>
  <c r="H204" i="30"/>
  <c r="H205" i="30"/>
  <c r="H206" i="30"/>
  <c r="H207" i="30"/>
  <c r="H208" i="30"/>
  <c r="H209" i="30"/>
  <c r="H210" i="30"/>
  <c r="H211" i="30"/>
  <c r="H212" i="30"/>
  <c r="H213" i="30"/>
  <c r="H214" i="30"/>
  <c r="H215" i="30"/>
  <c r="H216" i="30"/>
  <c r="H217" i="30"/>
  <c r="H218" i="30"/>
  <c r="H219" i="30"/>
  <c r="H220" i="30"/>
  <c r="H221" i="30"/>
  <c r="H222" i="30"/>
  <c r="H223" i="30"/>
  <c r="H224" i="30"/>
  <c r="H225" i="30"/>
  <c r="H226" i="30"/>
  <c r="H227" i="30"/>
  <c r="H228" i="30"/>
  <c r="H229" i="30"/>
  <c r="H230" i="30"/>
  <c r="H231" i="30"/>
  <c r="H232" i="30"/>
  <c r="H233" i="30"/>
  <c r="H234" i="30"/>
  <c r="H235" i="30"/>
  <c r="H236" i="30"/>
  <c r="H237" i="30"/>
  <c r="H238" i="30"/>
  <c r="H239" i="30"/>
  <c r="H240" i="30"/>
  <c r="H241" i="30"/>
  <c r="H242" i="30"/>
  <c r="H243" i="30"/>
  <c r="H244" i="30"/>
  <c r="H245" i="30"/>
  <c r="H246" i="30"/>
  <c r="H247" i="30"/>
  <c r="H248" i="30"/>
  <c r="H249" i="30"/>
  <c r="H250" i="30"/>
  <c r="H251" i="30"/>
  <c r="H252" i="30"/>
  <c r="H253" i="30"/>
  <c r="H254" i="30"/>
  <c r="H255" i="30"/>
  <c r="H256" i="30"/>
  <c r="H257" i="30"/>
  <c r="H258" i="30"/>
  <c r="H259" i="30"/>
  <c r="H260" i="30"/>
  <c r="H261" i="30"/>
  <c r="H262" i="30"/>
  <c r="H263" i="30"/>
  <c r="H264" i="30"/>
  <c r="H265" i="30"/>
  <c r="H266" i="30"/>
  <c r="H267" i="30"/>
  <c r="H268" i="30"/>
  <c r="H269" i="30"/>
  <c r="H270" i="30"/>
  <c r="H271" i="30"/>
  <c r="H272" i="30"/>
  <c r="H273" i="30"/>
  <c r="H274" i="30"/>
  <c r="H275" i="30"/>
  <c r="H276" i="30"/>
  <c r="H277" i="30"/>
  <c r="H278" i="30"/>
  <c r="H279" i="30"/>
  <c r="H280" i="30"/>
  <c r="H281" i="30"/>
  <c r="H282" i="30"/>
  <c r="H283" i="30"/>
  <c r="H284" i="30"/>
  <c r="H285" i="30"/>
  <c r="H286" i="30"/>
  <c r="H287" i="30"/>
  <c r="H288" i="30"/>
  <c r="H289" i="30"/>
  <c r="H290" i="30"/>
  <c r="H291" i="30"/>
  <c r="H292" i="30"/>
  <c r="H293" i="30"/>
  <c r="H294" i="30"/>
  <c r="H295" i="30"/>
  <c r="H296" i="30"/>
  <c r="H297" i="30"/>
  <c r="H298" i="30"/>
  <c r="H299" i="30"/>
  <c r="H300" i="30"/>
  <c r="P5" i="24"/>
  <c r="S5" i="24" s="1"/>
  <c r="N6" i="24"/>
  <c r="Q6" i="24"/>
  <c r="H133" i="30" s="1"/>
  <c r="I8" i="8"/>
  <c r="E2" i="30" s="1"/>
  <c r="H156" i="30" l="1"/>
  <c r="H148" i="30"/>
  <c r="H140" i="30"/>
  <c r="H132" i="30"/>
  <c r="H155" i="30"/>
  <c r="H147" i="30"/>
  <c r="H139" i="30"/>
  <c r="H131" i="30"/>
  <c r="H154" i="30"/>
  <c r="H146" i="30"/>
  <c r="H138" i="30"/>
  <c r="H130" i="30"/>
  <c r="H153" i="30"/>
  <c r="H145" i="30"/>
  <c r="H137" i="30"/>
  <c r="H129" i="30"/>
  <c r="H160" i="30"/>
  <c r="H152" i="30"/>
  <c r="H144" i="30"/>
  <c r="H136" i="30"/>
  <c r="H128" i="30"/>
  <c r="H159" i="30"/>
  <c r="H151" i="30"/>
  <c r="H143" i="30"/>
  <c r="H135" i="30"/>
  <c r="H127" i="30"/>
  <c r="H158" i="30"/>
  <c r="H150" i="30"/>
  <c r="H142" i="30"/>
  <c r="H134" i="30"/>
  <c r="H157" i="30"/>
  <c r="H149" i="30"/>
  <c r="H141" i="30"/>
  <c r="E1" i="30" a="1"/>
  <c r="E1" i="30" s="1"/>
  <c r="E3" i="30"/>
  <c r="H29" i="30"/>
  <c r="H21" i="30"/>
  <c r="H13" i="30"/>
  <c r="H36" i="30"/>
  <c r="H28" i="30"/>
  <c r="H20" i="30"/>
  <c r="H12" i="30"/>
  <c r="H35" i="30"/>
  <c r="H27" i="30"/>
  <c r="H19" i="30"/>
  <c r="H11" i="30"/>
  <c r="H34" i="30"/>
  <c r="H26" i="30"/>
  <c r="H18" i="30"/>
  <c r="H10" i="30"/>
  <c r="H33" i="30"/>
  <c r="H25" i="30"/>
  <c r="H17" i="30"/>
  <c r="H9" i="30"/>
  <c r="H32" i="30"/>
  <c r="H24" i="30"/>
  <c r="H16" i="30"/>
  <c r="H8" i="30"/>
  <c r="H31" i="30"/>
  <c r="H23" i="30"/>
  <c r="H15" i="30"/>
  <c r="H7" i="30"/>
  <c r="H30" i="30"/>
  <c r="H22" i="30"/>
  <c r="H14" i="30"/>
  <c r="H65" i="30"/>
  <c r="H49" i="30"/>
  <c r="H69" i="30"/>
  <c r="H61" i="30"/>
  <c r="H53" i="30"/>
  <c r="H45" i="30"/>
  <c r="H37" i="30"/>
  <c r="H76" i="30"/>
  <c r="H68" i="30"/>
  <c r="H60" i="30"/>
  <c r="H52" i="30"/>
  <c r="H44" i="30"/>
  <c r="H75" i="30"/>
  <c r="H67" i="30"/>
  <c r="H59" i="30"/>
  <c r="H51" i="30"/>
  <c r="H43" i="30"/>
  <c r="H74" i="30"/>
  <c r="H66" i="30"/>
  <c r="H58" i="30"/>
  <c r="H50" i="30"/>
  <c r="H42" i="30"/>
  <c r="H72" i="30"/>
  <c r="H64" i="30"/>
  <c r="H56" i="30"/>
  <c r="H48" i="30"/>
  <c r="H40" i="30"/>
  <c r="H57" i="30"/>
  <c r="H71" i="30"/>
  <c r="H63" i="30"/>
  <c r="H55" i="30"/>
  <c r="H47" i="30"/>
  <c r="H39" i="30"/>
  <c r="H73" i="30"/>
  <c r="H41" i="30"/>
  <c r="H70" i="30"/>
  <c r="H62" i="30"/>
  <c r="H54" i="30"/>
  <c r="H46" i="30"/>
  <c r="H38" i="30"/>
  <c r="H125" i="30"/>
  <c r="H117" i="30"/>
  <c r="H109" i="30"/>
  <c r="H101" i="30"/>
  <c r="H93" i="30"/>
  <c r="H85" i="30"/>
  <c r="H77" i="30"/>
  <c r="H124" i="30"/>
  <c r="H116" i="30"/>
  <c r="H108" i="30"/>
  <c r="H100" i="30"/>
  <c r="H92" i="30"/>
  <c r="H84" i="30"/>
  <c r="H123" i="30"/>
  <c r="H115" i="30"/>
  <c r="H107" i="30"/>
  <c r="H99" i="30"/>
  <c r="H91" i="30"/>
  <c r="H83" i="30"/>
  <c r="H122" i="30"/>
  <c r="H114" i="30"/>
  <c r="H106" i="30"/>
  <c r="H98" i="30"/>
  <c r="H90" i="30"/>
  <c r="H82" i="30"/>
  <c r="H121" i="30"/>
  <c r="H113" i="30"/>
  <c r="H105" i="30"/>
  <c r="H97" i="30"/>
  <c r="H89" i="30"/>
  <c r="H81" i="30"/>
  <c r="H120" i="30"/>
  <c r="H112" i="30"/>
  <c r="H104" i="30"/>
  <c r="H96" i="30"/>
  <c r="H88" i="30"/>
  <c r="H80" i="30"/>
  <c r="H119" i="30"/>
  <c r="H111" i="30"/>
  <c r="H103" i="30"/>
  <c r="H95" i="30"/>
  <c r="H87" i="30"/>
  <c r="H79" i="30"/>
  <c r="H126" i="30"/>
  <c r="H118" i="30"/>
  <c r="H110" i="30"/>
  <c r="H102" i="30"/>
  <c r="H94" i="30"/>
  <c r="H86" i="30"/>
  <c r="H78" i="30"/>
  <c r="N5" i="24"/>
  <c r="Q5" i="24"/>
  <c r="S2" i="24"/>
  <c r="A1" i="24" s="1"/>
  <c r="R6" i="8" s="1"/>
  <c r="R6" i="24"/>
  <c r="X1" i="28"/>
  <c r="V1" i="28" s="1"/>
  <c r="L8" i="8"/>
  <c r="J8" i="8"/>
  <c r="A1" i="28" l="1"/>
  <c r="R3" i="8" s="1"/>
  <c r="H1" i="30" a="1"/>
  <c r="H1" i="30" s="1"/>
  <c r="H4" i="30"/>
  <c r="H3" i="30" s="1"/>
  <c r="R5" i="24"/>
  <c r="G21" i="8"/>
  <c r="P7" i="20" l="1"/>
  <c r="L21" i="8" s="1"/>
  <c r="M7" i="20"/>
  <c r="I21" i="8" l="1"/>
  <c r="I19" i="8" s="1"/>
  <c r="I2" i="30" s="1"/>
  <c r="R7" i="20"/>
  <c r="T7" i="20" s="1"/>
  <c r="W7" i="20" s="1"/>
  <c r="S7" i="20"/>
  <c r="U7" i="20" s="1"/>
  <c r="M4" i="20"/>
  <c r="I6" i="30" l="1"/>
  <c r="I14" i="30"/>
  <c r="I22" i="30"/>
  <c r="I30" i="30"/>
  <c r="I38" i="30"/>
  <c r="I46" i="30"/>
  <c r="I278" i="30"/>
  <c r="I7" i="30"/>
  <c r="I15" i="30"/>
  <c r="I23" i="30"/>
  <c r="I31" i="30"/>
  <c r="I39" i="30"/>
  <c r="I47" i="30"/>
  <c r="I247" i="30"/>
  <c r="I255" i="30"/>
  <c r="I263" i="30"/>
  <c r="I271" i="30"/>
  <c r="I279" i="30"/>
  <c r="I287" i="30"/>
  <c r="I295" i="30"/>
  <c r="I280" i="30"/>
  <c r="I296" i="30"/>
  <c r="I9" i="30"/>
  <c r="I25" i="30"/>
  <c r="I41" i="30"/>
  <c r="I249" i="30"/>
  <c r="I265" i="30"/>
  <c r="I281" i="30"/>
  <c r="I289" i="30"/>
  <c r="I29" i="30"/>
  <c r="I45" i="30"/>
  <c r="I277" i="30"/>
  <c r="I262" i="30"/>
  <c r="I8" i="30"/>
  <c r="I16" i="30"/>
  <c r="I24" i="30"/>
  <c r="I32" i="30"/>
  <c r="I40" i="30"/>
  <c r="I48" i="30"/>
  <c r="I248" i="30"/>
  <c r="I256" i="30"/>
  <c r="I264" i="30"/>
  <c r="I272" i="30"/>
  <c r="I288" i="30"/>
  <c r="I17" i="30"/>
  <c r="I33" i="30"/>
  <c r="I49" i="30"/>
  <c r="I257" i="30"/>
  <c r="I273" i="30"/>
  <c r="I297" i="30"/>
  <c r="I261" i="30"/>
  <c r="I293" i="30"/>
  <c r="I270" i="30"/>
  <c r="I10" i="30"/>
  <c r="I18" i="30"/>
  <c r="I26" i="30"/>
  <c r="I34" i="30"/>
  <c r="I42" i="30"/>
  <c r="I50" i="30"/>
  <c r="I250" i="30"/>
  <c r="I258" i="30"/>
  <c r="I266" i="30"/>
  <c r="I274" i="30"/>
  <c r="I282" i="30"/>
  <c r="I290" i="30"/>
  <c r="I298" i="30"/>
  <c r="I12" i="30"/>
  <c r="I28" i="30"/>
  <c r="I36" i="30"/>
  <c r="I252" i="30"/>
  <c r="I268" i="30"/>
  <c r="I284" i="30"/>
  <c r="I292" i="30"/>
  <c r="I21" i="30"/>
  <c r="I269" i="30"/>
  <c r="I254" i="30"/>
  <c r="I294" i="30"/>
  <c r="I11" i="30"/>
  <c r="I19" i="30"/>
  <c r="I27" i="30"/>
  <c r="I35" i="30"/>
  <c r="I43" i="30"/>
  <c r="I51" i="30"/>
  <c r="I251" i="30"/>
  <c r="I259" i="30"/>
  <c r="I267" i="30"/>
  <c r="I275" i="30"/>
  <c r="I283" i="30"/>
  <c r="I291" i="30"/>
  <c r="I299" i="30"/>
  <c r="I20" i="30"/>
  <c r="I44" i="30"/>
  <c r="I260" i="30"/>
  <c r="I276" i="30"/>
  <c r="I300" i="30"/>
  <c r="I13" i="30"/>
  <c r="I37" i="30"/>
  <c r="I253" i="30"/>
  <c r="I285" i="30"/>
  <c r="I286" i="30"/>
  <c r="M3" i="20"/>
  <c r="M2" i="20" s="1"/>
  <c r="J19" i="8"/>
  <c r="K19" i="8"/>
  <c r="L19" i="8"/>
  <c r="X7" i="20"/>
  <c r="Y7" i="20" s="1"/>
  <c r="Z7" i="20" s="1"/>
  <c r="I66" i="30" l="1"/>
  <c r="I63" i="30"/>
  <c r="I62" i="30"/>
  <c r="I65" i="30"/>
  <c r="I85" i="30"/>
  <c r="I189" i="30"/>
  <c r="I228" i="30"/>
  <c r="I243" i="30"/>
  <c r="I179" i="30"/>
  <c r="I214" i="30"/>
  <c r="I172" i="30"/>
  <c r="I226" i="30"/>
  <c r="I162" i="30"/>
  <c r="I241" i="30"/>
  <c r="I176" i="30"/>
  <c r="I182" i="30"/>
  <c r="I185" i="30"/>
  <c r="I191" i="30"/>
  <c r="I127" i="30"/>
  <c r="I126" i="30"/>
  <c r="I165" i="30"/>
  <c r="I212" i="30"/>
  <c r="I235" i="30"/>
  <c r="I171" i="30"/>
  <c r="I174" i="30"/>
  <c r="I164" i="30"/>
  <c r="I218" i="30"/>
  <c r="I154" i="30"/>
  <c r="I229" i="30"/>
  <c r="I217" i="30"/>
  <c r="I232" i="30"/>
  <c r="I168" i="30"/>
  <c r="I169" i="30"/>
  <c r="I183" i="30"/>
  <c r="I246" i="30"/>
  <c r="I196" i="30"/>
  <c r="I227" i="30"/>
  <c r="I163" i="30"/>
  <c r="I148" i="30"/>
  <c r="I210" i="30"/>
  <c r="I146" i="30"/>
  <c r="I197" i="30"/>
  <c r="I201" i="30"/>
  <c r="I224" i="30"/>
  <c r="I160" i="30"/>
  <c r="I245" i="30"/>
  <c r="I153" i="30"/>
  <c r="I240" i="30"/>
  <c r="I239" i="30"/>
  <c r="I175" i="30"/>
  <c r="I206" i="30"/>
  <c r="I238" i="30"/>
  <c r="I180" i="30"/>
  <c r="I219" i="30"/>
  <c r="I155" i="30"/>
  <c r="I237" i="30"/>
  <c r="I132" i="30"/>
  <c r="I202" i="30"/>
  <c r="I138" i="30"/>
  <c r="I157" i="30"/>
  <c r="I193" i="30"/>
  <c r="I216" i="30"/>
  <c r="I152" i="30"/>
  <c r="I205" i="30"/>
  <c r="I137" i="30"/>
  <c r="I231" i="30"/>
  <c r="I167" i="30"/>
  <c r="I198" i="30"/>
  <c r="I166" i="30"/>
  <c r="I156" i="30"/>
  <c r="I211" i="30"/>
  <c r="I147" i="30"/>
  <c r="I213" i="30"/>
  <c r="I236" i="30"/>
  <c r="I194" i="30"/>
  <c r="I130" i="30"/>
  <c r="I133" i="30"/>
  <c r="I177" i="30"/>
  <c r="I208" i="30"/>
  <c r="I144" i="30"/>
  <c r="I181" i="30"/>
  <c r="I121" i="30"/>
  <c r="I223" i="30"/>
  <c r="I159" i="30"/>
  <c r="I190" i="30"/>
  <c r="I140" i="30"/>
  <c r="I203" i="30"/>
  <c r="I139" i="30"/>
  <c r="I173" i="30"/>
  <c r="I220" i="30"/>
  <c r="I186" i="30"/>
  <c r="I230" i="30"/>
  <c r="I161" i="30"/>
  <c r="I200" i="30"/>
  <c r="I136" i="30"/>
  <c r="I149" i="30"/>
  <c r="I233" i="30"/>
  <c r="I215" i="30"/>
  <c r="I151" i="30"/>
  <c r="I150" i="30"/>
  <c r="I124" i="30"/>
  <c r="I195" i="30"/>
  <c r="I131" i="30"/>
  <c r="I141" i="30"/>
  <c r="I204" i="30"/>
  <c r="I242" i="30"/>
  <c r="I178" i="30"/>
  <c r="I158" i="30"/>
  <c r="I145" i="30"/>
  <c r="I192" i="30"/>
  <c r="I128" i="30"/>
  <c r="I225" i="30"/>
  <c r="I207" i="30"/>
  <c r="I143" i="30"/>
  <c r="I142" i="30"/>
  <c r="I221" i="30"/>
  <c r="I244" i="30"/>
  <c r="I187" i="30"/>
  <c r="I99" i="30"/>
  <c r="I188" i="30"/>
  <c r="I234" i="30"/>
  <c r="I170" i="30"/>
  <c r="I129" i="30"/>
  <c r="I184" i="30"/>
  <c r="I112" i="30"/>
  <c r="I222" i="30"/>
  <c r="I209" i="30"/>
  <c r="I199" i="30"/>
  <c r="I135" i="30"/>
  <c r="I134" i="30"/>
  <c r="I125" i="30"/>
  <c r="I108" i="30"/>
  <c r="I91" i="30"/>
  <c r="I122" i="30"/>
  <c r="I58" i="30"/>
  <c r="I69" i="30"/>
  <c r="I104" i="30"/>
  <c r="I77" i="30"/>
  <c r="I105" i="30"/>
  <c r="I119" i="30"/>
  <c r="I55" i="30"/>
  <c r="I118" i="30"/>
  <c r="I54" i="30"/>
  <c r="I93" i="30"/>
  <c r="I92" i="30"/>
  <c r="I83" i="30"/>
  <c r="I114" i="30"/>
  <c r="I96" i="30"/>
  <c r="I53" i="30"/>
  <c r="I89" i="30"/>
  <c r="I111" i="30"/>
  <c r="I110" i="30"/>
  <c r="I61" i="30"/>
  <c r="I76" i="30"/>
  <c r="I75" i="30"/>
  <c r="I116" i="30"/>
  <c r="I106" i="30"/>
  <c r="I88" i="30"/>
  <c r="I73" i="30"/>
  <c r="I103" i="30"/>
  <c r="I102" i="30"/>
  <c r="I60" i="30"/>
  <c r="I67" i="30"/>
  <c r="I100" i="30"/>
  <c r="I98" i="30"/>
  <c r="I80" i="30"/>
  <c r="I57" i="30"/>
  <c r="I95" i="30"/>
  <c r="I94" i="30"/>
  <c r="I123" i="30"/>
  <c r="I59" i="30"/>
  <c r="I109" i="30"/>
  <c r="I84" i="30"/>
  <c r="I90" i="30"/>
  <c r="I113" i="30"/>
  <c r="I72" i="30"/>
  <c r="I87" i="30"/>
  <c r="I86" i="30"/>
  <c r="I115" i="30"/>
  <c r="I68" i="30"/>
  <c r="I82" i="30"/>
  <c r="I97" i="30"/>
  <c r="I64" i="30"/>
  <c r="I117" i="30"/>
  <c r="I79" i="30"/>
  <c r="I78" i="30"/>
  <c r="I107" i="30"/>
  <c r="I52" i="30"/>
  <c r="I74" i="30"/>
  <c r="I81" i="30"/>
  <c r="I120" i="30"/>
  <c r="I56" i="30"/>
  <c r="I101" i="30"/>
  <c r="I71" i="30"/>
  <c r="I70" i="30"/>
  <c r="AA7" i="20"/>
  <c r="AA4" i="20" s="1"/>
  <c r="A1" i="20" s="1"/>
  <c r="R7" i="8" s="1"/>
  <c r="V7" i="20"/>
  <c r="I1" i="30" l="1" a="1"/>
  <c r="I1" i="30" s="1"/>
  <c r="I4" i="30"/>
  <c r="I3" i="30" s="1"/>
  <c r="HT3" i="21" l="1"/>
  <c r="HU4" i="21" s="1"/>
  <c r="HT5" i="21" s="1"/>
  <c r="HS5" i="21" s="1"/>
  <c r="CJ3" i="21"/>
  <c r="CK4" i="21" s="1"/>
  <c r="CJ5" i="21" s="1"/>
  <c r="KV3" i="21"/>
  <c r="KW4" i="21" s="1"/>
  <c r="KV5" i="21" s="1"/>
  <c r="KU5" i="21" s="1"/>
  <c r="CT3" i="21"/>
  <c r="CU4" i="21" s="1"/>
  <c r="CT5" i="21" s="1"/>
  <c r="CS5" i="21" s="1"/>
  <c r="ID3" i="21"/>
  <c r="IE4" i="21" s="1"/>
  <c r="ID5" i="21" s="1"/>
  <c r="IC5" i="21" s="1"/>
  <c r="DN3" i="21"/>
  <c r="DO4" i="21" s="1"/>
  <c r="DN5" i="21" s="1"/>
  <c r="DM5" i="21" s="1"/>
  <c r="GP3" i="21"/>
  <c r="GQ4" i="21" s="1"/>
  <c r="GP5" i="21" s="1"/>
  <c r="GO5" i="21" s="1"/>
  <c r="BZ3" i="21"/>
  <c r="CA4" i="21" s="1"/>
  <c r="BZ5" i="21" s="1"/>
  <c r="BY5" i="21" s="1"/>
  <c r="IN3" i="21"/>
  <c r="IO4" i="21" s="1"/>
  <c r="IN5" i="21" s="1"/>
  <c r="IM5" i="21" s="1"/>
  <c r="FV3" i="21"/>
  <c r="FW4" i="21" s="1"/>
  <c r="FV5" i="21" s="1"/>
  <c r="FU5" i="21" s="1"/>
  <c r="ER3" i="21"/>
  <c r="ES4" i="21" s="1"/>
  <c r="ER5" i="21" s="1"/>
  <c r="GZ3" i="21"/>
  <c r="HA4" i="21" s="1"/>
  <c r="GZ5" i="21" s="1"/>
  <c r="GY5" i="21" s="1"/>
  <c r="DD3" i="21"/>
  <c r="DE4" i="21" s="1"/>
  <c r="DD5" i="21" s="1"/>
  <c r="BP3" i="21"/>
  <c r="BQ4" i="21" s="1"/>
  <c r="BP5" i="21" s="1"/>
  <c r="FB3" i="21"/>
  <c r="FC4" i="21" s="1"/>
  <c r="FB5" i="21" s="1"/>
  <c r="FA5" i="21" s="1"/>
  <c r="EH3" i="21"/>
  <c r="EI4" i="21" s="1"/>
  <c r="EH5" i="21" s="1"/>
  <c r="AL3" i="21"/>
  <c r="AM4" i="21" s="1"/>
  <c r="AL5" i="21" s="1"/>
  <c r="AV3" i="21"/>
  <c r="AW4" i="21" s="1"/>
  <c r="AV5" i="21" s="1"/>
  <c r="AU5" i="21" s="1"/>
  <c r="GF3" i="21"/>
  <c r="GG4" i="21" s="1"/>
  <c r="GF5" i="21" s="1"/>
  <c r="BF3" i="21"/>
  <c r="BG4" i="21" s="1"/>
  <c r="BF5" i="21" s="1"/>
  <c r="BE5" i="21" s="1"/>
  <c r="FL3" i="21"/>
  <c r="FM4" i="21" s="1"/>
  <c r="FL5" i="21" s="1"/>
  <c r="FK5" i="21" s="1"/>
  <c r="HJ3" i="21"/>
  <c r="HK4" i="21" s="1"/>
  <c r="HJ5" i="21" s="1"/>
  <c r="HI5" i="21" s="1"/>
  <c r="AB3" i="21"/>
  <c r="AC4" i="21" s="1"/>
  <c r="AB5" i="21" s="1"/>
  <c r="AA5" i="21" s="1"/>
  <c r="DX3" i="21"/>
  <c r="DY4" i="21" s="1"/>
  <c r="DX5" i="21" s="1"/>
  <c r="DW5" i="21" s="1"/>
  <c r="CJ6" i="21" l="1"/>
  <c r="CI6" i="21" s="1"/>
  <c r="CI5" i="21"/>
  <c r="GF6" i="21"/>
  <c r="GE6" i="21" s="1"/>
  <c r="GE5" i="21"/>
  <c r="ER6" i="21"/>
  <c r="EQ6" i="21" s="1"/>
  <c r="EQ5" i="21"/>
  <c r="EH6" i="21"/>
  <c r="EM6" i="21" s="1"/>
  <c r="EG5" i="21"/>
  <c r="DD6" i="21"/>
  <c r="DC6" i="21" s="1"/>
  <c r="DC5" i="21"/>
  <c r="BP6" i="21"/>
  <c r="BO5" i="21"/>
  <c r="AL6" i="21"/>
  <c r="AK6" i="21" s="1"/>
  <c r="AK5" i="21"/>
  <c r="IR5" i="21"/>
  <c r="IS5" i="21"/>
  <c r="IP5" i="21"/>
  <c r="IO5" i="21"/>
  <c r="IT5" i="21"/>
  <c r="IQ5" i="21"/>
  <c r="IN6" i="21"/>
  <c r="IM6" i="21" s="1"/>
  <c r="HO5" i="21"/>
  <c r="HL5" i="21"/>
  <c r="HP5" i="21"/>
  <c r="HM5" i="21"/>
  <c r="HK5" i="21"/>
  <c r="HN5" i="21"/>
  <c r="HJ6" i="21"/>
  <c r="HI6" i="21" s="1"/>
  <c r="GU5" i="21"/>
  <c r="GT5" i="21"/>
  <c r="GS5" i="21"/>
  <c r="GV5" i="21"/>
  <c r="GR5" i="21"/>
  <c r="GQ5" i="21"/>
  <c r="GP6" i="21"/>
  <c r="GO6" i="21" s="1"/>
  <c r="CZ5" i="21"/>
  <c r="CW5" i="21"/>
  <c r="CV5" i="21"/>
  <c r="CY5" i="21"/>
  <c r="CU5" i="21"/>
  <c r="CX5" i="21"/>
  <c r="CT6" i="21"/>
  <c r="CS6" i="21" s="1"/>
  <c r="GL5" i="21"/>
  <c r="GI5" i="21"/>
  <c r="GK5" i="21"/>
  <c r="GG5" i="21"/>
  <c r="GJ5" i="21"/>
  <c r="GH5" i="21"/>
  <c r="DJ5" i="21"/>
  <c r="DH5" i="21"/>
  <c r="DF5" i="21"/>
  <c r="DG5" i="21"/>
  <c r="DI5" i="21"/>
  <c r="DE5" i="21"/>
  <c r="HY5" i="21"/>
  <c r="HU5" i="21"/>
  <c r="HV5" i="21"/>
  <c r="HW5" i="21"/>
  <c r="HX5" i="21"/>
  <c r="HZ5" i="21"/>
  <c r="HT6" i="21"/>
  <c r="HS6" i="21" s="1"/>
  <c r="AF5" i="21"/>
  <c r="AG5" i="21"/>
  <c r="AC5" i="21"/>
  <c r="AH5" i="21"/>
  <c r="AD5" i="21"/>
  <c r="AE5" i="21"/>
  <c r="AB6" i="21"/>
  <c r="AA6" i="21" s="1"/>
  <c r="AN5" i="21"/>
  <c r="AO5" i="21"/>
  <c r="AP5" i="21"/>
  <c r="AQ5" i="21"/>
  <c r="AM5" i="21"/>
  <c r="AR5" i="21"/>
  <c r="KY5" i="21"/>
  <c r="KX5" i="21"/>
  <c r="LA5" i="21"/>
  <c r="LB5" i="21"/>
  <c r="KZ5" i="21"/>
  <c r="KW5" i="21"/>
  <c r="KV6" i="21"/>
  <c r="KU6" i="21" s="1"/>
  <c r="FC5" i="21"/>
  <c r="FG5" i="21"/>
  <c r="FH5" i="21"/>
  <c r="FE5" i="21"/>
  <c r="FD5" i="21"/>
  <c r="FF5" i="21"/>
  <c r="FB6" i="21"/>
  <c r="FA6" i="21" s="1"/>
  <c r="HA5" i="21"/>
  <c r="HF5" i="21"/>
  <c r="HC5" i="21"/>
  <c r="HB5" i="21"/>
  <c r="HD5" i="21"/>
  <c r="HE5" i="21"/>
  <c r="GZ6" i="21"/>
  <c r="GY6" i="21" s="1"/>
  <c r="DQ5" i="21"/>
  <c r="DT5" i="21"/>
  <c r="DP5" i="21"/>
  <c r="DR5" i="21"/>
  <c r="DO5" i="21"/>
  <c r="DS5" i="21"/>
  <c r="DN6" i="21"/>
  <c r="DM6" i="21" s="1"/>
  <c r="FZ5" i="21"/>
  <c r="FY5" i="21"/>
  <c r="FX5" i="21"/>
  <c r="GB5" i="21"/>
  <c r="GA5" i="21"/>
  <c r="FW5" i="21"/>
  <c r="FV6" i="21"/>
  <c r="FU6" i="21" s="1"/>
  <c r="CB5" i="21"/>
  <c r="CF5" i="21"/>
  <c r="CE5" i="21"/>
  <c r="CD5" i="21"/>
  <c r="CA5" i="21"/>
  <c r="CC5" i="21"/>
  <c r="BZ6" i="21"/>
  <c r="BY6" i="21" s="1"/>
  <c r="AY5" i="21"/>
  <c r="BB5" i="21"/>
  <c r="AW5" i="21"/>
  <c r="BA5" i="21"/>
  <c r="AZ5" i="21"/>
  <c r="AX5" i="21"/>
  <c r="AV6" i="21"/>
  <c r="AU6" i="21" s="1"/>
  <c r="BL5" i="21"/>
  <c r="BI5" i="21"/>
  <c r="BG5" i="21"/>
  <c r="BK5" i="21"/>
  <c r="BH5" i="21"/>
  <c r="BJ5" i="21"/>
  <c r="BF6" i="21"/>
  <c r="BE6" i="21" s="1"/>
  <c r="IJ5" i="21"/>
  <c r="IE5" i="21"/>
  <c r="IH5" i="21"/>
  <c r="IF5" i="21"/>
  <c r="IG5" i="21"/>
  <c r="II5" i="21"/>
  <c r="ID6" i="21"/>
  <c r="IC6" i="21" s="1"/>
  <c r="FM5" i="21"/>
  <c r="FO5" i="21"/>
  <c r="FR5" i="21"/>
  <c r="FQ5" i="21"/>
  <c r="FP5" i="21"/>
  <c r="FN5" i="21"/>
  <c r="FL6" i="21"/>
  <c r="FK6" i="21" s="1"/>
  <c r="EB5" i="21"/>
  <c r="DZ5" i="21"/>
  <c r="EA5" i="21"/>
  <c r="EC5" i="21"/>
  <c r="DY5" i="21"/>
  <c r="ED5" i="21"/>
  <c r="DX6" i="21"/>
  <c r="DW6" i="21" s="1"/>
  <c r="ES5" i="21"/>
  <c r="EX5" i="21"/>
  <c r="EW5" i="21"/>
  <c r="EV5" i="21"/>
  <c r="EU5" i="21"/>
  <c r="ET5" i="21"/>
  <c r="EN5" i="21"/>
  <c r="EK5" i="21"/>
  <c r="EM5" i="21"/>
  <c r="EJ5" i="21"/>
  <c r="EL5" i="21"/>
  <c r="EI5" i="21"/>
  <c r="BV5" i="21"/>
  <c r="BU5" i="21"/>
  <c r="BR5" i="21"/>
  <c r="BS5" i="21"/>
  <c r="BT5" i="21"/>
  <c r="BQ5" i="21"/>
  <c r="CN5" i="21"/>
  <c r="CM5" i="21"/>
  <c r="CO5" i="21"/>
  <c r="CP5" i="21"/>
  <c r="CL5" i="21"/>
  <c r="CK5" i="21"/>
  <c r="AP6" i="21" l="1"/>
  <c r="CL6" i="21"/>
  <c r="CP6" i="21"/>
  <c r="GI6" i="21"/>
  <c r="CK6" i="21"/>
  <c r="CI4" i="21" s="1"/>
  <c r="N16" i="21" s="1"/>
  <c r="CM6" i="21"/>
  <c r="CN6" i="21"/>
  <c r="CO6" i="21"/>
  <c r="ET6" i="21"/>
  <c r="EV6" i="21"/>
  <c r="EW6" i="21"/>
  <c r="BU6" i="21"/>
  <c r="EL6" i="21"/>
  <c r="EJ6" i="21"/>
  <c r="GK6" i="21"/>
  <c r="EI6" i="21"/>
  <c r="EM4" i="21" s="1"/>
  <c r="M21" i="21" s="1"/>
  <c r="BQ6" i="21"/>
  <c r="GH6" i="21"/>
  <c r="EK6" i="21"/>
  <c r="BT6" i="21"/>
  <c r="EX6" i="21"/>
  <c r="EU6" i="21"/>
  <c r="ES6" i="21"/>
  <c r="BS6" i="21"/>
  <c r="GL6" i="21"/>
  <c r="GJ6" i="21"/>
  <c r="BR6" i="21"/>
  <c r="GG6" i="21"/>
  <c r="GE4" i="21" s="1"/>
  <c r="N26" i="21" s="1"/>
  <c r="DH6" i="21"/>
  <c r="DJ6" i="21"/>
  <c r="DI6" i="21"/>
  <c r="EN6" i="21"/>
  <c r="EG6" i="21"/>
  <c r="DG6" i="21"/>
  <c r="DF6" i="21"/>
  <c r="DE6" i="21"/>
  <c r="DC4" i="21" s="1"/>
  <c r="N18" i="21" s="1"/>
  <c r="AN6" i="21"/>
  <c r="BV6" i="21"/>
  <c r="BO6" i="21"/>
  <c r="AM6" i="21"/>
  <c r="AK4" i="21" s="1"/>
  <c r="N11" i="21" s="1"/>
  <c r="AR6" i="21"/>
  <c r="AO6" i="21"/>
  <c r="AQ6" i="21"/>
  <c r="AY6" i="21"/>
  <c r="AX6" i="21"/>
  <c r="BB6" i="21"/>
  <c r="BA6" i="21"/>
  <c r="AW6" i="21"/>
  <c r="AU4" i="21" s="1"/>
  <c r="N12" i="21" s="1"/>
  <c r="AZ6" i="21"/>
  <c r="IT6" i="21"/>
  <c r="IS6" i="21"/>
  <c r="IR6" i="21"/>
  <c r="IQ6" i="21"/>
  <c r="IP6" i="21"/>
  <c r="IO6" i="21"/>
  <c r="IM4" i="21" s="1"/>
  <c r="EA6" i="21"/>
  <c r="ED6" i="21"/>
  <c r="EC6" i="21"/>
  <c r="DY6" i="21"/>
  <c r="DW4" i="21" s="1"/>
  <c r="N20" i="21" s="1"/>
  <c r="EB6" i="21"/>
  <c r="DZ6" i="21"/>
  <c r="BL6" i="21"/>
  <c r="BJ6" i="21"/>
  <c r="BI6" i="21"/>
  <c r="BK6" i="21"/>
  <c r="BH6" i="21"/>
  <c r="BG6" i="21"/>
  <c r="BE4" i="21" s="1"/>
  <c r="N13" i="21" s="1"/>
  <c r="KX6" i="21"/>
  <c r="LA6" i="21"/>
  <c r="KZ6" i="21"/>
  <c r="LB6" i="21"/>
  <c r="KY6" i="21"/>
  <c r="KW6" i="21"/>
  <c r="KU4" i="21" s="1"/>
  <c r="HP6" i="21"/>
  <c r="HL6" i="21"/>
  <c r="HO6" i="21"/>
  <c r="HM6" i="21"/>
  <c r="HN6" i="21"/>
  <c r="HK6" i="21"/>
  <c r="HI4" i="21" s="1"/>
  <c r="N29" i="21" s="1"/>
  <c r="IJ6" i="21"/>
  <c r="IF6" i="21"/>
  <c r="IH6" i="21"/>
  <c r="II6" i="21"/>
  <c r="IG6" i="21"/>
  <c r="IE6" i="21"/>
  <c r="IC4" i="21" s="1"/>
  <c r="N31" i="21" s="1"/>
  <c r="FF6" i="21"/>
  <c r="FG6" i="21"/>
  <c r="FD6" i="21"/>
  <c r="FE6" i="21"/>
  <c r="FC6" i="21"/>
  <c r="FA4" i="21" s="1"/>
  <c r="N23" i="21" s="1"/>
  <c r="FH6" i="21"/>
  <c r="FN6" i="21"/>
  <c r="FO6" i="21"/>
  <c r="FR6" i="21"/>
  <c r="FQ6" i="21"/>
  <c r="FM6" i="21"/>
  <c r="FK4" i="21" s="1"/>
  <c r="N24" i="21" s="1"/>
  <c r="FP6" i="21"/>
  <c r="HE6" i="21"/>
  <c r="HD6" i="21"/>
  <c r="HB6" i="21"/>
  <c r="HF6" i="21"/>
  <c r="HC6" i="21"/>
  <c r="HA6" i="21"/>
  <c r="GY4" i="21" s="1"/>
  <c r="N28" i="21" s="1"/>
  <c r="DP6" i="21"/>
  <c r="DQ6" i="21"/>
  <c r="DR6" i="21"/>
  <c r="DS6" i="21"/>
  <c r="DO6" i="21"/>
  <c r="DM4" i="21" s="1"/>
  <c r="N19" i="21" s="1"/>
  <c r="DT6" i="21"/>
  <c r="HZ6" i="21"/>
  <c r="HX6" i="21"/>
  <c r="HV6" i="21"/>
  <c r="HY6" i="21"/>
  <c r="HW6" i="21"/>
  <c r="HU6" i="21"/>
  <c r="HS4" i="21" s="1"/>
  <c r="N30" i="21" s="1"/>
  <c r="GR6" i="21"/>
  <c r="GV6" i="21"/>
  <c r="GU6" i="21"/>
  <c r="GT6" i="21"/>
  <c r="GS6" i="21"/>
  <c r="GQ6" i="21"/>
  <c r="GO4" i="21" s="1"/>
  <c r="N27" i="21" s="1"/>
  <c r="CE6" i="21"/>
  <c r="CB6" i="21"/>
  <c r="CD6" i="21"/>
  <c r="CF6" i="21"/>
  <c r="CC6" i="21"/>
  <c r="CA6" i="21"/>
  <c r="BY4" i="21" s="1"/>
  <c r="N15" i="21" s="1"/>
  <c r="AG6" i="21"/>
  <c r="AH6" i="21"/>
  <c r="AE6" i="21"/>
  <c r="AD6" i="21"/>
  <c r="AF6" i="21"/>
  <c r="AC6" i="21"/>
  <c r="AA4" i="21" s="1"/>
  <c r="N10" i="21" s="1"/>
  <c r="FY6" i="21"/>
  <c r="GA6" i="21"/>
  <c r="FZ6" i="21"/>
  <c r="GB6" i="21"/>
  <c r="FW6" i="21"/>
  <c r="FU4" i="21" s="1"/>
  <c r="N25" i="21" s="1"/>
  <c r="FX6" i="21"/>
  <c r="CW6" i="21"/>
  <c r="CY6" i="21"/>
  <c r="CZ6" i="21"/>
  <c r="CU6" i="21"/>
  <c r="CS4" i="21" s="1"/>
  <c r="N17" i="21" s="1"/>
  <c r="CV6" i="21"/>
  <c r="CX6" i="21"/>
  <c r="CN4" i="21" l="1"/>
  <c r="L16" i="21" s="1"/>
  <c r="CL4" i="21"/>
  <c r="CJ2" i="21" s="1"/>
  <c r="CM4" i="21"/>
  <c r="K16" i="21" s="1"/>
  <c r="CO4" i="21"/>
  <c r="M16" i="21" s="1"/>
  <c r="CP4" i="21"/>
  <c r="I16" i="21" s="1"/>
  <c r="EW4" i="21"/>
  <c r="M22" i="21" s="1"/>
  <c r="BS4" i="21"/>
  <c r="K14" i="21" s="1"/>
  <c r="BU4" i="21"/>
  <c r="M14" i="21" s="1"/>
  <c r="DH4" i="21"/>
  <c r="L18" i="21" s="1"/>
  <c r="EJ4" i="21"/>
  <c r="EH2" i="21" s="1"/>
  <c r="J21" i="21" s="1"/>
  <c r="EX4" i="21"/>
  <c r="I22" i="21" s="1"/>
  <c r="BV4" i="21"/>
  <c r="I14" i="21" s="1"/>
  <c r="BT4" i="21"/>
  <c r="L14" i="21" s="1"/>
  <c r="BR4" i="21"/>
  <c r="BP2" i="21" s="1"/>
  <c r="J14" i="21" s="1"/>
  <c r="EV4" i="21"/>
  <c r="L22" i="21" s="1"/>
  <c r="EL4" i="21"/>
  <c r="L21" i="21" s="1"/>
  <c r="EQ4" i="21"/>
  <c r="N22" i="21" s="1"/>
  <c r="ET4" i="21"/>
  <c r="ER2" i="21" s="1"/>
  <c r="J22" i="21" s="1"/>
  <c r="EU4" i="21"/>
  <c r="K22" i="21" s="1"/>
  <c r="EK4" i="21"/>
  <c r="K21" i="21" s="1"/>
  <c r="DG4" i="21"/>
  <c r="K18" i="21" s="1"/>
  <c r="GH4" i="21"/>
  <c r="GF2" i="21" s="1"/>
  <c r="J26" i="21" s="1"/>
  <c r="GL4" i="21"/>
  <c r="I26" i="21" s="1"/>
  <c r="GK4" i="21"/>
  <c r="M26" i="21" s="1"/>
  <c r="GI4" i="21"/>
  <c r="K26" i="21" s="1"/>
  <c r="GJ4" i="21"/>
  <c r="L26" i="21" s="1"/>
  <c r="EN4" i="21"/>
  <c r="I21" i="21" s="1"/>
  <c r="DJ4" i="21"/>
  <c r="I18" i="21" s="1"/>
  <c r="DI4" i="21"/>
  <c r="M18" i="21" s="1"/>
  <c r="DF4" i="21"/>
  <c r="DD2" i="21" s="1"/>
  <c r="J18" i="21" s="1"/>
  <c r="EG4" i="21"/>
  <c r="N21" i="21" s="1"/>
  <c r="AN4" i="21"/>
  <c r="AL2" i="21" s="1"/>
  <c r="J11" i="21" s="1"/>
  <c r="AP4" i="21"/>
  <c r="L11" i="21" s="1"/>
  <c r="AQ4" i="21"/>
  <c r="M11" i="21" s="1"/>
  <c r="AO4" i="21"/>
  <c r="K11" i="21" s="1"/>
  <c r="BO4" i="21"/>
  <c r="N14" i="21" s="1"/>
  <c r="AR4" i="21"/>
  <c r="I11" i="21" s="1"/>
  <c r="HW4" i="21"/>
  <c r="K30" i="21" s="1"/>
  <c r="HY4" i="21"/>
  <c r="M30" i="21" s="1"/>
  <c r="HX4" i="21"/>
  <c r="L30" i="21" s="1"/>
  <c r="HZ4" i="21"/>
  <c r="I30" i="21" s="1"/>
  <c r="HV4" i="21"/>
  <c r="HT2" i="21" s="1"/>
  <c r="J30" i="21" s="1"/>
  <c r="HN4" i="21"/>
  <c r="L29" i="21" s="1"/>
  <c r="HM4" i="21"/>
  <c r="K29" i="21" s="1"/>
  <c r="HO4" i="21"/>
  <c r="M29" i="21" s="1"/>
  <c r="HP4" i="21"/>
  <c r="I29" i="21" s="1"/>
  <c r="HL4" i="21"/>
  <c r="HJ2" i="21" s="1"/>
  <c r="J29" i="21" s="1"/>
  <c r="HF4" i="21"/>
  <c r="I28" i="21" s="1"/>
  <c r="HE4" i="21"/>
  <c r="M28" i="21" s="1"/>
  <c r="HC4" i="21"/>
  <c r="K28" i="21" s="1"/>
  <c r="HD4" i="21"/>
  <c r="L28" i="21" s="1"/>
  <c r="HB4" i="21"/>
  <c r="GZ2" i="21" s="1"/>
  <c r="J28" i="21" s="1"/>
  <c r="BB4" i="21"/>
  <c r="I12" i="21" s="1"/>
  <c r="BA4" i="21"/>
  <c r="M12" i="21" s="1"/>
  <c r="AX4" i="21"/>
  <c r="AZ4" i="21"/>
  <c r="L12" i="21" s="1"/>
  <c r="AY4" i="21"/>
  <c r="K12" i="21" s="1"/>
  <c r="GS4" i="21"/>
  <c r="K27" i="21" s="1"/>
  <c r="GU4" i="21"/>
  <c r="M27" i="21" s="1"/>
  <c r="GV4" i="21"/>
  <c r="I27" i="21" s="1"/>
  <c r="GT4" i="21"/>
  <c r="L27" i="21" s="1"/>
  <c r="GR4" i="21"/>
  <c r="GP2" i="21" s="1"/>
  <c r="J27" i="21" s="1"/>
  <c r="L32" i="8" s="1"/>
  <c r="IJ4" i="21"/>
  <c r="I31" i="21" s="1"/>
  <c r="II4" i="21"/>
  <c r="M31" i="21" s="1"/>
  <c r="IH4" i="21"/>
  <c r="L31" i="21" s="1"/>
  <c r="IG4" i="21"/>
  <c r="K31" i="21" s="1"/>
  <c r="IF4" i="21"/>
  <c r="ID2" i="21" s="1"/>
  <c r="J31" i="21" s="1"/>
  <c r="DS4" i="21"/>
  <c r="M19" i="21" s="1"/>
  <c r="DQ4" i="21"/>
  <c r="K19" i="21" s="1"/>
  <c r="DT4" i="21"/>
  <c r="I19" i="21" s="1"/>
  <c r="DR4" i="21"/>
  <c r="L19" i="21" s="1"/>
  <c r="DP4" i="21"/>
  <c r="DN2" i="21" s="1"/>
  <c r="J19" i="21" s="1"/>
  <c r="FF4" i="21"/>
  <c r="L23" i="21" s="1"/>
  <c r="FG4" i="21"/>
  <c r="M23" i="21" s="1"/>
  <c r="FH4" i="21"/>
  <c r="I23" i="21" s="1"/>
  <c r="FE4" i="21"/>
  <c r="K23" i="21" s="1"/>
  <c r="FD4" i="21"/>
  <c r="FB2" i="21" s="1"/>
  <c r="J23" i="21" s="1"/>
  <c r="BK4" i="21"/>
  <c r="M13" i="21" s="1"/>
  <c r="BL4" i="21"/>
  <c r="I13" i="21" s="1"/>
  <c r="BJ4" i="21"/>
  <c r="L13" i="21" s="1"/>
  <c r="BI4" i="21"/>
  <c r="K13" i="21" s="1"/>
  <c r="BH4" i="21"/>
  <c r="BF2" i="21" s="1"/>
  <c r="J13" i="21" s="1"/>
  <c r="EB4" i="21"/>
  <c r="L20" i="21" s="1"/>
  <c r="ED4" i="21"/>
  <c r="I20" i="21" s="1"/>
  <c r="EC4" i="21"/>
  <c r="M20" i="21" s="1"/>
  <c r="EA4" i="21"/>
  <c r="K20" i="21" s="1"/>
  <c r="DZ4" i="21"/>
  <c r="DX2" i="21" s="1"/>
  <c r="J20" i="21" s="1"/>
  <c r="CE4" i="21"/>
  <c r="M15" i="21" s="1"/>
  <c r="CF4" i="21"/>
  <c r="I15" i="21" s="1"/>
  <c r="CC4" i="21"/>
  <c r="K15" i="21" s="1"/>
  <c r="CD4" i="21"/>
  <c r="L15" i="21" s="1"/>
  <c r="CB4" i="21"/>
  <c r="BZ2" i="21" s="1"/>
  <c r="J15" i="21" s="1"/>
  <c r="IQ4" i="21"/>
  <c r="IS4" i="21"/>
  <c r="IT4" i="21"/>
  <c r="IR4" i="21"/>
  <c r="IP4" i="21"/>
  <c r="IN2" i="21" s="1"/>
  <c r="FY4" i="21"/>
  <c r="K25" i="21" s="1"/>
  <c r="GA4" i="21"/>
  <c r="M25" i="21" s="1"/>
  <c r="GB4" i="21"/>
  <c r="I25" i="21" s="1"/>
  <c r="FZ4" i="21"/>
  <c r="L25" i="21" s="1"/>
  <c r="FX4" i="21"/>
  <c r="FV2" i="21" s="1"/>
  <c r="J25" i="21" s="1"/>
  <c r="CW4" i="21"/>
  <c r="K17" i="21" s="1"/>
  <c r="CX4" i="21"/>
  <c r="L17" i="21" s="1"/>
  <c r="CY4" i="21"/>
  <c r="M17" i="21" s="1"/>
  <c r="CZ4" i="21"/>
  <c r="I17" i="21" s="1"/>
  <c r="CV4" i="21"/>
  <c r="CT2" i="21" s="1"/>
  <c r="J17" i="21" s="1"/>
  <c r="AF4" i="21"/>
  <c r="L10" i="21" s="1"/>
  <c r="AE4" i="21"/>
  <c r="K10" i="21" s="1"/>
  <c r="AH4" i="21"/>
  <c r="I10" i="21" s="1"/>
  <c r="AG4" i="21"/>
  <c r="M10" i="21" s="1"/>
  <c r="AD4" i="21"/>
  <c r="AB2" i="21" s="1"/>
  <c r="J10" i="21" s="1"/>
  <c r="FR4" i="21"/>
  <c r="I24" i="21" s="1"/>
  <c r="FQ4" i="21"/>
  <c r="M24" i="21" s="1"/>
  <c r="FP4" i="21"/>
  <c r="L24" i="21" s="1"/>
  <c r="FO4" i="21"/>
  <c r="K24" i="21" s="1"/>
  <c r="FN4" i="21"/>
  <c r="FL2" i="21" s="1"/>
  <c r="J24" i="21" s="1"/>
  <c r="KZ4" i="21"/>
  <c r="LA4" i="21"/>
  <c r="KY4" i="21"/>
  <c r="LB4" i="21"/>
  <c r="KX4" i="21"/>
  <c r="KV2" i="21" s="1"/>
  <c r="J32" i="8" l="1"/>
  <c r="M32" i="8"/>
  <c r="J16" i="21"/>
  <c r="K32" i="8" s="1"/>
  <c r="L31" i="8"/>
  <c r="M30" i="8"/>
  <c r="M31" i="8"/>
  <c r="M33" i="8"/>
  <c r="K31" i="8"/>
  <c r="K29" i="8"/>
  <c r="J30" i="8"/>
  <c r="L33" i="8"/>
  <c r="L30" i="8"/>
  <c r="K30" i="8"/>
  <c r="J28" i="8"/>
  <c r="J29" i="8"/>
  <c r="L29" i="8"/>
  <c r="J31" i="8"/>
  <c r="AV2" i="21"/>
  <c r="J12" i="21" s="1"/>
  <c r="J33" i="8" l="1"/>
  <c r="J34" i="8"/>
  <c r="M29" i="8"/>
  <c r="K33" i="8"/>
  <c r="O16" i="21"/>
  <c r="Q16" i="21" s="1"/>
  <c r="T16" i="21" s="1"/>
  <c r="P16" i="21"/>
  <c r="R16" i="21" s="1"/>
  <c r="W24" i="21"/>
  <c r="W25" i="21"/>
  <c r="I3" i="21"/>
  <c r="W17" i="21"/>
  <c r="P21" i="21"/>
  <c r="R21" i="21" s="1"/>
  <c r="P14" i="21"/>
  <c r="R14" i="21" s="1"/>
  <c r="O14" i="21"/>
  <c r="Q14" i="21" s="1"/>
  <c r="T14" i="21" s="1"/>
  <c r="O21" i="21"/>
  <c r="Q21" i="21" s="1"/>
  <c r="T21" i="21" s="1"/>
  <c r="U25" i="21"/>
  <c r="U24" i="21"/>
  <c r="U17" i="21"/>
  <c r="S25" i="21"/>
  <c r="T25" i="21"/>
  <c r="S24" i="21"/>
  <c r="T24" i="21"/>
  <c r="S17" i="21"/>
  <c r="T17" i="21"/>
  <c r="Q17" i="21"/>
  <c r="R17" i="21"/>
  <c r="Q25" i="21"/>
  <c r="R25" i="21"/>
  <c r="Q24" i="21"/>
  <c r="R24" i="21"/>
  <c r="P22" i="21"/>
  <c r="R22" i="21" s="1"/>
  <c r="O22" i="21"/>
  <c r="Q22" i="21" s="1"/>
  <c r="T22" i="21" s="1"/>
  <c r="P26" i="21"/>
  <c r="R26" i="21" s="1"/>
  <c r="O26" i="21"/>
  <c r="Q26" i="21" s="1"/>
  <c r="T26" i="21" s="1"/>
  <c r="O30" i="21"/>
  <c r="Q30" i="21" s="1"/>
  <c r="T30" i="21" s="1"/>
  <c r="P30" i="21"/>
  <c r="R30" i="21" s="1"/>
  <c r="O15" i="21"/>
  <c r="Q15" i="21" s="1"/>
  <c r="T15" i="21" s="1"/>
  <c r="P15" i="21"/>
  <c r="R15" i="21" s="1"/>
  <c r="O23" i="21"/>
  <c r="Q23" i="21" s="1"/>
  <c r="T23" i="21" s="1"/>
  <c r="P23" i="21"/>
  <c r="R23" i="21" s="1"/>
  <c r="O20" i="21"/>
  <c r="Q20" i="21" s="1"/>
  <c r="T20" i="21" s="1"/>
  <c r="P20" i="21"/>
  <c r="R20" i="21" s="1"/>
  <c r="O29" i="21"/>
  <c r="Q29" i="21" s="1"/>
  <c r="T29" i="21" s="1"/>
  <c r="P29" i="21"/>
  <c r="R29" i="21" s="1"/>
  <c r="O31" i="21"/>
  <c r="Q31" i="21" s="1"/>
  <c r="T31" i="21" s="1"/>
  <c r="P31" i="21"/>
  <c r="R31" i="21" s="1"/>
  <c r="P10" i="21"/>
  <c r="R10" i="21" s="1"/>
  <c r="O18" i="21"/>
  <c r="Q18" i="21" s="1"/>
  <c r="T18" i="21" s="1"/>
  <c r="P18" i="21"/>
  <c r="R18" i="21" s="1"/>
  <c r="O11" i="21"/>
  <c r="Q11" i="21" s="1"/>
  <c r="T11" i="21" s="1"/>
  <c r="P11" i="21"/>
  <c r="R11" i="21" s="1"/>
  <c r="O13" i="21"/>
  <c r="Q13" i="21" s="1"/>
  <c r="T13" i="21" s="1"/>
  <c r="P13" i="21"/>
  <c r="R13" i="21" s="1"/>
  <c r="O25" i="21"/>
  <c r="P25" i="21"/>
  <c r="O27" i="21"/>
  <c r="Q27" i="21" s="1"/>
  <c r="T27" i="21" s="1"/>
  <c r="P27" i="21"/>
  <c r="R27" i="21" s="1"/>
  <c r="O19" i="21"/>
  <c r="Q19" i="21" s="1"/>
  <c r="T19" i="21" s="1"/>
  <c r="P19" i="21"/>
  <c r="R19" i="21" s="1"/>
  <c r="O24" i="21"/>
  <c r="P24" i="21"/>
  <c r="O17" i="21"/>
  <c r="P17" i="21"/>
  <c r="O28" i="21"/>
  <c r="Q28" i="21" s="1"/>
  <c r="T28" i="21" s="1"/>
  <c r="P28" i="21"/>
  <c r="R28" i="21" s="1"/>
  <c r="O10" i="21"/>
  <c r="Q10" i="21" s="1"/>
  <c r="T10" i="21" s="1"/>
  <c r="U20" i="21" l="1"/>
  <c r="S20" i="21" s="1"/>
  <c r="U16" i="21"/>
  <c r="S16" i="21" s="1"/>
  <c r="X17" i="21"/>
  <c r="X25" i="21"/>
  <c r="X24" i="21"/>
  <c r="I26" i="8"/>
  <c r="U10" i="21"/>
  <c r="X10" i="21" s="1"/>
  <c r="U14" i="21"/>
  <c r="S14" i="21" s="1"/>
  <c r="U18" i="21"/>
  <c r="S18" i="21" s="1"/>
  <c r="U26" i="21"/>
  <c r="S26" i="21" s="1"/>
  <c r="U21" i="21"/>
  <c r="S21" i="21" s="1"/>
  <c r="U15" i="21"/>
  <c r="S15" i="21" s="1"/>
  <c r="U22" i="21"/>
  <c r="S22" i="21" s="1"/>
  <c r="U19" i="21"/>
  <c r="S19" i="21" s="1"/>
  <c r="U23" i="21"/>
  <c r="S23" i="21" s="1"/>
  <c r="U13" i="21"/>
  <c r="S13" i="21" s="1"/>
  <c r="U30" i="21"/>
  <c r="S30" i="21" s="1"/>
  <c r="U27" i="21"/>
  <c r="S27" i="21" s="1"/>
  <c r="U29" i="21"/>
  <c r="S29" i="21" s="1"/>
  <c r="U28" i="21"/>
  <c r="S28" i="21" s="1"/>
  <c r="J3" i="21"/>
  <c r="V24" i="21"/>
  <c r="U11" i="21"/>
  <c r="X11" i="21" s="1"/>
  <c r="U31" i="21"/>
  <c r="V31" i="21" s="1"/>
  <c r="W31" i="21" s="1"/>
  <c r="V17" i="21"/>
  <c r="V25" i="21"/>
  <c r="P12" i="21"/>
  <c r="R12" i="21" s="1"/>
  <c r="J7" i="21"/>
  <c r="O12" i="21"/>
  <c r="Q12" i="21" s="1"/>
  <c r="T12" i="21" s="1"/>
  <c r="F6" i="30" s="1"/>
  <c r="V20" i="21" l="1"/>
  <c r="W20" i="21" s="1"/>
  <c r="X20" i="21"/>
  <c r="X16" i="21"/>
  <c r="V16" i="21"/>
  <c r="W16" i="21" s="1"/>
  <c r="F283" i="30"/>
  <c r="D283" i="30" s="1"/>
  <c r="F239" i="30"/>
  <c r="D239" i="30" s="1"/>
  <c r="F285" i="30"/>
  <c r="D285" i="30" s="1"/>
  <c r="F288" i="30"/>
  <c r="D288" i="30" s="1"/>
  <c r="F277" i="30"/>
  <c r="D277" i="30" s="1"/>
  <c r="F300" i="30"/>
  <c r="D300" i="30" s="1"/>
  <c r="F258" i="30"/>
  <c r="D258" i="30" s="1"/>
  <c r="F291" i="30"/>
  <c r="D291" i="30" s="1"/>
  <c r="F254" i="30"/>
  <c r="D254" i="30" s="1"/>
  <c r="F244" i="30"/>
  <c r="D244" i="30" s="1"/>
  <c r="F250" i="30"/>
  <c r="D250" i="30" s="1"/>
  <c r="F236" i="30"/>
  <c r="D236" i="30" s="1"/>
  <c r="F265" i="30"/>
  <c r="D265" i="30" s="1"/>
  <c r="F257" i="30"/>
  <c r="D257" i="30" s="1"/>
  <c r="F259" i="30"/>
  <c r="D259" i="30" s="1"/>
  <c r="F280" i="30"/>
  <c r="D280" i="30" s="1"/>
  <c r="F295" i="30"/>
  <c r="D295" i="30" s="1"/>
  <c r="F231" i="30"/>
  <c r="D231" i="30" s="1"/>
  <c r="F246" i="30"/>
  <c r="D246" i="30" s="1"/>
  <c r="F235" i="30"/>
  <c r="D235" i="30" s="1"/>
  <c r="F269" i="30"/>
  <c r="D269" i="30" s="1"/>
  <c r="F292" i="30"/>
  <c r="D292" i="30" s="1"/>
  <c r="F228" i="30"/>
  <c r="D228" i="30" s="1"/>
  <c r="F242" i="30"/>
  <c r="D242" i="30" s="1"/>
  <c r="F249" i="30"/>
  <c r="D249" i="30" s="1"/>
  <c r="F272" i="30"/>
  <c r="D272" i="30" s="1"/>
  <c r="F287" i="30"/>
  <c r="D287" i="30" s="1"/>
  <c r="F238" i="30"/>
  <c r="D238" i="30" s="1"/>
  <c r="F261" i="30"/>
  <c r="D261" i="30" s="1"/>
  <c r="F299" i="30"/>
  <c r="D299" i="30" s="1"/>
  <c r="F284" i="30"/>
  <c r="D284" i="30" s="1"/>
  <c r="F298" i="30"/>
  <c r="D298" i="30" s="1"/>
  <c r="F234" i="30"/>
  <c r="D234" i="30" s="1"/>
  <c r="F241" i="30"/>
  <c r="D241" i="30" s="1"/>
  <c r="F264" i="30"/>
  <c r="D264" i="30" s="1"/>
  <c r="F279" i="30"/>
  <c r="D279" i="30" s="1"/>
  <c r="F294" i="30"/>
  <c r="D294" i="30" s="1"/>
  <c r="F230" i="30"/>
  <c r="D230" i="30" s="1"/>
  <c r="F253" i="30"/>
  <c r="D253" i="30" s="1"/>
  <c r="F243" i="30"/>
  <c r="D243" i="30" s="1"/>
  <c r="F276" i="30"/>
  <c r="D276" i="30" s="1"/>
  <c r="F290" i="30"/>
  <c r="D290" i="30" s="1"/>
  <c r="F297" i="30"/>
  <c r="D297" i="30" s="1"/>
  <c r="F233" i="30"/>
  <c r="D233" i="30" s="1"/>
  <c r="F256" i="30"/>
  <c r="D256" i="30" s="1"/>
  <c r="F267" i="30"/>
  <c r="D267" i="30" s="1"/>
  <c r="F271" i="30"/>
  <c r="D271" i="30" s="1"/>
  <c r="F286" i="30"/>
  <c r="D286" i="30" s="1"/>
  <c r="F245" i="30"/>
  <c r="D245" i="30" s="1"/>
  <c r="F268" i="30"/>
  <c r="D268" i="30" s="1"/>
  <c r="F282" i="30"/>
  <c r="D282" i="30" s="1"/>
  <c r="F289" i="30"/>
  <c r="D289" i="30" s="1"/>
  <c r="F248" i="30"/>
  <c r="D248" i="30" s="1"/>
  <c r="F263" i="30"/>
  <c r="D263" i="30" s="1"/>
  <c r="F7" i="30"/>
  <c r="D7" i="30" s="1"/>
  <c r="F278" i="30"/>
  <c r="D278" i="30" s="1"/>
  <c r="F260" i="30"/>
  <c r="D260" i="30" s="1"/>
  <c r="F275" i="30"/>
  <c r="D275" i="30" s="1"/>
  <c r="F274" i="30"/>
  <c r="D274" i="30" s="1"/>
  <c r="F281" i="30"/>
  <c r="D281" i="30" s="1"/>
  <c r="F240" i="30"/>
  <c r="D240" i="30" s="1"/>
  <c r="F255" i="30"/>
  <c r="D255" i="30" s="1"/>
  <c r="F251" i="30"/>
  <c r="D251" i="30" s="1"/>
  <c r="F270" i="30"/>
  <c r="D270" i="30" s="1"/>
  <c r="F237" i="30"/>
  <c r="D237" i="30" s="1"/>
  <c r="F293" i="30"/>
  <c r="D293" i="30" s="1"/>
  <c r="F229" i="30"/>
  <c r="D229" i="30" s="1"/>
  <c r="F252" i="30"/>
  <c r="D252" i="30" s="1"/>
  <c r="F227" i="30"/>
  <c r="D227" i="30" s="1"/>
  <c r="F266" i="30"/>
  <c r="D266" i="30" s="1"/>
  <c r="F273" i="30"/>
  <c r="D273" i="30" s="1"/>
  <c r="F296" i="30"/>
  <c r="D296" i="30" s="1"/>
  <c r="F232" i="30"/>
  <c r="D232" i="30" s="1"/>
  <c r="F247" i="30"/>
  <c r="D247" i="30" s="1"/>
  <c r="F262" i="30"/>
  <c r="D262" i="30" s="1"/>
  <c r="D6" i="30"/>
  <c r="X15" i="21"/>
  <c r="X26" i="21"/>
  <c r="X27" i="21"/>
  <c r="X28" i="21"/>
  <c r="X23" i="21"/>
  <c r="X21" i="21"/>
  <c r="X29" i="21"/>
  <c r="X31" i="21"/>
  <c r="X19" i="21"/>
  <c r="X18" i="21"/>
  <c r="X22" i="21"/>
  <c r="X14" i="21"/>
  <c r="X13" i="21"/>
  <c r="X30" i="21"/>
  <c r="L3" i="21"/>
  <c r="K25" i="8" s="1"/>
  <c r="M3" i="21"/>
  <c r="L25" i="8" s="1"/>
  <c r="I25" i="8"/>
  <c r="K3" i="21"/>
  <c r="J25" i="8" s="1"/>
  <c r="V14" i="21"/>
  <c r="W14" i="21" s="1"/>
  <c r="V15" i="21"/>
  <c r="W15" i="21" s="1"/>
  <c r="V26" i="21"/>
  <c r="W26" i="21" s="1"/>
  <c r="V18" i="21"/>
  <c r="W18" i="21" s="1"/>
  <c r="V22" i="21"/>
  <c r="W22" i="21" s="1"/>
  <c r="V19" i="21"/>
  <c r="W19" i="21" s="1"/>
  <c r="V21" i="21"/>
  <c r="W21" i="21" s="1"/>
  <c r="V23" i="21"/>
  <c r="V13" i="21"/>
  <c r="W13" i="21" s="1"/>
  <c r="U12" i="21"/>
  <c r="S12" i="21" s="1"/>
  <c r="V27" i="21"/>
  <c r="F197" i="30" s="1"/>
  <c r="D197" i="30" s="1"/>
  <c r="V28" i="21"/>
  <c r="W28" i="21" s="1"/>
  <c r="V30" i="21"/>
  <c r="W30" i="21" s="1"/>
  <c r="V29" i="21"/>
  <c r="W29" i="21" s="1"/>
  <c r="V10" i="21"/>
  <c r="V11" i="21"/>
  <c r="S11" i="21"/>
  <c r="S31" i="21"/>
  <c r="S10" i="21"/>
  <c r="F138" i="30" l="1"/>
  <c r="D138" i="30" s="1"/>
  <c r="F134" i="30"/>
  <c r="D134" i="30" s="1"/>
  <c r="F132" i="30"/>
  <c r="D132" i="30" s="1"/>
  <c r="F144" i="30"/>
  <c r="D144" i="30" s="1"/>
  <c r="F127" i="30"/>
  <c r="D127" i="30" s="1"/>
  <c r="F140" i="30"/>
  <c r="D140" i="30" s="1"/>
  <c r="F139" i="30"/>
  <c r="D139" i="30" s="1"/>
  <c r="F128" i="30"/>
  <c r="D128" i="30" s="1"/>
  <c r="F131" i="30"/>
  <c r="D131" i="30" s="1"/>
  <c r="F135" i="30"/>
  <c r="D135" i="30" s="1"/>
  <c r="F133" i="30"/>
  <c r="D133" i="30" s="1"/>
  <c r="F130" i="30"/>
  <c r="D130" i="30" s="1"/>
  <c r="F145" i="30"/>
  <c r="D145" i="30" s="1"/>
  <c r="F146" i="30"/>
  <c r="D146" i="30" s="1"/>
  <c r="F143" i="30"/>
  <c r="D143" i="30" s="1"/>
  <c r="F136" i="30"/>
  <c r="D136" i="30" s="1"/>
  <c r="F137" i="30"/>
  <c r="D137" i="30" s="1"/>
  <c r="F160" i="30"/>
  <c r="D160" i="30" s="1"/>
  <c r="F142" i="30"/>
  <c r="D142" i="30" s="1"/>
  <c r="F141" i="30"/>
  <c r="D141" i="30" s="1"/>
  <c r="F129" i="30"/>
  <c r="D129" i="30" s="1"/>
  <c r="F10" i="30"/>
  <c r="D10" i="30" s="1"/>
  <c r="F52" i="30"/>
  <c r="D52" i="30" s="1"/>
  <c r="F48" i="30"/>
  <c r="D48" i="30" s="1"/>
  <c r="F56" i="30"/>
  <c r="D56" i="30" s="1"/>
  <c r="F38" i="30"/>
  <c r="D38" i="30" s="1"/>
  <c r="F47" i="30"/>
  <c r="D47" i="30" s="1"/>
  <c r="F40" i="30"/>
  <c r="D40" i="30" s="1"/>
  <c r="F45" i="30"/>
  <c r="D45" i="30" s="1"/>
  <c r="F64" i="30"/>
  <c r="D64" i="30" s="1"/>
  <c r="F42" i="30"/>
  <c r="D42" i="30" s="1"/>
  <c r="F46" i="30"/>
  <c r="D46" i="30" s="1"/>
  <c r="F50" i="30"/>
  <c r="D50" i="30" s="1"/>
  <c r="F54" i="30"/>
  <c r="D54" i="30" s="1"/>
  <c r="F49" i="30"/>
  <c r="D49" i="30" s="1"/>
  <c r="F51" i="30"/>
  <c r="D51" i="30" s="1"/>
  <c r="F53" i="30"/>
  <c r="D53" i="30" s="1"/>
  <c r="F65" i="30"/>
  <c r="D65" i="30" s="1"/>
  <c r="F58" i="30"/>
  <c r="D58" i="30" s="1"/>
  <c r="F66" i="30"/>
  <c r="D66" i="30" s="1"/>
  <c r="F70" i="30"/>
  <c r="D70" i="30" s="1"/>
  <c r="F60" i="30"/>
  <c r="D60" i="30" s="1"/>
  <c r="F67" i="30"/>
  <c r="D67" i="30" s="1"/>
  <c r="F59" i="30"/>
  <c r="D59" i="30" s="1"/>
  <c r="F43" i="30"/>
  <c r="D43" i="30" s="1"/>
  <c r="F44" i="30"/>
  <c r="D44" i="30" s="1"/>
  <c r="F76" i="30"/>
  <c r="D76" i="30" s="1"/>
  <c r="F61" i="30"/>
  <c r="D61" i="30" s="1"/>
  <c r="F72" i="30"/>
  <c r="D72" i="30" s="1"/>
  <c r="F75" i="30"/>
  <c r="D75" i="30" s="1"/>
  <c r="F74" i="30"/>
  <c r="D74" i="30" s="1"/>
  <c r="F63" i="30"/>
  <c r="D63" i="30" s="1"/>
  <c r="F71" i="30"/>
  <c r="D71" i="30" s="1"/>
  <c r="F41" i="30"/>
  <c r="D41" i="30" s="1"/>
  <c r="F39" i="30"/>
  <c r="D39" i="30" s="1"/>
  <c r="F62" i="30"/>
  <c r="D62" i="30" s="1"/>
  <c r="F73" i="30"/>
  <c r="D73" i="30" s="1"/>
  <c r="F55" i="30"/>
  <c r="D55" i="30" s="1"/>
  <c r="F37" i="30"/>
  <c r="D37" i="30" s="1"/>
  <c r="F68" i="30"/>
  <c r="D68" i="30" s="1"/>
  <c r="F69" i="30"/>
  <c r="D69" i="30" s="1"/>
  <c r="F57" i="30"/>
  <c r="D57" i="30" s="1"/>
  <c r="F126" i="30"/>
  <c r="D126" i="30" s="1"/>
  <c r="F14" i="30"/>
  <c r="D14" i="30" s="1"/>
  <c r="F13" i="30"/>
  <c r="D13" i="30" s="1"/>
  <c r="F16" i="30"/>
  <c r="D16" i="30" s="1"/>
  <c r="F12" i="30"/>
  <c r="D12" i="30" s="1"/>
  <c r="F11" i="30"/>
  <c r="D11" i="30" s="1"/>
  <c r="F9" i="30"/>
  <c r="D9" i="30" s="1"/>
  <c r="F15" i="30"/>
  <c r="D15" i="30" s="1"/>
  <c r="F8" i="30"/>
  <c r="D8" i="30" s="1"/>
  <c r="F199" i="30"/>
  <c r="D199" i="30" s="1"/>
  <c r="F181" i="30"/>
  <c r="D181" i="30" s="1"/>
  <c r="F207" i="30"/>
  <c r="D207" i="30" s="1"/>
  <c r="F215" i="30"/>
  <c r="D215" i="30" s="1"/>
  <c r="F223" i="30"/>
  <c r="D223" i="30" s="1"/>
  <c r="F164" i="30"/>
  <c r="D164" i="30" s="1"/>
  <c r="F193" i="30"/>
  <c r="D193" i="30" s="1"/>
  <c r="F219" i="30"/>
  <c r="D219" i="30" s="1"/>
  <c r="F175" i="30"/>
  <c r="D175" i="30" s="1"/>
  <c r="F183" i="30"/>
  <c r="D183" i="30" s="1"/>
  <c r="F209" i="30"/>
  <c r="D209" i="30" s="1"/>
  <c r="F173" i="30"/>
  <c r="D173" i="30" s="1"/>
  <c r="F161" i="30"/>
  <c r="D161" i="30" s="1"/>
  <c r="F169" i="30"/>
  <c r="D169" i="30" s="1"/>
  <c r="F148" i="30"/>
  <c r="D148" i="30" s="1"/>
  <c r="F177" i="30"/>
  <c r="D177" i="30" s="1"/>
  <c r="F156" i="30"/>
  <c r="D156" i="30" s="1"/>
  <c r="F179" i="30"/>
  <c r="D179" i="30" s="1"/>
  <c r="F185" i="30"/>
  <c r="D185" i="30" s="1"/>
  <c r="F191" i="30"/>
  <c r="D191" i="30" s="1"/>
  <c r="F153" i="30"/>
  <c r="D153" i="30" s="1"/>
  <c r="F150" i="30"/>
  <c r="D150" i="30" s="1"/>
  <c r="F203" i="30"/>
  <c r="D203" i="30" s="1"/>
  <c r="F225" i="30"/>
  <c r="D225" i="30" s="1"/>
  <c r="F212" i="30"/>
  <c r="D212" i="30" s="1"/>
  <c r="F220" i="30"/>
  <c r="D220" i="30" s="1"/>
  <c r="F182" i="30"/>
  <c r="D182" i="30" s="1"/>
  <c r="F152" i="30"/>
  <c r="D152" i="30" s="1"/>
  <c r="F188" i="30"/>
  <c r="D188" i="30" s="1"/>
  <c r="F217" i="30"/>
  <c r="D217" i="30" s="1"/>
  <c r="F214" i="30"/>
  <c r="D214" i="30" s="1"/>
  <c r="F204" i="30"/>
  <c r="D204" i="30" s="1"/>
  <c r="F158" i="30"/>
  <c r="D158" i="30" s="1"/>
  <c r="F166" i="30"/>
  <c r="D166" i="30" s="1"/>
  <c r="F174" i="30"/>
  <c r="D174" i="30" s="1"/>
  <c r="F216" i="30"/>
  <c r="D216" i="30" s="1"/>
  <c r="F194" i="30"/>
  <c r="D194" i="30" s="1"/>
  <c r="F221" i="30"/>
  <c r="D221" i="30" s="1"/>
  <c r="F198" i="30"/>
  <c r="D198" i="30" s="1"/>
  <c r="F168" i="30"/>
  <c r="D168" i="30" s="1"/>
  <c r="F155" i="30"/>
  <c r="D155" i="30" s="1"/>
  <c r="F196" i="30"/>
  <c r="D196" i="30" s="1"/>
  <c r="F222" i="30"/>
  <c r="D222" i="30" s="1"/>
  <c r="F208" i="30"/>
  <c r="D208" i="30" s="1"/>
  <c r="F178" i="30"/>
  <c r="D178" i="30" s="1"/>
  <c r="F201" i="30"/>
  <c r="D201" i="30" s="1"/>
  <c r="F206" i="30"/>
  <c r="D206" i="30" s="1"/>
  <c r="F184" i="30"/>
  <c r="D184" i="30" s="1"/>
  <c r="F154" i="30"/>
  <c r="D154" i="30" s="1"/>
  <c r="F187" i="30"/>
  <c r="D187" i="30" s="1"/>
  <c r="F192" i="30"/>
  <c r="D192" i="30" s="1"/>
  <c r="F162" i="30"/>
  <c r="D162" i="30" s="1"/>
  <c r="F200" i="30"/>
  <c r="D200" i="30" s="1"/>
  <c r="F170" i="30"/>
  <c r="D170" i="30" s="1"/>
  <c r="F205" i="30"/>
  <c r="D205" i="30" s="1"/>
  <c r="F186" i="30"/>
  <c r="D186" i="30" s="1"/>
  <c r="F213" i="30"/>
  <c r="D213" i="30" s="1"/>
  <c r="F224" i="30"/>
  <c r="D224" i="30" s="1"/>
  <c r="F171" i="30"/>
  <c r="D171" i="30" s="1"/>
  <c r="F172" i="30"/>
  <c r="D172" i="30" s="1"/>
  <c r="F195" i="30"/>
  <c r="D195" i="30" s="1"/>
  <c r="F202" i="30"/>
  <c r="D202" i="30" s="1"/>
  <c r="F165" i="30"/>
  <c r="D165" i="30" s="1"/>
  <c r="F176" i="30"/>
  <c r="D176" i="30" s="1"/>
  <c r="F147" i="30"/>
  <c r="D147" i="30" s="1"/>
  <c r="F218" i="30"/>
  <c r="D218" i="30" s="1"/>
  <c r="F226" i="30"/>
  <c r="D226" i="30" s="1"/>
  <c r="F211" i="30"/>
  <c r="D211" i="30" s="1"/>
  <c r="F167" i="30"/>
  <c r="D167" i="30" s="1"/>
  <c r="F180" i="30"/>
  <c r="D180" i="30" s="1"/>
  <c r="F190" i="30"/>
  <c r="D190" i="30" s="1"/>
  <c r="F149" i="30"/>
  <c r="D149" i="30" s="1"/>
  <c r="F210" i="30"/>
  <c r="D210" i="30" s="1"/>
  <c r="F189" i="30"/>
  <c r="D189" i="30" s="1"/>
  <c r="F151" i="30"/>
  <c r="D151" i="30" s="1"/>
  <c r="F163" i="30"/>
  <c r="D163" i="30" s="1"/>
  <c r="F159" i="30"/>
  <c r="D159" i="30" s="1"/>
  <c r="F157" i="30"/>
  <c r="D157" i="30" s="1"/>
  <c r="F106" i="30"/>
  <c r="D106" i="30" s="1"/>
  <c r="F84" i="30"/>
  <c r="D84" i="30" s="1"/>
  <c r="F99" i="30"/>
  <c r="D99" i="30" s="1"/>
  <c r="F95" i="30"/>
  <c r="D95" i="30" s="1"/>
  <c r="F110" i="30"/>
  <c r="D110" i="30" s="1"/>
  <c r="F103" i="30"/>
  <c r="D103" i="30" s="1"/>
  <c r="F87" i="30"/>
  <c r="D87" i="30" s="1"/>
  <c r="F112" i="30"/>
  <c r="D112" i="30" s="1"/>
  <c r="F86" i="30"/>
  <c r="D86" i="30" s="1"/>
  <c r="F97" i="30"/>
  <c r="D97" i="30" s="1"/>
  <c r="F104" i="30"/>
  <c r="D104" i="30" s="1"/>
  <c r="F80" i="30"/>
  <c r="D80" i="30" s="1"/>
  <c r="F100" i="30"/>
  <c r="D100" i="30" s="1"/>
  <c r="F107" i="30"/>
  <c r="D107" i="30" s="1"/>
  <c r="F111" i="30"/>
  <c r="D111" i="30" s="1"/>
  <c r="F108" i="30"/>
  <c r="D108" i="30" s="1"/>
  <c r="F82" i="30"/>
  <c r="D82" i="30" s="1"/>
  <c r="F79" i="30"/>
  <c r="D79" i="30" s="1"/>
  <c r="F98" i="30"/>
  <c r="D98" i="30" s="1"/>
  <c r="F102" i="30"/>
  <c r="D102" i="30" s="1"/>
  <c r="F113" i="30"/>
  <c r="D113" i="30" s="1"/>
  <c r="F91" i="30"/>
  <c r="D91" i="30" s="1"/>
  <c r="F83" i="30"/>
  <c r="D83" i="30" s="1"/>
  <c r="F92" i="30"/>
  <c r="D92" i="30" s="1"/>
  <c r="F93" i="30"/>
  <c r="D93" i="30" s="1"/>
  <c r="F96" i="30"/>
  <c r="D96" i="30" s="1"/>
  <c r="F85" i="30"/>
  <c r="D85" i="30" s="1"/>
  <c r="F78" i="30"/>
  <c r="D78" i="30" s="1"/>
  <c r="F89" i="30"/>
  <c r="D89" i="30" s="1"/>
  <c r="F109" i="30"/>
  <c r="D109" i="30" s="1"/>
  <c r="F90" i="30"/>
  <c r="D90" i="30" s="1"/>
  <c r="F94" i="30"/>
  <c r="D94" i="30" s="1"/>
  <c r="F105" i="30"/>
  <c r="D105" i="30" s="1"/>
  <c r="F81" i="30"/>
  <c r="D81" i="30" s="1"/>
  <c r="F101" i="30"/>
  <c r="D101" i="30" s="1"/>
  <c r="F77" i="30"/>
  <c r="D77" i="30" s="1"/>
  <c r="F88" i="30"/>
  <c r="D88" i="30" s="1"/>
  <c r="W23" i="21"/>
  <c r="F2" i="30"/>
  <c r="W27" i="21"/>
  <c r="X12" i="21"/>
  <c r="B2" i="8"/>
  <c r="V12" i="21"/>
  <c r="W12" i="21" s="1"/>
  <c r="W10" i="21"/>
  <c r="W11" i="21"/>
  <c r="N25" i="8"/>
  <c r="B6" i="8" s="1"/>
  <c r="F123" i="30" l="1"/>
  <c r="D123" i="30" s="1"/>
  <c r="F125" i="30"/>
  <c r="D125" i="30" s="1"/>
  <c r="F124" i="30"/>
  <c r="D124" i="30" s="1"/>
  <c r="F115" i="30"/>
  <c r="D115" i="30" s="1"/>
  <c r="F118" i="30"/>
  <c r="D118" i="30" s="1"/>
  <c r="F114" i="30"/>
  <c r="D114" i="30" s="1"/>
  <c r="F117" i="30"/>
  <c r="D117" i="30" s="1"/>
  <c r="F122" i="30"/>
  <c r="D122" i="30" s="1"/>
  <c r="F120" i="30"/>
  <c r="D120" i="30" s="1"/>
  <c r="F116" i="30"/>
  <c r="D116" i="30" s="1"/>
  <c r="F121" i="30"/>
  <c r="D121" i="30" s="1"/>
  <c r="F119" i="30"/>
  <c r="D119" i="30" s="1"/>
  <c r="F24" i="30"/>
  <c r="D24" i="30" s="1"/>
  <c r="F19" i="30"/>
  <c r="D19" i="30" s="1"/>
  <c r="F35" i="30"/>
  <c r="D35" i="30" s="1"/>
  <c r="F21" i="30"/>
  <c r="D21" i="30" s="1"/>
  <c r="F36" i="30"/>
  <c r="D36" i="30" s="1"/>
  <c r="F28" i="30"/>
  <c r="D28" i="30" s="1"/>
  <c r="F20" i="30"/>
  <c r="D20" i="30" s="1"/>
  <c r="F34" i="30"/>
  <c r="D34" i="30" s="1"/>
  <c r="F27" i="30"/>
  <c r="D27" i="30" s="1"/>
  <c r="F22" i="30"/>
  <c r="D22" i="30" s="1"/>
  <c r="F25" i="30"/>
  <c r="D25" i="30" s="1"/>
  <c r="F29" i="30"/>
  <c r="D29" i="30" s="1"/>
  <c r="F32" i="30"/>
  <c r="D32" i="30" s="1"/>
  <c r="F23" i="30"/>
  <c r="D23" i="30" s="1"/>
  <c r="F31" i="30"/>
  <c r="D31" i="30" s="1"/>
  <c r="F30" i="30"/>
  <c r="D30" i="30" s="1"/>
  <c r="F17" i="30"/>
  <c r="D17" i="30" s="1"/>
  <c r="F18" i="30"/>
  <c r="D18" i="30" s="1"/>
  <c r="F26" i="30"/>
  <c r="D26" i="30" s="1"/>
  <c r="F33" i="30"/>
  <c r="D33" i="30" s="1"/>
  <c r="AQ1" i="25"/>
  <c r="W2" i="25" s="1"/>
  <c r="V2" i="25" s="1"/>
  <c r="D2" i="30"/>
  <c r="J4" i="8"/>
  <c r="X7" i="21"/>
  <c r="A1" i="21" s="1"/>
  <c r="R4" i="8" s="1"/>
  <c r="D3" i="18"/>
  <c r="A4" i="18" s="1"/>
  <c r="E4" i="18" s="1"/>
  <c r="F2" i="8"/>
  <c r="D2" i="8"/>
  <c r="J2" i="19"/>
  <c r="I3" i="19" l="1"/>
  <c r="F4" i="8"/>
  <c r="F1" i="30" a="1"/>
  <c r="F1" i="30" s="1"/>
  <c r="D4" i="30"/>
  <c r="F4" i="30"/>
  <c r="F3" i="30" s="1"/>
  <c r="AT2" i="25"/>
  <c r="AS2" i="25"/>
  <c r="AR2" i="25"/>
  <c r="AP2" i="25"/>
  <c r="AW2" i="25"/>
  <c r="AC2" i="30"/>
  <c r="AD2" i="30" s="1"/>
  <c r="AY2" i="25"/>
  <c r="AV2" i="25"/>
  <c r="W3" i="25"/>
  <c r="V3" i="25" s="1"/>
  <c r="AU2" i="25"/>
  <c r="AQ2" i="25"/>
  <c r="AX2" i="25"/>
  <c r="H4" i="18"/>
  <c r="F4" i="18"/>
  <c r="A5" i="18"/>
  <c r="C5" i="18" s="1"/>
  <c r="D4" i="18"/>
  <c r="I4" i="18"/>
  <c r="C4" i="18"/>
  <c r="G4" i="18"/>
  <c r="J4" i="18"/>
  <c r="B4" i="18"/>
  <c r="I4" i="19" l="1"/>
  <c r="K3" i="19"/>
  <c r="P3" i="19"/>
  <c r="L3" i="19"/>
  <c r="N3" i="19"/>
  <c r="S3" i="19"/>
  <c r="J3" i="19"/>
  <c r="Q3" i="19"/>
  <c r="R3" i="19"/>
  <c r="O3" i="19"/>
  <c r="M3" i="19"/>
  <c r="D3" i="30"/>
  <c r="X3" i="30"/>
  <c r="AU3" i="25"/>
  <c r="AR3" i="25"/>
  <c r="AQ3" i="25"/>
  <c r="V1" i="25" s="1"/>
  <c r="AP3" i="25"/>
  <c r="AY3" i="25"/>
  <c r="AS3" i="25"/>
  <c r="AX3" i="25"/>
  <c r="AT3" i="25"/>
  <c r="AW3" i="25"/>
  <c r="AV3" i="25"/>
  <c r="D5" i="18"/>
  <c r="C3" i="18" s="1"/>
  <c r="H5" i="18"/>
  <c r="B5" i="18"/>
  <c r="E5" i="18"/>
  <c r="J5" i="18"/>
  <c r="G5" i="18"/>
  <c r="I5" i="18"/>
  <c r="F5" i="18"/>
  <c r="M4" i="19" l="1"/>
  <c r="O4" i="19"/>
  <c r="P4" i="19"/>
  <c r="Q4" i="19"/>
  <c r="J4" i="19"/>
  <c r="S4" i="19"/>
  <c r="R4" i="19"/>
  <c r="N4" i="19"/>
  <c r="K4" i="19"/>
  <c r="L4" i="19"/>
  <c r="AW1" i="25"/>
  <c r="AV1" i="25"/>
  <c r="AT1" i="25"/>
  <c r="AX1" i="25"/>
  <c r="AU1" i="25"/>
  <c r="AS1" i="25"/>
  <c r="AR1" i="25"/>
  <c r="AY1" i="25"/>
  <c r="AP1" i="25"/>
  <c r="E3" i="18"/>
  <c r="F3" i="18"/>
  <c r="I3" i="18"/>
  <c r="G3" i="18"/>
  <c r="D3" i="8" s="1"/>
  <c r="D4" i="8" s="1"/>
  <c r="J3" i="18"/>
  <c r="B4" i="8" s="1"/>
  <c r="H3" i="18"/>
  <c r="B3" i="18"/>
  <c r="D7" i="8" s="1"/>
  <c r="D26" i="19" l="1"/>
  <c r="M2" i="19"/>
  <c r="D13" i="19" s="1"/>
  <c r="D22" i="19"/>
  <c r="D20" i="19"/>
  <c r="D24" i="19"/>
  <c r="D25" i="19"/>
  <c r="D23" i="19"/>
  <c r="O2" i="19"/>
  <c r="D15" i="19" s="1"/>
  <c r="K2" i="19"/>
  <c r="N2" i="19"/>
  <c r="D14" i="19" s="1"/>
  <c r="R2" i="19"/>
  <c r="D18" i="19" s="1"/>
  <c r="D21" i="19"/>
  <c r="Q2" i="19"/>
  <c r="D17" i="19" s="1"/>
  <c r="P2" i="19"/>
  <c r="D16" i="19" s="1"/>
  <c r="L2" i="19"/>
  <c r="D12" i="19" s="1"/>
  <c r="S2" i="19"/>
  <c r="D19" i="19" s="1"/>
  <c r="Y3" i="30"/>
  <c r="Z3" i="30" s="1"/>
  <c r="N7" i="30" s="1"/>
  <c r="O7" i="30" s="1"/>
  <c r="J5" i="8"/>
  <c r="G7" i="8"/>
  <c r="D6" i="8"/>
  <c r="R26" i="8"/>
  <c r="AA3" i="30" l="1"/>
  <c r="N8" i="30" s="1"/>
  <c r="N9" i="30" s="1"/>
  <c r="N10" i="30" s="1"/>
  <c r="N11" i="30" s="1"/>
  <c r="N12" i="30" s="1"/>
  <c r="N13" i="30" s="1"/>
  <c r="N14" i="30" s="1"/>
  <c r="N15" i="30" s="1"/>
  <c r="N16" i="30" s="1"/>
  <c r="N17" i="30" s="1"/>
  <c r="N18" i="30" s="1"/>
  <c r="N19" i="30" s="1"/>
  <c r="N20" i="30" s="1"/>
  <c r="N21" i="30" s="1"/>
  <c r="N22" i="30" s="1"/>
  <c r="N23" i="30" s="1"/>
  <c r="N24" i="30" s="1"/>
  <c r="N25" i="30" s="1"/>
  <c r="N26" i="30" s="1"/>
  <c r="N27" i="30" s="1"/>
  <c r="N28" i="30" s="1"/>
  <c r="N29" i="30" s="1"/>
  <c r="N30" i="30" s="1"/>
  <c r="N31" i="30" s="1"/>
  <c r="N32" i="30" s="1"/>
  <c r="N33" i="30" s="1"/>
  <c r="N34" i="30" s="1"/>
  <c r="N35" i="30" s="1"/>
  <c r="N36" i="30" s="1"/>
  <c r="N37" i="30" s="1"/>
  <c r="N38" i="30" s="1"/>
  <c r="N39" i="30" s="1"/>
  <c r="N40" i="30" s="1"/>
  <c r="N41" i="30" s="1"/>
  <c r="N42" i="30" s="1"/>
  <c r="N43" i="30" s="1"/>
  <c r="N44" i="30" s="1"/>
  <c r="N45" i="30" s="1"/>
  <c r="N46" i="30" s="1"/>
  <c r="N47" i="30" s="1"/>
  <c r="N48" i="30" s="1"/>
  <c r="N49" i="30" s="1"/>
  <c r="N50" i="30" s="1"/>
  <c r="N51" i="30" s="1"/>
  <c r="N52" i="30" s="1"/>
  <c r="N53" i="30" s="1"/>
  <c r="N54" i="30" s="1"/>
  <c r="N55" i="30" s="1"/>
  <c r="N56" i="30" s="1"/>
  <c r="N57" i="30" s="1"/>
  <c r="N58" i="30" s="1"/>
  <c r="N59" i="30" s="1"/>
  <c r="N60" i="30" s="1"/>
  <c r="N61" i="30" s="1"/>
  <c r="N62" i="30" s="1"/>
  <c r="N63" i="30" s="1"/>
  <c r="N64" i="30" s="1"/>
  <c r="N65" i="30" s="1"/>
  <c r="N66" i="30" s="1"/>
  <c r="N67" i="30" s="1"/>
  <c r="N68" i="30" s="1"/>
  <c r="N69" i="30" s="1"/>
  <c r="N70" i="30" s="1"/>
  <c r="N71" i="30" s="1"/>
  <c r="N72" i="30" s="1"/>
  <c r="N73" i="30" s="1"/>
  <c r="N74" i="30" s="1"/>
  <c r="N75" i="30" s="1"/>
  <c r="N76" i="30" s="1"/>
  <c r="N77" i="30" s="1"/>
  <c r="N78" i="30" s="1"/>
  <c r="N79" i="30" s="1"/>
  <c r="N80" i="30" s="1"/>
  <c r="N81" i="30" s="1"/>
  <c r="N82" i="30" s="1"/>
  <c r="N83" i="30" s="1"/>
  <c r="N84" i="30" s="1"/>
  <c r="N85" i="30" s="1"/>
  <c r="N86" i="30" s="1"/>
  <c r="N87" i="30" s="1"/>
  <c r="N88" i="30" s="1"/>
  <c r="N89" i="30" s="1"/>
  <c r="N90" i="30" s="1"/>
  <c r="N91" i="30" s="1"/>
  <c r="N92" i="30" s="1"/>
  <c r="N93" i="30" s="1"/>
  <c r="N94" i="30" s="1"/>
  <c r="N95" i="30" s="1"/>
  <c r="N96" i="30" s="1"/>
  <c r="N97" i="30" s="1"/>
  <c r="N98" i="30" s="1"/>
  <c r="N99" i="30" s="1"/>
  <c r="N100" i="30" s="1"/>
  <c r="N101" i="30" s="1"/>
  <c r="N102" i="30" s="1"/>
  <c r="N103" i="30" s="1"/>
  <c r="N104" i="30" s="1"/>
  <c r="N105" i="30" s="1"/>
  <c r="N106" i="30" s="1"/>
  <c r="N107" i="30" s="1"/>
  <c r="N108" i="30" s="1"/>
  <c r="N109" i="30" s="1"/>
  <c r="N110" i="30" s="1"/>
  <c r="N111" i="30" s="1"/>
  <c r="N112" i="30" s="1"/>
  <c r="N113" i="30" s="1"/>
  <c r="N114" i="30" s="1"/>
  <c r="N115" i="30" s="1"/>
  <c r="N116" i="30" s="1"/>
  <c r="N117" i="30" s="1"/>
  <c r="N118" i="30" s="1"/>
  <c r="N119" i="30" s="1"/>
  <c r="N120" i="30" s="1"/>
  <c r="N121" i="30" s="1"/>
  <c r="N122" i="30" s="1"/>
  <c r="N123" i="30" s="1"/>
  <c r="N124" i="30" s="1"/>
  <c r="N125" i="30" s="1"/>
  <c r="N126" i="30" s="1"/>
  <c r="N127" i="30" s="1"/>
  <c r="N128" i="30" s="1"/>
  <c r="N129" i="30" s="1"/>
  <c r="N130" i="30" s="1"/>
  <c r="N131" i="30" s="1"/>
  <c r="N132" i="30" s="1"/>
  <c r="N133" i="30" s="1"/>
  <c r="N134" i="30" s="1"/>
  <c r="N135" i="30" s="1"/>
  <c r="N136" i="30" s="1"/>
  <c r="N137" i="30" s="1"/>
  <c r="N138" i="30" s="1"/>
  <c r="N139" i="30" s="1"/>
  <c r="N140" i="30" s="1"/>
  <c r="N141" i="30" s="1"/>
  <c r="N142" i="30" s="1"/>
  <c r="N143" i="30" s="1"/>
  <c r="N144" i="30" s="1"/>
  <c r="N145" i="30" s="1"/>
  <c r="N146" i="30" s="1"/>
  <c r="N147" i="30" s="1"/>
  <c r="N148" i="30" s="1"/>
  <c r="N149" i="30" s="1"/>
  <c r="N150" i="30" s="1"/>
  <c r="N151" i="30" s="1"/>
  <c r="N152" i="30" s="1"/>
  <c r="N153" i="30" s="1"/>
  <c r="N154" i="30" s="1"/>
  <c r="N155" i="30" s="1"/>
  <c r="N156" i="30" s="1"/>
  <c r="N157" i="30" s="1"/>
  <c r="N158" i="30" s="1"/>
  <c r="N159" i="30" s="1"/>
  <c r="N160" i="30" s="1"/>
  <c r="N161" i="30" s="1"/>
  <c r="N162" i="30" s="1"/>
  <c r="N163" i="30" s="1"/>
  <c r="N164" i="30" s="1"/>
  <c r="N165" i="30" s="1"/>
  <c r="N166" i="30" s="1"/>
  <c r="N167" i="30" s="1"/>
  <c r="N168" i="30" s="1"/>
  <c r="N169" i="30" s="1"/>
  <c r="N170" i="30" s="1"/>
  <c r="N171" i="30" s="1"/>
  <c r="N172" i="30" s="1"/>
  <c r="N173" i="30" s="1"/>
  <c r="N174" i="30" s="1"/>
  <c r="N175" i="30" s="1"/>
  <c r="N176" i="30" s="1"/>
  <c r="N177" i="30" s="1"/>
  <c r="N178" i="30" s="1"/>
  <c r="N179" i="30" s="1"/>
  <c r="N180" i="30" s="1"/>
  <c r="N181" i="30" s="1"/>
  <c r="N182" i="30" s="1"/>
  <c r="N183" i="30" s="1"/>
  <c r="N184" i="30" s="1"/>
  <c r="N185" i="30" s="1"/>
  <c r="N186" i="30" s="1"/>
  <c r="N187" i="30" s="1"/>
  <c r="N188" i="30" s="1"/>
  <c r="N189" i="30" s="1"/>
  <c r="N190" i="30" s="1"/>
  <c r="N191" i="30" s="1"/>
  <c r="N192" i="30" s="1"/>
  <c r="N193" i="30" s="1"/>
  <c r="N194" i="30" s="1"/>
  <c r="N195" i="30" s="1"/>
  <c r="N196" i="30" s="1"/>
  <c r="N197" i="30" s="1"/>
  <c r="N198" i="30" s="1"/>
  <c r="N199" i="30" s="1"/>
  <c r="N200" i="30" s="1"/>
  <c r="N201" i="30" s="1"/>
  <c r="N202" i="30" s="1"/>
  <c r="N203" i="30" s="1"/>
  <c r="N204" i="30" s="1"/>
  <c r="N205" i="30" s="1"/>
  <c r="N206" i="30" s="1"/>
  <c r="N207" i="30" s="1"/>
  <c r="N208" i="30" s="1"/>
  <c r="N209" i="30" s="1"/>
  <c r="N210" i="30" s="1"/>
  <c r="N211" i="30" s="1"/>
  <c r="N212" i="30" s="1"/>
  <c r="N213" i="30" s="1"/>
  <c r="N214" i="30" s="1"/>
  <c r="N215" i="30" s="1"/>
  <c r="N216" i="30" s="1"/>
  <c r="N217" i="30" s="1"/>
  <c r="N218" i="30" s="1"/>
  <c r="N219" i="30" s="1"/>
  <c r="N220" i="30" s="1"/>
  <c r="N221" i="30" s="1"/>
  <c r="N222" i="30" s="1"/>
  <c r="N223" i="30" s="1"/>
  <c r="N224" i="30" s="1"/>
  <c r="N225" i="30" s="1"/>
  <c r="N226" i="30" s="1"/>
  <c r="N227" i="30" s="1"/>
  <c r="N228" i="30" s="1"/>
  <c r="N229" i="30" s="1"/>
  <c r="N230" i="30" s="1"/>
  <c r="N231" i="30" s="1"/>
  <c r="N232" i="30" s="1"/>
  <c r="N233" i="30" s="1"/>
  <c r="N234" i="30" s="1"/>
  <c r="N235" i="30" s="1"/>
  <c r="N236" i="30" s="1"/>
  <c r="N237" i="30" s="1"/>
  <c r="N238" i="30" s="1"/>
  <c r="N239" i="30" s="1"/>
  <c r="N240" i="30" s="1"/>
  <c r="N241" i="30" s="1"/>
  <c r="N242" i="30" s="1"/>
  <c r="N243" i="30" s="1"/>
  <c r="N244" i="30" s="1"/>
  <c r="N245" i="30" s="1"/>
  <c r="N246" i="30" s="1"/>
  <c r="N247" i="30" s="1"/>
  <c r="N248" i="30" s="1"/>
  <c r="N249" i="30" s="1"/>
  <c r="N250" i="30" s="1"/>
  <c r="N251" i="30" s="1"/>
  <c r="N252" i="30" s="1"/>
  <c r="N253" i="30" s="1"/>
  <c r="N254" i="30" s="1"/>
  <c r="N255" i="30" s="1"/>
  <c r="N256" i="30" s="1"/>
  <c r="N257" i="30" s="1"/>
  <c r="N258" i="30" s="1"/>
  <c r="N259" i="30" s="1"/>
  <c r="N260" i="30" s="1"/>
  <c r="N261" i="30" s="1"/>
  <c r="N262" i="30" s="1"/>
  <c r="N263" i="30" s="1"/>
  <c r="N264" i="30" s="1"/>
  <c r="N265" i="30" s="1"/>
  <c r="N266" i="30" s="1"/>
  <c r="N267" i="30" s="1"/>
  <c r="N268" i="30" s="1"/>
  <c r="N269" i="30" s="1"/>
  <c r="N270" i="30" s="1"/>
  <c r="N271" i="30" s="1"/>
  <c r="N272" i="30" s="1"/>
  <c r="N273" i="30" s="1"/>
  <c r="N274" i="30" s="1"/>
  <c r="N275" i="30" s="1"/>
  <c r="N276" i="30" s="1"/>
  <c r="N277" i="30" s="1"/>
  <c r="N278" i="30" s="1"/>
  <c r="N279" i="30" s="1"/>
  <c r="N280" i="30" s="1"/>
  <c r="N281" i="30" s="1"/>
  <c r="N282" i="30" s="1"/>
  <c r="N283" i="30" s="1"/>
  <c r="N284" i="30" s="1"/>
  <c r="N285" i="30" s="1"/>
  <c r="N286" i="30" s="1"/>
  <c r="N287" i="30" s="1"/>
  <c r="N288" i="30" s="1"/>
  <c r="N289" i="30" s="1"/>
  <c r="N290" i="30" s="1"/>
  <c r="N291" i="30" s="1"/>
  <c r="N292" i="30" s="1"/>
  <c r="N293" i="30" s="1"/>
  <c r="N294" i="30" s="1"/>
  <c r="N295" i="30" s="1"/>
  <c r="N296" i="30" s="1"/>
  <c r="N297" i="30" s="1"/>
  <c r="N298" i="30" s="1"/>
  <c r="N299" i="30" s="1"/>
  <c r="N300" i="30" s="1"/>
  <c r="R9" i="8"/>
  <c r="R47" i="8" s="1"/>
  <c r="G6" i="8"/>
  <c r="F6" i="8"/>
  <c r="O8" i="30" l="1"/>
  <c r="O9" i="30" s="1"/>
  <c r="O10" i="30" s="1"/>
  <c r="O11" i="30" s="1"/>
  <c r="O12" i="30" s="1"/>
  <c r="O13" i="30" s="1"/>
  <c r="O14" i="30" s="1"/>
  <c r="O15" i="30" s="1"/>
  <c r="O16" i="30" s="1"/>
  <c r="O17" i="30" s="1"/>
  <c r="O18" i="30" s="1"/>
  <c r="O19" i="30" s="1"/>
  <c r="O20" i="30" s="1"/>
  <c r="O21" i="30" s="1"/>
  <c r="O22" i="30" s="1"/>
  <c r="O23" i="30" s="1"/>
  <c r="O24" i="30" s="1"/>
  <c r="O25" i="30" s="1"/>
  <c r="O26" i="30" s="1"/>
  <c r="O27" i="30" s="1"/>
  <c r="O28" i="30" s="1"/>
  <c r="O29" i="30" s="1"/>
  <c r="O30" i="30" s="1"/>
  <c r="O31" i="30" s="1"/>
  <c r="O32" i="30" s="1"/>
  <c r="O33" i="30" s="1"/>
  <c r="O34" i="30" s="1"/>
  <c r="O35" i="30" s="1"/>
  <c r="O36" i="30" s="1"/>
  <c r="O37" i="30" s="1"/>
  <c r="O38" i="30" s="1"/>
  <c r="O39" i="30" s="1"/>
  <c r="O40" i="30" s="1"/>
  <c r="O41" i="30" s="1"/>
  <c r="O42" i="30" s="1"/>
  <c r="O43" i="30" s="1"/>
  <c r="O44" i="30" s="1"/>
  <c r="O45" i="30" s="1"/>
  <c r="O46" i="30" s="1"/>
  <c r="O47" i="30" s="1"/>
  <c r="O48" i="30" s="1"/>
  <c r="O49" i="30" s="1"/>
  <c r="O50" i="30" s="1"/>
  <c r="O51" i="30" s="1"/>
  <c r="O52" i="30" s="1"/>
  <c r="O53" i="30" s="1"/>
  <c r="O54" i="30" s="1"/>
  <c r="O55" i="30" s="1"/>
  <c r="O56" i="30" s="1"/>
  <c r="O57" i="30" s="1"/>
  <c r="O58" i="30" s="1"/>
  <c r="O59" i="30" s="1"/>
  <c r="O60" i="30" s="1"/>
  <c r="O61" i="30" s="1"/>
  <c r="O62" i="30" s="1"/>
  <c r="O63" i="30" s="1"/>
  <c r="O64" i="30" s="1"/>
  <c r="O65" i="30" s="1"/>
  <c r="O66" i="30" s="1"/>
  <c r="O67" i="30" s="1"/>
  <c r="O68" i="30" s="1"/>
  <c r="O69" i="30" s="1"/>
  <c r="O70" i="30" s="1"/>
  <c r="O71" i="30" s="1"/>
  <c r="O72" i="30" s="1"/>
  <c r="O73" i="30" s="1"/>
  <c r="O74" i="30" s="1"/>
  <c r="O75" i="30" s="1"/>
  <c r="O76" i="30" s="1"/>
  <c r="O77" i="30" s="1"/>
  <c r="O78" i="30" s="1"/>
  <c r="O79" i="30" s="1"/>
  <c r="O80" i="30" s="1"/>
  <c r="O81" i="30" s="1"/>
  <c r="O82" i="30" s="1"/>
  <c r="O83" i="30" s="1"/>
  <c r="O84" i="30" s="1"/>
  <c r="O85" i="30" s="1"/>
  <c r="O86" i="30" s="1"/>
  <c r="O87" i="30" s="1"/>
  <c r="O88" i="30" s="1"/>
  <c r="O89" i="30" s="1"/>
  <c r="O90" i="30" s="1"/>
  <c r="O91" i="30" s="1"/>
  <c r="O92" i="30" s="1"/>
  <c r="O93" i="30" s="1"/>
  <c r="O94" i="30" s="1"/>
  <c r="O95" i="30" s="1"/>
  <c r="O96" i="30" s="1"/>
  <c r="O97" i="30" s="1"/>
  <c r="O98" i="30" s="1"/>
  <c r="O99" i="30" s="1"/>
  <c r="O100" i="30" s="1"/>
  <c r="O101" i="30" s="1"/>
  <c r="O102" i="30" s="1"/>
  <c r="O103" i="30" s="1"/>
  <c r="O104" i="30" s="1"/>
  <c r="O105" i="30" s="1"/>
  <c r="O106" i="30" s="1"/>
  <c r="O107" i="30" s="1"/>
  <c r="O108" i="30" s="1"/>
  <c r="O109" i="30" s="1"/>
  <c r="O110" i="30" s="1"/>
  <c r="O111" i="30" s="1"/>
  <c r="O112" i="30" s="1"/>
  <c r="O113" i="30" s="1"/>
  <c r="O114" i="30" s="1"/>
  <c r="O115" i="30" s="1"/>
  <c r="O116" i="30" s="1"/>
  <c r="O117" i="30" s="1"/>
  <c r="O118" i="30" s="1"/>
  <c r="O119" i="30" s="1"/>
  <c r="O120" i="30" s="1"/>
  <c r="O121" i="30" s="1"/>
  <c r="O122" i="30" s="1"/>
  <c r="O123" i="30" s="1"/>
  <c r="O124" i="30" s="1"/>
  <c r="O125" i="30" s="1"/>
  <c r="O126" i="30" s="1"/>
  <c r="O127" i="30" s="1"/>
  <c r="O128" i="30" s="1"/>
  <c r="O129" i="30" s="1"/>
  <c r="O130" i="30" s="1"/>
  <c r="O131" i="30" s="1"/>
  <c r="O132" i="30" s="1"/>
  <c r="O133" i="30" s="1"/>
  <c r="O134" i="30" s="1"/>
  <c r="O135" i="30" s="1"/>
  <c r="O136" i="30" s="1"/>
  <c r="O137" i="30" s="1"/>
  <c r="O138" i="30" s="1"/>
  <c r="O139" i="30" s="1"/>
  <c r="O140" i="30" s="1"/>
  <c r="O141" i="30" s="1"/>
  <c r="O142" i="30" s="1"/>
  <c r="O143" i="30" s="1"/>
  <c r="O144" i="30" s="1"/>
  <c r="O145" i="30" s="1"/>
  <c r="O146" i="30" s="1"/>
  <c r="O147" i="30" s="1"/>
  <c r="O148" i="30" s="1"/>
  <c r="O149" i="30" s="1"/>
  <c r="O150" i="30" s="1"/>
  <c r="O151" i="30" s="1"/>
  <c r="O152" i="30" s="1"/>
  <c r="O153" i="30" s="1"/>
  <c r="O154" i="30" s="1"/>
  <c r="O155" i="30" s="1"/>
  <c r="O156" i="30" s="1"/>
  <c r="O157" i="30" s="1"/>
  <c r="O158" i="30" s="1"/>
  <c r="O159" i="30" s="1"/>
  <c r="O160" i="30" s="1"/>
  <c r="O161" i="30" s="1"/>
  <c r="O162" i="30" s="1"/>
  <c r="O163" i="30" s="1"/>
  <c r="O164" i="30" s="1"/>
  <c r="O165" i="30" s="1"/>
  <c r="O166" i="30" s="1"/>
  <c r="O167" i="30" s="1"/>
  <c r="O168" i="30" s="1"/>
  <c r="O169" i="30" s="1"/>
  <c r="O170" i="30" s="1"/>
  <c r="O171" i="30" s="1"/>
  <c r="O172" i="30" s="1"/>
  <c r="O173" i="30" s="1"/>
  <c r="O174" i="30" s="1"/>
  <c r="O175" i="30" s="1"/>
  <c r="O176" i="30" s="1"/>
  <c r="O177" i="30" s="1"/>
  <c r="O178" i="30" s="1"/>
  <c r="O179" i="30" s="1"/>
  <c r="O180" i="30" s="1"/>
  <c r="O181" i="30" s="1"/>
  <c r="O182" i="30" s="1"/>
  <c r="O183" i="30" s="1"/>
  <c r="O184" i="30" s="1"/>
  <c r="O185" i="30" s="1"/>
  <c r="O186" i="30" s="1"/>
  <c r="O187" i="30" s="1"/>
  <c r="O188" i="30" s="1"/>
  <c r="O189" i="30" s="1"/>
  <c r="O190" i="30" s="1"/>
  <c r="O191" i="30" s="1"/>
  <c r="O192" i="30" s="1"/>
  <c r="O193" i="30" s="1"/>
  <c r="O194" i="30" s="1"/>
  <c r="O195" i="30" s="1"/>
  <c r="O196" i="30" s="1"/>
  <c r="O197" i="30" s="1"/>
  <c r="O198" i="30" s="1"/>
  <c r="O199" i="30" s="1"/>
  <c r="O200" i="30" s="1"/>
  <c r="O201" i="30" s="1"/>
  <c r="O202" i="30" s="1"/>
  <c r="O203" i="30" s="1"/>
  <c r="O204" i="30" s="1"/>
  <c r="O205" i="30" s="1"/>
  <c r="O206" i="30" s="1"/>
  <c r="O207" i="30" s="1"/>
  <c r="O208" i="30" s="1"/>
  <c r="O209" i="30" s="1"/>
  <c r="O210" i="30" s="1"/>
  <c r="O211" i="30" s="1"/>
  <c r="O212" i="30" s="1"/>
  <c r="O213" i="30" s="1"/>
  <c r="O214" i="30" s="1"/>
  <c r="O215" i="30" s="1"/>
  <c r="O216" i="30" s="1"/>
  <c r="O217" i="30" s="1"/>
  <c r="O218" i="30" s="1"/>
  <c r="O219" i="30" s="1"/>
  <c r="O220" i="30" s="1"/>
  <c r="O221" i="30" s="1"/>
  <c r="O222" i="30" s="1"/>
  <c r="O223" i="30" s="1"/>
  <c r="O224" i="30" s="1"/>
  <c r="O225" i="30" s="1"/>
  <c r="O226" i="30" s="1"/>
  <c r="O227" i="30" s="1"/>
  <c r="O228" i="30" s="1"/>
  <c r="O229" i="30" s="1"/>
  <c r="O230" i="30" s="1"/>
  <c r="O231" i="30" s="1"/>
  <c r="O232" i="30" s="1"/>
  <c r="O233" i="30" s="1"/>
  <c r="O234" i="30" s="1"/>
  <c r="O235" i="30" s="1"/>
  <c r="O236" i="30" s="1"/>
  <c r="O237" i="30" s="1"/>
  <c r="O238" i="30" s="1"/>
  <c r="O239" i="30" s="1"/>
  <c r="O240" i="30" s="1"/>
  <c r="O241" i="30" s="1"/>
  <c r="O242" i="30" s="1"/>
  <c r="O243" i="30" s="1"/>
  <c r="O244" i="30" s="1"/>
  <c r="O245" i="30" s="1"/>
  <c r="O246" i="30" s="1"/>
  <c r="O247" i="30" s="1"/>
  <c r="O248" i="30" s="1"/>
  <c r="O249" i="30" s="1"/>
  <c r="O250" i="30" s="1"/>
  <c r="O251" i="30" s="1"/>
  <c r="O252" i="30" s="1"/>
  <c r="O253" i="30" s="1"/>
  <c r="O254" i="30" s="1"/>
  <c r="O255" i="30" s="1"/>
  <c r="O256" i="30" s="1"/>
  <c r="O257" i="30" s="1"/>
  <c r="O258" i="30" s="1"/>
  <c r="O259" i="30" s="1"/>
  <c r="O260" i="30" s="1"/>
  <c r="O261" i="30" s="1"/>
  <c r="O262" i="30" s="1"/>
  <c r="O263" i="30" s="1"/>
  <c r="O264" i="30" s="1"/>
  <c r="O265" i="30" s="1"/>
  <c r="O266" i="30" s="1"/>
  <c r="O267" i="30" s="1"/>
  <c r="O268" i="30" s="1"/>
  <c r="O269" i="30" s="1"/>
  <c r="O270" i="30" s="1"/>
  <c r="O271" i="30" s="1"/>
  <c r="O272" i="30" s="1"/>
  <c r="O273" i="30" s="1"/>
  <c r="O274" i="30" s="1"/>
  <c r="O275" i="30" s="1"/>
  <c r="O276" i="30" s="1"/>
  <c r="O277" i="30" s="1"/>
  <c r="O278" i="30" s="1"/>
  <c r="O279" i="30" s="1"/>
  <c r="O280" i="30" s="1"/>
  <c r="O281" i="30" s="1"/>
  <c r="O282" i="30" s="1"/>
  <c r="O283" i="30" s="1"/>
  <c r="O284" i="30" s="1"/>
  <c r="O285" i="30" s="1"/>
  <c r="O286" i="30" s="1"/>
  <c r="O287" i="30" s="1"/>
  <c r="O288" i="30" s="1"/>
  <c r="O289" i="30" s="1"/>
  <c r="O290" i="30" s="1"/>
  <c r="O291" i="30" s="1"/>
  <c r="O292" i="30" s="1"/>
  <c r="O293" i="30" s="1"/>
  <c r="O294" i="30" s="1"/>
  <c r="O295" i="30" s="1"/>
  <c r="O296" i="30" s="1"/>
  <c r="O297" i="30" s="1"/>
  <c r="O298" i="30" s="1"/>
  <c r="O299" i="30" s="1"/>
  <c r="O300" i="30" s="1"/>
  <c r="N4" i="30"/>
  <c r="N3" i="30" s="1"/>
  <c r="E6" i="8"/>
  <c r="F7" i="8"/>
  <c r="E7" i="8" l="1"/>
  <c r="K8" i="8" l="1"/>
  <c r="E2" i="8" s="1"/>
  <c r="E33" i="19" l="1"/>
  <c r="E20" i="19"/>
  <c r="E18" i="19"/>
  <c r="E14" i="19"/>
  <c r="E22" i="19"/>
  <c r="E29" i="19"/>
  <c r="E23" i="19"/>
  <c r="E31" i="19"/>
  <c r="E21" i="19"/>
  <c r="E12" i="19"/>
  <c r="E17" i="19"/>
  <c r="E16" i="19"/>
  <c r="E26" i="19"/>
  <c r="E25" i="19"/>
  <c r="E32" i="19"/>
  <c r="E28" i="19"/>
  <c r="E27" i="19"/>
  <c r="E24" i="19"/>
  <c r="E13" i="19"/>
  <c r="E4" i="8"/>
  <c r="G3" i="8" s="1"/>
  <c r="G4" i="8" s="1"/>
  <c r="E19" i="19"/>
  <c r="E15" i="19"/>
  <c r="E30" i="19"/>
  <c r="P26" i="8" l="1"/>
  <c r="T26" i="8"/>
  <c r="P9" i="8"/>
  <c r="P47" i="8" s="1"/>
  <c r="T9" i="8"/>
  <c r="T47" i="8" s="1"/>
  <c r="F16" i="19"/>
  <c r="F18" i="19"/>
  <c r="F29" i="19"/>
  <c r="F17" i="19"/>
  <c r="F31" i="19"/>
  <c r="F33" i="19"/>
  <c r="F26" i="19"/>
  <c r="F14" i="19"/>
  <c r="F25" i="19"/>
  <c r="F28" i="19"/>
  <c r="F22" i="19"/>
  <c r="E9" i="19" a="1"/>
  <c r="E9" i="19" s="1"/>
  <c r="B9" i="19" s="1"/>
  <c r="F13" i="19"/>
  <c r="F12" i="19"/>
  <c r="F32" i="19"/>
  <c r="F23" i="19"/>
  <c r="F24" i="19"/>
  <c r="F30" i="19"/>
  <c r="F20" i="19"/>
  <c r="D4" i="19"/>
  <c r="F4" i="19" s="1"/>
  <c r="J6" i="8" s="1"/>
  <c r="F27" i="19"/>
  <c r="F15" i="19"/>
  <c r="F21" i="19"/>
  <c r="F19" i="19"/>
  <c r="D6" i="19" l="1"/>
  <c r="F6" i="19" s="1"/>
  <c r="K5" i="8" s="1"/>
  <c r="G20" i="19"/>
  <c r="G13" i="19"/>
  <c r="G26" i="19"/>
  <c r="G19" i="19"/>
  <c r="G18" i="19"/>
  <c r="G28" i="19"/>
  <c r="G27" i="19"/>
  <c r="G33" i="19"/>
  <c r="G22" i="19"/>
  <c r="G24" i="19"/>
  <c r="G23" i="19"/>
  <c r="G21" i="19"/>
  <c r="G29" i="19"/>
  <c r="G14" i="19"/>
  <c r="G31" i="19"/>
  <c r="G12" i="19"/>
  <c r="G15" i="19"/>
  <c r="G30" i="19"/>
  <c r="G16" i="19"/>
  <c r="C9" i="19"/>
  <c r="G25" i="19"/>
  <c r="G32" i="19"/>
  <c r="G17" i="19"/>
  <c r="E7" i="19" l="1"/>
  <c r="D5" i="19"/>
  <c r="F5" i="19" s="1"/>
  <c r="K4" i="8" s="1"/>
  <c r="D7" i="19"/>
  <c r="F7" i="19" l="1"/>
  <c r="K6" i="8" s="1"/>
  <c r="O4" i="30" l="1" a="1"/>
  <c r="O4" i="30" s="1"/>
  <c r="X4" i="30" s="1"/>
  <c r="X5" i="30" s="1"/>
  <c r="AJ3" i="25" l="1"/>
  <c r="Y5" i="30" s="1"/>
  <c r="AK3" i="25" l="1"/>
  <c r="Z5" i="30" l="1"/>
  <c r="I14" i="25"/>
  <c r="P7" i="30"/>
  <c r="AL3" i="25"/>
  <c r="I15" i="25" s="1"/>
  <c r="AA5" i="30" l="1"/>
  <c r="P8" i="30"/>
  <c r="P9" i="30" s="1"/>
  <c r="P10" i="30" s="1"/>
  <c r="P11" i="30" s="1"/>
  <c r="P12" i="30" s="1"/>
  <c r="P13" i="30" s="1"/>
  <c r="P14" i="30" s="1"/>
  <c r="P15" i="30" s="1"/>
  <c r="P16" i="30" s="1"/>
  <c r="P17" i="30" s="1"/>
  <c r="P18" i="30" s="1"/>
  <c r="P19" i="30" s="1"/>
  <c r="P20" i="30" s="1"/>
  <c r="P21" i="30" s="1"/>
  <c r="P22" i="30" s="1"/>
  <c r="P23" i="30" s="1"/>
  <c r="P24" i="30" s="1"/>
  <c r="P25" i="30" s="1"/>
  <c r="P26" i="30" s="1"/>
  <c r="P27" i="30" s="1"/>
  <c r="P28" i="30" s="1"/>
  <c r="P29" i="30" s="1"/>
  <c r="P30" i="30" s="1"/>
  <c r="P31" i="30" s="1"/>
  <c r="P32" i="30" s="1"/>
  <c r="P33" i="30" s="1"/>
  <c r="P34" i="30" s="1"/>
  <c r="P35" i="30" s="1"/>
  <c r="P36" i="30" s="1"/>
  <c r="P37" i="30" s="1"/>
  <c r="P38" i="30" s="1"/>
  <c r="P39" i="30" s="1"/>
  <c r="P40" i="30" s="1"/>
  <c r="P41" i="30" s="1"/>
  <c r="P42" i="30" s="1"/>
  <c r="P43" i="30" s="1"/>
  <c r="P44" i="30" s="1"/>
  <c r="P45" i="30" s="1"/>
  <c r="P46" i="30" s="1"/>
  <c r="P47" i="30" s="1"/>
  <c r="P48" i="30" s="1"/>
  <c r="P49" i="30" s="1"/>
  <c r="P50" i="30" s="1"/>
  <c r="P51" i="30" s="1"/>
  <c r="P52" i="30" s="1"/>
  <c r="P53" i="30" s="1"/>
  <c r="P54" i="30" s="1"/>
  <c r="P55" i="30" s="1"/>
  <c r="P56" i="30" s="1"/>
  <c r="P57" i="30" s="1"/>
  <c r="P58" i="30" s="1"/>
  <c r="P59" i="30" s="1"/>
  <c r="P60" i="30" s="1"/>
  <c r="P61" i="30" s="1"/>
  <c r="P62" i="30" s="1"/>
  <c r="P63" i="30" s="1"/>
  <c r="P64" i="30" s="1"/>
  <c r="P65" i="30" s="1"/>
  <c r="P66" i="30" s="1"/>
  <c r="P67" i="30" s="1"/>
  <c r="P68" i="30" s="1"/>
  <c r="P69" i="30" s="1"/>
  <c r="P70" i="30" s="1"/>
  <c r="P71" i="30" s="1"/>
  <c r="P72" i="30" s="1"/>
  <c r="P73" i="30" s="1"/>
  <c r="P74" i="30" s="1"/>
  <c r="P75" i="30" s="1"/>
  <c r="P76" i="30" s="1"/>
  <c r="P77" i="30" s="1"/>
  <c r="P78" i="30" s="1"/>
  <c r="P79" i="30" s="1"/>
  <c r="P80" i="30" s="1"/>
  <c r="P81" i="30" s="1"/>
  <c r="P82" i="30" s="1"/>
  <c r="P83" i="30" s="1"/>
  <c r="P84" i="30" s="1"/>
  <c r="P85" i="30" s="1"/>
  <c r="P86" i="30" s="1"/>
  <c r="P87" i="30" s="1"/>
  <c r="P88" i="30" s="1"/>
  <c r="P89" i="30" s="1"/>
  <c r="P90" i="30" s="1"/>
  <c r="P91" i="30" s="1"/>
  <c r="P92" i="30" s="1"/>
  <c r="P93" i="30" s="1"/>
  <c r="P94" i="30" s="1"/>
  <c r="P95" i="30" s="1"/>
  <c r="P96" i="30" s="1"/>
  <c r="P97" i="30" s="1"/>
  <c r="P98" i="30" s="1"/>
  <c r="P99" i="30" s="1"/>
  <c r="P100" i="30" s="1"/>
  <c r="P101" i="30" s="1"/>
  <c r="P102" i="30" s="1"/>
  <c r="P103" i="30" s="1"/>
  <c r="P104" i="30" s="1"/>
  <c r="P105" i="30" s="1"/>
  <c r="P106" i="30" s="1"/>
  <c r="P107" i="30" s="1"/>
  <c r="P108" i="30" s="1"/>
  <c r="P109" i="30" s="1"/>
  <c r="P110" i="30" s="1"/>
  <c r="P111" i="30" s="1"/>
  <c r="P112" i="30" s="1"/>
  <c r="P113" i="30" s="1"/>
  <c r="P114" i="30" s="1"/>
  <c r="P115" i="30" s="1"/>
  <c r="P116" i="30" s="1"/>
  <c r="P117" i="30" s="1"/>
  <c r="P118" i="30" s="1"/>
  <c r="P119" i="30" s="1"/>
  <c r="P120" i="30" s="1"/>
  <c r="P121" i="30" s="1"/>
  <c r="P122" i="30" s="1"/>
  <c r="P123" i="30" s="1"/>
  <c r="P124" i="30" s="1"/>
  <c r="P125" i="30" s="1"/>
  <c r="P126" i="30" s="1"/>
  <c r="P127" i="30" s="1"/>
  <c r="P128" i="30" s="1"/>
  <c r="P129" i="30" s="1"/>
  <c r="P130" i="30" s="1"/>
  <c r="P131" i="30" s="1"/>
  <c r="P132" i="30" s="1"/>
  <c r="P133" i="30" s="1"/>
  <c r="P134" i="30" s="1"/>
  <c r="P135" i="30" s="1"/>
  <c r="P136" i="30" s="1"/>
  <c r="P137" i="30" s="1"/>
  <c r="P138" i="30" s="1"/>
  <c r="P139" i="30" s="1"/>
  <c r="P140" i="30" s="1"/>
  <c r="P141" i="30" s="1"/>
  <c r="P142" i="30" s="1"/>
  <c r="P143" i="30" s="1"/>
  <c r="P144" i="30" s="1"/>
  <c r="P145" i="30" s="1"/>
  <c r="P146" i="30" s="1"/>
  <c r="P147" i="30" s="1"/>
  <c r="P148" i="30" s="1"/>
  <c r="P149" i="30" s="1"/>
  <c r="P150" i="30" s="1"/>
  <c r="P151" i="30" s="1"/>
  <c r="P152" i="30" s="1"/>
  <c r="P153" i="30" s="1"/>
  <c r="P154" i="30" s="1"/>
  <c r="P155" i="30" s="1"/>
  <c r="P156" i="30" s="1"/>
  <c r="P157" i="30" s="1"/>
  <c r="P158" i="30" s="1"/>
  <c r="P159" i="30" s="1"/>
  <c r="P160" i="30" s="1"/>
  <c r="P161" i="30" s="1"/>
  <c r="P162" i="30" s="1"/>
  <c r="P163" i="30" s="1"/>
  <c r="P164" i="30" s="1"/>
  <c r="P165" i="30" s="1"/>
  <c r="P166" i="30" s="1"/>
  <c r="P167" i="30" s="1"/>
  <c r="P168" i="30" s="1"/>
  <c r="P169" i="30" s="1"/>
  <c r="P170" i="30" s="1"/>
  <c r="P171" i="30" s="1"/>
  <c r="P172" i="30" s="1"/>
  <c r="P173" i="30" s="1"/>
  <c r="P174" i="30" s="1"/>
  <c r="P175" i="30" s="1"/>
  <c r="P176" i="30" s="1"/>
  <c r="P177" i="30" s="1"/>
  <c r="P178" i="30" s="1"/>
  <c r="P179" i="30" s="1"/>
  <c r="P180" i="30" s="1"/>
  <c r="P181" i="30" s="1"/>
  <c r="P182" i="30" s="1"/>
  <c r="P183" i="30" s="1"/>
  <c r="P184" i="30" s="1"/>
  <c r="P185" i="30" s="1"/>
  <c r="P186" i="30" s="1"/>
  <c r="P187" i="30" s="1"/>
  <c r="P188" i="30" s="1"/>
  <c r="P189" i="30" s="1"/>
  <c r="P190" i="30" s="1"/>
  <c r="P191" i="30" s="1"/>
  <c r="P192" i="30" s="1"/>
  <c r="P193" i="30" s="1"/>
  <c r="P194" i="30" s="1"/>
  <c r="P195" i="30" s="1"/>
  <c r="P196" i="30" s="1"/>
  <c r="P197" i="30" s="1"/>
  <c r="P198" i="30" s="1"/>
  <c r="P199" i="30" s="1"/>
  <c r="P200" i="30" s="1"/>
  <c r="P201" i="30" s="1"/>
  <c r="P202" i="30" s="1"/>
  <c r="P203" i="30" s="1"/>
  <c r="P204" i="30" s="1"/>
  <c r="P205" i="30" s="1"/>
  <c r="P206" i="30" s="1"/>
  <c r="P207" i="30" s="1"/>
  <c r="P208" i="30" s="1"/>
  <c r="P209" i="30" s="1"/>
  <c r="P210" i="30" s="1"/>
  <c r="P211" i="30" s="1"/>
  <c r="P212" i="30" s="1"/>
  <c r="P213" i="30" s="1"/>
  <c r="P214" i="30" s="1"/>
  <c r="P215" i="30" s="1"/>
  <c r="P216" i="30" s="1"/>
  <c r="P217" i="30" s="1"/>
  <c r="P218" i="30" s="1"/>
  <c r="P219" i="30" s="1"/>
  <c r="P220" i="30" s="1"/>
  <c r="P221" i="30" s="1"/>
  <c r="P222" i="30" s="1"/>
  <c r="P223" i="30" s="1"/>
  <c r="P224" i="30" s="1"/>
  <c r="P225" i="30" s="1"/>
  <c r="P226" i="30" s="1"/>
  <c r="P227" i="30" s="1"/>
  <c r="P228" i="30" s="1"/>
  <c r="P229" i="30" s="1"/>
  <c r="P230" i="30" s="1"/>
  <c r="P231" i="30" s="1"/>
  <c r="P232" i="30" s="1"/>
  <c r="P233" i="30" s="1"/>
  <c r="P234" i="30" s="1"/>
  <c r="P235" i="30" s="1"/>
  <c r="P236" i="30" s="1"/>
  <c r="P237" i="30" s="1"/>
  <c r="P238" i="30" s="1"/>
  <c r="P239" i="30" s="1"/>
  <c r="P240" i="30" s="1"/>
  <c r="P241" i="30" s="1"/>
  <c r="P242" i="30" s="1"/>
  <c r="P243" i="30" s="1"/>
  <c r="P244" i="30" s="1"/>
  <c r="P245" i="30" s="1"/>
  <c r="P246" i="30" s="1"/>
  <c r="P247" i="30" s="1"/>
  <c r="P248" i="30" s="1"/>
  <c r="P249" i="30" s="1"/>
  <c r="P250" i="30" s="1"/>
  <c r="P251" i="30" s="1"/>
  <c r="P252" i="30" s="1"/>
  <c r="P253" i="30" s="1"/>
  <c r="P254" i="30" s="1"/>
  <c r="P255" i="30" s="1"/>
  <c r="P256" i="30" s="1"/>
  <c r="P257" i="30" s="1"/>
  <c r="P258" i="30" s="1"/>
  <c r="P259" i="30" s="1"/>
  <c r="P260" i="30" s="1"/>
  <c r="P261" i="30" s="1"/>
  <c r="P262" i="30" s="1"/>
  <c r="P263" i="30" s="1"/>
  <c r="P264" i="30" s="1"/>
  <c r="P265" i="30" s="1"/>
  <c r="P266" i="30" s="1"/>
  <c r="P267" i="30" s="1"/>
  <c r="P268" i="30" s="1"/>
  <c r="P269" i="30" s="1"/>
  <c r="P270" i="30" s="1"/>
  <c r="P271" i="30" s="1"/>
  <c r="P272" i="30" s="1"/>
  <c r="P273" i="30" s="1"/>
  <c r="P274" i="30" s="1"/>
  <c r="P275" i="30" s="1"/>
  <c r="P276" i="30" s="1"/>
  <c r="P277" i="30" s="1"/>
  <c r="P278" i="30" s="1"/>
  <c r="P279" i="30" s="1"/>
  <c r="P280" i="30" s="1"/>
  <c r="P281" i="30" s="1"/>
  <c r="P282" i="30" s="1"/>
  <c r="P283" i="30" s="1"/>
  <c r="P284" i="30" s="1"/>
  <c r="P285" i="30" s="1"/>
  <c r="P286" i="30" s="1"/>
  <c r="P287" i="30" s="1"/>
  <c r="P288" i="30" s="1"/>
  <c r="P289" i="30" s="1"/>
  <c r="P290" i="30" s="1"/>
  <c r="P291" i="30" s="1"/>
  <c r="P292" i="30" s="1"/>
  <c r="P293" i="30" s="1"/>
  <c r="P294" i="30" s="1"/>
  <c r="P295" i="30" s="1"/>
  <c r="P296" i="30" s="1"/>
  <c r="P297" i="30" s="1"/>
  <c r="P298" i="30" s="1"/>
  <c r="P299" i="30" s="1"/>
  <c r="P300" i="30" s="1"/>
  <c r="Q7" i="30"/>
  <c r="Q8" i="30" l="1"/>
  <c r="Q9" i="30" s="1"/>
  <c r="Q10" i="30" s="1"/>
  <c r="Q11" i="30" l="1"/>
  <c r="Q12" i="30" l="1"/>
  <c r="Q13" i="30" l="1"/>
  <c r="Q14" i="30" l="1"/>
  <c r="Q15" i="30" l="1"/>
  <c r="Q16" i="30" l="1"/>
  <c r="Q17" i="30" l="1"/>
  <c r="Q18" i="30" l="1"/>
  <c r="Q19" i="30" l="1"/>
  <c r="Q20" i="30" l="1"/>
  <c r="Q21" i="30" l="1"/>
  <c r="Q22" i="30" l="1"/>
  <c r="Q23" i="30" l="1"/>
  <c r="Q24" i="30" l="1"/>
  <c r="Q25" i="30" l="1"/>
  <c r="Q26" i="30" l="1"/>
  <c r="Q27" i="30" l="1"/>
  <c r="Q28" i="30" l="1"/>
  <c r="Q29" i="30" l="1"/>
  <c r="Q30" i="30" l="1"/>
  <c r="Q31" i="30" l="1"/>
  <c r="Q32" i="30" l="1"/>
  <c r="Q33" i="30" l="1"/>
  <c r="Q34" i="30" l="1"/>
  <c r="Q35" i="30" l="1"/>
  <c r="Q36" i="30" l="1"/>
  <c r="Q37" i="30" l="1"/>
  <c r="Q38" i="30" l="1"/>
  <c r="Q39" i="30" l="1"/>
  <c r="Q40" i="30" l="1"/>
  <c r="Q41" i="30" l="1"/>
  <c r="Q42" i="30" l="1"/>
  <c r="Q43" i="30" l="1"/>
  <c r="Q44" i="30" l="1"/>
  <c r="Q45" i="30" l="1"/>
  <c r="Q46" i="30" l="1"/>
  <c r="Q47" i="30" l="1"/>
  <c r="Q48" i="30" l="1"/>
  <c r="Q49" i="30" l="1"/>
  <c r="Q50" i="30" l="1"/>
  <c r="Q51" i="30" l="1"/>
  <c r="Q52" i="30" l="1"/>
  <c r="Q53" i="30" l="1"/>
  <c r="Q54" i="30" l="1"/>
  <c r="Q55" i="30" l="1"/>
  <c r="Q56" i="30" l="1"/>
  <c r="Q57" i="30" l="1"/>
  <c r="Q58" i="30" l="1"/>
  <c r="Q59" i="30" l="1"/>
  <c r="Q60" i="30" l="1"/>
  <c r="Q61" i="30" l="1"/>
  <c r="Q62" i="30" l="1"/>
  <c r="Q63" i="30" l="1"/>
  <c r="Q64" i="30" l="1"/>
  <c r="Q65" i="30" l="1"/>
  <c r="Q66" i="30" l="1"/>
  <c r="Q67" i="30" l="1"/>
  <c r="Q68" i="30" l="1"/>
  <c r="Q69" i="30" l="1"/>
  <c r="Q70" i="30" l="1"/>
  <c r="Q71" i="30" l="1"/>
  <c r="Q72" i="30" l="1"/>
  <c r="Q73" i="30" l="1"/>
  <c r="Q74" i="30" l="1"/>
  <c r="Q75" i="30" l="1"/>
  <c r="Q76" i="30" l="1"/>
  <c r="Q77" i="30" l="1"/>
  <c r="Q78" i="30" l="1"/>
  <c r="Q79" i="30" l="1"/>
  <c r="Q80" i="30" l="1"/>
  <c r="Q81" i="30" l="1"/>
  <c r="Q82" i="30" l="1"/>
  <c r="Q83" i="30" l="1"/>
  <c r="Q84" i="30" l="1"/>
  <c r="Q85" i="30" l="1"/>
  <c r="Q86" i="30" l="1"/>
  <c r="Q87" i="30" l="1"/>
  <c r="Q88" i="30" l="1"/>
  <c r="Q89" i="30" l="1"/>
  <c r="Q90" i="30" l="1"/>
  <c r="Q91" i="30" l="1"/>
  <c r="Q92" i="30" l="1"/>
  <c r="Q93" i="30" l="1"/>
  <c r="Q94" i="30" l="1"/>
  <c r="Q95" i="30" l="1"/>
  <c r="Q96" i="30" l="1"/>
  <c r="Q97" i="30" l="1"/>
  <c r="Q98" i="30" l="1"/>
  <c r="Q99" i="30" l="1"/>
  <c r="Q100" i="30" l="1"/>
  <c r="Q101" i="30" l="1"/>
  <c r="Q102" i="30" l="1"/>
  <c r="Q103" i="30" l="1"/>
  <c r="Q104" i="30" l="1"/>
  <c r="Q105" i="30" l="1"/>
  <c r="Q106" i="30" l="1"/>
  <c r="Q107" i="30" l="1"/>
  <c r="Q108" i="30" l="1"/>
  <c r="Q109" i="30" l="1"/>
  <c r="Q110" i="30" l="1"/>
  <c r="Q111" i="30" l="1"/>
  <c r="Q112" i="30" l="1"/>
  <c r="Q113" i="30" l="1"/>
  <c r="Q114" i="30" l="1"/>
  <c r="Q115" i="30" l="1"/>
  <c r="Q116" i="30" l="1"/>
  <c r="Q117" i="30" l="1"/>
  <c r="Q118" i="30" l="1"/>
  <c r="Q119" i="30" l="1"/>
  <c r="Q120" i="30" l="1"/>
  <c r="Q121" i="30" l="1"/>
  <c r="Q122" i="30" l="1"/>
  <c r="Q123" i="30" l="1"/>
  <c r="Q124" i="30" l="1"/>
  <c r="Q125" i="30" l="1"/>
  <c r="Q126" i="30" l="1"/>
  <c r="Q127" i="30" l="1"/>
  <c r="Q128" i="30" l="1"/>
  <c r="Q129" i="30" l="1"/>
  <c r="Q130" i="30" l="1"/>
  <c r="Q131" i="30" l="1"/>
  <c r="Q132" i="30" l="1"/>
  <c r="Q133" i="30" l="1"/>
  <c r="Q134" i="30" l="1"/>
  <c r="Q135" i="30" l="1"/>
  <c r="Q136" i="30" l="1"/>
  <c r="Q137" i="30" l="1"/>
  <c r="Q138" i="30" l="1"/>
  <c r="Q139" i="30" l="1"/>
  <c r="Q140" i="30" l="1"/>
  <c r="Q141" i="30" l="1"/>
  <c r="Q142" i="30" l="1"/>
  <c r="Q143" i="30" l="1"/>
  <c r="Q144" i="30" l="1"/>
  <c r="Q145" i="30" l="1"/>
  <c r="Q146" i="30" l="1"/>
  <c r="Q147" i="30" l="1"/>
  <c r="Q148" i="30" l="1"/>
  <c r="Q149" i="30" l="1"/>
  <c r="Q150" i="30" l="1"/>
  <c r="Q151" i="30" l="1"/>
  <c r="Q152" i="30" l="1"/>
  <c r="Q153" i="30" l="1"/>
  <c r="Q154" i="30" l="1"/>
  <c r="Q155" i="30" l="1"/>
  <c r="Q156" i="30" l="1"/>
  <c r="Q157" i="30" l="1"/>
  <c r="Q158" i="30" l="1"/>
  <c r="Q159" i="30" l="1"/>
  <c r="Q160" i="30" l="1"/>
  <c r="Q161" i="30" l="1"/>
  <c r="Q162" i="30" l="1"/>
  <c r="Q163" i="30" l="1"/>
  <c r="Q164" i="30" l="1"/>
  <c r="Q165" i="30" l="1"/>
  <c r="Q166" i="30" l="1"/>
  <c r="Q167" i="30" l="1"/>
  <c r="Q168" i="30" l="1"/>
  <c r="Q169" i="30" l="1"/>
  <c r="Q170" i="30" l="1"/>
  <c r="Q171" i="30" l="1"/>
  <c r="Q172" i="30" l="1"/>
  <c r="Q173" i="30" l="1"/>
  <c r="Q174" i="30" l="1"/>
  <c r="Q175" i="30" l="1"/>
  <c r="Q176" i="30" l="1"/>
  <c r="Q177" i="30" l="1"/>
  <c r="Q178" i="30" l="1"/>
  <c r="Q179" i="30" l="1"/>
  <c r="Q180" i="30" l="1"/>
  <c r="Q181" i="30" l="1"/>
  <c r="Q182" i="30" l="1"/>
  <c r="Q183" i="30" l="1"/>
  <c r="Q184" i="30" l="1"/>
  <c r="Q185" i="30" l="1"/>
  <c r="Q186" i="30" l="1"/>
  <c r="Q187" i="30" l="1"/>
  <c r="Q188" i="30" l="1"/>
  <c r="Q189" i="30" l="1"/>
  <c r="Q190" i="30" l="1"/>
  <c r="Q191" i="30" l="1"/>
  <c r="Q192" i="30" l="1"/>
  <c r="Q193" i="30" l="1"/>
  <c r="Q194" i="30" l="1"/>
  <c r="Q195" i="30" l="1"/>
  <c r="Q196" i="30" l="1"/>
  <c r="Q197" i="30" l="1"/>
  <c r="Q198" i="30" l="1"/>
  <c r="Q199" i="30" l="1"/>
  <c r="Q200" i="30" l="1"/>
  <c r="Q201" i="30" l="1"/>
  <c r="Q202" i="30" l="1"/>
  <c r="Q203" i="30" l="1"/>
  <c r="Q204" i="30" l="1"/>
  <c r="Q205" i="30" l="1"/>
  <c r="Q206" i="30" l="1"/>
  <c r="Q207" i="30" l="1"/>
  <c r="Q208" i="30" l="1"/>
  <c r="Q209" i="30" l="1"/>
  <c r="Q210" i="30" l="1"/>
  <c r="Q211" i="30" l="1"/>
  <c r="Q212" i="30" l="1"/>
  <c r="Q213" i="30" l="1"/>
  <c r="Q214" i="30" l="1"/>
  <c r="Q215" i="30" l="1"/>
  <c r="Q216" i="30" l="1"/>
  <c r="Q217" i="30" l="1"/>
  <c r="Q218" i="30" l="1"/>
  <c r="Q219" i="30" l="1"/>
  <c r="Q220" i="30" l="1"/>
  <c r="Q221" i="30" l="1"/>
  <c r="Q222" i="30" l="1"/>
  <c r="Q223" i="30" l="1"/>
  <c r="Q224" i="30" l="1"/>
  <c r="Q225" i="30" l="1"/>
  <c r="Q226" i="30" l="1"/>
  <c r="Q227" i="30" l="1"/>
  <c r="Q228" i="30" l="1"/>
  <c r="Q229" i="30" l="1"/>
  <c r="Q230" i="30" l="1"/>
  <c r="Q231" i="30" l="1"/>
  <c r="Q232" i="30" l="1"/>
  <c r="Q233" i="30" l="1"/>
  <c r="Q234" i="30" l="1"/>
  <c r="Q235" i="30" l="1"/>
  <c r="Q236" i="30" l="1"/>
  <c r="Q237" i="30" l="1"/>
  <c r="Q238" i="30" l="1"/>
  <c r="Q239" i="30" l="1"/>
  <c r="Q240" i="30" l="1"/>
  <c r="Q241" i="30" l="1"/>
  <c r="Q242" i="30" l="1"/>
  <c r="Q243" i="30" l="1"/>
  <c r="Q244" i="30" l="1"/>
  <c r="Q245" i="30" l="1"/>
  <c r="Q246" i="30" l="1"/>
  <c r="Q247" i="30" l="1"/>
  <c r="Q248" i="30" l="1"/>
  <c r="Q249" i="30" l="1"/>
  <c r="Q250" i="30" l="1"/>
  <c r="Q251" i="30" l="1"/>
  <c r="Q252" i="30" l="1"/>
  <c r="Q253" i="30" l="1"/>
  <c r="Q254" i="30" l="1"/>
  <c r="Q255" i="30" l="1"/>
  <c r="Q256" i="30" l="1"/>
  <c r="Q257" i="30" l="1"/>
  <c r="Q258" i="30" l="1"/>
  <c r="Q259" i="30" l="1"/>
  <c r="Q260" i="30" l="1"/>
  <c r="Q261" i="30" l="1"/>
  <c r="Q262" i="30" l="1"/>
  <c r="Q263" i="30" l="1"/>
  <c r="Q264" i="30" l="1"/>
  <c r="Q265" i="30" l="1"/>
  <c r="Q266" i="30" l="1"/>
  <c r="Q267" i="30" l="1"/>
  <c r="Q268" i="30" l="1"/>
  <c r="Q269" i="30" l="1"/>
  <c r="Q270" i="30" l="1"/>
  <c r="Q271" i="30" l="1"/>
  <c r="Q272" i="30" l="1"/>
  <c r="Q273" i="30" l="1"/>
  <c r="Q274" i="30" l="1"/>
  <c r="Q275" i="30" l="1"/>
  <c r="Q276" i="30" l="1"/>
  <c r="Q277" i="30" l="1"/>
  <c r="Q278" i="30" l="1"/>
  <c r="Q279" i="30" l="1"/>
  <c r="Q280" i="30" l="1"/>
  <c r="Q281" i="30" l="1"/>
  <c r="Q282" i="30" l="1"/>
  <c r="Q283" i="30" l="1"/>
  <c r="Q284" i="30" l="1"/>
  <c r="Q285" i="30" l="1"/>
  <c r="Q286" i="30" l="1"/>
  <c r="Q287" i="30" l="1"/>
  <c r="Q288" i="30" l="1"/>
  <c r="Q289" i="30" l="1"/>
  <c r="Q290" i="30" l="1"/>
  <c r="Q291" i="30" l="1"/>
  <c r="Q292" i="30" l="1"/>
  <c r="Q293" i="30" l="1"/>
  <c r="Q294" i="30" l="1"/>
  <c r="Q295" i="30" l="1"/>
  <c r="Q296" i="30" l="1"/>
  <c r="Q297" i="30" l="1"/>
  <c r="Q298" i="30" l="1"/>
  <c r="Q299" i="30" l="1"/>
  <c r="Q300" i="30" l="1"/>
  <c r="Q4" i="30" l="1"/>
  <c r="R6" i="30" s="1"/>
  <c r="Q3" i="30" l="1"/>
  <c r="R7" i="30"/>
  <c r="S7" i="30" s="1"/>
  <c r="T7" i="30" s="1"/>
  <c r="R8" i="30"/>
  <c r="S8" i="30" s="1"/>
  <c r="R9" i="30"/>
  <c r="S9" i="30" s="1"/>
  <c r="R10" i="30"/>
  <c r="S10" i="30" s="1"/>
  <c r="R11" i="30"/>
  <c r="S11" i="30" s="1"/>
  <c r="R12" i="30"/>
  <c r="S12" i="30" s="1"/>
  <c r="R13" i="30"/>
  <c r="S13" i="30" s="1"/>
  <c r="R14" i="30"/>
  <c r="S14" i="30" s="1"/>
  <c r="R15" i="30"/>
  <c r="S15" i="30" s="1"/>
  <c r="R16" i="30"/>
  <c r="S16" i="30" s="1"/>
  <c r="R17" i="30"/>
  <c r="S17" i="30" s="1"/>
  <c r="R18" i="30"/>
  <c r="S18" i="30" s="1"/>
  <c r="R19" i="30"/>
  <c r="S19" i="30" s="1"/>
  <c r="R20" i="30"/>
  <c r="S20" i="30" s="1"/>
  <c r="R21" i="30"/>
  <c r="S21" i="30" s="1"/>
  <c r="R22" i="30"/>
  <c r="S22" i="30" s="1"/>
  <c r="R23" i="30"/>
  <c r="S23" i="30" s="1"/>
  <c r="R24" i="30"/>
  <c r="S24" i="30" s="1"/>
  <c r="R25" i="30"/>
  <c r="S25" i="30" s="1"/>
  <c r="R26" i="30"/>
  <c r="S26" i="30" s="1"/>
  <c r="R27" i="30"/>
  <c r="S27" i="30" s="1"/>
  <c r="R28" i="30"/>
  <c r="S28" i="30" s="1"/>
  <c r="R29" i="30"/>
  <c r="S29" i="30" s="1"/>
  <c r="R30" i="30"/>
  <c r="S30" i="30" s="1"/>
  <c r="R31" i="30"/>
  <c r="S31" i="30" s="1"/>
  <c r="R32" i="30"/>
  <c r="S32" i="30" s="1"/>
  <c r="R33" i="30"/>
  <c r="S33" i="30" s="1"/>
  <c r="R34" i="30"/>
  <c r="S34" i="30" s="1"/>
  <c r="R35" i="30"/>
  <c r="S35" i="30" s="1"/>
  <c r="R36" i="30"/>
  <c r="S36" i="30" s="1"/>
  <c r="R37" i="30"/>
  <c r="S37" i="30" s="1"/>
  <c r="R38" i="30"/>
  <c r="S38" i="30" s="1"/>
  <c r="R39" i="30"/>
  <c r="S39" i="30" s="1"/>
  <c r="R40" i="30"/>
  <c r="S40" i="30" s="1"/>
  <c r="R41" i="30"/>
  <c r="S41" i="30" s="1"/>
  <c r="R42" i="30"/>
  <c r="S42" i="30" s="1"/>
  <c r="R43" i="30"/>
  <c r="S43" i="30" s="1"/>
  <c r="R44" i="30"/>
  <c r="S44" i="30" s="1"/>
  <c r="R45" i="30"/>
  <c r="S45" i="30" s="1"/>
  <c r="R46" i="30"/>
  <c r="S46" i="30" s="1"/>
  <c r="R47" i="30"/>
  <c r="S47" i="30" s="1"/>
  <c r="R48" i="30"/>
  <c r="S48" i="30" s="1"/>
  <c r="R49" i="30"/>
  <c r="S49" i="30" s="1"/>
  <c r="R50" i="30"/>
  <c r="S50" i="30" s="1"/>
  <c r="R51" i="30"/>
  <c r="S51" i="30" s="1"/>
  <c r="R52" i="30"/>
  <c r="S52" i="30" s="1"/>
  <c r="R53" i="30"/>
  <c r="S53" i="30" s="1"/>
  <c r="R54" i="30"/>
  <c r="S54" i="30" s="1"/>
  <c r="R55" i="30"/>
  <c r="S55" i="30" s="1"/>
  <c r="R56" i="30"/>
  <c r="S56" i="30" s="1"/>
  <c r="R57" i="30"/>
  <c r="S57" i="30" s="1"/>
  <c r="R58" i="30"/>
  <c r="S58" i="30" s="1"/>
  <c r="R59" i="30"/>
  <c r="S59" i="30" s="1"/>
  <c r="R60" i="30"/>
  <c r="S60" i="30" s="1"/>
  <c r="R61" i="30"/>
  <c r="S61" i="30" s="1"/>
  <c r="R62" i="30"/>
  <c r="S62" i="30" s="1"/>
  <c r="R63" i="30"/>
  <c r="S63" i="30" s="1"/>
  <c r="R64" i="30"/>
  <c r="S64" i="30" s="1"/>
  <c r="R65" i="30"/>
  <c r="S65" i="30" s="1"/>
  <c r="R66" i="30"/>
  <c r="S66" i="30" s="1"/>
  <c r="R67" i="30"/>
  <c r="S67" i="30" s="1"/>
  <c r="R68" i="30"/>
  <c r="S68" i="30" s="1"/>
  <c r="R69" i="30"/>
  <c r="S69" i="30" s="1"/>
  <c r="R70" i="30"/>
  <c r="S70" i="30" s="1"/>
  <c r="R71" i="30"/>
  <c r="S71" i="30" s="1"/>
  <c r="R72" i="30"/>
  <c r="S72" i="30" s="1"/>
  <c r="R73" i="30"/>
  <c r="S73" i="30" s="1"/>
  <c r="R74" i="30"/>
  <c r="S74" i="30" s="1"/>
  <c r="R75" i="30"/>
  <c r="S75" i="30" s="1"/>
  <c r="R76" i="30"/>
  <c r="S76" i="30" s="1"/>
  <c r="R77" i="30"/>
  <c r="S77" i="30" s="1"/>
  <c r="R78" i="30"/>
  <c r="S78" i="30" s="1"/>
  <c r="R79" i="30"/>
  <c r="S79" i="30" s="1"/>
  <c r="R80" i="30"/>
  <c r="S80" i="30" s="1"/>
  <c r="R81" i="30"/>
  <c r="S81" i="30" s="1"/>
  <c r="R82" i="30"/>
  <c r="S82" i="30" s="1"/>
  <c r="R83" i="30"/>
  <c r="S83" i="30" s="1"/>
  <c r="R84" i="30"/>
  <c r="S84" i="30" s="1"/>
  <c r="R85" i="30"/>
  <c r="S85" i="30" s="1"/>
  <c r="R86" i="30"/>
  <c r="S86" i="30" s="1"/>
  <c r="R87" i="30"/>
  <c r="S87" i="30" s="1"/>
  <c r="R88" i="30"/>
  <c r="S88" i="30" s="1"/>
  <c r="R89" i="30"/>
  <c r="S89" i="30" s="1"/>
  <c r="R90" i="30"/>
  <c r="S90" i="30" s="1"/>
  <c r="R91" i="30"/>
  <c r="S91" i="30" s="1"/>
  <c r="R92" i="30"/>
  <c r="S92" i="30" s="1"/>
  <c r="R93" i="30"/>
  <c r="S93" i="30" s="1"/>
  <c r="R94" i="30"/>
  <c r="S94" i="30" s="1"/>
  <c r="R95" i="30"/>
  <c r="S95" i="30" s="1"/>
  <c r="R96" i="30"/>
  <c r="S96" i="30" s="1"/>
  <c r="R97" i="30"/>
  <c r="S97" i="30" s="1"/>
  <c r="R98" i="30"/>
  <c r="S98" i="30" s="1"/>
  <c r="R99" i="30"/>
  <c r="S99" i="30" s="1"/>
  <c r="R100" i="30"/>
  <c r="S100" i="30" s="1"/>
  <c r="R101" i="30"/>
  <c r="S101" i="30" s="1"/>
  <c r="R102" i="30"/>
  <c r="S102" i="30" s="1"/>
  <c r="R103" i="30"/>
  <c r="S103" i="30" s="1"/>
  <c r="R104" i="30"/>
  <c r="S104" i="30" s="1"/>
  <c r="R105" i="30"/>
  <c r="S105" i="30" s="1"/>
  <c r="R106" i="30"/>
  <c r="S106" i="30" s="1"/>
  <c r="R107" i="30"/>
  <c r="S107" i="30" s="1"/>
  <c r="R108" i="30"/>
  <c r="S108" i="30" s="1"/>
  <c r="R109" i="30"/>
  <c r="S109" i="30" s="1"/>
  <c r="R110" i="30"/>
  <c r="S110" i="30" s="1"/>
  <c r="R111" i="30"/>
  <c r="S111" i="30" s="1"/>
  <c r="R112" i="30"/>
  <c r="S112" i="30" s="1"/>
  <c r="R113" i="30"/>
  <c r="S113" i="30" s="1"/>
  <c r="R114" i="30"/>
  <c r="S114" i="30" s="1"/>
  <c r="R115" i="30"/>
  <c r="S115" i="30" s="1"/>
  <c r="R116" i="30"/>
  <c r="S116" i="30" s="1"/>
  <c r="R117" i="30"/>
  <c r="S117" i="30" s="1"/>
  <c r="R118" i="30"/>
  <c r="S118" i="30" s="1"/>
  <c r="R119" i="30"/>
  <c r="S119" i="30" s="1"/>
  <c r="R120" i="30"/>
  <c r="S120" i="30" s="1"/>
  <c r="R121" i="30"/>
  <c r="S121" i="30" s="1"/>
  <c r="R122" i="30"/>
  <c r="S122" i="30" s="1"/>
  <c r="R123" i="30"/>
  <c r="S123" i="30" s="1"/>
  <c r="R124" i="30"/>
  <c r="S124" i="30" s="1"/>
  <c r="R125" i="30"/>
  <c r="S125" i="30" s="1"/>
  <c r="R126" i="30"/>
  <c r="S126" i="30" s="1"/>
  <c r="R127" i="30"/>
  <c r="S127" i="30" s="1"/>
  <c r="R128" i="30"/>
  <c r="S128" i="30" s="1"/>
  <c r="R129" i="30"/>
  <c r="S129" i="30" s="1"/>
  <c r="R130" i="30"/>
  <c r="S130" i="30" s="1"/>
  <c r="R131" i="30"/>
  <c r="S131" i="30" s="1"/>
  <c r="R132" i="30"/>
  <c r="S132" i="30" s="1"/>
  <c r="R133" i="30"/>
  <c r="S133" i="30" s="1"/>
  <c r="R134" i="30"/>
  <c r="S134" i="30" s="1"/>
  <c r="R135" i="30"/>
  <c r="S135" i="30" s="1"/>
  <c r="R136" i="30"/>
  <c r="S136" i="30" s="1"/>
  <c r="R137" i="30"/>
  <c r="S137" i="30" s="1"/>
  <c r="R138" i="30"/>
  <c r="S138" i="30" s="1"/>
  <c r="R139" i="30"/>
  <c r="S139" i="30" s="1"/>
  <c r="R140" i="30"/>
  <c r="S140" i="30" s="1"/>
  <c r="R141" i="30"/>
  <c r="S141" i="30" s="1"/>
  <c r="R142" i="30"/>
  <c r="S142" i="30" s="1"/>
  <c r="R143" i="30"/>
  <c r="S143" i="30" s="1"/>
  <c r="R144" i="30"/>
  <c r="S144" i="30" s="1"/>
  <c r="R145" i="30"/>
  <c r="S145" i="30" s="1"/>
  <c r="R146" i="30"/>
  <c r="S146" i="30" s="1"/>
  <c r="R147" i="30"/>
  <c r="S147" i="30" s="1"/>
  <c r="R148" i="30"/>
  <c r="S148" i="30" s="1"/>
  <c r="R149" i="30"/>
  <c r="S149" i="30" s="1"/>
  <c r="R150" i="30"/>
  <c r="S150" i="30" s="1"/>
  <c r="R151" i="30"/>
  <c r="S151" i="30" s="1"/>
  <c r="R152" i="30"/>
  <c r="S152" i="30" s="1"/>
  <c r="R153" i="30"/>
  <c r="S153" i="30" s="1"/>
  <c r="R154" i="30"/>
  <c r="S154" i="30" s="1"/>
  <c r="R155" i="30"/>
  <c r="S155" i="30" s="1"/>
  <c r="R156" i="30"/>
  <c r="S156" i="30" s="1"/>
  <c r="R157" i="30"/>
  <c r="S157" i="30" s="1"/>
  <c r="R158" i="30"/>
  <c r="S158" i="30" s="1"/>
  <c r="R159" i="30"/>
  <c r="S159" i="30" s="1"/>
  <c r="R160" i="30"/>
  <c r="S160" i="30" s="1"/>
  <c r="R161" i="30"/>
  <c r="S161" i="30" s="1"/>
  <c r="R162" i="30"/>
  <c r="S162" i="30" s="1"/>
  <c r="R163" i="30"/>
  <c r="S163" i="30" s="1"/>
  <c r="R164" i="30"/>
  <c r="S164" i="30" s="1"/>
  <c r="R165" i="30"/>
  <c r="S165" i="30" s="1"/>
  <c r="R166" i="30"/>
  <c r="S166" i="30" s="1"/>
  <c r="R167" i="30"/>
  <c r="S167" i="30" s="1"/>
  <c r="R168" i="30"/>
  <c r="S168" i="30" s="1"/>
  <c r="R169" i="30"/>
  <c r="S169" i="30" s="1"/>
  <c r="R170" i="30"/>
  <c r="S170" i="30" s="1"/>
  <c r="R171" i="30"/>
  <c r="S171" i="30" s="1"/>
  <c r="R172" i="30"/>
  <c r="S172" i="30" s="1"/>
  <c r="R173" i="30"/>
  <c r="S173" i="30" s="1"/>
  <c r="R174" i="30"/>
  <c r="S174" i="30" s="1"/>
  <c r="R175" i="30"/>
  <c r="S175" i="30" s="1"/>
  <c r="R176" i="30"/>
  <c r="S176" i="30" s="1"/>
  <c r="R177" i="30"/>
  <c r="S177" i="30" s="1"/>
  <c r="R178" i="30"/>
  <c r="S178" i="30" s="1"/>
  <c r="R179" i="30"/>
  <c r="S179" i="30" s="1"/>
  <c r="R180" i="30"/>
  <c r="S180" i="30" s="1"/>
  <c r="R181" i="30"/>
  <c r="S181" i="30" s="1"/>
  <c r="R182" i="30"/>
  <c r="S182" i="30" s="1"/>
  <c r="R183" i="30"/>
  <c r="S183" i="30" s="1"/>
  <c r="R184" i="30"/>
  <c r="S184" i="30" s="1"/>
  <c r="R185" i="30"/>
  <c r="S185" i="30" s="1"/>
  <c r="R186" i="30"/>
  <c r="S186" i="30" s="1"/>
  <c r="R187" i="30"/>
  <c r="S187" i="30" s="1"/>
  <c r="R188" i="30"/>
  <c r="S188" i="30" s="1"/>
  <c r="R189" i="30"/>
  <c r="S189" i="30" s="1"/>
  <c r="R190" i="30"/>
  <c r="S190" i="30" s="1"/>
  <c r="R191" i="30"/>
  <c r="S191" i="30" s="1"/>
  <c r="R192" i="30"/>
  <c r="S192" i="30" s="1"/>
  <c r="R193" i="30"/>
  <c r="S193" i="30" s="1"/>
  <c r="R194" i="30"/>
  <c r="S194" i="30" s="1"/>
  <c r="R195" i="30"/>
  <c r="S195" i="30" s="1"/>
  <c r="R196" i="30"/>
  <c r="S196" i="30" s="1"/>
  <c r="R197" i="30"/>
  <c r="S197" i="30" s="1"/>
  <c r="R198" i="30"/>
  <c r="S198" i="30" s="1"/>
  <c r="R199" i="30"/>
  <c r="S199" i="30" s="1"/>
  <c r="R200" i="30"/>
  <c r="S200" i="30" s="1"/>
  <c r="R201" i="30"/>
  <c r="S201" i="30" s="1"/>
  <c r="R202" i="30"/>
  <c r="S202" i="30" s="1"/>
  <c r="R203" i="30"/>
  <c r="S203" i="30" s="1"/>
  <c r="R204" i="30"/>
  <c r="S204" i="30" s="1"/>
  <c r="R205" i="30"/>
  <c r="S205" i="30" s="1"/>
  <c r="R206" i="30"/>
  <c r="S206" i="30" s="1"/>
  <c r="R207" i="30"/>
  <c r="S207" i="30" s="1"/>
  <c r="R208" i="30"/>
  <c r="S208" i="30" s="1"/>
  <c r="R209" i="30"/>
  <c r="S209" i="30" s="1"/>
  <c r="R210" i="30"/>
  <c r="S210" i="30" s="1"/>
  <c r="R211" i="30"/>
  <c r="S211" i="30" s="1"/>
  <c r="R212" i="30"/>
  <c r="S212" i="30" s="1"/>
  <c r="R213" i="30"/>
  <c r="S213" i="30" s="1"/>
  <c r="R214" i="30"/>
  <c r="S214" i="30" s="1"/>
  <c r="R215" i="30"/>
  <c r="S215" i="30" s="1"/>
  <c r="R216" i="30"/>
  <c r="S216" i="30" s="1"/>
  <c r="R217" i="30"/>
  <c r="S217" i="30" s="1"/>
  <c r="R218" i="30"/>
  <c r="S218" i="30" s="1"/>
  <c r="R219" i="30"/>
  <c r="S219" i="30" s="1"/>
  <c r="R220" i="30"/>
  <c r="S220" i="30" s="1"/>
  <c r="R221" i="30"/>
  <c r="S221" i="30" s="1"/>
  <c r="R222" i="30"/>
  <c r="S222" i="30" s="1"/>
  <c r="R223" i="30"/>
  <c r="S223" i="30" s="1"/>
  <c r="R224" i="30"/>
  <c r="S224" i="30" s="1"/>
  <c r="R225" i="30"/>
  <c r="S225" i="30" s="1"/>
  <c r="R226" i="30"/>
  <c r="S226" i="30" s="1"/>
  <c r="R227" i="30"/>
  <c r="S227" i="30" s="1"/>
  <c r="R228" i="30"/>
  <c r="S228" i="30" s="1"/>
  <c r="R229" i="30"/>
  <c r="S229" i="30" s="1"/>
  <c r="R230" i="30"/>
  <c r="S230" i="30" s="1"/>
  <c r="R231" i="30"/>
  <c r="S231" i="30" s="1"/>
  <c r="R232" i="30"/>
  <c r="S232" i="30" s="1"/>
  <c r="R233" i="30"/>
  <c r="S233" i="30" s="1"/>
  <c r="R234" i="30"/>
  <c r="S234" i="30" s="1"/>
  <c r="R235" i="30"/>
  <c r="S235" i="30" s="1"/>
  <c r="R236" i="30"/>
  <c r="S236" i="30" s="1"/>
  <c r="R237" i="30"/>
  <c r="S237" i="30" s="1"/>
  <c r="R238" i="30"/>
  <c r="S238" i="30" s="1"/>
  <c r="R239" i="30"/>
  <c r="S239" i="30" s="1"/>
  <c r="R240" i="30"/>
  <c r="S240" i="30" s="1"/>
  <c r="R241" i="30"/>
  <c r="S241" i="30" s="1"/>
  <c r="R242" i="30"/>
  <c r="S242" i="30" s="1"/>
  <c r="R243" i="30"/>
  <c r="S243" i="30" s="1"/>
  <c r="R244" i="30"/>
  <c r="S244" i="30" s="1"/>
  <c r="R245" i="30"/>
  <c r="S245" i="30" s="1"/>
  <c r="R246" i="30"/>
  <c r="S246" i="30" s="1"/>
  <c r="R247" i="30"/>
  <c r="S247" i="30" s="1"/>
  <c r="R248" i="30"/>
  <c r="S248" i="30" s="1"/>
  <c r="R249" i="30"/>
  <c r="S249" i="30" s="1"/>
  <c r="R250" i="30"/>
  <c r="S250" i="30" s="1"/>
  <c r="R251" i="30"/>
  <c r="S251" i="30" s="1"/>
  <c r="R252" i="30"/>
  <c r="S252" i="30" s="1"/>
  <c r="R253" i="30"/>
  <c r="S253" i="30" s="1"/>
  <c r="R254" i="30"/>
  <c r="S254" i="30" s="1"/>
  <c r="R255" i="30"/>
  <c r="S255" i="30" s="1"/>
  <c r="R256" i="30"/>
  <c r="S256" i="30" s="1"/>
  <c r="R257" i="30"/>
  <c r="S257" i="30" s="1"/>
  <c r="R258" i="30"/>
  <c r="S258" i="30" s="1"/>
  <c r="R259" i="30"/>
  <c r="S259" i="30" s="1"/>
  <c r="R260" i="30"/>
  <c r="S260" i="30" s="1"/>
  <c r="R261" i="30"/>
  <c r="S261" i="30" s="1"/>
  <c r="R262" i="30"/>
  <c r="S262" i="30" s="1"/>
  <c r="R263" i="30"/>
  <c r="S263" i="30" s="1"/>
  <c r="R264" i="30"/>
  <c r="S264" i="30" s="1"/>
  <c r="R265" i="30"/>
  <c r="S265" i="30" s="1"/>
  <c r="R266" i="30"/>
  <c r="S266" i="30" s="1"/>
  <c r="R267" i="30"/>
  <c r="S267" i="30" s="1"/>
  <c r="R268" i="30"/>
  <c r="S268" i="30" s="1"/>
  <c r="R269" i="30"/>
  <c r="S269" i="30" s="1"/>
  <c r="R270" i="30"/>
  <c r="S270" i="30" s="1"/>
  <c r="R271" i="30"/>
  <c r="S271" i="30" s="1"/>
  <c r="R272" i="30"/>
  <c r="S272" i="30" s="1"/>
  <c r="R273" i="30"/>
  <c r="S273" i="30" s="1"/>
  <c r="R274" i="30"/>
  <c r="S274" i="30" s="1"/>
  <c r="R275" i="30"/>
  <c r="S275" i="30" s="1"/>
  <c r="R276" i="30"/>
  <c r="S276" i="30" s="1"/>
  <c r="R277" i="30"/>
  <c r="S277" i="30" s="1"/>
  <c r="R278" i="30"/>
  <c r="S278" i="30" s="1"/>
  <c r="R279" i="30"/>
  <c r="S279" i="30" s="1"/>
  <c r="R280" i="30"/>
  <c r="S280" i="30" s="1"/>
  <c r="R281" i="30"/>
  <c r="S281" i="30" s="1"/>
  <c r="R282" i="30"/>
  <c r="S282" i="30" s="1"/>
  <c r="R283" i="30"/>
  <c r="S283" i="30" s="1"/>
  <c r="R284" i="30"/>
  <c r="S284" i="30" s="1"/>
  <c r="R285" i="30"/>
  <c r="S285" i="30" s="1"/>
  <c r="R286" i="30"/>
  <c r="S286" i="30" s="1"/>
  <c r="R287" i="30"/>
  <c r="S287" i="30" s="1"/>
  <c r="R288" i="30"/>
  <c r="S288" i="30" s="1"/>
  <c r="R289" i="30"/>
  <c r="S289" i="30" s="1"/>
  <c r="R290" i="30"/>
  <c r="S290" i="30" s="1"/>
  <c r="R291" i="30"/>
  <c r="S291" i="30" s="1"/>
  <c r="R292" i="30"/>
  <c r="S292" i="30" s="1"/>
  <c r="R293" i="30"/>
  <c r="S293" i="30" s="1"/>
  <c r="R294" i="30"/>
  <c r="S294" i="30" s="1"/>
  <c r="R295" i="30"/>
  <c r="S295" i="30" s="1"/>
  <c r="R296" i="30"/>
  <c r="S296" i="30" s="1"/>
  <c r="R297" i="30"/>
  <c r="S297" i="30" s="1"/>
  <c r="R298" i="30"/>
  <c r="S298" i="30" s="1"/>
  <c r="R299" i="30"/>
  <c r="S299" i="30" s="1"/>
  <c r="R300" i="30"/>
  <c r="S300" i="30" s="1"/>
  <c r="U7" i="30" l="1"/>
  <c r="T8" i="30"/>
  <c r="T9" i="30" s="1"/>
  <c r="T10" i="30" s="1"/>
  <c r="T11" i="30" s="1"/>
  <c r="T12" i="30" s="1"/>
  <c r="T13" i="30" s="1"/>
  <c r="T14" i="30" s="1"/>
  <c r="T15" i="30" s="1"/>
  <c r="T16" i="30" s="1"/>
  <c r="T17" i="30" s="1"/>
  <c r="T18" i="30" s="1"/>
  <c r="T19" i="30" s="1"/>
  <c r="T20" i="30" s="1"/>
  <c r="T21" i="30" s="1"/>
  <c r="T22" i="30" s="1"/>
  <c r="S6" i="30"/>
  <c r="S4" i="30" s="1"/>
  <c r="S3" i="30" s="1"/>
  <c r="R4" i="30"/>
  <c r="R3" i="30" s="1"/>
  <c r="A1" i="30" l="1"/>
  <c r="R1" i="8" s="1"/>
  <c r="U8" i="30"/>
  <c r="U9" i="30" s="1"/>
  <c r="U10" i="30" s="1"/>
  <c r="U11" i="30" s="1"/>
  <c r="U12" i="30" s="1"/>
  <c r="U13" i="30" s="1"/>
  <c r="U14" i="30" s="1"/>
  <c r="U15" i="30" s="1"/>
  <c r="U16" i="30" s="1"/>
  <c r="U17" i="30" s="1"/>
  <c r="U18" i="30" s="1"/>
  <c r="U19" i="30" s="1"/>
  <c r="U20" i="30" s="1"/>
  <c r="U21" i="30" s="1"/>
  <c r="U22" i="30" s="1"/>
  <c r="T23" i="30"/>
  <c r="T24" i="30" s="1"/>
  <c r="T25" i="30" s="1"/>
  <c r="T26" i="30" s="1"/>
  <c r="T27" i="30" s="1"/>
  <c r="T28" i="30" s="1"/>
  <c r="T29" i="30" s="1"/>
  <c r="T30" i="30" s="1"/>
  <c r="T31" i="30" s="1"/>
  <c r="T32" i="30" s="1"/>
  <c r="T33" i="30" s="1"/>
  <c r="T34" i="30" s="1"/>
  <c r="T35" i="30" s="1"/>
  <c r="T36" i="30" s="1"/>
  <c r="T37" i="30" s="1"/>
  <c r="T38" i="30" s="1"/>
  <c r="T39" i="30" s="1"/>
  <c r="T40" i="30" s="1"/>
  <c r="T41" i="30" s="1"/>
  <c r="T42" i="30" s="1"/>
  <c r="T43" i="30" s="1"/>
  <c r="T44" i="30" s="1"/>
  <c r="T45" i="30" s="1"/>
  <c r="T46" i="30" s="1"/>
  <c r="T47" i="30" s="1"/>
  <c r="T48" i="30" s="1"/>
  <c r="T49" i="30" s="1"/>
  <c r="T50" i="30" s="1"/>
  <c r="T51" i="30" s="1"/>
  <c r="T52" i="30" s="1"/>
  <c r="T53" i="30" s="1"/>
  <c r="T54" i="30" s="1"/>
  <c r="T55" i="30" s="1"/>
  <c r="T56" i="30" s="1"/>
  <c r="T57" i="30" s="1"/>
  <c r="T58" i="30" s="1"/>
  <c r="T59" i="30" s="1"/>
  <c r="T60" i="30" s="1"/>
  <c r="T61" i="30" s="1"/>
  <c r="T62" i="30" s="1"/>
  <c r="T63" i="30" s="1"/>
  <c r="T64" i="30" s="1"/>
  <c r="T65" i="30" s="1"/>
  <c r="T66" i="30" s="1"/>
  <c r="T67" i="30" s="1"/>
  <c r="T68" i="30" s="1"/>
  <c r="T69" i="30" s="1"/>
  <c r="T70" i="30" s="1"/>
  <c r="T71" i="30" s="1"/>
  <c r="T72" i="30" s="1"/>
  <c r="T73" i="30" s="1"/>
  <c r="T74" i="30" s="1"/>
  <c r="T75" i="30" s="1"/>
  <c r="T76" i="30" s="1"/>
  <c r="T77" i="30" s="1"/>
  <c r="T78" i="30" s="1"/>
  <c r="T79" i="30" s="1"/>
  <c r="T80" i="30" s="1"/>
  <c r="T81" i="30" s="1"/>
  <c r="T82" i="30" s="1"/>
  <c r="T83" i="30" s="1"/>
  <c r="T84" i="30" s="1"/>
  <c r="T85" i="30" s="1"/>
  <c r="T86" i="30" s="1"/>
  <c r="T87" i="30" s="1"/>
  <c r="T88" i="30" s="1"/>
  <c r="T89" i="30" s="1"/>
  <c r="T90" i="30" s="1"/>
  <c r="T91" i="30" s="1"/>
  <c r="T92" i="30" s="1"/>
  <c r="T93" i="30" s="1"/>
  <c r="T94" i="30" s="1"/>
  <c r="T95" i="30" s="1"/>
  <c r="T96" i="30" s="1"/>
  <c r="T97" i="30" s="1"/>
  <c r="T98" i="30" s="1"/>
  <c r="T99" i="30" s="1"/>
  <c r="T100" i="30" s="1"/>
  <c r="T101" i="30" s="1"/>
  <c r="T102" i="30" s="1"/>
  <c r="T103" i="30" s="1"/>
  <c r="T104" i="30" s="1"/>
  <c r="T105" i="30" s="1"/>
  <c r="T106" i="30" s="1"/>
  <c r="T107" i="30" s="1"/>
  <c r="T108" i="30" s="1"/>
  <c r="T109" i="30" s="1"/>
  <c r="T110" i="30" s="1"/>
  <c r="T111" i="30" s="1"/>
  <c r="T112" i="30" s="1"/>
  <c r="T113" i="30" s="1"/>
  <c r="T114" i="30" s="1"/>
  <c r="T115" i="30" s="1"/>
  <c r="T116" i="30" s="1"/>
  <c r="T117" i="30" s="1"/>
  <c r="T118" i="30" s="1"/>
  <c r="T119" i="30" s="1"/>
  <c r="T120" i="30" s="1"/>
  <c r="T121" i="30" s="1"/>
  <c r="T122" i="30" s="1"/>
  <c r="T123" i="30" s="1"/>
  <c r="T124" i="30" s="1"/>
  <c r="T125" i="30" s="1"/>
  <c r="T126" i="30" s="1"/>
  <c r="T127" i="30" s="1"/>
  <c r="T128" i="30" s="1"/>
  <c r="T129" i="30" s="1"/>
  <c r="T130" i="30" s="1"/>
  <c r="T131" i="30" s="1"/>
  <c r="T132" i="30" s="1"/>
  <c r="T133" i="30" s="1"/>
  <c r="T134" i="30" s="1"/>
  <c r="T135" i="30" s="1"/>
  <c r="T136" i="30" s="1"/>
  <c r="T137" i="30" s="1"/>
  <c r="T138" i="30" s="1"/>
  <c r="T139" i="30" s="1"/>
  <c r="T140" i="30" s="1"/>
  <c r="T141" i="30" s="1"/>
  <c r="T142" i="30" s="1"/>
  <c r="T143" i="30" s="1"/>
  <c r="T144" i="30" s="1"/>
  <c r="T145" i="30" s="1"/>
  <c r="T146" i="30" s="1"/>
  <c r="T147" i="30" s="1"/>
  <c r="T148" i="30" s="1"/>
  <c r="T149" i="30" s="1"/>
  <c r="T150" i="30" s="1"/>
  <c r="T151" i="30" s="1"/>
  <c r="T152" i="30" s="1"/>
  <c r="T153" i="30" s="1"/>
  <c r="T154" i="30" s="1"/>
  <c r="T155" i="30" s="1"/>
  <c r="T156" i="30" s="1"/>
  <c r="T157" i="30" s="1"/>
  <c r="T158" i="30" s="1"/>
  <c r="T159" i="30" s="1"/>
  <c r="T160" i="30" s="1"/>
  <c r="T161" i="30" s="1"/>
  <c r="T162" i="30" s="1"/>
  <c r="T163" i="30" s="1"/>
  <c r="T164" i="30" s="1"/>
  <c r="T165" i="30" s="1"/>
  <c r="T166" i="30" s="1"/>
  <c r="T167" i="30" s="1"/>
  <c r="T168" i="30" s="1"/>
  <c r="T169" i="30" s="1"/>
  <c r="T170" i="30" s="1"/>
  <c r="T171" i="30" s="1"/>
  <c r="T172" i="30" s="1"/>
  <c r="T173" i="30" s="1"/>
  <c r="T174" i="30" s="1"/>
  <c r="T175" i="30" s="1"/>
  <c r="T176" i="30" s="1"/>
  <c r="T177" i="30" s="1"/>
  <c r="T178" i="30" s="1"/>
  <c r="T179" i="30" s="1"/>
  <c r="T180" i="30" s="1"/>
  <c r="T181" i="30" s="1"/>
  <c r="T182" i="30" s="1"/>
  <c r="T183" i="30" s="1"/>
  <c r="T184" i="30" s="1"/>
  <c r="T185" i="30" s="1"/>
  <c r="T186" i="30" s="1"/>
  <c r="T187" i="30" s="1"/>
  <c r="T188" i="30" s="1"/>
  <c r="T189" i="30" s="1"/>
  <c r="T190" i="30" s="1"/>
  <c r="T191" i="30" s="1"/>
  <c r="T192" i="30" s="1"/>
  <c r="T193" i="30" s="1"/>
  <c r="T194" i="30" s="1"/>
  <c r="T195" i="30" s="1"/>
  <c r="T196" i="30" s="1"/>
  <c r="T197" i="30" s="1"/>
  <c r="T198" i="30" s="1"/>
  <c r="T199" i="30" s="1"/>
  <c r="T200" i="30" s="1"/>
  <c r="T201" i="30" s="1"/>
  <c r="T202" i="30" s="1"/>
  <c r="T203" i="30" s="1"/>
  <c r="T204" i="30" s="1"/>
  <c r="T205" i="30" s="1"/>
  <c r="T206" i="30" s="1"/>
  <c r="T207" i="30" s="1"/>
  <c r="T208" i="30" s="1"/>
  <c r="T209" i="30" s="1"/>
  <c r="T210" i="30" s="1"/>
  <c r="T211" i="30" s="1"/>
  <c r="T212" i="30" s="1"/>
  <c r="T213" i="30" s="1"/>
  <c r="T214" i="30" s="1"/>
  <c r="T215" i="30" s="1"/>
  <c r="T216" i="30" s="1"/>
  <c r="T217" i="30" s="1"/>
  <c r="T218" i="30" s="1"/>
  <c r="T219" i="30" s="1"/>
  <c r="T220" i="30" s="1"/>
  <c r="T221" i="30" s="1"/>
  <c r="T222" i="30" s="1"/>
  <c r="T223" i="30" s="1"/>
  <c r="T224" i="30" s="1"/>
  <c r="T225" i="30" s="1"/>
  <c r="T226" i="30" s="1"/>
  <c r="T227" i="30" s="1"/>
  <c r="T228" i="30" s="1"/>
  <c r="T229" i="30" s="1"/>
  <c r="T230" i="30" s="1"/>
  <c r="T231" i="30" s="1"/>
  <c r="T232" i="30" s="1"/>
  <c r="T233" i="30" s="1"/>
  <c r="T234" i="30" s="1"/>
  <c r="T235" i="30" s="1"/>
  <c r="T236" i="30" s="1"/>
  <c r="T237" i="30" s="1"/>
  <c r="T238" i="30" s="1"/>
  <c r="T239" i="30" s="1"/>
  <c r="T240" i="30" s="1"/>
  <c r="T241" i="30" s="1"/>
  <c r="T242" i="30" s="1"/>
  <c r="T243" i="30" s="1"/>
  <c r="T244" i="30" s="1"/>
  <c r="T245" i="30" s="1"/>
  <c r="T246" i="30" s="1"/>
  <c r="T247" i="30" s="1"/>
  <c r="T248" i="30" s="1"/>
  <c r="T249" i="30" s="1"/>
  <c r="T250" i="30" s="1"/>
  <c r="T251" i="30" s="1"/>
  <c r="T252" i="30" s="1"/>
  <c r="T253" i="30" s="1"/>
  <c r="T254" i="30" s="1"/>
  <c r="T255" i="30" s="1"/>
  <c r="T256" i="30" s="1"/>
  <c r="T257" i="30" s="1"/>
  <c r="T258" i="30" s="1"/>
  <c r="T259" i="30" s="1"/>
  <c r="T260" i="30" s="1"/>
  <c r="T261" i="30" s="1"/>
  <c r="T262" i="30" s="1"/>
  <c r="T263" i="30" s="1"/>
  <c r="T264" i="30" s="1"/>
  <c r="T265" i="30" s="1"/>
  <c r="T266" i="30" s="1"/>
  <c r="T267" i="30" s="1"/>
  <c r="T268" i="30" s="1"/>
  <c r="T269" i="30" s="1"/>
  <c r="T270" i="30" s="1"/>
  <c r="T271" i="30" s="1"/>
  <c r="T272" i="30" s="1"/>
  <c r="T273" i="30" s="1"/>
  <c r="T274" i="30" s="1"/>
  <c r="T275" i="30" s="1"/>
  <c r="T276" i="30" s="1"/>
  <c r="T277" i="30" s="1"/>
  <c r="T278" i="30" s="1"/>
  <c r="T279" i="30" s="1"/>
  <c r="T280" i="30" s="1"/>
  <c r="T281" i="30" s="1"/>
  <c r="T282" i="30" s="1"/>
  <c r="T283" i="30" s="1"/>
  <c r="T284" i="30" s="1"/>
  <c r="T285" i="30" s="1"/>
  <c r="T286" i="30" s="1"/>
  <c r="T287" i="30" s="1"/>
  <c r="T288" i="30" s="1"/>
  <c r="T289" i="30" s="1"/>
  <c r="T290" i="30" s="1"/>
  <c r="T291" i="30" s="1"/>
  <c r="T292" i="30" s="1"/>
  <c r="T293" i="30" s="1"/>
  <c r="T294" i="30" s="1"/>
  <c r="T295" i="30" s="1"/>
  <c r="T296" i="30" s="1"/>
  <c r="T297" i="30" s="1"/>
  <c r="T298" i="30" s="1"/>
  <c r="T299" i="30" s="1"/>
  <c r="T300" i="30" s="1"/>
  <c r="U23" i="30" l="1"/>
  <c r="U24" i="30" s="1"/>
  <c r="U25" i="30" s="1"/>
  <c r="U26" i="30" s="1"/>
  <c r="U27" i="30" s="1"/>
  <c r="U28" i="30" s="1"/>
  <c r="U29" i="30" s="1"/>
  <c r="U30" i="30" s="1"/>
  <c r="U31" i="30" s="1"/>
  <c r="U32" i="30" s="1"/>
  <c r="U33" i="30" s="1"/>
  <c r="U34" i="30" s="1"/>
  <c r="U35" i="30" s="1"/>
  <c r="U36" i="30" s="1"/>
  <c r="U37" i="30" s="1"/>
  <c r="U38" i="30" s="1"/>
  <c r="U39" i="30" s="1"/>
  <c r="U40" i="30" s="1"/>
  <c r="U41" i="30" s="1"/>
  <c r="U42" i="30" s="1"/>
  <c r="U43" i="30" s="1"/>
  <c r="U44" i="30" s="1"/>
  <c r="U45" i="30" s="1"/>
  <c r="U46" i="30" s="1"/>
  <c r="U47" i="30" s="1"/>
  <c r="U48" i="30" s="1"/>
  <c r="U49" i="30" s="1"/>
  <c r="U50" i="30" s="1"/>
  <c r="U51" i="30" s="1"/>
  <c r="U52" i="30" s="1"/>
  <c r="U53" i="30" s="1"/>
  <c r="U54" i="30" s="1"/>
  <c r="U55" i="30" s="1"/>
  <c r="U56" i="30" s="1"/>
  <c r="U57" i="30" s="1"/>
  <c r="U58" i="30" s="1"/>
  <c r="U59" i="30" s="1"/>
  <c r="U60" i="30" s="1"/>
  <c r="U61" i="30" s="1"/>
  <c r="U62" i="30" s="1"/>
  <c r="U63" i="30" s="1"/>
  <c r="U64" i="30" s="1"/>
  <c r="U65" i="30" s="1"/>
  <c r="U66" i="30" s="1"/>
  <c r="U67" i="30" s="1"/>
  <c r="U68" i="30" s="1"/>
  <c r="U69" i="30" s="1"/>
  <c r="U70" i="30" s="1"/>
  <c r="U71" i="30" s="1"/>
  <c r="U72" i="30" s="1"/>
  <c r="U73" i="30" s="1"/>
  <c r="U74" i="30" s="1"/>
  <c r="U75" i="30" s="1"/>
  <c r="U76" i="30" s="1"/>
  <c r="U77" i="30" s="1"/>
  <c r="U78" i="30" s="1"/>
  <c r="U79" i="30" s="1"/>
  <c r="U80" i="30" s="1"/>
  <c r="U81" i="30" s="1"/>
  <c r="U82" i="30" s="1"/>
  <c r="U83" i="30" s="1"/>
  <c r="U84" i="30" s="1"/>
  <c r="U85" i="30" s="1"/>
  <c r="U86" i="30" s="1"/>
  <c r="U87" i="30" s="1"/>
  <c r="U88" i="30" s="1"/>
  <c r="U89" i="30" s="1"/>
  <c r="U90" i="30" s="1"/>
  <c r="U91" i="30" s="1"/>
  <c r="U92" i="30" s="1"/>
  <c r="U93" i="30" s="1"/>
  <c r="U94" i="30" s="1"/>
  <c r="U95" i="30" s="1"/>
  <c r="U96" i="30" s="1"/>
  <c r="U97" i="30" s="1"/>
  <c r="U98" i="30" s="1"/>
  <c r="U99" i="30" s="1"/>
  <c r="U100" i="30" s="1"/>
  <c r="U101" i="30" s="1"/>
  <c r="U102" i="30" s="1"/>
  <c r="U103" i="30" s="1"/>
  <c r="U104" i="30" s="1"/>
  <c r="U105" i="30" s="1"/>
  <c r="U106" i="30" s="1"/>
  <c r="U107" i="30" s="1"/>
  <c r="U108" i="30" s="1"/>
  <c r="U109" i="30" s="1"/>
  <c r="U110" i="30" s="1"/>
  <c r="U111" i="30" s="1"/>
  <c r="U112" i="30" s="1"/>
  <c r="U113" i="30" s="1"/>
  <c r="U114" i="30" s="1"/>
  <c r="U115" i="30" s="1"/>
  <c r="U116" i="30" s="1"/>
  <c r="U117" i="30" s="1"/>
  <c r="U118" i="30" s="1"/>
  <c r="U119" i="30" s="1"/>
  <c r="U120" i="30" s="1"/>
  <c r="U121" i="30" s="1"/>
  <c r="U122" i="30" s="1"/>
  <c r="U123" i="30" s="1"/>
  <c r="U124" i="30" s="1"/>
  <c r="U125" i="30" s="1"/>
  <c r="U126" i="30" s="1"/>
  <c r="U127" i="30" s="1"/>
  <c r="U128" i="30" s="1"/>
  <c r="U129" i="30" s="1"/>
  <c r="U130" i="30" s="1"/>
  <c r="U131" i="30" s="1"/>
  <c r="U132" i="30" s="1"/>
  <c r="U133" i="30" s="1"/>
  <c r="U134" i="30" s="1"/>
  <c r="U135" i="30" s="1"/>
  <c r="U136" i="30" s="1"/>
  <c r="U137" i="30" s="1"/>
  <c r="U138" i="30" s="1"/>
  <c r="U139" i="30" s="1"/>
  <c r="U140" i="30" s="1"/>
  <c r="U141" i="30" s="1"/>
  <c r="U142" i="30" s="1"/>
  <c r="U143" i="30" s="1"/>
  <c r="U144" i="30" s="1"/>
  <c r="U145" i="30" s="1"/>
  <c r="U146" i="30" s="1"/>
  <c r="U147" i="30" s="1"/>
  <c r="U148" i="30" s="1"/>
  <c r="U149" i="30" s="1"/>
  <c r="U150" i="30" s="1"/>
  <c r="U151" i="30" s="1"/>
  <c r="U152" i="30" s="1"/>
  <c r="U153" i="30" s="1"/>
  <c r="U154" i="30" s="1"/>
  <c r="U155" i="30" s="1"/>
  <c r="U156" i="30" s="1"/>
  <c r="U157" i="30" s="1"/>
  <c r="U158" i="30" s="1"/>
  <c r="U159" i="30" s="1"/>
  <c r="U160" i="30" s="1"/>
  <c r="U161" i="30" s="1"/>
  <c r="U162" i="30" s="1"/>
  <c r="U163" i="30" s="1"/>
  <c r="U164" i="30" s="1"/>
  <c r="U165" i="30" s="1"/>
  <c r="U166" i="30" s="1"/>
  <c r="U167" i="30" s="1"/>
  <c r="U168" i="30" s="1"/>
  <c r="U169" i="30" s="1"/>
  <c r="U170" i="30" s="1"/>
  <c r="U171" i="30" s="1"/>
  <c r="U172" i="30" s="1"/>
  <c r="U173" i="30" s="1"/>
  <c r="U174" i="30" s="1"/>
  <c r="U175" i="30" s="1"/>
  <c r="U176" i="30" s="1"/>
  <c r="U177" i="30" s="1"/>
  <c r="U178" i="30" s="1"/>
  <c r="U179" i="30" s="1"/>
  <c r="U180" i="30" s="1"/>
  <c r="U181" i="30" s="1"/>
  <c r="U182" i="30" s="1"/>
  <c r="U183" i="30" s="1"/>
  <c r="U184" i="30" s="1"/>
  <c r="U185" i="30" s="1"/>
  <c r="U186" i="30" s="1"/>
  <c r="U187" i="30" s="1"/>
  <c r="U188" i="30" s="1"/>
  <c r="U189" i="30" s="1"/>
  <c r="U190" i="30" s="1"/>
  <c r="U191" i="30" s="1"/>
  <c r="U192" i="30" s="1"/>
  <c r="U193" i="30" s="1"/>
  <c r="U194" i="30" s="1"/>
  <c r="U195" i="30" s="1"/>
  <c r="U196" i="30" s="1"/>
  <c r="U197" i="30" s="1"/>
  <c r="U198" i="30" s="1"/>
  <c r="U199" i="30" s="1"/>
  <c r="U200" i="30" s="1"/>
  <c r="U201" i="30" s="1"/>
  <c r="U202" i="30" s="1"/>
  <c r="U203" i="30" s="1"/>
  <c r="U204" i="30" s="1"/>
  <c r="U205" i="30" s="1"/>
  <c r="U206" i="30" s="1"/>
  <c r="U207" i="30" s="1"/>
  <c r="U208" i="30" s="1"/>
  <c r="U209" i="30" s="1"/>
  <c r="U210" i="30" s="1"/>
  <c r="U211" i="30" s="1"/>
  <c r="U212" i="30" s="1"/>
  <c r="U213" i="30" s="1"/>
  <c r="U214" i="30" s="1"/>
  <c r="U215" i="30" s="1"/>
  <c r="U216" i="30" s="1"/>
  <c r="U217" i="30" s="1"/>
  <c r="U218" i="30" s="1"/>
  <c r="U219" i="30" s="1"/>
  <c r="U220" i="30" s="1"/>
  <c r="U221" i="30" s="1"/>
  <c r="U222" i="30" s="1"/>
  <c r="U223" i="30" s="1"/>
  <c r="U224" i="30" s="1"/>
  <c r="U225" i="30" s="1"/>
  <c r="U226" i="30" s="1"/>
  <c r="U227" i="30" s="1"/>
  <c r="U228" i="30" s="1"/>
  <c r="U229" i="30" s="1"/>
  <c r="U230" i="30" s="1"/>
  <c r="U231" i="30" s="1"/>
  <c r="U232" i="30" s="1"/>
  <c r="U233" i="30" s="1"/>
  <c r="U234" i="30" s="1"/>
  <c r="U235" i="30" s="1"/>
  <c r="U236" i="30" s="1"/>
  <c r="U237" i="30" s="1"/>
  <c r="U238" i="30" s="1"/>
  <c r="U239" i="30" s="1"/>
  <c r="U240" i="30" s="1"/>
  <c r="U241" i="30" s="1"/>
  <c r="U242" i="30" s="1"/>
  <c r="U243" i="30" s="1"/>
  <c r="U244" i="30" s="1"/>
  <c r="U245" i="30" s="1"/>
  <c r="U246" i="30" s="1"/>
  <c r="U247" i="30" s="1"/>
  <c r="U248" i="30" s="1"/>
  <c r="U249" i="30" s="1"/>
  <c r="U250" i="30" s="1"/>
  <c r="U251" i="30" s="1"/>
  <c r="U252" i="30" s="1"/>
  <c r="U253" i="30" s="1"/>
  <c r="U254" i="30" s="1"/>
  <c r="U255" i="30" s="1"/>
  <c r="U256" i="30" s="1"/>
  <c r="U257" i="30" s="1"/>
  <c r="U258" i="30" s="1"/>
  <c r="U259" i="30" s="1"/>
  <c r="U260" i="30" s="1"/>
  <c r="U261" i="30" s="1"/>
  <c r="U262" i="30" s="1"/>
  <c r="U263" i="30" s="1"/>
  <c r="U264" i="30" s="1"/>
  <c r="U265" i="30" s="1"/>
  <c r="U266" i="30" s="1"/>
  <c r="U267" i="30" s="1"/>
  <c r="U268" i="30" s="1"/>
  <c r="U269" i="30" s="1"/>
  <c r="U270" i="30" s="1"/>
  <c r="U271" i="30" s="1"/>
  <c r="U272" i="30" s="1"/>
  <c r="U273" i="30" s="1"/>
  <c r="U274" i="30" s="1"/>
  <c r="U275" i="30" s="1"/>
  <c r="U276" i="30" s="1"/>
  <c r="U277" i="30" s="1"/>
  <c r="U278" i="30" s="1"/>
  <c r="U279" i="30" s="1"/>
  <c r="U280" i="30" s="1"/>
  <c r="U281" i="30" s="1"/>
  <c r="U282" i="30" s="1"/>
  <c r="U283" i="30" s="1"/>
  <c r="U284" i="30" s="1"/>
  <c r="U285" i="30" s="1"/>
  <c r="U286" i="30" s="1"/>
  <c r="U287" i="30" s="1"/>
  <c r="U288" i="30" s="1"/>
  <c r="U289" i="30" s="1"/>
  <c r="U290" i="30" s="1"/>
  <c r="U291" i="30" s="1"/>
  <c r="U292" i="30" s="1"/>
  <c r="U293" i="30" s="1"/>
  <c r="U294" i="30" s="1"/>
  <c r="U295" i="30" s="1"/>
  <c r="U296" i="30" s="1"/>
  <c r="U297" i="30" s="1"/>
  <c r="U298" i="30" s="1"/>
  <c r="U299" i="30" s="1"/>
  <c r="U300" i="30" s="1"/>
  <c r="T4" i="30" a="1"/>
  <c r="T4" i="30" s="1"/>
  <c r="T3" i="30" a="1"/>
  <c r="T3" i="30" s="1"/>
  <c r="U4" i="30" l="1" a="1"/>
  <c r="U4" i="30" s="1"/>
  <c r="U3" i="30" a="1"/>
  <c r="U3" i="3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xml:space="preserve">SHIMAHARA Akira </author>
  </authors>
  <commentList>
    <comment ref="F39" authorId="0" shapeId="0" xr:uid="{00000000-0006-0000-0100-000001000000}">
      <text>
        <r>
          <rPr>
            <b/>
            <sz val="9"/>
            <color indexed="81"/>
            <rFont val="Tahoma"/>
            <family val="2"/>
          </rPr>
          <t>Crane load shall be attached on top of the boom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xml:space="preserve">SHIMAHARA Akira </author>
  </authors>
  <commentList>
    <comment ref="B9" authorId="0" shapeId="0" xr:uid="{00000000-0006-0000-0400-000001000000}">
      <text>
        <r>
          <rPr>
            <b/>
            <sz val="9"/>
            <color indexed="81"/>
            <rFont val="Tahoma"/>
            <family val="2"/>
          </rPr>
          <t>Draught from baseline</t>
        </r>
        <r>
          <rPr>
            <sz val="9"/>
            <color indexed="81"/>
            <rFont val="Tahoma"/>
            <family val="2"/>
          </rPr>
          <t xml:space="preserve">
</t>
        </r>
      </text>
    </comment>
    <comment ref="C9" authorId="0" shapeId="0" xr:uid="{00000000-0006-0000-0400-000002000000}">
      <text>
        <r>
          <rPr>
            <b/>
            <sz val="9"/>
            <color indexed="81"/>
            <rFont val="Tahoma"/>
            <family val="2"/>
          </rPr>
          <t>Displacement in Fresh Water ρ=1,0000</t>
        </r>
      </text>
    </comment>
    <comment ref="D9" authorId="0" shapeId="0" xr:uid="{00000000-0006-0000-0400-000003000000}">
      <text>
        <r>
          <rPr>
            <b/>
            <sz val="9"/>
            <color indexed="81"/>
            <rFont val="Tahoma"/>
            <family val="2"/>
          </rPr>
          <t>Displacement in Sea Water
ρ=1,025</t>
        </r>
        <r>
          <rPr>
            <sz val="9"/>
            <color indexed="81"/>
            <rFont val="Tahoma"/>
            <family val="2"/>
          </rPr>
          <t xml:space="preserve">
</t>
        </r>
      </text>
    </comment>
    <comment ref="F9" authorId="0" shapeId="0" xr:uid="{00000000-0006-0000-0400-000004000000}">
      <text>
        <r>
          <rPr>
            <b/>
            <sz val="9"/>
            <color indexed="81"/>
            <rFont val="Tahoma"/>
            <family val="2"/>
          </rPr>
          <t>Moment to Change Trim</t>
        </r>
        <r>
          <rPr>
            <sz val="9"/>
            <color indexed="81"/>
            <rFont val="Tahoma"/>
            <family val="2"/>
          </rPr>
          <t xml:space="preserve">
</t>
        </r>
      </text>
    </comment>
    <comment ref="G9" authorId="0" shapeId="0" xr:uid="{00000000-0006-0000-0400-000005000000}">
      <text>
        <r>
          <rPr>
            <b/>
            <sz val="9"/>
            <color indexed="81"/>
            <rFont val="Tahoma"/>
            <family val="2"/>
          </rPr>
          <t>X Center of Buoyancy From APP</t>
        </r>
      </text>
    </comment>
    <comment ref="H9" authorId="0" shapeId="0" xr:uid="{00000000-0006-0000-0400-000006000000}">
      <text>
        <r>
          <rPr>
            <b/>
            <sz val="9"/>
            <color indexed="81"/>
            <rFont val="Tahoma"/>
            <family val="2"/>
          </rPr>
          <t>Y center of buoyancy from CL</t>
        </r>
        <r>
          <rPr>
            <sz val="9"/>
            <color indexed="81"/>
            <rFont val="Tahoma"/>
            <family val="2"/>
          </rPr>
          <t xml:space="preserve">
</t>
        </r>
      </text>
    </comment>
    <comment ref="I9" authorId="0" shapeId="0" xr:uid="{00000000-0006-0000-0400-000007000000}">
      <text>
        <r>
          <rPr>
            <b/>
            <sz val="9"/>
            <color indexed="81"/>
            <rFont val="Tahoma"/>
            <family val="2"/>
          </rPr>
          <t>X center of flottation from APP</t>
        </r>
        <r>
          <rPr>
            <sz val="9"/>
            <color indexed="81"/>
            <rFont val="Tahoma"/>
            <family val="2"/>
          </rPr>
          <t xml:space="preserve">
</t>
        </r>
      </text>
    </comment>
    <comment ref="J9" authorId="0" shapeId="0" xr:uid="{00000000-0006-0000-0400-000008000000}">
      <text>
        <r>
          <rPr>
            <b/>
            <sz val="9"/>
            <color indexed="81"/>
            <rFont val="Tahoma"/>
            <family val="2"/>
          </rPr>
          <t>Metacentric Height above Keel</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xml:space="preserve">SHIMAHARA Akira </author>
  </authors>
  <commentList>
    <comment ref="AZ4" authorId="0" shapeId="0" xr:uid="{00000000-0006-0000-0600-000001000000}">
      <text>
        <r>
          <rPr>
            <b/>
            <sz val="9"/>
            <color indexed="81"/>
            <rFont val="Tahoma"/>
            <family val="2"/>
          </rPr>
          <t>Draught from baseline</t>
        </r>
        <r>
          <rPr>
            <sz val="9"/>
            <color indexed="81"/>
            <rFont val="Tahoma"/>
            <family val="2"/>
          </rPr>
          <t xml:space="preserve">
</t>
        </r>
      </text>
    </comment>
    <comment ref="AS5" authorId="0" shapeId="0" xr:uid="{00000000-0006-0000-0600-000002000000}">
      <text>
        <r>
          <rPr>
            <b/>
            <sz val="9"/>
            <color indexed="81"/>
            <rFont val="Tahoma"/>
            <family val="2"/>
          </rPr>
          <t>TODO check the transport sign LCF-LCB or LCB-LCF</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SHIMAHARA Akira </author>
  </authors>
  <commentList>
    <comment ref="AJ4" authorId="0" shapeId="0" xr:uid="{00000000-0006-0000-0700-000001000000}">
      <text>
        <r>
          <rPr>
            <b/>
            <sz val="9"/>
            <color indexed="81"/>
            <rFont val="Tahoma"/>
            <family val="2"/>
          </rPr>
          <t>Not OK if one part of the load is applied outside the ship (i.e. &lt;0 or &gt;Lpp)</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xml:space="preserve">SHIMAHARA Akira </author>
  </authors>
  <commentList>
    <comment ref="AA2" authorId="0" shapeId="0" xr:uid="{00000000-0006-0000-0800-000001000000}">
      <text>
        <r>
          <rPr>
            <b/>
            <sz val="9"/>
            <color indexed="81"/>
            <rFont val="Tahoma"/>
            <family val="2"/>
          </rPr>
          <t>If KO check  line number and Ballast_Nline named range</t>
        </r>
        <r>
          <rPr>
            <sz val="9"/>
            <color indexed="81"/>
            <rFont val="Tahoma"/>
            <family val="2"/>
          </rPr>
          <t xml:space="preserve">
</t>
        </r>
      </text>
    </comment>
    <comment ref="AK2" authorId="0" shapeId="0" xr:uid="{00000000-0006-0000-0800-000002000000}">
      <text>
        <r>
          <rPr>
            <b/>
            <sz val="9"/>
            <color indexed="81"/>
            <rFont val="Tahoma"/>
            <family val="2"/>
          </rPr>
          <t>If KO check  line number and Ballast_Nline named range</t>
        </r>
        <r>
          <rPr>
            <sz val="9"/>
            <color indexed="81"/>
            <rFont val="Tahoma"/>
            <family val="2"/>
          </rPr>
          <t xml:space="preserve">
</t>
        </r>
      </text>
    </comment>
    <comment ref="AU2" authorId="0" shapeId="0" xr:uid="{00000000-0006-0000-0800-000003000000}">
      <text>
        <r>
          <rPr>
            <b/>
            <sz val="9"/>
            <color indexed="81"/>
            <rFont val="Tahoma"/>
            <family val="2"/>
          </rPr>
          <t>If KO check  line number and Ballast_Nline named range</t>
        </r>
        <r>
          <rPr>
            <sz val="9"/>
            <color indexed="81"/>
            <rFont val="Tahoma"/>
            <family val="2"/>
          </rPr>
          <t xml:space="preserve">
</t>
        </r>
      </text>
    </comment>
    <comment ref="BE2" authorId="0" shapeId="0" xr:uid="{00000000-0006-0000-0800-000004000000}">
      <text>
        <r>
          <rPr>
            <b/>
            <sz val="9"/>
            <color indexed="81"/>
            <rFont val="Tahoma"/>
            <family val="2"/>
          </rPr>
          <t>If KO check  line number and Ballast_Nline named range</t>
        </r>
        <r>
          <rPr>
            <sz val="9"/>
            <color indexed="81"/>
            <rFont val="Tahoma"/>
            <family val="2"/>
          </rPr>
          <t xml:space="preserve">
</t>
        </r>
      </text>
    </comment>
    <comment ref="BO2" authorId="0" shapeId="0" xr:uid="{00000000-0006-0000-0800-000005000000}">
      <text>
        <r>
          <rPr>
            <b/>
            <sz val="9"/>
            <color indexed="81"/>
            <rFont val="Tahoma"/>
            <family val="2"/>
          </rPr>
          <t>If KO check  line number and Ballast_Nline named range</t>
        </r>
        <r>
          <rPr>
            <sz val="9"/>
            <color indexed="81"/>
            <rFont val="Tahoma"/>
            <family val="2"/>
          </rPr>
          <t xml:space="preserve">
</t>
        </r>
      </text>
    </comment>
    <comment ref="BY2" authorId="0" shapeId="0" xr:uid="{00000000-0006-0000-0800-000006000000}">
      <text>
        <r>
          <rPr>
            <b/>
            <sz val="9"/>
            <color indexed="81"/>
            <rFont val="Tahoma"/>
            <family val="2"/>
          </rPr>
          <t>If KO check  line number and Ballast_Nline named range</t>
        </r>
        <r>
          <rPr>
            <sz val="9"/>
            <color indexed="81"/>
            <rFont val="Tahoma"/>
            <family val="2"/>
          </rPr>
          <t xml:space="preserve">
</t>
        </r>
      </text>
    </comment>
    <comment ref="CI2" authorId="0" shapeId="0" xr:uid="{00000000-0006-0000-0800-000007000000}">
      <text>
        <r>
          <rPr>
            <b/>
            <sz val="9"/>
            <color indexed="81"/>
            <rFont val="Tahoma"/>
            <family val="2"/>
          </rPr>
          <t>If KO check  line number and Ballast_Nline named range</t>
        </r>
        <r>
          <rPr>
            <sz val="9"/>
            <color indexed="81"/>
            <rFont val="Tahoma"/>
            <family val="2"/>
          </rPr>
          <t xml:space="preserve">
</t>
        </r>
      </text>
    </comment>
    <comment ref="CS2" authorId="0" shapeId="0" xr:uid="{00000000-0006-0000-0800-000008000000}">
      <text>
        <r>
          <rPr>
            <b/>
            <sz val="9"/>
            <color indexed="81"/>
            <rFont val="Tahoma"/>
            <family val="2"/>
          </rPr>
          <t>If KO check  line number and Ballast_Nline named range</t>
        </r>
        <r>
          <rPr>
            <sz val="9"/>
            <color indexed="81"/>
            <rFont val="Tahoma"/>
            <family val="2"/>
          </rPr>
          <t xml:space="preserve">
</t>
        </r>
      </text>
    </comment>
    <comment ref="DC2" authorId="0" shapeId="0" xr:uid="{00000000-0006-0000-0800-000009000000}">
      <text>
        <r>
          <rPr>
            <b/>
            <sz val="9"/>
            <color indexed="81"/>
            <rFont val="Tahoma"/>
            <family val="2"/>
          </rPr>
          <t>If KO check  line number and Ballast_Nline named range</t>
        </r>
        <r>
          <rPr>
            <sz val="9"/>
            <color indexed="81"/>
            <rFont val="Tahoma"/>
            <family val="2"/>
          </rPr>
          <t xml:space="preserve">
</t>
        </r>
      </text>
    </comment>
    <comment ref="DM2" authorId="0" shapeId="0" xr:uid="{00000000-0006-0000-0800-00000A000000}">
      <text>
        <r>
          <rPr>
            <b/>
            <sz val="9"/>
            <color indexed="81"/>
            <rFont val="Tahoma"/>
            <family val="2"/>
          </rPr>
          <t>If KO check  line number and Ballast_Nline named range</t>
        </r>
        <r>
          <rPr>
            <sz val="9"/>
            <color indexed="81"/>
            <rFont val="Tahoma"/>
            <family val="2"/>
          </rPr>
          <t xml:space="preserve">
</t>
        </r>
      </text>
    </comment>
    <comment ref="DW2" authorId="0" shapeId="0" xr:uid="{00000000-0006-0000-0800-00000B000000}">
      <text>
        <r>
          <rPr>
            <b/>
            <sz val="9"/>
            <color indexed="81"/>
            <rFont val="Tahoma"/>
            <family val="2"/>
          </rPr>
          <t>If KO check  line number and Ballast_Nline named range</t>
        </r>
        <r>
          <rPr>
            <sz val="9"/>
            <color indexed="81"/>
            <rFont val="Tahoma"/>
            <family val="2"/>
          </rPr>
          <t xml:space="preserve">
</t>
        </r>
      </text>
    </comment>
    <comment ref="EG2" authorId="0" shapeId="0" xr:uid="{00000000-0006-0000-0800-00000C000000}">
      <text>
        <r>
          <rPr>
            <b/>
            <sz val="9"/>
            <color indexed="81"/>
            <rFont val="Tahoma"/>
            <family val="2"/>
          </rPr>
          <t>If KO check  line number and Ballast_Nline named range</t>
        </r>
        <r>
          <rPr>
            <sz val="9"/>
            <color indexed="81"/>
            <rFont val="Tahoma"/>
            <family val="2"/>
          </rPr>
          <t xml:space="preserve">
</t>
        </r>
      </text>
    </comment>
    <comment ref="EQ2" authorId="0" shapeId="0" xr:uid="{00000000-0006-0000-0800-00000D000000}">
      <text>
        <r>
          <rPr>
            <b/>
            <sz val="9"/>
            <color indexed="81"/>
            <rFont val="Tahoma"/>
            <family val="2"/>
          </rPr>
          <t>If KO check  line number and Ballast_Nline named range</t>
        </r>
        <r>
          <rPr>
            <sz val="9"/>
            <color indexed="81"/>
            <rFont val="Tahoma"/>
            <family val="2"/>
          </rPr>
          <t xml:space="preserve">
</t>
        </r>
      </text>
    </comment>
    <comment ref="FA2" authorId="0" shapeId="0" xr:uid="{00000000-0006-0000-0800-00000E000000}">
      <text>
        <r>
          <rPr>
            <b/>
            <sz val="9"/>
            <color indexed="81"/>
            <rFont val="Tahoma"/>
            <family val="2"/>
          </rPr>
          <t>If KO check  line number and Ballast_Nline named range</t>
        </r>
        <r>
          <rPr>
            <sz val="9"/>
            <color indexed="81"/>
            <rFont val="Tahoma"/>
            <family val="2"/>
          </rPr>
          <t xml:space="preserve">
</t>
        </r>
      </text>
    </comment>
    <comment ref="FK2" authorId="0" shapeId="0" xr:uid="{00000000-0006-0000-0800-00000F000000}">
      <text>
        <r>
          <rPr>
            <b/>
            <sz val="9"/>
            <color indexed="81"/>
            <rFont val="Tahoma"/>
            <family val="2"/>
          </rPr>
          <t>If KO check  line number and Ballast_Nline named range</t>
        </r>
        <r>
          <rPr>
            <sz val="9"/>
            <color indexed="81"/>
            <rFont val="Tahoma"/>
            <family val="2"/>
          </rPr>
          <t xml:space="preserve">
</t>
        </r>
      </text>
    </comment>
    <comment ref="FU2" authorId="0" shapeId="0" xr:uid="{00000000-0006-0000-0800-000010000000}">
      <text>
        <r>
          <rPr>
            <b/>
            <sz val="9"/>
            <color indexed="81"/>
            <rFont val="Tahoma"/>
            <family val="2"/>
          </rPr>
          <t>If KO check  line number and Ballast_Nline named range</t>
        </r>
        <r>
          <rPr>
            <sz val="9"/>
            <color indexed="81"/>
            <rFont val="Tahoma"/>
            <family val="2"/>
          </rPr>
          <t xml:space="preserve">
</t>
        </r>
      </text>
    </comment>
    <comment ref="GE2" authorId="0" shapeId="0" xr:uid="{00000000-0006-0000-0800-000011000000}">
      <text>
        <r>
          <rPr>
            <b/>
            <sz val="9"/>
            <color indexed="81"/>
            <rFont val="Tahoma"/>
            <family val="2"/>
          </rPr>
          <t>If KO check  line number and Ballast_Nline named range</t>
        </r>
        <r>
          <rPr>
            <sz val="9"/>
            <color indexed="81"/>
            <rFont val="Tahoma"/>
            <family val="2"/>
          </rPr>
          <t xml:space="preserve">
</t>
        </r>
      </text>
    </comment>
    <comment ref="GO2" authorId="0" shapeId="0" xr:uid="{00000000-0006-0000-0800-000012000000}">
      <text>
        <r>
          <rPr>
            <b/>
            <sz val="9"/>
            <color indexed="81"/>
            <rFont val="Tahoma"/>
            <family val="2"/>
          </rPr>
          <t>If KO check  line number and Ballast_Nline named range</t>
        </r>
        <r>
          <rPr>
            <sz val="9"/>
            <color indexed="81"/>
            <rFont val="Tahoma"/>
            <family val="2"/>
          </rPr>
          <t xml:space="preserve">
</t>
        </r>
      </text>
    </comment>
    <comment ref="GY2" authorId="0" shapeId="0" xr:uid="{00000000-0006-0000-0800-000013000000}">
      <text>
        <r>
          <rPr>
            <b/>
            <sz val="9"/>
            <color indexed="81"/>
            <rFont val="Tahoma"/>
            <family val="2"/>
          </rPr>
          <t>If KO check  line number and Ballast_Nline named range</t>
        </r>
        <r>
          <rPr>
            <sz val="9"/>
            <color indexed="81"/>
            <rFont val="Tahoma"/>
            <family val="2"/>
          </rPr>
          <t xml:space="preserve">
</t>
        </r>
      </text>
    </comment>
    <comment ref="HI2" authorId="0" shapeId="0" xr:uid="{00000000-0006-0000-0800-000014000000}">
      <text>
        <r>
          <rPr>
            <b/>
            <sz val="9"/>
            <color indexed="81"/>
            <rFont val="Tahoma"/>
            <family val="2"/>
          </rPr>
          <t>If KO check  line number and Ballast_Nline named range</t>
        </r>
        <r>
          <rPr>
            <sz val="9"/>
            <color indexed="81"/>
            <rFont val="Tahoma"/>
            <family val="2"/>
          </rPr>
          <t xml:space="preserve">
</t>
        </r>
      </text>
    </comment>
    <comment ref="HS2" authorId="0" shapeId="0" xr:uid="{00000000-0006-0000-0800-000015000000}">
      <text>
        <r>
          <rPr>
            <b/>
            <sz val="9"/>
            <color indexed="81"/>
            <rFont val="Tahoma"/>
            <family val="2"/>
          </rPr>
          <t>If KO check  line number and Ballast_Nline named range</t>
        </r>
        <r>
          <rPr>
            <sz val="9"/>
            <color indexed="81"/>
            <rFont val="Tahoma"/>
            <family val="2"/>
          </rPr>
          <t xml:space="preserve">
</t>
        </r>
      </text>
    </comment>
    <comment ref="IC2" authorId="0" shapeId="0" xr:uid="{00000000-0006-0000-0800-000016000000}">
      <text>
        <r>
          <rPr>
            <b/>
            <sz val="9"/>
            <color indexed="81"/>
            <rFont val="Tahoma"/>
            <family val="2"/>
          </rPr>
          <t>If KO check  line number and Ballast_Nline named range</t>
        </r>
        <r>
          <rPr>
            <sz val="9"/>
            <color indexed="81"/>
            <rFont val="Tahoma"/>
            <family val="2"/>
          </rPr>
          <t xml:space="preserve">
</t>
        </r>
      </text>
    </comment>
    <comment ref="IM2" authorId="0" shapeId="0" xr:uid="{00000000-0006-0000-0800-000017000000}">
      <text>
        <r>
          <rPr>
            <b/>
            <sz val="9"/>
            <color indexed="81"/>
            <rFont val="Tahoma"/>
            <family val="2"/>
          </rPr>
          <t>If KO check  line number and Ballast_Nline named range</t>
        </r>
        <r>
          <rPr>
            <sz val="9"/>
            <color indexed="81"/>
            <rFont val="Tahoma"/>
            <family val="2"/>
          </rPr>
          <t xml:space="preserve">
</t>
        </r>
      </text>
    </comment>
    <comment ref="IW2" authorId="0" shapeId="0" xr:uid="{00000000-0006-0000-0800-000018000000}">
      <text>
        <r>
          <rPr>
            <b/>
            <sz val="9"/>
            <color indexed="81"/>
            <rFont val="Tahoma"/>
            <family val="2"/>
          </rPr>
          <t>If KO check  line number and Ballast_Nline named range</t>
        </r>
        <r>
          <rPr>
            <sz val="9"/>
            <color indexed="81"/>
            <rFont val="Tahoma"/>
            <family val="2"/>
          </rPr>
          <t xml:space="preserve">
</t>
        </r>
      </text>
    </comment>
    <comment ref="JG2" authorId="0" shapeId="0" xr:uid="{00000000-0006-0000-0800-000019000000}">
      <text>
        <r>
          <rPr>
            <b/>
            <sz val="9"/>
            <color indexed="81"/>
            <rFont val="Tahoma"/>
            <family val="2"/>
          </rPr>
          <t>If KO check  line number and Ballast_Nline named range</t>
        </r>
        <r>
          <rPr>
            <sz val="9"/>
            <color indexed="81"/>
            <rFont val="Tahoma"/>
            <family val="2"/>
          </rPr>
          <t xml:space="preserve">
</t>
        </r>
      </text>
    </comment>
    <comment ref="JQ2" authorId="0" shapeId="0" xr:uid="{00000000-0006-0000-0800-00001A000000}">
      <text>
        <r>
          <rPr>
            <b/>
            <sz val="9"/>
            <color indexed="81"/>
            <rFont val="Tahoma"/>
            <family val="2"/>
          </rPr>
          <t>If KO check  line number and Ballast_Nline named range</t>
        </r>
        <r>
          <rPr>
            <sz val="9"/>
            <color indexed="81"/>
            <rFont val="Tahoma"/>
            <family val="2"/>
          </rPr>
          <t xml:space="preserve">
</t>
        </r>
      </text>
    </comment>
    <comment ref="KA2" authorId="0" shapeId="0" xr:uid="{00000000-0006-0000-0800-00001B000000}">
      <text>
        <r>
          <rPr>
            <b/>
            <sz val="9"/>
            <color indexed="81"/>
            <rFont val="Tahoma"/>
            <family val="2"/>
          </rPr>
          <t>If KO check  line number and Ballast_Nline named range</t>
        </r>
        <r>
          <rPr>
            <sz val="9"/>
            <color indexed="81"/>
            <rFont val="Tahoma"/>
            <family val="2"/>
          </rPr>
          <t xml:space="preserve">
</t>
        </r>
      </text>
    </comment>
    <comment ref="KK2" authorId="0" shapeId="0" xr:uid="{00000000-0006-0000-0800-00001C000000}">
      <text>
        <r>
          <rPr>
            <b/>
            <sz val="9"/>
            <color indexed="81"/>
            <rFont val="Tahoma"/>
            <family val="2"/>
          </rPr>
          <t>If KO check  line number and Ballast_Nline named range</t>
        </r>
        <r>
          <rPr>
            <sz val="9"/>
            <color indexed="81"/>
            <rFont val="Tahoma"/>
            <family val="2"/>
          </rPr>
          <t xml:space="preserve">
</t>
        </r>
      </text>
    </comment>
    <comment ref="KU2" authorId="0" shapeId="0" xr:uid="{00000000-0006-0000-0800-00001D000000}">
      <text>
        <r>
          <rPr>
            <b/>
            <sz val="9"/>
            <color indexed="81"/>
            <rFont val="Tahoma"/>
            <family val="2"/>
          </rPr>
          <t>If KO check  line number and Ballast_Nline named range</t>
        </r>
        <r>
          <rPr>
            <sz val="9"/>
            <color indexed="81"/>
            <rFont val="Tahoma"/>
            <family val="2"/>
          </rPr>
          <t xml:space="preserve">
</t>
        </r>
      </text>
    </comment>
    <comment ref="X9" authorId="0" shapeId="0" xr:uid="{00000000-0006-0000-0800-00001E000000}">
      <text>
        <r>
          <rPr>
            <b/>
            <sz val="9"/>
            <color indexed="81"/>
            <rFont val="Tahoma"/>
            <family val="2"/>
          </rPr>
          <t>Not OK if one part of the load is applied outside the ship (i.e. &lt;0 or &gt;Lpp)</t>
        </r>
      </text>
    </comment>
    <comment ref="AA9" authorId="0" shapeId="0" xr:uid="{00000000-0006-0000-0800-00001F000000}">
      <text>
        <r>
          <rPr>
            <b/>
            <sz val="9"/>
            <color indexed="81"/>
            <rFont val="Tahoma"/>
            <family val="2"/>
          </rPr>
          <t>X lenght of ballast depending on H sounding</t>
        </r>
        <r>
          <rPr>
            <sz val="9"/>
            <color indexed="81"/>
            <rFont val="Tahoma"/>
            <family val="2"/>
          </rPr>
          <t xml:space="preserve">
</t>
        </r>
      </text>
    </comment>
    <comment ref="AB9" authorId="0" shapeId="0" xr:uid="{00000000-0006-0000-0800-000020000000}">
      <text>
        <r>
          <rPr>
            <b/>
            <sz val="9"/>
            <color indexed="81"/>
            <rFont val="Tahoma"/>
            <family val="2"/>
          </rPr>
          <t>Y width of ballast depending on H sounding</t>
        </r>
        <r>
          <rPr>
            <sz val="9"/>
            <color indexed="81"/>
            <rFont val="Tahoma"/>
            <family val="2"/>
          </rPr>
          <t xml:space="preserve">
</t>
        </r>
      </text>
    </comment>
    <comment ref="AD9" authorId="0" shapeId="0" xr:uid="{00000000-0006-0000-0800-000021000000}">
      <text>
        <r>
          <rPr>
            <b/>
            <sz val="9"/>
            <color indexed="81"/>
            <rFont val="Tahoma"/>
            <family val="2"/>
          </rPr>
          <t>Volume is approximately calculated by straigth pyramide step. Residual are small</t>
        </r>
      </text>
    </comment>
    <comment ref="AK9" authorId="0" shapeId="0" xr:uid="{00000000-0006-0000-0800-000022000000}">
      <text>
        <r>
          <rPr>
            <b/>
            <sz val="9"/>
            <color indexed="81"/>
            <rFont val="Tahoma"/>
            <family val="2"/>
          </rPr>
          <t>X lenght of ballast depending on H sounding</t>
        </r>
        <r>
          <rPr>
            <sz val="9"/>
            <color indexed="81"/>
            <rFont val="Tahoma"/>
            <family val="2"/>
          </rPr>
          <t xml:space="preserve">
</t>
        </r>
      </text>
    </comment>
    <comment ref="AL9" authorId="0" shapeId="0" xr:uid="{00000000-0006-0000-0800-000023000000}">
      <text>
        <r>
          <rPr>
            <b/>
            <sz val="9"/>
            <color indexed="81"/>
            <rFont val="Tahoma"/>
            <family val="2"/>
          </rPr>
          <t>Y width of ballast depending on H sounding</t>
        </r>
        <r>
          <rPr>
            <sz val="9"/>
            <color indexed="81"/>
            <rFont val="Tahoma"/>
            <family val="2"/>
          </rPr>
          <t xml:space="preserve">
</t>
        </r>
      </text>
    </comment>
    <comment ref="AN9" authorId="0" shapeId="0" xr:uid="{00000000-0006-0000-0800-000024000000}">
      <text>
        <r>
          <rPr>
            <b/>
            <sz val="9"/>
            <color indexed="81"/>
            <rFont val="Tahoma"/>
            <family val="2"/>
          </rPr>
          <t>Volume is approximately calculated by straigth pyramide step. Residual are small</t>
        </r>
      </text>
    </comment>
    <comment ref="AU9" authorId="0" shapeId="0" xr:uid="{00000000-0006-0000-0800-000025000000}">
      <text>
        <r>
          <rPr>
            <b/>
            <sz val="9"/>
            <color indexed="81"/>
            <rFont val="Tahoma"/>
            <family val="2"/>
          </rPr>
          <t>X lenght of ballast depending on H sounding</t>
        </r>
        <r>
          <rPr>
            <sz val="9"/>
            <color indexed="81"/>
            <rFont val="Tahoma"/>
            <family val="2"/>
          </rPr>
          <t xml:space="preserve">
</t>
        </r>
      </text>
    </comment>
    <comment ref="AV9" authorId="0" shapeId="0" xr:uid="{00000000-0006-0000-0800-000026000000}">
      <text>
        <r>
          <rPr>
            <b/>
            <sz val="9"/>
            <color indexed="81"/>
            <rFont val="Tahoma"/>
            <family val="2"/>
          </rPr>
          <t>Y width of ballast depending on H sounding</t>
        </r>
        <r>
          <rPr>
            <sz val="9"/>
            <color indexed="81"/>
            <rFont val="Tahoma"/>
            <family val="2"/>
          </rPr>
          <t xml:space="preserve">
</t>
        </r>
      </text>
    </comment>
    <comment ref="AX9" authorId="0" shapeId="0" xr:uid="{00000000-0006-0000-0800-000027000000}">
      <text>
        <r>
          <rPr>
            <b/>
            <sz val="9"/>
            <color indexed="81"/>
            <rFont val="Tahoma"/>
            <family val="2"/>
          </rPr>
          <t>Volume is approximately calculated by straigth pyramide step. Residual are small</t>
        </r>
      </text>
    </comment>
    <comment ref="BE9" authorId="0" shapeId="0" xr:uid="{00000000-0006-0000-0800-000028000000}">
      <text>
        <r>
          <rPr>
            <b/>
            <sz val="9"/>
            <color indexed="81"/>
            <rFont val="Tahoma"/>
            <family val="2"/>
          </rPr>
          <t>X lenght of ballast depending on H sounding</t>
        </r>
        <r>
          <rPr>
            <sz val="9"/>
            <color indexed="81"/>
            <rFont val="Tahoma"/>
            <family val="2"/>
          </rPr>
          <t xml:space="preserve">
</t>
        </r>
      </text>
    </comment>
    <comment ref="BF9" authorId="0" shapeId="0" xr:uid="{00000000-0006-0000-0800-000029000000}">
      <text>
        <r>
          <rPr>
            <b/>
            <sz val="9"/>
            <color indexed="81"/>
            <rFont val="Tahoma"/>
            <family val="2"/>
          </rPr>
          <t>Y width of ballast depending on H sounding</t>
        </r>
        <r>
          <rPr>
            <sz val="9"/>
            <color indexed="81"/>
            <rFont val="Tahoma"/>
            <family val="2"/>
          </rPr>
          <t xml:space="preserve">
</t>
        </r>
      </text>
    </comment>
    <comment ref="BH9" authorId="0" shapeId="0" xr:uid="{00000000-0006-0000-0800-00002A000000}">
      <text>
        <r>
          <rPr>
            <b/>
            <sz val="9"/>
            <color indexed="81"/>
            <rFont val="Tahoma"/>
            <family val="2"/>
          </rPr>
          <t>Volume is approximately calculated by straigth pyramide step. Residual are small</t>
        </r>
      </text>
    </comment>
    <comment ref="BO9" authorId="0" shapeId="0" xr:uid="{00000000-0006-0000-0800-00002B000000}">
      <text>
        <r>
          <rPr>
            <b/>
            <sz val="9"/>
            <color indexed="81"/>
            <rFont val="Tahoma"/>
            <family val="2"/>
          </rPr>
          <t>X lenght of ballast depending on H sounding</t>
        </r>
        <r>
          <rPr>
            <sz val="9"/>
            <color indexed="81"/>
            <rFont val="Tahoma"/>
            <family val="2"/>
          </rPr>
          <t xml:space="preserve">
</t>
        </r>
      </text>
    </comment>
    <comment ref="BP9" authorId="0" shapeId="0" xr:uid="{00000000-0006-0000-0800-00002C000000}">
      <text>
        <r>
          <rPr>
            <b/>
            <sz val="9"/>
            <color indexed="81"/>
            <rFont val="Tahoma"/>
            <family val="2"/>
          </rPr>
          <t>Y width of ballast depending on H sounding</t>
        </r>
        <r>
          <rPr>
            <sz val="9"/>
            <color indexed="81"/>
            <rFont val="Tahoma"/>
            <family val="2"/>
          </rPr>
          <t xml:space="preserve">
</t>
        </r>
      </text>
    </comment>
    <comment ref="BR9" authorId="0" shapeId="0" xr:uid="{00000000-0006-0000-0800-00002D000000}">
      <text>
        <r>
          <rPr>
            <b/>
            <sz val="9"/>
            <color indexed="81"/>
            <rFont val="Tahoma"/>
            <family val="2"/>
          </rPr>
          <t>Volume is approximately calculated by straigth pyramide step. Residual are small</t>
        </r>
      </text>
    </comment>
    <comment ref="BY9" authorId="0" shapeId="0" xr:uid="{00000000-0006-0000-0800-00002E000000}">
      <text>
        <r>
          <rPr>
            <b/>
            <sz val="9"/>
            <color indexed="81"/>
            <rFont val="Tahoma"/>
            <family val="2"/>
          </rPr>
          <t>X lenght of ballast depending on H sounding</t>
        </r>
        <r>
          <rPr>
            <sz val="9"/>
            <color indexed="81"/>
            <rFont val="Tahoma"/>
            <family val="2"/>
          </rPr>
          <t xml:space="preserve">
</t>
        </r>
      </text>
    </comment>
    <comment ref="BZ9" authorId="0" shapeId="0" xr:uid="{00000000-0006-0000-0800-00002F000000}">
      <text>
        <r>
          <rPr>
            <b/>
            <sz val="9"/>
            <color indexed="81"/>
            <rFont val="Tahoma"/>
            <family val="2"/>
          </rPr>
          <t>Y width of ballast depending on H sounding</t>
        </r>
        <r>
          <rPr>
            <sz val="9"/>
            <color indexed="81"/>
            <rFont val="Tahoma"/>
            <family val="2"/>
          </rPr>
          <t xml:space="preserve">
</t>
        </r>
      </text>
    </comment>
    <comment ref="CB9" authorId="0" shapeId="0" xr:uid="{00000000-0006-0000-0800-000030000000}">
      <text>
        <r>
          <rPr>
            <b/>
            <sz val="9"/>
            <color indexed="81"/>
            <rFont val="Tahoma"/>
            <family val="2"/>
          </rPr>
          <t>Volume is approximately calculated by straigth pyramide step. Residual are small</t>
        </r>
      </text>
    </comment>
    <comment ref="CI9" authorId="0" shapeId="0" xr:uid="{00000000-0006-0000-0800-000031000000}">
      <text>
        <r>
          <rPr>
            <b/>
            <sz val="9"/>
            <color indexed="81"/>
            <rFont val="Tahoma"/>
            <family val="2"/>
          </rPr>
          <t>X lenght of ballast depending on H sounding</t>
        </r>
        <r>
          <rPr>
            <sz val="9"/>
            <color indexed="81"/>
            <rFont val="Tahoma"/>
            <family val="2"/>
          </rPr>
          <t xml:space="preserve">
</t>
        </r>
      </text>
    </comment>
    <comment ref="CJ9" authorId="0" shapeId="0" xr:uid="{00000000-0006-0000-0800-000032000000}">
      <text>
        <r>
          <rPr>
            <b/>
            <sz val="9"/>
            <color indexed="81"/>
            <rFont val="Tahoma"/>
            <family val="2"/>
          </rPr>
          <t>Y width of ballast depending on H sounding</t>
        </r>
        <r>
          <rPr>
            <sz val="9"/>
            <color indexed="81"/>
            <rFont val="Tahoma"/>
            <family val="2"/>
          </rPr>
          <t xml:space="preserve">
</t>
        </r>
      </text>
    </comment>
    <comment ref="CL9" authorId="0" shapeId="0" xr:uid="{00000000-0006-0000-0800-000033000000}">
      <text>
        <r>
          <rPr>
            <b/>
            <sz val="9"/>
            <color indexed="81"/>
            <rFont val="Tahoma"/>
            <family val="2"/>
          </rPr>
          <t>Volume is approximately calculated by straigth pyramide step. Residual are small</t>
        </r>
      </text>
    </comment>
    <comment ref="CS9" authorId="0" shapeId="0" xr:uid="{00000000-0006-0000-0800-000034000000}">
      <text>
        <r>
          <rPr>
            <b/>
            <sz val="9"/>
            <color indexed="81"/>
            <rFont val="Tahoma"/>
            <family val="2"/>
          </rPr>
          <t>X lenght of ballast depending on H sounding</t>
        </r>
        <r>
          <rPr>
            <sz val="9"/>
            <color indexed="81"/>
            <rFont val="Tahoma"/>
            <family val="2"/>
          </rPr>
          <t xml:space="preserve">
</t>
        </r>
      </text>
    </comment>
    <comment ref="CT9" authorId="0" shapeId="0" xr:uid="{00000000-0006-0000-0800-000035000000}">
      <text>
        <r>
          <rPr>
            <b/>
            <sz val="9"/>
            <color indexed="81"/>
            <rFont val="Tahoma"/>
            <family val="2"/>
          </rPr>
          <t>Y width of ballast depending on H sounding</t>
        </r>
        <r>
          <rPr>
            <sz val="9"/>
            <color indexed="81"/>
            <rFont val="Tahoma"/>
            <family val="2"/>
          </rPr>
          <t xml:space="preserve">
</t>
        </r>
      </text>
    </comment>
    <comment ref="CV9" authorId="0" shapeId="0" xr:uid="{00000000-0006-0000-0800-000036000000}">
      <text>
        <r>
          <rPr>
            <b/>
            <sz val="9"/>
            <color indexed="81"/>
            <rFont val="Tahoma"/>
            <family val="2"/>
          </rPr>
          <t>Volume is approximately calculated by straigth pyramide step. Residual are small</t>
        </r>
      </text>
    </comment>
    <comment ref="DC9" authorId="0" shapeId="0" xr:uid="{00000000-0006-0000-0800-000037000000}">
      <text>
        <r>
          <rPr>
            <b/>
            <sz val="9"/>
            <color indexed="81"/>
            <rFont val="Tahoma"/>
            <family val="2"/>
          </rPr>
          <t>X lenght of ballast depending on H sounding</t>
        </r>
        <r>
          <rPr>
            <sz val="9"/>
            <color indexed="81"/>
            <rFont val="Tahoma"/>
            <family val="2"/>
          </rPr>
          <t xml:space="preserve">
</t>
        </r>
      </text>
    </comment>
    <comment ref="DD9" authorId="0" shapeId="0" xr:uid="{00000000-0006-0000-0800-000038000000}">
      <text>
        <r>
          <rPr>
            <b/>
            <sz val="9"/>
            <color indexed="81"/>
            <rFont val="Tahoma"/>
            <family val="2"/>
          </rPr>
          <t>Y width of ballast depending on H sounding</t>
        </r>
        <r>
          <rPr>
            <sz val="9"/>
            <color indexed="81"/>
            <rFont val="Tahoma"/>
            <family val="2"/>
          </rPr>
          <t xml:space="preserve">
</t>
        </r>
      </text>
    </comment>
    <comment ref="DF9" authorId="0" shapeId="0" xr:uid="{00000000-0006-0000-0800-000039000000}">
      <text>
        <r>
          <rPr>
            <b/>
            <sz val="9"/>
            <color indexed="81"/>
            <rFont val="Tahoma"/>
            <family val="2"/>
          </rPr>
          <t>Volume is approximately calculated by straigth pyramide step. Residual are small</t>
        </r>
      </text>
    </comment>
    <comment ref="DM9" authorId="0" shapeId="0" xr:uid="{00000000-0006-0000-0800-00003A000000}">
      <text>
        <r>
          <rPr>
            <b/>
            <sz val="9"/>
            <color indexed="81"/>
            <rFont val="Tahoma"/>
            <family val="2"/>
          </rPr>
          <t>X lenght of ballast depending on H sounding</t>
        </r>
        <r>
          <rPr>
            <sz val="9"/>
            <color indexed="81"/>
            <rFont val="Tahoma"/>
            <family val="2"/>
          </rPr>
          <t xml:space="preserve">
</t>
        </r>
      </text>
    </comment>
    <comment ref="DN9" authorId="0" shapeId="0" xr:uid="{00000000-0006-0000-0800-00003B000000}">
      <text>
        <r>
          <rPr>
            <b/>
            <sz val="9"/>
            <color indexed="81"/>
            <rFont val="Tahoma"/>
            <family val="2"/>
          </rPr>
          <t>Y width of ballast depending on H sounding</t>
        </r>
        <r>
          <rPr>
            <sz val="9"/>
            <color indexed="81"/>
            <rFont val="Tahoma"/>
            <family val="2"/>
          </rPr>
          <t xml:space="preserve">
</t>
        </r>
      </text>
    </comment>
    <comment ref="DP9" authorId="0" shapeId="0" xr:uid="{00000000-0006-0000-0800-00003C000000}">
      <text>
        <r>
          <rPr>
            <b/>
            <sz val="9"/>
            <color indexed="81"/>
            <rFont val="Tahoma"/>
            <family val="2"/>
          </rPr>
          <t>Volume is approximately calculated by straigth pyramide step. Residual are small</t>
        </r>
      </text>
    </comment>
    <comment ref="DW9" authorId="0" shapeId="0" xr:uid="{00000000-0006-0000-0800-00003D000000}">
      <text>
        <r>
          <rPr>
            <b/>
            <sz val="9"/>
            <color indexed="81"/>
            <rFont val="Tahoma"/>
            <family val="2"/>
          </rPr>
          <t>X lenght of ballast depending on H sounding</t>
        </r>
        <r>
          <rPr>
            <sz val="9"/>
            <color indexed="81"/>
            <rFont val="Tahoma"/>
            <family val="2"/>
          </rPr>
          <t xml:space="preserve">
</t>
        </r>
      </text>
    </comment>
    <comment ref="DX9" authorId="0" shapeId="0" xr:uid="{00000000-0006-0000-0800-00003E000000}">
      <text>
        <r>
          <rPr>
            <b/>
            <sz val="9"/>
            <color indexed="81"/>
            <rFont val="Tahoma"/>
            <family val="2"/>
          </rPr>
          <t>Y width of ballast depending on H sounding</t>
        </r>
        <r>
          <rPr>
            <sz val="9"/>
            <color indexed="81"/>
            <rFont val="Tahoma"/>
            <family val="2"/>
          </rPr>
          <t xml:space="preserve">
</t>
        </r>
      </text>
    </comment>
    <comment ref="DZ9" authorId="0" shapeId="0" xr:uid="{00000000-0006-0000-0800-00003F000000}">
      <text>
        <r>
          <rPr>
            <b/>
            <sz val="9"/>
            <color indexed="81"/>
            <rFont val="Tahoma"/>
            <family val="2"/>
          </rPr>
          <t>Volume is approximately calculated by straigth pyramide step. Residual are small</t>
        </r>
      </text>
    </comment>
    <comment ref="EG9" authorId="0" shapeId="0" xr:uid="{00000000-0006-0000-0800-000040000000}">
      <text>
        <r>
          <rPr>
            <b/>
            <sz val="9"/>
            <color indexed="81"/>
            <rFont val="Tahoma"/>
            <family val="2"/>
          </rPr>
          <t>X lenght of ballast depending on H sounding</t>
        </r>
        <r>
          <rPr>
            <sz val="9"/>
            <color indexed="81"/>
            <rFont val="Tahoma"/>
            <family val="2"/>
          </rPr>
          <t xml:space="preserve">
</t>
        </r>
      </text>
    </comment>
    <comment ref="EH9" authorId="0" shapeId="0" xr:uid="{00000000-0006-0000-0800-000041000000}">
      <text>
        <r>
          <rPr>
            <b/>
            <sz val="9"/>
            <color indexed="81"/>
            <rFont val="Tahoma"/>
            <family val="2"/>
          </rPr>
          <t>Y width of ballast depending on H sounding</t>
        </r>
        <r>
          <rPr>
            <sz val="9"/>
            <color indexed="81"/>
            <rFont val="Tahoma"/>
            <family val="2"/>
          </rPr>
          <t xml:space="preserve">
</t>
        </r>
      </text>
    </comment>
    <comment ref="EJ9" authorId="0" shapeId="0" xr:uid="{00000000-0006-0000-0800-000042000000}">
      <text>
        <r>
          <rPr>
            <b/>
            <sz val="9"/>
            <color indexed="81"/>
            <rFont val="Tahoma"/>
            <family val="2"/>
          </rPr>
          <t>Volume is approximately calculated by straigth pyramide step. Residual are small</t>
        </r>
      </text>
    </comment>
    <comment ref="EQ9" authorId="0" shapeId="0" xr:uid="{00000000-0006-0000-0800-000043000000}">
      <text>
        <r>
          <rPr>
            <b/>
            <sz val="9"/>
            <color indexed="81"/>
            <rFont val="Tahoma"/>
            <family val="2"/>
          </rPr>
          <t>X lenght of ballast depending on H sounding</t>
        </r>
        <r>
          <rPr>
            <sz val="9"/>
            <color indexed="81"/>
            <rFont val="Tahoma"/>
            <family val="2"/>
          </rPr>
          <t xml:space="preserve">
</t>
        </r>
      </text>
    </comment>
    <comment ref="ER9" authorId="0" shapeId="0" xr:uid="{00000000-0006-0000-0800-000044000000}">
      <text>
        <r>
          <rPr>
            <b/>
            <sz val="9"/>
            <color indexed="81"/>
            <rFont val="Tahoma"/>
            <family val="2"/>
          </rPr>
          <t>Y width of ballast depending on H sounding</t>
        </r>
        <r>
          <rPr>
            <sz val="9"/>
            <color indexed="81"/>
            <rFont val="Tahoma"/>
            <family val="2"/>
          </rPr>
          <t xml:space="preserve">
</t>
        </r>
      </text>
    </comment>
    <comment ref="ET9" authorId="0" shapeId="0" xr:uid="{00000000-0006-0000-0800-000045000000}">
      <text>
        <r>
          <rPr>
            <b/>
            <sz val="9"/>
            <color indexed="81"/>
            <rFont val="Tahoma"/>
            <family val="2"/>
          </rPr>
          <t>Volume is approximately calculated by straigth pyramide step. Residual are small</t>
        </r>
      </text>
    </comment>
    <comment ref="FA9" authorId="0" shapeId="0" xr:uid="{00000000-0006-0000-0800-000046000000}">
      <text>
        <r>
          <rPr>
            <b/>
            <sz val="9"/>
            <color indexed="81"/>
            <rFont val="Tahoma"/>
            <family val="2"/>
          </rPr>
          <t>X lenght of ballast depending on H sounding</t>
        </r>
        <r>
          <rPr>
            <sz val="9"/>
            <color indexed="81"/>
            <rFont val="Tahoma"/>
            <family val="2"/>
          </rPr>
          <t xml:space="preserve">
</t>
        </r>
      </text>
    </comment>
    <comment ref="FB9" authorId="0" shapeId="0" xr:uid="{00000000-0006-0000-0800-000047000000}">
      <text>
        <r>
          <rPr>
            <b/>
            <sz val="9"/>
            <color indexed="81"/>
            <rFont val="Tahoma"/>
            <family val="2"/>
          </rPr>
          <t>Y width of ballast depending on H sounding</t>
        </r>
        <r>
          <rPr>
            <sz val="9"/>
            <color indexed="81"/>
            <rFont val="Tahoma"/>
            <family val="2"/>
          </rPr>
          <t xml:space="preserve">
</t>
        </r>
      </text>
    </comment>
    <comment ref="FD9" authorId="0" shapeId="0" xr:uid="{00000000-0006-0000-0800-000048000000}">
      <text>
        <r>
          <rPr>
            <b/>
            <sz val="9"/>
            <color indexed="81"/>
            <rFont val="Tahoma"/>
            <family val="2"/>
          </rPr>
          <t>Volume is approximately calculated by straigth pyramide step. Residual are small</t>
        </r>
      </text>
    </comment>
    <comment ref="FK9" authorId="0" shapeId="0" xr:uid="{00000000-0006-0000-0800-000049000000}">
      <text>
        <r>
          <rPr>
            <b/>
            <sz val="9"/>
            <color indexed="81"/>
            <rFont val="Tahoma"/>
            <family val="2"/>
          </rPr>
          <t>X lenght of ballast depending on H sounding</t>
        </r>
        <r>
          <rPr>
            <sz val="9"/>
            <color indexed="81"/>
            <rFont val="Tahoma"/>
            <family val="2"/>
          </rPr>
          <t xml:space="preserve">
</t>
        </r>
      </text>
    </comment>
    <comment ref="FL9" authorId="0" shapeId="0" xr:uid="{00000000-0006-0000-0800-00004A000000}">
      <text>
        <r>
          <rPr>
            <b/>
            <sz val="9"/>
            <color indexed="81"/>
            <rFont val="Tahoma"/>
            <family val="2"/>
          </rPr>
          <t>Y width of ballast depending on H sounding</t>
        </r>
        <r>
          <rPr>
            <sz val="9"/>
            <color indexed="81"/>
            <rFont val="Tahoma"/>
            <family val="2"/>
          </rPr>
          <t xml:space="preserve">
</t>
        </r>
      </text>
    </comment>
    <comment ref="FN9" authorId="0" shapeId="0" xr:uid="{00000000-0006-0000-0800-00004B000000}">
      <text>
        <r>
          <rPr>
            <b/>
            <sz val="9"/>
            <color indexed="81"/>
            <rFont val="Tahoma"/>
            <family val="2"/>
          </rPr>
          <t>Volume is approximately calculated by straigth pyramide step. Residual are small</t>
        </r>
      </text>
    </comment>
    <comment ref="FU9" authorId="0" shapeId="0" xr:uid="{00000000-0006-0000-0800-00004C000000}">
      <text>
        <r>
          <rPr>
            <b/>
            <sz val="9"/>
            <color indexed="81"/>
            <rFont val="Tahoma"/>
            <family val="2"/>
          </rPr>
          <t>X lenght of ballast depending on H sounding</t>
        </r>
        <r>
          <rPr>
            <sz val="9"/>
            <color indexed="81"/>
            <rFont val="Tahoma"/>
            <family val="2"/>
          </rPr>
          <t xml:space="preserve">
</t>
        </r>
      </text>
    </comment>
    <comment ref="FV9" authorId="0" shapeId="0" xr:uid="{00000000-0006-0000-0800-00004D000000}">
      <text>
        <r>
          <rPr>
            <b/>
            <sz val="9"/>
            <color indexed="81"/>
            <rFont val="Tahoma"/>
            <family val="2"/>
          </rPr>
          <t>Y width of ballast depending on H sounding</t>
        </r>
        <r>
          <rPr>
            <sz val="9"/>
            <color indexed="81"/>
            <rFont val="Tahoma"/>
            <family val="2"/>
          </rPr>
          <t xml:space="preserve">
</t>
        </r>
      </text>
    </comment>
    <comment ref="FX9" authorId="0" shapeId="0" xr:uid="{00000000-0006-0000-0800-00004E000000}">
      <text>
        <r>
          <rPr>
            <b/>
            <sz val="9"/>
            <color indexed="81"/>
            <rFont val="Tahoma"/>
            <family val="2"/>
          </rPr>
          <t>Volume is approximately calculated by straigth pyramide step. Residual are small</t>
        </r>
      </text>
    </comment>
    <comment ref="GE9" authorId="0" shapeId="0" xr:uid="{00000000-0006-0000-0800-00004F000000}">
      <text>
        <r>
          <rPr>
            <b/>
            <sz val="9"/>
            <color indexed="81"/>
            <rFont val="Tahoma"/>
            <family val="2"/>
          </rPr>
          <t>X lenght of ballast depending on H sounding</t>
        </r>
        <r>
          <rPr>
            <sz val="9"/>
            <color indexed="81"/>
            <rFont val="Tahoma"/>
            <family val="2"/>
          </rPr>
          <t xml:space="preserve">
</t>
        </r>
      </text>
    </comment>
    <comment ref="GF9" authorId="0" shapeId="0" xr:uid="{00000000-0006-0000-0800-000050000000}">
      <text>
        <r>
          <rPr>
            <b/>
            <sz val="9"/>
            <color indexed="81"/>
            <rFont val="Tahoma"/>
            <family val="2"/>
          </rPr>
          <t>Y width of ballast depending on H sounding</t>
        </r>
        <r>
          <rPr>
            <sz val="9"/>
            <color indexed="81"/>
            <rFont val="Tahoma"/>
            <family val="2"/>
          </rPr>
          <t xml:space="preserve">
</t>
        </r>
      </text>
    </comment>
    <comment ref="GH9" authorId="0" shapeId="0" xr:uid="{00000000-0006-0000-0800-000051000000}">
      <text>
        <r>
          <rPr>
            <b/>
            <sz val="9"/>
            <color indexed="81"/>
            <rFont val="Tahoma"/>
            <family val="2"/>
          </rPr>
          <t>Volume is approximately calculated by straigth pyramide step. Residual are small</t>
        </r>
      </text>
    </comment>
    <comment ref="GO9" authorId="0" shapeId="0" xr:uid="{00000000-0006-0000-0800-000052000000}">
      <text>
        <r>
          <rPr>
            <b/>
            <sz val="9"/>
            <color indexed="81"/>
            <rFont val="Tahoma"/>
            <family val="2"/>
          </rPr>
          <t>X lenght of ballast depending on H sounding</t>
        </r>
        <r>
          <rPr>
            <sz val="9"/>
            <color indexed="81"/>
            <rFont val="Tahoma"/>
            <family val="2"/>
          </rPr>
          <t xml:space="preserve">
</t>
        </r>
      </text>
    </comment>
    <comment ref="GP9" authorId="0" shapeId="0" xr:uid="{00000000-0006-0000-0800-000053000000}">
      <text>
        <r>
          <rPr>
            <b/>
            <sz val="9"/>
            <color indexed="81"/>
            <rFont val="Tahoma"/>
            <family val="2"/>
          </rPr>
          <t>Y width of ballast depending on H sounding</t>
        </r>
        <r>
          <rPr>
            <sz val="9"/>
            <color indexed="81"/>
            <rFont val="Tahoma"/>
            <family val="2"/>
          </rPr>
          <t xml:space="preserve">
</t>
        </r>
      </text>
    </comment>
    <comment ref="GR9" authorId="0" shapeId="0" xr:uid="{00000000-0006-0000-0800-000054000000}">
      <text>
        <r>
          <rPr>
            <b/>
            <sz val="9"/>
            <color indexed="81"/>
            <rFont val="Tahoma"/>
            <family val="2"/>
          </rPr>
          <t>Volume is approximately calculated by straigth pyramide step. Residual are small</t>
        </r>
      </text>
    </comment>
    <comment ref="GY9" authorId="0" shapeId="0" xr:uid="{00000000-0006-0000-0800-000055000000}">
      <text>
        <r>
          <rPr>
            <b/>
            <sz val="9"/>
            <color indexed="81"/>
            <rFont val="Tahoma"/>
            <family val="2"/>
          </rPr>
          <t>X lenght of ballast depending on H sounding</t>
        </r>
        <r>
          <rPr>
            <sz val="9"/>
            <color indexed="81"/>
            <rFont val="Tahoma"/>
            <family val="2"/>
          </rPr>
          <t xml:space="preserve">
</t>
        </r>
      </text>
    </comment>
    <comment ref="GZ9" authorId="0" shapeId="0" xr:uid="{00000000-0006-0000-0800-000056000000}">
      <text>
        <r>
          <rPr>
            <b/>
            <sz val="9"/>
            <color indexed="81"/>
            <rFont val="Tahoma"/>
            <family val="2"/>
          </rPr>
          <t>Y width of ballast depending on H sounding</t>
        </r>
        <r>
          <rPr>
            <sz val="9"/>
            <color indexed="81"/>
            <rFont val="Tahoma"/>
            <family val="2"/>
          </rPr>
          <t xml:space="preserve">
</t>
        </r>
      </text>
    </comment>
    <comment ref="HB9" authorId="0" shapeId="0" xr:uid="{00000000-0006-0000-0800-000057000000}">
      <text>
        <r>
          <rPr>
            <b/>
            <sz val="9"/>
            <color indexed="81"/>
            <rFont val="Tahoma"/>
            <family val="2"/>
          </rPr>
          <t>Volume is approximately calculated by straigth pyramide step. Residual are small</t>
        </r>
      </text>
    </comment>
    <comment ref="HI9" authorId="0" shapeId="0" xr:uid="{00000000-0006-0000-0800-000058000000}">
      <text>
        <r>
          <rPr>
            <b/>
            <sz val="9"/>
            <color indexed="81"/>
            <rFont val="Tahoma"/>
            <family val="2"/>
          </rPr>
          <t>X lenght of ballast depending on H sounding</t>
        </r>
        <r>
          <rPr>
            <sz val="9"/>
            <color indexed="81"/>
            <rFont val="Tahoma"/>
            <family val="2"/>
          </rPr>
          <t xml:space="preserve">
</t>
        </r>
      </text>
    </comment>
    <comment ref="HJ9" authorId="0" shapeId="0" xr:uid="{00000000-0006-0000-0800-000059000000}">
      <text>
        <r>
          <rPr>
            <b/>
            <sz val="9"/>
            <color indexed="81"/>
            <rFont val="Tahoma"/>
            <family val="2"/>
          </rPr>
          <t>Y width of ballast depending on H sounding</t>
        </r>
        <r>
          <rPr>
            <sz val="9"/>
            <color indexed="81"/>
            <rFont val="Tahoma"/>
            <family val="2"/>
          </rPr>
          <t xml:space="preserve">
</t>
        </r>
      </text>
    </comment>
    <comment ref="HL9" authorId="0" shapeId="0" xr:uid="{00000000-0006-0000-0800-00005A000000}">
      <text>
        <r>
          <rPr>
            <b/>
            <sz val="9"/>
            <color indexed="81"/>
            <rFont val="Tahoma"/>
            <family val="2"/>
          </rPr>
          <t>Volume is approximately calculated by straigth pyramide step. Residual are small</t>
        </r>
      </text>
    </comment>
    <comment ref="HS9" authorId="0" shapeId="0" xr:uid="{00000000-0006-0000-0800-00005B000000}">
      <text>
        <r>
          <rPr>
            <b/>
            <sz val="9"/>
            <color indexed="81"/>
            <rFont val="Tahoma"/>
            <family val="2"/>
          </rPr>
          <t>X lenght of ballast depending on H sounding</t>
        </r>
        <r>
          <rPr>
            <sz val="9"/>
            <color indexed="81"/>
            <rFont val="Tahoma"/>
            <family val="2"/>
          </rPr>
          <t xml:space="preserve">
</t>
        </r>
      </text>
    </comment>
    <comment ref="HT9" authorId="0" shapeId="0" xr:uid="{00000000-0006-0000-0800-00005C000000}">
      <text>
        <r>
          <rPr>
            <b/>
            <sz val="9"/>
            <color indexed="81"/>
            <rFont val="Tahoma"/>
            <family val="2"/>
          </rPr>
          <t>Y width of ballast depending on H sounding</t>
        </r>
        <r>
          <rPr>
            <sz val="9"/>
            <color indexed="81"/>
            <rFont val="Tahoma"/>
            <family val="2"/>
          </rPr>
          <t xml:space="preserve">
</t>
        </r>
      </text>
    </comment>
    <comment ref="HV9" authorId="0" shapeId="0" xr:uid="{00000000-0006-0000-0800-00005D000000}">
      <text>
        <r>
          <rPr>
            <b/>
            <sz val="9"/>
            <color indexed="81"/>
            <rFont val="Tahoma"/>
            <family val="2"/>
          </rPr>
          <t>Volume is approximately calculated by straigth pyramide step. Residual are small</t>
        </r>
      </text>
    </comment>
    <comment ref="IC9" authorId="0" shapeId="0" xr:uid="{00000000-0006-0000-0800-00005E000000}">
      <text>
        <r>
          <rPr>
            <b/>
            <sz val="9"/>
            <color indexed="81"/>
            <rFont val="Tahoma"/>
            <family val="2"/>
          </rPr>
          <t>X lenght of ballast depending on H sounding</t>
        </r>
        <r>
          <rPr>
            <sz val="9"/>
            <color indexed="81"/>
            <rFont val="Tahoma"/>
            <family val="2"/>
          </rPr>
          <t xml:space="preserve">
</t>
        </r>
      </text>
    </comment>
    <comment ref="ID9" authorId="0" shapeId="0" xr:uid="{00000000-0006-0000-0800-00005F000000}">
      <text>
        <r>
          <rPr>
            <b/>
            <sz val="9"/>
            <color indexed="81"/>
            <rFont val="Tahoma"/>
            <family val="2"/>
          </rPr>
          <t>Y width of ballast depending on H sounding</t>
        </r>
        <r>
          <rPr>
            <sz val="9"/>
            <color indexed="81"/>
            <rFont val="Tahoma"/>
            <family val="2"/>
          </rPr>
          <t xml:space="preserve">
</t>
        </r>
      </text>
    </comment>
    <comment ref="IF9" authorId="0" shapeId="0" xr:uid="{00000000-0006-0000-0800-000060000000}">
      <text>
        <r>
          <rPr>
            <b/>
            <sz val="9"/>
            <color indexed="81"/>
            <rFont val="Tahoma"/>
            <family val="2"/>
          </rPr>
          <t>Volume is approximately calculated by straigth pyramide step. Residual are small</t>
        </r>
      </text>
    </comment>
    <comment ref="IM9" authorId="0" shapeId="0" xr:uid="{00000000-0006-0000-0800-000061000000}">
      <text>
        <r>
          <rPr>
            <b/>
            <sz val="9"/>
            <color indexed="81"/>
            <rFont val="Tahoma"/>
            <family val="2"/>
          </rPr>
          <t>X lenght of ballast depending on H sounding</t>
        </r>
        <r>
          <rPr>
            <sz val="9"/>
            <color indexed="81"/>
            <rFont val="Tahoma"/>
            <family val="2"/>
          </rPr>
          <t xml:space="preserve">
</t>
        </r>
      </text>
    </comment>
    <comment ref="IN9" authorId="0" shapeId="0" xr:uid="{00000000-0006-0000-0800-000062000000}">
      <text>
        <r>
          <rPr>
            <b/>
            <sz val="9"/>
            <color indexed="81"/>
            <rFont val="Tahoma"/>
            <family val="2"/>
          </rPr>
          <t>Y width of ballast depending on H sounding</t>
        </r>
        <r>
          <rPr>
            <sz val="9"/>
            <color indexed="81"/>
            <rFont val="Tahoma"/>
            <family val="2"/>
          </rPr>
          <t xml:space="preserve">
</t>
        </r>
      </text>
    </comment>
    <comment ref="IP9" authorId="0" shapeId="0" xr:uid="{00000000-0006-0000-0800-000063000000}">
      <text>
        <r>
          <rPr>
            <b/>
            <sz val="9"/>
            <color indexed="81"/>
            <rFont val="Tahoma"/>
            <family val="2"/>
          </rPr>
          <t>Volume is approximately calculated by straigth pyramide step. Residual are small</t>
        </r>
      </text>
    </comment>
    <comment ref="IW9" authorId="0" shapeId="0" xr:uid="{00000000-0006-0000-0800-000064000000}">
      <text>
        <r>
          <rPr>
            <b/>
            <sz val="9"/>
            <color indexed="81"/>
            <rFont val="Tahoma"/>
            <family val="2"/>
          </rPr>
          <t>X lenght of ballast depending on H sounding</t>
        </r>
        <r>
          <rPr>
            <sz val="9"/>
            <color indexed="81"/>
            <rFont val="Tahoma"/>
            <family val="2"/>
          </rPr>
          <t xml:space="preserve">
</t>
        </r>
      </text>
    </comment>
    <comment ref="IX9" authorId="0" shapeId="0" xr:uid="{00000000-0006-0000-0800-000065000000}">
      <text>
        <r>
          <rPr>
            <b/>
            <sz val="9"/>
            <color indexed="81"/>
            <rFont val="Tahoma"/>
            <family val="2"/>
          </rPr>
          <t>Y width of ballast depending on H sounding</t>
        </r>
        <r>
          <rPr>
            <sz val="9"/>
            <color indexed="81"/>
            <rFont val="Tahoma"/>
            <family val="2"/>
          </rPr>
          <t xml:space="preserve">
</t>
        </r>
      </text>
    </comment>
    <comment ref="IZ9" authorId="0" shapeId="0" xr:uid="{00000000-0006-0000-0800-000066000000}">
      <text>
        <r>
          <rPr>
            <b/>
            <sz val="9"/>
            <color indexed="81"/>
            <rFont val="Tahoma"/>
            <family val="2"/>
          </rPr>
          <t>Volume is approximately calculated by straigth pyramide step. Residual are small</t>
        </r>
      </text>
    </comment>
    <comment ref="JG9" authorId="0" shapeId="0" xr:uid="{00000000-0006-0000-0800-000067000000}">
      <text>
        <r>
          <rPr>
            <b/>
            <sz val="9"/>
            <color indexed="81"/>
            <rFont val="Tahoma"/>
            <family val="2"/>
          </rPr>
          <t>X lenght of ballast depending on H sounding</t>
        </r>
        <r>
          <rPr>
            <sz val="9"/>
            <color indexed="81"/>
            <rFont val="Tahoma"/>
            <family val="2"/>
          </rPr>
          <t xml:space="preserve">
</t>
        </r>
      </text>
    </comment>
    <comment ref="JH9" authorId="0" shapeId="0" xr:uid="{00000000-0006-0000-0800-000068000000}">
      <text>
        <r>
          <rPr>
            <b/>
            <sz val="9"/>
            <color indexed="81"/>
            <rFont val="Tahoma"/>
            <family val="2"/>
          </rPr>
          <t>Y width of ballast depending on H sounding</t>
        </r>
        <r>
          <rPr>
            <sz val="9"/>
            <color indexed="81"/>
            <rFont val="Tahoma"/>
            <family val="2"/>
          </rPr>
          <t xml:space="preserve">
</t>
        </r>
      </text>
    </comment>
    <comment ref="JJ9" authorId="0" shapeId="0" xr:uid="{00000000-0006-0000-0800-000069000000}">
      <text>
        <r>
          <rPr>
            <b/>
            <sz val="9"/>
            <color indexed="81"/>
            <rFont val="Tahoma"/>
            <family val="2"/>
          </rPr>
          <t>Volume is approximately calculated by straigth pyramide step. Residual are small</t>
        </r>
      </text>
    </comment>
    <comment ref="JQ9" authorId="0" shapeId="0" xr:uid="{00000000-0006-0000-0800-00006A000000}">
      <text>
        <r>
          <rPr>
            <b/>
            <sz val="9"/>
            <color indexed="81"/>
            <rFont val="Tahoma"/>
            <family val="2"/>
          </rPr>
          <t>X lenght of ballast depending on H sounding</t>
        </r>
        <r>
          <rPr>
            <sz val="9"/>
            <color indexed="81"/>
            <rFont val="Tahoma"/>
            <family val="2"/>
          </rPr>
          <t xml:space="preserve">
</t>
        </r>
      </text>
    </comment>
    <comment ref="JR9" authorId="0" shapeId="0" xr:uid="{00000000-0006-0000-0800-00006B000000}">
      <text>
        <r>
          <rPr>
            <b/>
            <sz val="9"/>
            <color indexed="81"/>
            <rFont val="Tahoma"/>
            <family val="2"/>
          </rPr>
          <t>Y width of ballast depending on H sounding</t>
        </r>
        <r>
          <rPr>
            <sz val="9"/>
            <color indexed="81"/>
            <rFont val="Tahoma"/>
            <family val="2"/>
          </rPr>
          <t xml:space="preserve">
</t>
        </r>
      </text>
    </comment>
    <comment ref="JT9" authorId="0" shapeId="0" xr:uid="{00000000-0006-0000-0800-00006C000000}">
      <text>
        <r>
          <rPr>
            <b/>
            <sz val="9"/>
            <color indexed="81"/>
            <rFont val="Tahoma"/>
            <family val="2"/>
          </rPr>
          <t>Volume is approximately calculated by straigth pyramide step. Residual are small</t>
        </r>
      </text>
    </comment>
    <comment ref="KA9" authorId="0" shapeId="0" xr:uid="{00000000-0006-0000-0800-00006D000000}">
      <text>
        <r>
          <rPr>
            <b/>
            <sz val="9"/>
            <color indexed="81"/>
            <rFont val="Tahoma"/>
            <family val="2"/>
          </rPr>
          <t>X lenght of ballast depending on H sounding</t>
        </r>
        <r>
          <rPr>
            <sz val="9"/>
            <color indexed="81"/>
            <rFont val="Tahoma"/>
            <family val="2"/>
          </rPr>
          <t xml:space="preserve">
</t>
        </r>
      </text>
    </comment>
    <comment ref="KB9" authorId="0" shapeId="0" xr:uid="{00000000-0006-0000-0800-00006E000000}">
      <text>
        <r>
          <rPr>
            <b/>
            <sz val="9"/>
            <color indexed="81"/>
            <rFont val="Tahoma"/>
            <family val="2"/>
          </rPr>
          <t>Y width of ballast depending on H sounding</t>
        </r>
        <r>
          <rPr>
            <sz val="9"/>
            <color indexed="81"/>
            <rFont val="Tahoma"/>
            <family val="2"/>
          </rPr>
          <t xml:space="preserve">
</t>
        </r>
      </text>
    </comment>
    <comment ref="KD9" authorId="0" shapeId="0" xr:uid="{00000000-0006-0000-0800-00006F000000}">
      <text>
        <r>
          <rPr>
            <b/>
            <sz val="9"/>
            <color indexed="81"/>
            <rFont val="Tahoma"/>
            <family val="2"/>
          </rPr>
          <t>Volume is approximately calculated by straigth pyramide step. Residual are small</t>
        </r>
      </text>
    </comment>
    <comment ref="KK9" authorId="0" shapeId="0" xr:uid="{00000000-0006-0000-0800-000070000000}">
      <text>
        <r>
          <rPr>
            <b/>
            <sz val="9"/>
            <color indexed="81"/>
            <rFont val="Tahoma"/>
            <family val="2"/>
          </rPr>
          <t>X lenght of ballast depending on H sounding</t>
        </r>
        <r>
          <rPr>
            <sz val="9"/>
            <color indexed="81"/>
            <rFont val="Tahoma"/>
            <family val="2"/>
          </rPr>
          <t xml:space="preserve">
</t>
        </r>
      </text>
    </comment>
    <comment ref="KL9" authorId="0" shapeId="0" xr:uid="{00000000-0006-0000-0800-000071000000}">
      <text>
        <r>
          <rPr>
            <b/>
            <sz val="9"/>
            <color indexed="81"/>
            <rFont val="Tahoma"/>
            <family val="2"/>
          </rPr>
          <t>Y width of ballast depending on H sounding</t>
        </r>
        <r>
          <rPr>
            <sz val="9"/>
            <color indexed="81"/>
            <rFont val="Tahoma"/>
            <family val="2"/>
          </rPr>
          <t xml:space="preserve">
</t>
        </r>
      </text>
    </comment>
    <comment ref="KN9" authorId="0" shapeId="0" xr:uid="{00000000-0006-0000-0800-000072000000}">
      <text>
        <r>
          <rPr>
            <b/>
            <sz val="9"/>
            <color indexed="81"/>
            <rFont val="Tahoma"/>
            <family val="2"/>
          </rPr>
          <t>Volume is approximately calculated by straigth pyramide step. Residual are small</t>
        </r>
      </text>
    </comment>
    <comment ref="KU9" authorId="0" shapeId="0" xr:uid="{00000000-0006-0000-0800-000073000000}">
      <text>
        <r>
          <rPr>
            <b/>
            <sz val="9"/>
            <color indexed="81"/>
            <rFont val="Tahoma"/>
            <family val="2"/>
          </rPr>
          <t>X lenght of ballast depending on H sounding</t>
        </r>
        <r>
          <rPr>
            <sz val="9"/>
            <color indexed="81"/>
            <rFont val="Tahoma"/>
            <family val="2"/>
          </rPr>
          <t xml:space="preserve">
</t>
        </r>
      </text>
    </comment>
    <comment ref="KV9" authorId="0" shapeId="0" xr:uid="{00000000-0006-0000-0800-000074000000}">
      <text>
        <r>
          <rPr>
            <b/>
            <sz val="9"/>
            <color indexed="81"/>
            <rFont val="Tahoma"/>
            <family val="2"/>
          </rPr>
          <t>Y width of ballast depending on H sounding</t>
        </r>
        <r>
          <rPr>
            <sz val="9"/>
            <color indexed="81"/>
            <rFont val="Tahoma"/>
            <family val="2"/>
          </rPr>
          <t xml:space="preserve">
</t>
        </r>
      </text>
    </comment>
    <comment ref="KX9" authorId="0" shapeId="0" xr:uid="{00000000-0006-0000-0800-000075000000}">
      <text>
        <r>
          <rPr>
            <b/>
            <sz val="9"/>
            <color indexed="81"/>
            <rFont val="Tahoma"/>
            <family val="2"/>
          </rPr>
          <t>Volume is approximately calculated by straigth pyramide step. Residual are small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xml:space="preserve">SHIMAHARA Akira </author>
  </authors>
  <commentList>
    <comment ref="U5" authorId="0" shapeId="0" xr:uid="{00000000-0006-0000-0900-000001000000}">
      <text>
        <r>
          <rPr>
            <b/>
            <sz val="9"/>
            <color indexed="81"/>
            <rFont val="Tahoma"/>
            <family val="2"/>
          </rPr>
          <t>As Loads are reparted on the crane track, CoG Chesk may fail on loads attached to the crane</t>
        </r>
      </text>
    </comment>
    <comment ref="Z5" authorId="0" shapeId="0" xr:uid="{00000000-0006-0000-0900-000002000000}">
      <text>
        <r>
          <rPr>
            <b/>
            <sz val="9"/>
            <color indexed="81"/>
            <rFont val="Tahoma"/>
            <family val="2"/>
          </rPr>
          <t>Not OK if one part of the load is applied outside the ship (i.e. &lt;0 or &gt;Lpp)</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xml:space="preserve">SHIMAHARA Akira </author>
  </authors>
  <commentList>
    <comment ref="S4" authorId="0" shapeId="0" xr:uid="{00000000-0006-0000-0A00-000001000000}">
      <text>
        <r>
          <rPr>
            <b/>
            <sz val="9"/>
            <color indexed="81"/>
            <rFont val="Tahoma"/>
            <family val="2"/>
          </rPr>
          <t>Not OK if one part of the load is applied outside the ship (i.e. &lt;0 or &gt;Lpp)</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xml:space="preserve">SHIMAHARA Akira </author>
  </authors>
  <commentList>
    <comment ref="V6" authorId="0" shapeId="0" xr:uid="{00000000-0006-0000-0B00-000001000000}">
      <text>
        <r>
          <rPr>
            <b/>
            <sz val="9"/>
            <color indexed="81"/>
            <rFont val="Tahoma"/>
            <family val="2"/>
          </rPr>
          <t>As Loads are reparted on the crane track, CoG Chesk may fail on loads attached to the crane</t>
        </r>
      </text>
    </comment>
    <comment ref="AA6" authorId="0" shapeId="0" xr:uid="{00000000-0006-0000-0B00-000002000000}">
      <text>
        <r>
          <rPr>
            <b/>
            <sz val="9"/>
            <color indexed="81"/>
            <rFont val="Tahoma"/>
            <family val="2"/>
          </rPr>
          <t>Not OK if one part of the load is applied outside the ship (i.e. &lt;0 or &gt;Lpp)</t>
        </r>
      </text>
    </comment>
  </commentList>
</comments>
</file>

<file path=xl/sharedStrings.xml><?xml version="1.0" encoding="utf-8"?>
<sst xmlns="http://schemas.openxmlformats.org/spreadsheetml/2006/main" count="1955" uniqueCount="558">
  <si>
    <t>WEIGHTS DISTRIBUTION</t>
  </si>
  <si>
    <t>Base Weight</t>
  </si>
  <si>
    <t>Factored</t>
  </si>
  <si>
    <t xml:space="preserve">COG </t>
  </si>
  <si>
    <t xml:space="preserve">ITEM Title </t>
  </si>
  <si>
    <t xml:space="preserve">Unitary </t>
  </si>
  <si>
    <t xml:space="preserve">Contingency </t>
  </si>
  <si>
    <t xml:space="preserve">COG x </t>
  </si>
  <si>
    <t xml:space="preserve">COG y </t>
  </si>
  <si>
    <t xml:space="preserve">COG z </t>
  </si>
  <si>
    <t>Comments</t>
  </si>
  <si>
    <t>m3</t>
  </si>
  <si>
    <t>m</t>
  </si>
  <si>
    <t>Item</t>
  </si>
  <si>
    <t>TCG</t>
  </si>
  <si>
    <t>VCG</t>
  </si>
  <si>
    <t>Ballast</t>
  </si>
  <si>
    <t>X</t>
  </si>
  <si>
    <t>Y</t>
  </si>
  <si>
    <t>Z</t>
  </si>
  <si>
    <t>t</t>
  </si>
  <si>
    <t>Date</t>
  </si>
  <si>
    <t>N°</t>
  </si>
  <si>
    <t>Nligne</t>
  </si>
  <si>
    <t>ton</t>
  </si>
  <si>
    <t>ASH</t>
  </si>
  <si>
    <t>Parking</t>
  </si>
  <si>
    <t>CoB</t>
  </si>
  <si>
    <t>Source</t>
  </si>
  <si>
    <t>Design stage</t>
  </si>
  <si>
    <t>Longueur entre perpendiculaire</t>
  </si>
  <si>
    <t>Longueur hors tout</t>
  </si>
  <si>
    <t>Déplacement maxi autorisé</t>
  </si>
  <si>
    <t>Departure</t>
  </si>
  <si>
    <r>
      <rPr>
        <b/>
        <u/>
        <sz val="11"/>
        <rFont val="Times New Roman"/>
        <family val="1"/>
      </rPr>
      <t>Trim= 0.000m</t>
    </r>
  </si>
  <si>
    <t>TCB</t>
  </si>
  <si>
    <t>Initialtrim= 0.000m.</t>
  </si>
  <si>
    <t>The trim is modified to meet constant LCB</t>
  </si>
  <si>
    <t>Displ.</t>
  </si>
  <si>
    <t xml:space="preserve">Angle of inclinaison in degrees </t>
  </si>
  <si>
    <t xml:space="preserve"> ton</t>
  </si>
  <si>
    <t>In the table below the KN sin(φ) values are printed (m).</t>
  </si>
  <si>
    <t>Volume</t>
  </si>
  <si>
    <t>ton/m3</t>
  </si>
  <si>
    <t>m4</t>
  </si>
  <si>
    <t>rad</t>
  </si>
  <si>
    <t>m²</t>
  </si>
  <si>
    <t>t.m</t>
  </si>
  <si>
    <t>Max Gz at 30°</t>
  </si>
  <si>
    <t>Area from 30° to 40°</t>
  </si>
  <si>
    <t>Top of Gz Curve</t>
  </si>
  <si>
    <t>Area from 0° to max GZ</t>
  </si>
  <si>
    <t>Crane Counterweight</t>
  </si>
  <si>
    <t>Carbody Counterweight</t>
  </si>
  <si>
    <t>Carbody</t>
  </si>
  <si>
    <t xml:space="preserve">Crawler </t>
  </si>
  <si>
    <t>Boom butt</t>
  </si>
  <si>
    <t>Boom top</t>
  </si>
  <si>
    <t>Hook block</t>
  </si>
  <si>
    <t>Weight ball</t>
  </si>
  <si>
    <t xml:space="preserve"> Specific weight</t>
  </si>
  <si>
    <t xml:space="preserve">LCG
</t>
  </si>
  <si>
    <t>Trim = 0.000 m</t>
  </si>
  <si>
    <t>07-11-2001 11:20  Initial trim = 0.000 m.</t>
  </si>
  <si>
    <t>Salle de détente</t>
  </si>
  <si>
    <t>Sanitaires</t>
  </si>
  <si>
    <t>Vestiaires</t>
  </si>
  <si>
    <t>Magasins</t>
  </si>
  <si>
    <t>Atelier</t>
  </si>
  <si>
    <t>Zodiac landing</t>
  </si>
  <si>
    <t>Bollard type 1</t>
  </si>
  <si>
    <t>Eclairage</t>
  </si>
  <si>
    <t>Bollard type 2</t>
  </si>
  <si>
    <t>Structure passerelle 1</t>
  </si>
  <si>
    <t>Structure passerelle 2</t>
  </si>
  <si>
    <t>Structure passerelle 3</t>
  </si>
  <si>
    <t>Structure passerelle 4</t>
  </si>
  <si>
    <t>13.a</t>
  </si>
  <si>
    <t>13.c</t>
  </si>
  <si>
    <t>14.a</t>
  </si>
  <si>
    <t>14.b</t>
  </si>
  <si>
    <t>Schmidt 15t</t>
  </si>
  <si>
    <t>15.a</t>
  </si>
  <si>
    <t>15.b</t>
  </si>
  <si>
    <t>TBC</t>
  </si>
  <si>
    <t>Moments</t>
  </si>
  <si>
    <t>Bungalow 20''</t>
  </si>
  <si>
    <t xml:space="preserve">Bureau </t>
  </si>
  <si>
    <t>Benne à déchets</t>
  </si>
  <si>
    <t>Cabine Marin</t>
  </si>
  <si>
    <t>5.a</t>
  </si>
  <si>
    <t>5.b</t>
  </si>
  <si>
    <t>Conteneur plongeur</t>
  </si>
  <si>
    <t>Conteneur Stockage plongeurs</t>
  </si>
  <si>
    <t>Poste de Commande Atelier Nivelage</t>
  </si>
  <si>
    <t>GA rev. A3</t>
  </si>
  <si>
    <t>Container 20''</t>
  </si>
  <si>
    <t>Benne 2m3</t>
  </si>
  <si>
    <t>TBD</t>
  </si>
  <si>
    <t>Container 10''</t>
  </si>
  <si>
    <t>Cuve tampon air</t>
  </si>
  <si>
    <t>Générateur 400kVA</t>
  </si>
  <si>
    <t>Escalier mise à l'eau plongeur amovible</t>
  </si>
  <si>
    <t>21.a</t>
  </si>
  <si>
    <t>21.b</t>
  </si>
  <si>
    <t>21.c</t>
  </si>
  <si>
    <t>21.d</t>
  </si>
  <si>
    <t>21.e</t>
  </si>
  <si>
    <t>21.f</t>
  </si>
  <si>
    <t>23.a</t>
  </si>
  <si>
    <t>23.b</t>
  </si>
  <si>
    <t>23.c</t>
  </si>
  <si>
    <t>23.d</t>
  </si>
  <si>
    <t>23.e</t>
  </si>
  <si>
    <t>23.f</t>
  </si>
  <si>
    <t>24.a</t>
  </si>
  <si>
    <t>24.b</t>
  </si>
  <si>
    <t>24.c</t>
  </si>
  <si>
    <t>24.d</t>
  </si>
  <si>
    <t>Chevalet flèche de grue</t>
  </si>
  <si>
    <t>22.a</t>
  </si>
  <si>
    <t>22.b</t>
  </si>
  <si>
    <t>22.c</t>
  </si>
  <si>
    <t>22.e</t>
  </si>
  <si>
    <t>22.d</t>
  </si>
  <si>
    <t>22.f</t>
  </si>
  <si>
    <t>22.g</t>
  </si>
  <si>
    <t>22.h</t>
  </si>
  <si>
    <t>27.a</t>
  </si>
  <si>
    <t>27.b</t>
  </si>
  <si>
    <t>38.a</t>
  </si>
  <si>
    <t>38.b</t>
  </si>
  <si>
    <t>44.a</t>
  </si>
  <si>
    <t>44.b</t>
  </si>
  <si>
    <t>44.c</t>
  </si>
  <si>
    <t>44.d</t>
  </si>
  <si>
    <t>Mat de feux de position &amp; pavillons</t>
  </si>
  <si>
    <t>Voie de grue</t>
  </si>
  <si>
    <t>Coffret electrique</t>
  </si>
  <si>
    <t>Générateur auxiliaire 50kVA</t>
  </si>
  <si>
    <t>Smitt Bracket</t>
  </si>
  <si>
    <t>Centrale Hydraulique</t>
  </si>
  <si>
    <t>Pompe Lutte anti incendie</t>
  </si>
  <si>
    <t>Structure goulotte</t>
  </si>
  <si>
    <t>Poste à souder 500A</t>
  </si>
  <si>
    <t>Compresseur d'air 12m3/min</t>
  </si>
  <si>
    <t>Rack oxy acéthylène</t>
  </si>
  <si>
    <t>Poulie de plat pont D=660mm</t>
  </si>
  <si>
    <t>Poulie de plat pont D=457mm</t>
  </si>
  <si>
    <t>Frame</t>
  </si>
  <si>
    <t>Distance from AP</t>
  </si>
  <si>
    <t>Check</t>
  </si>
  <si>
    <t>Load</t>
  </si>
  <si>
    <t>Spread</t>
  </si>
  <si>
    <t>Chaumard à poulie D=406mm</t>
  </si>
  <si>
    <t>11m x 2m x ,25m</t>
  </si>
  <si>
    <t>Chaine et ligne de remorquage</t>
  </si>
  <si>
    <t>38.c</t>
  </si>
  <si>
    <t>Chaumard niveleur D=254mm</t>
  </si>
  <si>
    <t>FR1</t>
  </si>
  <si>
    <t>Hull &amp; Structure</t>
  </si>
  <si>
    <t>Distrib</t>
  </si>
  <si>
    <t>Counterweight base plate</t>
  </si>
  <si>
    <t>Console Counterweight</t>
  </si>
  <si>
    <t>t/m3</t>
  </si>
  <si>
    <t>Densité eau de mer</t>
  </si>
  <si>
    <t>Correction</t>
  </si>
  <si>
    <t>Barreau</t>
  </si>
  <si>
    <t>Sounding</t>
  </si>
  <si>
    <t>FSMt</t>
  </si>
  <si>
    <t>Longitudinal Section Line plan</t>
  </si>
  <si>
    <t>Aft</t>
  </si>
  <si>
    <t>↓</t>
  </si>
  <si>
    <t>Fore</t>
  </si>
  <si>
    <t>MeC</t>
  </si>
  <si>
    <t>T min/max</t>
  </si>
  <si>
    <t>Mf min/max</t>
  </si>
  <si>
    <t>Section Weight</t>
  </si>
  <si>
    <t>CoG</t>
  </si>
  <si>
    <t>Index</t>
  </si>
  <si>
    <t>Mx</t>
  </si>
  <si>
    <t>My</t>
  </si>
  <si>
    <t>Mz</t>
  </si>
  <si>
    <t>CoG Chk</t>
  </si>
  <si>
    <t>Codification</t>
  </si>
  <si>
    <t>Num</t>
  </si>
  <si>
    <t>ITEM No</t>
  </si>
  <si>
    <t>Group</t>
  </si>
  <si>
    <t>Hull Structure &amp; Steel Outfitting</t>
  </si>
  <si>
    <t>Lightship weight</t>
  </si>
  <si>
    <t>As built</t>
  </si>
  <si>
    <t>Head</t>
  </si>
  <si>
    <t>Qty</t>
  </si>
  <si>
    <t>Total Op</t>
  </si>
  <si>
    <t>Weight Op</t>
  </si>
  <si>
    <t>Weight Fact</t>
  </si>
  <si>
    <t>Fr from</t>
  </si>
  <si>
    <t>Fr to</t>
  </si>
  <si>
    <t>AP from</t>
  </si>
  <si>
    <t>AP to</t>
  </si>
  <si>
    <t>Weights &amp; COG list</t>
  </si>
  <si>
    <t>Designation</t>
  </si>
  <si>
    <t>Winches</t>
  </si>
  <si>
    <t>13.b</t>
  </si>
  <si>
    <t>Positioning Winch Aft</t>
  </si>
  <si>
    <t>Grader Winch (Port)</t>
  </si>
  <si>
    <t>Positioning Winch (Starboard-Fore)</t>
  </si>
  <si>
    <t>Positioning Winch (Port-Fore)</t>
  </si>
  <si>
    <t>Grader Winch (Starboard)</t>
  </si>
  <si>
    <t>Ballast Hopper Winch (Fore)</t>
  </si>
  <si>
    <t>Ballast Hopper Winch (Aft)</t>
  </si>
  <si>
    <t>Weight TBC</t>
  </si>
  <si>
    <t>Accomodations</t>
  </si>
  <si>
    <t>X distrib</t>
  </si>
  <si>
    <t>Deck Equipment &amp; hull outfitting</t>
  </si>
  <si>
    <t>Sous Total</t>
  </si>
  <si>
    <t>&lt;- Max value</t>
  </si>
  <si>
    <t>L from</t>
  </si>
  <si>
    <t>L to</t>
  </si>
  <si>
    <t>Dist. for Load Distrib.</t>
  </si>
  <si>
    <t>Reserved</t>
  </si>
  <si>
    <t>Lifting</t>
  </si>
  <si>
    <t>Deck tanks</t>
  </si>
  <si>
    <t>Last Frame</t>
  </si>
  <si>
    <t>Δ weight</t>
  </si>
  <si>
    <t>&lt;- Sum</t>
  </si>
  <si>
    <t>Fr.</t>
  </si>
  <si>
    <t>Nline Prev</t>
  </si>
  <si>
    <t>Nline Next</t>
  </si>
  <si>
    <t>X Prev</t>
  </si>
  <si>
    <t>X Next</t>
  </si>
  <si>
    <t>Y Prev</t>
  </si>
  <si>
    <t>Y Next</t>
  </si>
  <si>
    <t>Controls-&gt;</t>
  </si>
  <si>
    <t>Computation Tolerance</t>
  </si>
  <si>
    <t>Displac.</t>
  </si>
  <si>
    <t>Bending Moment</t>
  </si>
  <si>
    <t>Shearing Force</t>
  </si>
  <si>
    <t>Overall length</t>
  </si>
  <si>
    <t>Loa</t>
  </si>
  <si>
    <t>Lpp</t>
  </si>
  <si>
    <t>Length between perpendiculars</t>
  </si>
  <si>
    <t>Finite elmnt length [ship beam]</t>
  </si>
  <si>
    <t>Lg element fini [Poutre Navire]</t>
  </si>
  <si>
    <t>Beam</t>
  </si>
  <si>
    <t>B</t>
  </si>
  <si>
    <t>Moulded depth</t>
  </si>
  <si>
    <t>Creux navire</t>
  </si>
  <si>
    <t>Franc bord min</t>
  </si>
  <si>
    <t>Max displacement</t>
  </si>
  <si>
    <t>Sea water density</t>
  </si>
  <si>
    <r>
      <t>ρ</t>
    </r>
    <r>
      <rPr>
        <vertAlign val="subscript"/>
        <sz val="11"/>
        <color theme="1"/>
        <rFont val="Calibri"/>
        <family val="2"/>
      </rPr>
      <t>sw</t>
    </r>
  </si>
  <si>
    <r>
      <t>Displ</t>
    </r>
    <r>
      <rPr>
        <vertAlign val="subscript"/>
        <sz val="11"/>
        <color theme="1"/>
        <rFont val="Calibri"/>
        <family val="2"/>
        <scheme val="minor"/>
      </rPr>
      <t>max</t>
    </r>
  </si>
  <si>
    <r>
      <t>Draft</t>
    </r>
    <r>
      <rPr>
        <vertAlign val="subscript"/>
        <sz val="11"/>
        <color theme="1"/>
        <rFont val="Calibri"/>
        <family val="2"/>
        <scheme val="minor"/>
      </rPr>
      <t>max</t>
    </r>
  </si>
  <si>
    <r>
      <t>M</t>
    </r>
    <r>
      <rPr>
        <vertAlign val="subscript"/>
        <sz val="11"/>
        <color theme="1"/>
        <rFont val="Calibri"/>
        <family val="2"/>
        <scheme val="minor"/>
      </rPr>
      <t>depth</t>
    </r>
  </si>
  <si>
    <t>Max draft [from baseline]</t>
  </si>
  <si>
    <t>Tirant d'eau max [quille sans tôle]</t>
  </si>
  <si>
    <t>Tolérance calcul</t>
  </si>
  <si>
    <r>
      <t>Δ</t>
    </r>
    <r>
      <rPr>
        <vertAlign val="subscript"/>
        <sz val="11"/>
        <color theme="1"/>
        <rFont val="Calibri"/>
        <family val="2"/>
        <scheme val="minor"/>
      </rPr>
      <t>calc</t>
    </r>
  </si>
  <si>
    <r>
      <t>FE</t>
    </r>
    <r>
      <rPr>
        <vertAlign val="subscript"/>
        <sz val="11"/>
        <color theme="1"/>
        <rFont val="Calibri"/>
        <family val="2"/>
        <scheme val="minor"/>
      </rPr>
      <t>size</t>
    </r>
  </si>
  <si>
    <t>Computation Parameters</t>
  </si>
  <si>
    <t>General Ship Data</t>
  </si>
  <si>
    <t>Nom du navire</t>
  </si>
  <si>
    <t>Ship name</t>
  </si>
  <si>
    <t>Nb lines</t>
  </si>
  <si>
    <t>Chart Deck - Bulkhead</t>
  </si>
  <si>
    <t>Sampling</t>
  </si>
  <si>
    <t xml:space="preserve"> Empiric Moment Max</t>
  </si>
  <si>
    <r>
      <t>[Displ</t>
    </r>
    <r>
      <rPr>
        <vertAlign val="subscript"/>
        <sz val="11"/>
        <color theme="1"/>
        <rFont val="Calibri"/>
        <family val="2"/>
        <scheme val="minor"/>
      </rPr>
      <t>max</t>
    </r>
    <r>
      <rPr>
        <sz val="11"/>
        <color theme="1"/>
        <rFont val="Calibri"/>
        <family val="2"/>
        <scheme val="minor"/>
      </rPr>
      <t>.Lpp/30]</t>
    </r>
  </si>
  <si>
    <t>N</t>
  </si>
  <si>
    <t xml:space="preserve">CoG x </t>
  </si>
  <si>
    <t xml:space="preserve">CoG y </t>
  </si>
  <si>
    <t xml:space="preserve">CoG z </t>
  </si>
  <si>
    <t>CoG-CoB</t>
  </si>
  <si>
    <t>Bilge water</t>
  </si>
  <si>
    <t>height</t>
  </si>
  <si>
    <t>Counterweight</t>
  </si>
  <si>
    <t>Mecanic</t>
  </si>
  <si>
    <t>Spreader beam</t>
  </si>
  <si>
    <t>Platform</t>
  </si>
  <si>
    <t>&lt;-Recap sheet</t>
  </si>
  <si>
    <t>Nlines</t>
  </si>
  <si>
    <t>Li</t>
  </si>
  <si>
    <t>Draught</t>
  </si>
  <si>
    <t>Displ. S.W.</t>
  </si>
  <si>
    <t>Displ. F.W.</t>
  </si>
  <si>
    <t>Immersion</t>
  </si>
  <si>
    <t>M CT</t>
  </si>
  <si>
    <t>LCB</t>
  </si>
  <si>
    <t>LCF</t>
  </si>
  <si>
    <t>KM transv</t>
  </si>
  <si>
    <t>Nline</t>
  </si>
  <si>
    <t>ton/cm</t>
  </si>
  <si>
    <t>Tonm/cm</t>
  </si>
  <si>
    <t>Tφ=0</t>
  </si>
  <si>
    <t>[°]</t>
  </si>
  <si>
    <r>
      <t>[</t>
    </r>
    <r>
      <rPr>
        <sz val="11"/>
        <color theme="0"/>
        <rFont val="Times New Roman"/>
        <family val="1"/>
      </rPr>
      <t>m]</t>
    </r>
  </si>
  <si>
    <t>[m.rad]</t>
  </si>
  <si>
    <t xml:space="preserve">KN sin(φ) </t>
  </si>
  <si>
    <t>Tmax</t>
  </si>
  <si>
    <t>G'N sin(φ)</t>
  </si>
  <si>
    <t>Trapeze</t>
  </si>
  <si>
    <t>Max Gz</t>
  </si>
  <si>
    <t>Criteria</t>
  </si>
  <si>
    <t>Value</t>
  </si>
  <si>
    <t>Stability Requirements</t>
  </si>
  <si>
    <t>flag</t>
  </si>
  <si>
    <t>Recap Col</t>
  </si>
  <si>
    <t>Recap Row</t>
  </si>
  <si>
    <t>Recap Entry</t>
  </si>
  <si>
    <t>Index Row</t>
  </si>
  <si>
    <t>Index Col</t>
  </si>
  <si>
    <t>Length</t>
  </si>
  <si>
    <t>Width</t>
  </si>
  <si>
    <t>Pas de calcul Ballast</t>
  </si>
  <si>
    <t>Ballast calculation step</t>
  </si>
  <si>
    <r>
      <t>Δh</t>
    </r>
    <r>
      <rPr>
        <vertAlign val="subscript"/>
        <sz val="11"/>
        <color theme="1"/>
        <rFont val="Calibri"/>
        <family val="2"/>
        <scheme val="minor"/>
      </rPr>
      <t>ba</t>
    </r>
  </si>
  <si>
    <t>L ballast</t>
  </si>
  <si>
    <t>Slope</t>
  </si>
  <si>
    <t>W ballast</t>
  </si>
  <si>
    <t>Nb line</t>
  </si>
  <si>
    <t>N line Ballast 1</t>
  </si>
  <si>
    <t>@ keel</t>
  </si>
  <si>
    <t>@ deck</t>
  </si>
  <si>
    <t>R4</t>
  </si>
  <si>
    <t>Weight</t>
  </si>
  <si>
    <t>Line check</t>
  </si>
  <si>
    <t>CoG x</t>
  </si>
  <si>
    <t>CoG y</t>
  </si>
  <si>
    <t>CoG z</t>
  </si>
  <si>
    <t>Fuel</t>
  </si>
  <si>
    <t>Hydraulic Oil</t>
  </si>
  <si>
    <t>Z =0 deck level</t>
  </si>
  <si>
    <t>+ Up</t>
  </si>
  <si>
    <t>Weights</t>
  </si>
  <si>
    <t>Crawler Crane Senebogen 7700 - Boom 46,7m</t>
  </si>
  <si>
    <t>Recap Weight</t>
  </si>
  <si>
    <t>Recap X</t>
  </si>
  <si>
    <t>Recap Y</t>
  </si>
  <si>
    <t>Recap Z</t>
  </si>
  <si>
    <t>Geometry</t>
  </si>
  <si>
    <t>H CoG Crane / tracks</t>
  </si>
  <si>
    <t>Deck cover thickness</t>
  </si>
  <si>
    <t>Tracks length (load spread)</t>
  </si>
  <si>
    <t>Boom height (crane load)</t>
  </si>
  <si>
    <t>Load Spread</t>
  </si>
  <si>
    <t>Crane CoG - Load Spreaded around</t>
  </si>
  <si>
    <t>Additionals</t>
  </si>
  <si>
    <t>Additional loads</t>
  </si>
  <si>
    <t>Input data</t>
  </si>
  <si>
    <t>Diametre</t>
  </si>
  <si>
    <t>Overall Height</t>
  </si>
  <si>
    <t>Specific weight of liquid</t>
  </si>
  <si>
    <t>Tank Deadweight</t>
  </si>
  <si>
    <t>Computation</t>
  </si>
  <si>
    <r>
      <t>a</t>
    </r>
    <r>
      <rPr>
        <i/>
        <sz val="11"/>
        <color theme="1"/>
        <rFont val="Arial"/>
        <family val="2"/>
      </rPr>
      <t xml:space="preserve"> (half angle)</t>
    </r>
  </si>
  <si>
    <t>Weight liquid</t>
  </si>
  <si>
    <t>VCG total / bottom tank</t>
  </si>
  <si>
    <t>VCG total / ship Baseline</t>
  </si>
  <si>
    <t>Tank orientation</t>
  </si>
  <si>
    <t>A</t>
  </si>
  <si>
    <t>T</t>
  </si>
  <si>
    <t>ZCoG liquid / bottom tank</t>
  </si>
  <si>
    <t>ZCoG triangle / bottom tank</t>
  </si>
  <si>
    <t>Free Surface Quadratic</t>
  </si>
  <si>
    <t>Hullage</t>
  </si>
  <si>
    <t>i*ꙍ-&gt;</t>
  </si>
  <si>
    <t>Area portion of disc</t>
  </si>
  <si>
    <t>Base half triangle width</t>
  </si>
  <si>
    <t>Area full triangle</t>
  </si>
  <si>
    <t>Area global</t>
  </si>
  <si>
    <t>ZCoG portion disc / bottom tank</t>
  </si>
  <si>
    <t>Horizontal Fresh Water tank 5 000L</t>
  </si>
  <si>
    <t>Horizontal MDO tank 15 000L</t>
  </si>
  <si>
    <t>Weight total</t>
  </si>
  <si>
    <r>
      <t>Free Surface Moment  i.</t>
    </r>
    <r>
      <rPr>
        <b/>
        <i/>
        <sz val="11"/>
        <color rgb="FFC00000"/>
        <rFont val="Symbol"/>
        <family val="1"/>
        <charset val="2"/>
      </rPr>
      <t>w</t>
    </r>
  </si>
  <si>
    <t xml:space="preserve"> </t>
  </si>
  <si>
    <t>i*ꙍ</t>
  </si>
  <si>
    <t>Ballasts Tank</t>
  </si>
  <si>
    <t>Hullage survey (0 indicate empty tank)</t>
  </si>
  <si>
    <t>D</t>
  </si>
  <si>
    <t>Diameter</t>
  </si>
  <si>
    <t>Recap Hullage</t>
  </si>
  <si>
    <t>Row</t>
  </si>
  <si>
    <t>Col</t>
  </si>
  <si>
    <t>Computed weight</t>
  </si>
  <si>
    <t>Data to Recap sheet</t>
  </si>
  <si>
    <t>Datas from computation tables</t>
  </si>
  <si>
    <t>From</t>
  </si>
  <si>
    <t>Comp. X</t>
  </si>
  <si>
    <t>Comp. Y</t>
  </si>
  <si>
    <t>Comp. Z</t>
  </si>
  <si>
    <t>Z center bottom of tank</t>
  </si>
  <si>
    <t>X center bottom of tank</t>
  </si>
  <si>
    <t>Y center bottom of tank</t>
  </si>
  <si>
    <t>Repart.</t>
  </si>
  <si>
    <t>Creating file</t>
  </si>
  <si>
    <t>&lt;- Recap</t>
  </si>
  <si>
    <t>Lightship without lifting equipments</t>
  </si>
  <si>
    <t>*</t>
  </si>
  <si>
    <t>Displacement</t>
  </si>
  <si>
    <t>H metacentr</t>
  </si>
  <si>
    <t>Draft</t>
  </si>
  <si>
    <t>Freeboard</t>
  </si>
  <si>
    <t>Floating</t>
  </si>
  <si>
    <t>GM</t>
  </si>
  <si>
    <t>* Transport conditions</t>
  </si>
  <si>
    <t>10% max -&gt;</t>
  </si>
  <si>
    <t>Load Distrib</t>
  </si>
  <si>
    <t>04.Long. Section</t>
  </si>
  <si>
    <t>06.Ballasts</t>
  </si>
  <si>
    <t>07.Lifting</t>
  </si>
  <si>
    <t>08.Additionnals</t>
  </si>
  <si>
    <t>09.Deck Tank</t>
  </si>
  <si>
    <t>Recap-&gt;</t>
  </si>
  <si>
    <t>05.Hull &amp; Structure</t>
  </si>
  <si>
    <t>Not used</t>
  </si>
  <si>
    <t>Port</t>
  </si>
  <si>
    <t>Starboard</t>
  </si>
  <si>
    <t>Code</t>
  </si>
  <si>
    <t>Trim</t>
  </si>
  <si>
    <t>List</t>
  </si>
  <si>
    <t>Portside</t>
  </si>
  <si>
    <t>Draft @ LCF</t>
  </si>
  <si>
    <t>L_elt</t>
  </si>
  <si>
    <t>Author</t>
  </si>
  <si>
    <t>Min freeboard</t>
  </si>
  <si>
    <t>H Deck-Bott.</t>
  </si>
  <si>
    <t>Repart position</t>
  </si>
  <si>
    <t>|</t>
  </si>
  <si>
    <t>↑</t>
  </si>
  <si>
    <t>&lt;- Check</t>
  </si>
  <si>
    <t>H Deck-Bottom</t>
  </si>
  <si>
    <t>Data column steps</t>
  </si>
  <si>
    <t>Xcog</t>
  </si>
  <si>
    <t>Ycog</t>
  </si>
  <si>
    <t>Floating Elt</t>
  </si>
  <si>
    <t>Net force / Elt</t>
  </si>
  <si>
    <t>area</t>
  </si>
  <si>
    <t>Chart Waterplane</t>
  </si>
  <si>
    <t>Waterplane area</t>
  </si>
  <si>
    <t>H k-bott</t>
  </si>
  <si>
    <t>Aft Nline prev</t>
  </si>
  <si>
    <t>Aft Nline next</t>
  </si>
  <si>
    <t>Fore Nline prev</t>
  </si>
  <si>
    <t>Fore Nline next</t>
  </si>
  <si>
    <t>Aft X prev</t>
  </si>
  <si>
    <t>Aft X next</t>
  </si>
  <si>
    <t>Aft Draft prev</t>
  </si>
  <si>
    <t>Aft Draft next</t>
  </si>
  <si>
    <t>Aft X</t>
  </si>
  <si>
    <t>Fore X prev</t>
  </si>
  <si>
    <t>Fore X next</t>
  </si>
  <si>
    <t>Fore Draft prev</t>
  </si>
  <si>
    <t>Fore Draft next</t>
  </si>
  <si>
    <t>Fore X</t>
  </si>
  <si>
    <t>Volume elt</t>
  </si>
  <si>
    <t>LX</t>
  </si>
  <si>
    <t>VCB</t>
  </si>
  <si>
    <t>X CoG elt</t>
  </si>
  <si>
    <t>Z CoG elt</t>
  </si>
  <si>
    <r>
      <t>R</t>
    </r>
    <r>
      <rPr>
        <b/>
        <vertAlign val="subscript"/>
        <sz val="11"/>
        <color theme="0"/>
        <rFont val="Calibri"/>
        <family val="2"/>
        <scheme val="minor"/>
      </rPr>
      <t>MT</t>
    </r>
  </si>
  <si>
    <r>
      <t>R</t>
    </r>
    <r>
      <rPr>
        <b/>
        <vertAlign val="subscript"/>
        <sz val="11"/>
        <color theme="0"/>
        <rFont val="Calibri"/>
        <family val="2"/>
        <scheme val="minor"/>
      </rPr>
      <t>ML</t>
    </r>
  </si>
  <si>
    <t>KMT</t>
  </si>
  <si>
    <t>MCT</t>
  </si>
  <si>
    <t>Displac. SW</t>
  </si>
  <si>
    <t>Aft Draft</t>
  </si>
  <si>
    <t>Fore Draft</t>
  </si>
  <si>
    <t>H Keel-Bottom</t>
  </si>
  <si>
    <t>x</t>
  </si>
  <si>
    <t>Weight LCG</t>
  </si>
  <si>
    <t>H waterline before corr.</t>
  </si>
  <si>
    <t>Elt Area before corr.</t>
  </si>
  <si>
    <t>Elt Area corrected</t>
  </si>
  <si>
    <t>H waterline corrected</t>
  </si>
  <si>
    <t>Δtrim before corr.</t>
  </si>
  <si>
    <t>Before corr.</t>
  </si>
  <si>
    <t>LCB before corr.</t>
  </si>
  <si>
    <t>LCG corr.</t>
  </si>
  <si>
    <t>Corrected</t>
  </si>
  <si>
    <t>FE LCG -&gt;</t>
  </si>
  <si>
    <t>L total</t>
  </si>
  <si>
    <r>
      <rPr>
        <b/>
        <sz val="11"/>
        <color theme="1"/>
        <rFont val="Calibri"/>
        <family val="2"/>
      </rPr>
      <t>Δ</t>
    </r>
    <r>
      <rPr>
        <b/>
        <sz val="9.35"/>
        <color theme="1"/>
        <rFont val="Calibri"/>
        <family val="2"/>
      </rPr>
      <t>T</t>
    </r>
  </si>
  <si>
    <t>FE calc. Corrected values</t>
  </si>
  <si>
    <r>
      <t>Δ</t>
    </r>
    <r>
      <rPr>
        <b/>
        <sz val="9.35"/>
        <color theme="0"/>
        <rFont val="Calibri"/>
        <family val="2"/>
      </rPr>
      <t>T</t>
    </r>
  </si>
  <si>
    <t>Long section Tab</t>
  </si>
  <si>
    <t>Pas de calcul Hydrostatique</t>
  </si>
  <si>
    <t>Hydrostatic calculation step</t>
  </si>
  <si>
    <r>
      <t>Δh</t>
    </r>
    <r>
      <rPr>
        <vertAlign val="subscript"/>
        <sz val="11"/>
        <color theme="1"/>
        <rFont val="Calibri"/>
        <family val="2"/>
        <scheme val="minor"/>
      </rPr>
      <t>ydro</t>
    </r>
  </si>
  <si>
    <t>_LCB</t>
  </si>
  <si>
    <t>_TCB</t>
  </si>
  <si>
    <t>_LCF</t>
  </si>
  <si>
    <t>Copy-Paste Area For Hydrostatic Sheet</t>
  </si>
  <si>
    <t>_Draught</t>
  </si>
  <si>
    <r>
      <t xml:space="preserve">Deck Equipment (sh </t>
    </r>
    <r>
      <rPr>
        <i/>
        <sz val="11"/>
        <color rgb="FF0000FF"/>
        <rFont val="Calibri"/>
        <family val="2"/>
        <scheme val="minor"/>
      </rPr>
      <t>Deck Equipment</t>
    </r>
    <r>
      <rPr>
        <sz val="11"/>
        <color rgb="FF0000FF"/>
        <rFont val="Calibri"/>
        <family val="2"/>
        <scheme val="minor"/>
      </rPr>
      <t>)</t>
    </r>
  </si>
  <si>
    <t>Boom Sheaves</t>
  </si>
  <si>
    <t>6m Element</t>
  </si>
  <si>
    <t>12m Element</t>
  </si>
  <si>
    <t>Crane SL6000</t>
  </si>
  <si>
    <t>Crane Load position 1 (Lift Longi)</t>
  </si>
  <si>
    <t>Crane Load position 2 (Install longi)</t>
  </si>
  <si>
    <t>Crane Load Position 3 (Install cap beam)</t>
  </si>
  <si>
    <t>Install Equipment</t>
  </si>
  <si>
    <t>`1040</t>
  </si>
  <si>
    <t>WB 1F</t>
  </si>
  <si>
    <t>Ps</t>
  </si>
  <si>
    <t>Cp</t>
  </si>
  <si>
    <t>Cs</t>
  </si>
  <si>
    <t>Sb</t>
  </si>
  <si>
    <t>WB 2Ps</t>
  </si>
  <si>
    <t>WB 3Ps</t>
  </si>
  <si>
    <t>WB 4Ps</t>
  </si>
  <si>
    <t>WB 5Ps</t>
  </si>
  <si>
    <t>WB 6Ps</t>
  </si>
  <si>
    <t>WB 1A</t>
  </si>
  <si>
    <t>WB 2Sb</t>
  </si>
  <si>
    <t>WB 3Sb</t>
  </si>
  <si>
    <t>WB 4Sb</t>
  </si>
  <si>
    <t>WB 5Sb</t>
  </si>
  <si>
    <t>WB 6Sb</t>
  </si>
  <si>
    <t>WB1A</t>
  </si>
  <si>
    <t>WB6Ps</t>
  </si>
  <si>
    <t>WB6Cp</t>
  </si>
  <si>
    <t>WB6Cs</t>
  </si>
  <si>
    <t>WB6Sb</t>
  </si>
  <si>
    <t>WB5Ps</t>
  </si>
  <si>
    <t>WB5Cp</t>
  </si>
  <si>
    <t>WB5Cs</t>
  </si>
  <si>
    <t>WB5Sb</t>
  </si>
  <si>
    <t>WB4Ps</t>
  </si>
  <si>
    <t>WB4Cs</t>
  </si>
  <si>
    <t>WB4Cp</t>
  </si>
  <si>
    <t>WB4Sb</t>
  </si>
  <si>
    <t>WB3Ps</t>
  </si>
  <si>
    <t>WB3Cp</t>
  </si>
  <si>
    <t>WB3Cs</t>
  </si>
  <si>
    <t>WB3Sb</t>
  </si>
  <si>
    <t>WB2Ps</t>
  </si>
  <si>
    <t>WB2Sb</t>
  </si>
  <si>
    <t>WB2Cp</t>
  </si>
  <si>
    <t>WB2Cs</t>
  </si>
  <si>
    <t>WB1F</t>
  </si>
  <si>
    <t>R1</t>
  </si>
  <si>
    <t>R2</t>
  </si>
  <si>
    <t>R3</t>
  </si>
  <si>
    <t>R5</t>
  </si>
  <si>
    <t>R6</t>
  </si>
  <si>
    <t>R7</t>
  </si>
  <si>
    <t>0,00</t>
  </si>
  <si>
    <t>2,00</t>
  </si>
  <si>
    <t>5,00</t>
  </si>
  <si>
    <t>10,00</t>
  </si>
  <si>
    <t>15,00</t>
  </si>
  <si>
    <t>20,00</t>
  </si>
  <si>
    <t>30,00</t>
  </si>
  <si>
    <t>40,00</t>
  </si>
  <si>
    <t>Barge 60x20</t>
  </si>
  <si>
    <t>from Barge Specifications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</si>
</sst>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9">
    <numFmt numFmtId="164" formatCode="_-* #,##0.00\ _€_-;\-* #,##0.00\ _€_-;_-* &quot;-&quot;??\ _€_-;_-@_-"/>
    <numFmt numFmtId="165" formatCode="#,##0.000"/>
    <numFmt numFmtId="166" formatCode="#,##0.0"/>
    <numFmt numFmtId="167" formatCode="0.000"/>
    <numFmt numFmtId="168" formatCode="#,##0&quot; t&quot;"/>
    <numFmt numFmtId="169" formatCode="#,##0.00&quot; m&quot;"/>
    <numFmt numFmtId="170" formatCode="#,##0.0&quot; t&quot;"/>
    <numFmt numFmtId="171" formatCode="#,##0.000&quot; m&quot;"/>
    <numFmt numFmtId="172" formatCode="0.0000"/>
    <numFmt numFmtId="173" formatCode="00"/>
    <numFmt numFmtId="174" formatCode="[$-40C]d\-mmm\-yy;@"/>
    <numFmt numFmtId="175" formatCode="#,##0.000&quot; m&quot;;\-#,##0.000&quot; m&quot;;\-"/>
    <numFmt numFmtId="176" formatCode="#,##0.0&quot; °&quot;"/>
    <numFmt numFmtId="177" formatCode="0.00&quot; m3&quot;"/>
    <numFmt numFmtId="178" formatCode="###0.000;###0.000"/>
    <numFmt numFmtId="179" formatCode="###0.00;###0.00"/>
    <numFmt numFmtId="180" formatCode="0.000&quot; m.rad&quot;"/>
    <numFmt numFmtId="181" formatCode="###0.000"/>
    <numFmt numFmtId="182" formatCode="#,##0.00&quot; m2&quot;"/>
    <numFmt numFmtId="183" formatCode="000.00"/>
    <numFmt numFmtId="184" formatCode="0.0"/>
    <numFmt numFmtId="185" formatCode="#,##0.0000"/>
    <numFmt numFmtId="186" formatCode="###0.000;\-###0.000"/>
    <numFmt numFmtId="187" formatCode="000"/>
    <numFmt numFmtId="188" formatCode="#,##0.000&quot; t&quot;;\-#,##0.000&quot; t&quot;;\-;@"/>
    <numFmt numFmtId="189" formatCode="#,##0.0&quot; t*m&quot;;\-#,##0.0&quot; t*m&quot;;0.0&quot; t*m&quot;;@"/>
    <numFmt numFmtId="190" formatCode="#,##0.000&quot; m&quot;;\-#,##0.000&quot; m&quot;;0.000&quot; m&quot;;@"/>
    <numFmt numFmtId="191" formatCode="#,##0.000&quot; t/m&quot;;\-#,##0.000&quot; t/m&quot;;0.000&quot; t/m&quot;;@"/>
    <numFmt numFmtId="192" formatCode="#,##0.000_ ;\-#,##0.000\ "/>
    <numFmt numFmtId="193" formatCode="#,##0.00&quot; m&quot;;\-#,##0.00&quot; m&quot;;0.00&quot; m&quot;;@"/>
    <numFmt numFmtId="194" formatCode="#,##0.000&quot; m²&quot;;\-#,##0.000\²&quot; m&quot;;\-;@"/>
    <numFmt numFmtId="195" formatCode="#,##0.000&quot; m&quot;;\-#,##0.000&quot; m&quot;;\-;@"/>
    <numFmt numFmtId="196" formatCode="0;\-0;\-;@"/>
    <numFmt numFmtId="197" formatCode="0.0_ ;\-0.0\ "/>
    <numFmt numFmtId="198" formatCode="#,##0.0&quot; t*m&quot;;\-#,##0.0&quot; t*m&quot;;\-;@"/>
    <numFmt numFmtId="199" formatCode="#,##0.00&quot; m3&quot;;\-#,##0.00&quot; m3&quot;;\-;@"/>
    <numFmt numFmtId="200" formatCode="#,##0.0&quot; t*m/cm&quot;;\-#,##0.0&quot; t*m/cm&quot;;\-;@"/>
    <numFmt numFmtId="201" formatCode="#,##0.000&quot; m²&quot;;\-#,##0.000&quot; m²&quot;;\-;@"/>
    <numFmt numFmtId="202" formatCode="#,##0.000&quot; t/cm&quot;;\-#,##0.000&quot; t/cm&quot;;\-;@"/>
  </numFmts>
  <fonts count="100" x14ac:knownFonts="1">
    <font>
      <sz val="11"/>
      <color theme="1"/>
      <name val="Calibri"/>
      <family val="2"/>
      <scheme val="minor"/>
    </font>
    <font>
      <sz val="11"/>
      <name val="Calibri"/>
      <family val="2"/>
    </font>
    <font>
      <b/>
      <sz val="11"/>
      <name val="Calibri"/>
      <family val="2"/>
    </font>
    <font>
      <sz val="11"/>
      <color indexed="8"/>
      <name val="Calibri"/>
      <family val="2"/>
    </font>
    <font>
      <b/>
      <sz val="11"/>
      <color indexed="8"/>
      <name val="Calibri"/>
      <family val="2"/>
    </font>
    <font>
      <sz val="11"/>
      <color theme="0"/>
      <name val="Calibri"/>
      <family val="2"/>
      <scheme val="minor"/>
    </font>
    <font>
      <sz val="11"/>
      <color theme="3"/>
      <name val="Calibri"/>
      <family val="2"/>
      <scheme val="minor"/>
    </font>
    <font>
      <sz val="11"/>
      <color rgb="FFFF0000"/>
      <name val="Calibri"/>
      <family val="2"/>
      <scheme val="minor"/>
    </font>
    <font>
      <b/>
      <sz val="11"/>
      <color theme="0"/>
      <name val="Calibri"/>
      <family val="2"/>
      <scheme val="minor"/>
    </font>
    <font>
      <b/>
      <sz val="11"/>
      <color theme="1"/>
      <name val="Calibri"/>
      <family val="2"/>
      <scheme val="minor"/>
    </font>
    <font>
      <b/>
      <sz val="11"/>
      <name val="Calibri"/>
      <family val="2"/>
      <scheme val="minor"/>
    </font>
    <font>
      <sz val="11"/>
      <name val="Calibri"/>
      <family val="2"/>
      <scheme val="minor"/>
    </font>
    <font>
      <sz val="10"/>
      <name val="Arial"/>
      <family val="2"/>
      <charset val="238"/>
    </font>
    <font>
      <sz val="11"/>
      <color rgb="FF006100"/>
      <name val="Calibri"/>
      <family val="2"/>
      <scheme val="minor"/>
    </font>
    <font>
      <sz val="11"/>
      <name val="Courier New"/>
      <family val="3"/>
    </font>
    <font>
      <b/>
      <u/>
      <sz val="11"/>
      <name val="Times New Roman"/>
      <family val="1"/>
    </font>
    <font>
      <sz val="11"/>
      <color rgb="FF000000"/>
      <name val="Courier New"/>
      <family val="2"/>
    </font>
    <font>
      <b/>
      <sz val="10"/>
      <name val="Times New Roman"/>
      <family val="1"/>
    </font>
    <font>
      <sz val="11"/>
      <color theme="1"/>
      <name val="Calibri"/>
      <family val="2"/>
      <scheme val="minor"/>
    </font>
    <font>
      <sz val="11"/>
      <color rgb="FF9C0006"/>
      <name val="Calibri"/>
      <family val="2"/>
      <scheme val="minor"/>
    </font>
    <font>
      <b/>
      <i/>
      <sz val="11"/>
      <name val="Calibri"/>
      <family val="2"/>
    </font>
    <font>
      <sz val="11"/>
      <color rgb="FF9C0006"/>
      <name val="Calibri"/>
      <family val="2"/>
    </font>
    <font>
      <i/>
      <sz val="11"/>
      <color theme="1"/>
      <name val="Calibri"/>
      <family val="2"/>
      <scheme val="minor"/>
    </font>
    <font>
      <b/>
      <sz val="11"/>
      <color rgb="FF9C0006"/>
      <name val="Calibri"/>
      <family val="2"/>
      <scheme val="minor"/>
    </font>
    <font>
      <i/>
      <sz val="11"/>
      <color theme="1" tint="0.499984740745262"/>
      <name val="Calibri"/>
      <family val="2"/>
      <scheme val="minor"/>
    </font>
    <font>
      <i/>
      <sz val="11"/>
      <name val="Calibri"/>
      <family val="2"/>
      <scheme val="minor"/>
    </font>
    <font>
      <b/>
      <i/>
      <sz val="11"/>
      <color rgb="FF006100"/>
      <name val="Calibri"/>
      <family val="2"/>
      <scheme val="minor"/>
    </font>
    <font>
      <i/>
      <sz val="11"/>
      <color theme="1"/>
      <name val="Symbol"/>
      <family val="1"/>
      <charset val="2"/>
    </font>
    <font>
      <i/>
      <sz val="11"/>
      <color theme="1"/>
      <name val="Arial"/>
      <family val="2"/>
    </font>
    <font>
      <sz val="9"/>
      <color indexed="81"/>
      <name val="Tahoma"/>
      <family val="2"/>
    </font>
    <font>
      <b/>
      <sz val="9"/>
      <color indexed="81"/>
      <name val="Tahoma"/>
      <family val="2"/>
    </font>
    <font>
      <strike/>
      <sz val="11"/>
      <color theme="0" tint="-0.249977111117893"/>
      <name val="Calibri"/>
      <family val="2"/>
      <scheme val="minor"/>
    </font>
    <font>
      <b/>
      <strike/>
      <sz val="11"/>
      <color theme="0" tint="-0.249977111117893"/>
      <name val="Calibri"/>
      <family val="2"/>
      <scheme val="minor"/>
    </font>
    <font>
      <sz val="11"/>
      <color rgb="FF0000CC"/>
      <name val="Calibri"/>
      <family val="2"/>
      <scheme val="minor"/>
    </font>
    <font>
      <sz val="11"/>
      <color theme="1"/>
      <name val="Calibri"/>
      <family val="2"/>
    </font>
    <font>
      <vertAlign val="subscript"/>
      <sz val="11"/>
      <color theme="1"/>
      <name val="Calibri"/>
      <family val="2"/>
      <scheme val="minor"/>
    </font>
    <font>
      <sz val="11"/>
      <color rgb="FF000000"/>
      <name val="Courier New"/>
      <family val="3"/>
    </font>
    <font>
      <b/>
      <sz val="11"/>
      <color theme="0"/>
      <name val="Calibri"/>
      <family val="2"/>
    </font>
    <font>
      <i/>
      <sz val="11"/>
      <color theme="1" tint="0.34998626667073579"/>
      <name val="Calibri"/>
      <family val="2"/>
    </font>
    <font>
      <i/>
      <sz val="11"/>
      <color theme="0" tint="-0.499984740745262"/>
      <name val="Calibri"/>
      <family val="2"/>
    </font>
    <font>
      <sz val="11"/>
      <color theme="1" tint="0.34998626667073579"/>
      <name val="Calibri"/>
      <family val="2"/>
    </font>
    <font>
      <sz val="11"/>
      <color theme="1" tint="0.34998626667073579"/>
      <name val="Calibri"/>
      <family val="2"/>
      <scheme val="minor"/>
    </font>
    <font>
      <i/>
      <sz val="11"/>
      <color theme="1" tint="0.34998626667073579"/>
      <name val="Calibri"/>
      <family val="2"/>
      <scheme val="minor"/>
    </font>
    <font>
      <i/>
      <sz val="11"/>
      <color theme="3"/>
      <name val="Calibri"/>
      <family val="2"/>
    </font>
    <font>
      <i/>
      <sz val="11"/>
      <color theme="3"/>
      <name val="Calibri"/>
      <family val="2"/>
      <scheme val="minor"/>
    </font>
    <font>
      <b/>
      <sz val="11"/>
      <color rgb="FF0000CC"/>
      <name val="Calibri"/>
      <family val="2"/>
    </font>
    <font>
      <b/>
      <i/>
      <sz val="11"/>
      <color theme="1" tint="0.34998626667073579"/>
      <name val="Calibri"/>
      <family val="2"/>
    </font>
    <font>
      <i/>
      <sz val="11"/>
      <color rgb="FF7030A0"/>
      <name val="Calibri"/>
      <family val="2"/>
    </font>
    <font>
      <i/>
      <sz val="11"/>
      <color rgb="FF7030A0"/>
      <name val="Calibri"/>
      <family val="2"/>
      <scheme val="minor"/>
    </font>
    <font>
      <b/>
      <i/>
      <sz val="11"/>
      <name val="Calibri"/>
      <family val="2"/>
      <scheme val="minor"/>
    </font>
    <font>
      <vertAlign val="subscript"/>
      <sz val="11"/>
      <color theme="1"/>
      <name val="Calibri"/>
      <family val="2"/>
    </font>
    <font>
      <b/>
      <sz val="14"/>
      <color rgb="FF0000FF"/>
      <name val="Calibri"/>
      <family val="2"/>
      <scheme val="minor"/>
    </font>
    <font>
      <sz val="11"/>
      <color rgb="FF0000FF"/>
      <name val="Calibri"/>
      <family val="2"/>
      <scheme val="minor"/>
    </font>
    <font>
      <b/>
      <sz val="11"/>
      <color rgb="FF0000FF"/>
      <name val="Calibri"/>
      <family val="2"/>
      <scheme val="minor"/>
    </font>
    <font>
      <sz val="11"/>
      <color rgb="FF0000FF"/>
      <name val="Calibri"/>
      <family val="2"/>
    </font>
    <font>
      <b/>
      <sz val="11"/>
      <color rgb="FF00B050"/>
      <name val="Calibri"/>
      <family val="2"/>
    </font>
    <font>
      <i/>
      <sz val="11"/>
      <color rgb="FF00B050"/>
      <name val="Calibri"/>
      <family val="2"/>
      <scheme val="minor"/>
    </font>
    <font>
      <b/>
      <i/>
      <sz val="11"/>
      <color indexed="8"/>
      <name val="Calibri"/>
      <family val="2"/>
    </font>
    <font>
      <sz val="11"/>
      <color theme="1" tint="0.499984740745262"/>
      <name val="Calibri"/>
      <family val="2"/>
    </font>
    <font>
      <sz val="11"/>
      <color theme="0"/>
      <name val="Courier New"/>
      <family val="3"/>
    </font>
    <font>
      <b/>
      <sz val="11"/>
      <color theme="0"/>
      <name val="Courier New"/>
      <family val="3"/>
    </font>
    <font>
      <b/>
      <sz val="10"/>
      <color theme="0"/>
      <name val="Courier New"/>
      <family val="3"/>
    </font>
    <font>
      <b/>
      <sz val="10"/>
      <color theme="0"/>
      <name val="Times New Roman"/>
      <family val="1"/>
    </font>
    <font>
      <b/>
      <sz val="10"/>
      <color theme="0"/>
      <name val="Courier New"/>
      <family val="2"/>
    </font>
    <font>
      <sz val="11"/>
      <color theme="0"/>
      <name val="Times New Roman"/>
      <family val="1"/>
    </font>
    <font>
      <b/>
      <sz val="11"/>
      <color theme="9" tint="-0.24994659260841701"/>
      <name val="Calibri"/>
      <family val="2"/>
      <scheme val="minor"/>
    </font>
    <font>
      <b/>
      <sz val="10"/>
      <color rgb="FF0000FF"/>
      <name val="Times New Roman"/>
      <family val="1"/>
    </font>
    <font>
      <b/>
      <sz val="11"/>
      <color theme="1" tint="0.34998626667073579"/>
      <name val="Calibri"/>
      <family val="2"/>
      <scheme val="minor"/>
    </font>
    <font>
      <i/>
      <sz val="11"/>
      <color rgb="FF0000FF"/>
      <name val="Calibri"/>
      <family val="2"/>
      <scheme val="minor"/>
    </font>
    <font>
      <sz val="11"/>
      <color theme="1" tint="0.499984740745262"/>
      <name val="Calibri"/>
      <family val="2"/>
      <scheme val="minor"/>
    </font>
    <font>
      <b/>
      <sz val="10"/>
      <name val="Calibri"/>
      <family val="2"/>
      <scheme val="minor"/>
    </font>
    <font>
      <b/>
      <i/>
      <sz val="11"/>
      <color theme="1" tint="0.34998626667073579"/>
      <name val="Calibri"/>
      <family val="2"/>
      <scheme val="minor"/>
    </font>
    <font>
      <b/>
      <sz val="11"/>
      <color rgb="FF0000FF"/>
      <name val="Courier New"/>
      <family val="3"/>
    </font>
    <font>
      <b/>
      <i/>
      <sz val="11"/>
      <color rgb="FF00B050"/>
      <name val="Calibri"/>
      <family val="2"/>
    </font>
    <font>
      <b/>
      <sz val="11"/>
      <color rgb="FF0000FF"/>
      <name val="Calibri"/>
      <family val="2"/>
    </font>
    <font>
      <sz val="11"/>
      <color rgb="FF006100"/>
      <name val="Calibri"/>
      <family val="2"/>
    </font>
    <font>
      <b/>
      <i/>
      <sz val="11"/>
      <color theme="1" tint="0.499984740745262"/>
      <name val="Calibri"/>
      <family val="2"/>
      <scheme val="minor"/>
    </font>
    <font>
      <b/>
      <sz val="12"/>
      <color rgb="FF0000FF"/>
      <name val="Calibri"/>
      <family val="2"/>
      <scheme val="minor"/>
    </font>
    <font>
      <b/>
      <i/>
      <sz val="11"/>
      <color rgb="FFC00000"/>
      <name val="Calibri"/>
      <family val="2"/>
      <scheme val="minor"/>
    </font>
    <font>
      <b/>
      <i/>
      <sz val="11"/>
      <color rgb="FFC00000"/>
      <name val="Symbol"/>
      <family val="1"/>
      <charset val="2"/>
    </font>
    <font>
      <b/>
      <sz val="12"/>
      <name val="Calibri"/>
      <family val="2"/>
      <scheme val="minor"/>
    </font>
    <font>
      <i/>
      <sz val="11"/>
      <color rgb="FF006100"/>
      <name val="Calibri"/>
      <family val="2"/>
    </font>
    <font>
      <i/>
      <sz val="11"/>
      <color rgb="FF006100"/>
      <name val="Calibri"/>
      <family val="2"/>
      <scheme val="minor"/>
    </font>
    <font>
      <b/>
      <sz val="16"/>
      <color theme="1"/>
      <name val="Calibri"/>
      <family val="2"/>
      <scheme val="minor"/>
    </font>
    <font>
      <i/>
      <sz val="11"/>
      <color theme="0" tint="-0.34998626667073579"/>
      <name val="Calibri"/>
      <family val="2"/>
      <scheme val="minor"/>
    </font>
    <font>
      <b/>
      <i/>
      <sz val="11"/>
      <color rgb="FF0000FF"/>
      <name val="Calibri"/>
      <family val="2"/>
      <scheme val="minor"/>
    </font>
    <font>
      <sz val="10"/>
      <color rgb="FF0000FF"/>
      <name val="Courier New"/>
      <family val="2"/>
    </font>
    <font>
      <sz val="11"/>
      <color rgb="FF0000FF"/>
      <name val="Courier New"/>
      <family val="3"/>
    </font>
    <font>
      <b/>
      <sz val="12"/>
      <color rgb="FFFF0000"/>
      <name val="Calibri"/>
      <family val="2"/>
      <scheme val="minor"/>
    </font>
    <font>
      <sz val="11"/>
      <color theme="5" tint="-0.249977111117893"/>
      <name val="Calibri"/>
      <family val="2"/>
      <scheme val="minor"/>
    </font>
    <font>
      <i/>
      <sz val="11"/>
      <color theme="1" tint="0.24994659260841701"/>
      <name val="Calibri"/>
      <family val="2"/>
      <scheme val="minor"/>
    </font>
    <font>
      <b/>
      <vertAlign val="subscript"/>
      <sz val="11"/>
      <color theme="0"/>
      <name val="Calibri"/>
      <family val="2"/>
      <scheme val="minor"/>
    </font>
    <font>
      <b/>
      <sz val="11"/>
      <color theme="1"/>
      <name val="Calibri"/>
      <family val="2"/>
    </font>
    <font>
      <b/>
      <sz val="9.35"/>
      <color theme="1"/>
      <name val="Calibri"/>
      <family val="2"/>
    </font>
    <font>
      <b/>
      <sz val="9.35"/>
      <color theme="0"/>
      <name val="Calibri"/>
      <family val="2"/>
    </font>
    <font>
      <b/>
      <sz val="11"/>
      <color rgb="FFC00000"/>
      <name val="Calibri"/>
      <family val="2"/>
      <scheme val="minor"/>
    </font>
    <font>
      <sz val="11"/>
      <color rgb="FF0000FF"/>
      <name val="Courier New"/>
      <family val="3"/>
    </font>
    <font>
      <sz val="11"/>
      <color rgb="FF0000FF"/>
      <name val="Courier New"/>
      <family val="3"/>
    </font>
    <font>
      <sz val="10"/>
      <color rgb="FF0000FF"/>
      <name val="Courier New"/>
      <family val="3"/>
    </font>
    <font>
      <sz val="10"/>
      <color rgb="FF0000FF"/>
      <name val="Courier New"/>
      <family val="3"/>
    </font>
  </fonts>
  <fills count="28">
    <fill>
      <patternFill patternType="none"/>
    </fill>
    <fill>
      <patternFill patternType="gray125"/>
    </fill>
    <fill>
      <patternFill patternType="solid">
        <fgColor indexed="44"/>
        <bgColor indexed="64"/>
      </patternFill>
    </fill>
    <fill>
      <patternFill patternType="solid">
        <fgColor indexed="42"/>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9"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rgb="FFC6EFCE"/>
      </patternFill>
    </fill>
    <fill>
      <patternFill patternType="solid">
        <fgColor rgb="FFFFC7CE"/>
      </patternFill>
    </fill>
    <fill>
      <patternFill patternType="solid">
        <fgColor rgb="FFFFFFFF"/>
        <bgColor indexed="64"/>
      </patternFill>
    </fill>
    <fill>
      <patternFill patternType="solid">
        <fgColor theme="3" tint="0.79998168889431442"/>
        <bgColor indexed="64"/>
      </patternFill>
    </fill>
    <fill>
      <patternFill patternType="solid">
        <fgColor rgb="FFFFC7CE"/>
        <bgColor indexed="64"/>
      </patternFill>
    </fill>
    <fill>
      <patternFill patternType="solid">
        <fgColor rgb="FFC6EFCE"/>
        <bgColor indexed="64"/>
      </patternFill>
    </fill>
    <fill>
      <patternFill patternType="solid">
        <fgColor rgb="FFC00000"/>
        <bgColor indexed="64"/>
      </patternFill>
    </fill>
    <fill>
      <patternFill patternType="solid">
        <fgColor theme="4" tint="0.59999389629810485"/>
        <bgColor indexed="64"/>
      </patternFill>
    </fill>
    <fill>
      <patternFill patternType="solid">
        <fgColor theme="9" tint="-0.24994659260841701"/>
        <bgColor indexed="64"/>
      </patternFill>
    </fill>
    <fill>
      <patternFill patternType="solid">
        <fgColor rgb="FFCCFFCC"/>
        <bgColor indexed="64"/>
      </patternFill>
    </fill>
    <fill>
      <patternFill patternType="solid">
        <fgColor rgb="FFFEC7CE"/>
        <bgColor indexed="64"/>
      </patternFill>
    </fill>
    <fill>
      <patternFill patternType="solid">
        <fgColor theme="9" tint="0.59996337778862885"/>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bgColor theme="5" tint="0.79998168889431442"/>
      </patternFill>
    </fill>
    <fill>
      <patternFill patternType="solid">
        <fgColor theme="5" tint="0.79998168889431442"/>
        <bgColor indexed="64"/>
      </patternFill>
    </fill>
    <fill>
      <patternFill patternType="solid">
        <fgColor theme="8" tint="0.79998168889431442"/>
        <bgColor indexed="64"/>
      </patternFill>
    </fill>
  </fills>
  <borders count="140">
    <border>
      <left/>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medium">
        <color indexed="64"/>
      </left>
      <right style="hair">
        <color indexed="64"/>
      </right>
      <top/>
      <bottom style="medium">
        <color indexed="64"/>
      </bottom>
      <diagonal/>
    </border>
    <border>
      <left style="hair">
        <color indexed="64"/>
      </left>
      <right style="hair">
        <color indexed="64"/>
      </right>
      <top/>
      <bottom style="medium">
        <color indexed="64"/>
      </bottom>
      <diagonal/>
    </border>
    <border>
      <left style="medium">
        <color indexed="64"/>
      </left>
      <right style="hair">
        <color indexed="64"/>
      </right>
      <top style="medium">
        <color indexed="64"/>
      </top>
      <bottom/>
      <diagonal/>
    </border>
    <border>
      <left style="hair">
        <color indexed="64"/>
      </left>
      <right style="hair">
        <color indexed="64"/>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bottom/>
      <diagonal/>
    </border>
    <border>
      <left style="hair">
        <color indexed="64"/>
      </left>
      <right style="hair">
        <color indexed="64"/>
      </right>
      <top/>
      <bottom/>
      <diagonal/>
    </border>
    <border>
      <left style="hair">
        <color indexed="64"/>
      </left>
      <right/>
      <top/>
      <bottom/>
      <diagonal/>
    </border>
    <border>
      <left style="hair">
        <color indexed="64"/>
      </left>
      <right style="medium">
        <color indexed="64"/>
      </right>
      <top/>
      <bottom/>
      <diagonal/>
    </border>
    <border>
      <left style="hair">
        <color indexed="64"/>
      </left>
      <right/>
      <top/>
      <bottom style="medium">
        <color indexed="64"/>
      </bottom>
      <diagonal/>
    </border>
    <border>
      <left/>
      <right style="hair">
        <color indexed="64"/>
      </right>
      <top/>
      <bottom/>
      <diagonal/>
    </border>
    <border>
      <left/>
      <right style="thin">
        <color indexed="64"/>
      </right>
      <top style="medium">
        <color indexed="64"/>
      </top>
      <bottom/>
      <diagonal/>
    </border>
    <border>
      <left style="thin">
        <color indexed="64"/>
      </left>
      <right style="hair">
        <color indexed="64"/>
      </right>
      <top/>
      <bottom/>
      <diagonal/>
    </border>
    <border>
      <left style="hair">
        <color indexed="64"/>
      </left>
      <right style="thin">
        <color indexed="64"/>
      </right>
      <top/>
      <bottom/>
      <diagonal/>
    </border>
    <border>
      <left style="thin">
        <color indexed="64"/>
      </left>
      <right/>
      <top style="medium">
        <color indexed="64"/>
      </top>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top style="thin">
        <color indexed="64"/>
      </top>
      <bottom style="thin">
        <color theme="5"/>
      </bottom>
      <diagonal/>
    </border>
    <border>
      <left style="hair">
        <color indexed="64"/>
      </left>
      <right style="medium">
        <color indexed="64"/>
      </right>
      <top style="thin">
        <color indexed="64"/>
      </top>
      <bottom/>
      <diagonal/>
    </border>
    <border>
      <left style="hair">
        <color indexed="64"/>
      </left>
      <right/>
      <top style="thin">
        <color indexed="64"/>
      </top>
      <bottom/>
      <diagonal/>
    </border>
    <border>
      <left style="thin">
        <color indexed="64"/>
      </left>
      <right style="hair">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style="thin">
        <color indexed="64"/>
      </right>
      <top style="medium">
        <color indexed="64"/>
      </top>
      <bottom style="thin">
        <color indexed="64"/>
      </bottom>
      <diagonal/>
    </border>
    <border>
      <left style="hair">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style="hair">
        <color indexed="64"/>
      </right>
      <top style="thin">
        <color indexed="64"/>
      </top>
      <bottom/>
      <diagonal/>
    </border>
    <border>
      <left style="thin">
        <color indexed="64"/>
      </left>
      <right/>
      <top style="thin">
        <color theme="7"/>
      </top>
      <bottom style="thin">
        <color theme="7"/>
      </bottom>
      <diagonal/>
    </border>
    <border>
      <left style="thin">
        <color indexed="64"/>
      </left>
      <right style="thin">
        <color indexed="64"/>
      </right>
      <top style="thin">
        <color indexed="64"/>
      </top>
      <bottom style="thin">
        <color theme="7"/>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dotted">
        <color indexed="64"/>
      </left>
      <right/>
      <top/>
      <bottom/>
      <diagonal/>
    </border>
    <border>
      <left style="dashed">
        <color auto="1"/>
      </left>
      <right/>
      <top/>
      <bottom/>
      <diagonal/>
    </border>
    <border>
      <left style="thin">
        <color rgb="FF000000"/>
      </left>
      <right/>
      <top/>
      <bottom/>
      <diagonal/>
    </border>
    <border>
      <left style="hair">
        <color indexed="64"/>
      </left>
      <right/>
      <top/>
      <bottom style="thin">
        <color indexed="64"/>
      </bottom>
      <diagonal/>
    </border>
    <border>
      <left/>
      <right style="hair">
        <color indexed="64"/>
      </right>
      <top/>
      <bottom style="thin">
        <color indexed="64"/>
      </bottom>
      <diagonal/>
    </border>
    <border>
      <left style="thin">
        <color indexed="64"/>
      </left>
      <right style="hair">
        <color indexed="64"/>
      </right>
      <top/>
      <bottom style="thin">
        <color theme="5"/>
      </bottom>
      <diagonal/>
    </border>
    <border>
      <left style="hair">
        <color indexed="64"/>
      </left>
      <right/>
      <top/>
      <bottom style="thin">
        <color theme="5"/>
      </bottom>
      <diagonal/>
    </border>
    <border>
      <left style="hair">
        <color indexed="64"/>
      </left>
      <right style="thin">
        <color indexed="64"/>
      </right>
      <top/>
      <bottom style="thin">
        <color theme="5"/>
      </bottom>
      <diagonal/>
    </border>
    <border>
      <left/>
      <right/>
      <top/>
      <bottom style="thin">
        <color theme="5"/>
      </bottom>
      <diagonal/>
    </border>
    <border>
      <left style="thin">
        <color indexed="64"/>
      </left>
      <right/>
      <top/>
      <bottom style="thin">
        <color theme="5"/>
      </bottom>
      <diagonal/>
    </border>
    <border>
      <left style="thin">
        <color indexed="64"/>
      </left>
      <right style="thin">
        <color indexed="64"/>
      </right>
      <top style="hair">
        <color indexed="64"/>
      </top>
      <bottom style="thin">
        <color indexed="64"/>
      </bottom>
      <diagonal/>
    </border>
    <border>
      <left style="thin">
        <color auto="1"/>
      </left>
      <right/>
      <top style="thin">
        <color auto="1"/>
      </top>
      <bottom style="thin">
        <color rgb="FFC0504D"/>
      </bottom>
      <diagonal/>
    </border>
    <border>
      <left/>
      <right/>
      <top style="thin">
        <color auto="1"/>
      </top>
      <bottom style="thin">
        <color rgb="FFC0504D"/>
      </bottom>
      <diagonal/>
    </border>
    <border>
      <left/>
      <right style="thin">
        <color indexed="64"/>
      </right>
      <top style="thin">
        <color auto="1"/>
      </top>
      <bottom style="thin">
        <color rgb="FFC0504D"/>
      </bottom>
      <diagonal/>
    </border>
    <border>
      <left style="hair">
        <color indexed="64"/>
      </left>
      <right style="hair">
        <color indexed="64"/>
      </right>
      <top style="thin">
        <color theme="5"/>
      </top>
      <bottom/>
      <diagonal/>
    </border>
    <border>
      <left style="thin">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thin">
        <color indexed="64"/>
      </top>
      <bottom style="thin">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thin">
        <color indexed="64"/>
      </left>
      <right/>
      <top/>
      <bottom style="hair">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thin">
        <color indexed="64"/>
      </right>
      <top/>
      <bottom style="hair">
        <color indexed="64"/>
      </bottom>
      <diagonal/>
    </border>
    <border>
      <left/>
      <right style="hair">
        <color indexed="64"/>
      </right>
      <top/>
      <bottom style="hair">
        <color indexed="64"/>
      </bottom>
      <diagonal/>
    </border>
    <border>
      <left/>
      <right/>
      <top style="thin">
        <color indexed="64"/>
      </top>
      <bottom style="hair">
        <color indexed="64"/>
      </bottom>
      <diagonal/>
    </border>
    <border>
      <left/>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theme="5" tint="-0.499984740745262"/>
      </right>
      <top style="thin">
        <color indexed="64"/>
      </top>
      <bottom/>
      <diagonal/>
    </border>
    <border>
      <left style="thin">
        <color indexed="64"/>
      </left>
      <right style="thin">
        <color theme="5" tint="-0.499984740745262"/>
      </right>
      <top/>
      <bottom style="thin">
        <color theme="5" tint="-0.499984740745262"/>
      </bottom>
      <diagonal/>
    </border>
    <border>
      <left style="thin">
        <color indexed="64"/>
      </left>
      <right style="thin">
        <color theme="5" tint="-0.499984740745262"/>
      </right>
      <top style="thin">
        <color theme="5" tint="-0.499984740745262"/>
      </top>
      <bottom/>
      <diagonal/>
    </border>
    <border>
      <left style="thin">
        <color indexed="64"/>
      </left>
      <right style="thin">
        <color theme="5" tint="-0.499984740745262"/>
      </right>
      <top/>
      <bottom/>
      <diagonal/>
    </border>
    <border>
      <left style="thin">
        <color indexed="64"/>
      </left>
      <right style="thin">
        <color theme="5" tint="-0.499984740745262"/>
      </right>
      <top/>
      <bottom style="thin">
        <color indexed="64"/>
      </bottom>
      <diagonal/>
    </border>
    <border>
      <left style="thin">
        <color theme="5" tint="-0.499984740745262"/>
      </left>
      <right style="thin">
        <color theme="5" tint="-0.499984740745262"/>
      </right>
      <top style="thin">
        <color theme="5" tint="-0.499984740745262"/>
      </top>
      <bottom/>
      <diagonal/>
    </border>
    <border>
      <left style="thin">
        <color theme="5" tint="-0.499984740745262"/>
      </left>
      <right style="thin">
        <color theme="5" tint="-0.499984740745262"/>
      </right>
      <top/>
      <bottom/>
      <diagonal/>
    </border>
    <border>
      <left style="thin">
        <color theme="5" tint="-0.499984740745262"/>
      </left>
      <right style="thin">
        <color theme="5" tint="-0.499984740745262"/>
      </right>
      <top/>
      <bottom style="thin">
        <color theme="5" tint="-0.499984740745262"/>
      </bottom>
      <diagonal/>
    </border>
    <border>
      <left style="thin">
        <color theme="5" tint="-0.499984740745262"/>
      </left>
      <right/>
      <top style="thin">
        <color theme="5" tint="-0.499984740745262"/>
      </top>
      <bottom/>
      <diagonal/>
    </border>
    <border>
      <left/>
      <right/>
      <top style="thin">
        <color theme="5" tint="-0.499984740745262"/>
      </top>
      <bottom/>
      <diagonal/>
    </border>
    <border>
      <left/>
      <right style="thin">
        <color theme="5" tint="-0.499984740745262"/>
      </right>
      <top style="thin">
        <color theme="5" tint="-0.499984740745262"/>
      </top>
      <bottom/>
      <diagonal/>
    </border>
    <border>
      <left style="thin">
        <color theme="5" tint="-0.499984740745262"/>
      </left>
      <right/>
      <top/>
      <bottom/>
      <diagonal/>
    </border>
    <border>
      <left/>
      <right style="thin">
        <color theme="5" tint="-0.499984740745262"/>
      </right>
      <top/>
      <bottom/>
      <diagonal/>
    </border>
    <border>
      <left style="thin">
        <color theme="5" tint="-0.499984740745262"/>
      </left>
      <right/>
      <top/>
      <bottom style="thin">
        <color theme="5" tint="-0.499984740745262"/>
      </bottom>
      <diagonal/>
    </border>
    <border>
      <left/>
      <right/>
      <top/>
      <bottom style="thin">
        <color theme="5" tint="-0.499984740745262"/>
      </bottom>
      <diagonal/>
    </border>
    <border>
      <left/>
      <right style="thin">
        <color theme="5" tint="-0.499984740745262"/>
      </right>
      <top/>
      <bottom style="thin">
        <color theme="5" tint="-0.499984740745262"/>
      </bottom>
      <diagonal/>
    </border>
    <border>
      <left style="thin">
        <color theme="5" tint="-0.499984740745262"/>
      </left>
      <right style="thin">
        <color theme="5" tint="-0.499984740745262"/>
      </right>
      <top/>
      <bottom style="thin">
        <color indexed="64"/>
      </bottom>
      <diagonal/>
    </border>
    <border>
      <left/>
      <right style="thin">
        <color indexed="64"/>
      </right>
      <top/>
      <bottom style="thin">
        <color theme="5" tint="-0.499984740745262"/>
      </bottom>
      <diagonal/>
    </border>
    <border>
      <left style="thin">
        <color theme="5" tint="-0.499984740745262"/>
      </left>
      <right/>
      <top style="thin">
        <color indexed="64"/>
      </top>
      <bottom style="thin">
        <color theme="5" tint="-0.499984740745262"/>
      </bottom>
      <diagonal/>
    </border>
    <border>
      <left/>
      <right/>
      <top style="thin">
        <color indexed="64"/>
      </top>
      <bottom style="thin">
        <color theme="5" tint="-0.499984740745262"/>
      </bottom>
      <diagonal/>
    </border>
    <border>
      <left/>
      <right style="thin">
        <color theme="5" tint="-0.499984740745262"/>
      </right>
      <top style="thin">
        <color indexed="64"/>
      </top>
      <bottom style="thin">
        <color theme="5" tint="-0.499984740745262"/>
      </bottom>
      <diagonal/>
    </border>
    <border>
      <left/>
      <right style="thin">
        <color rgb="FF000000"/>
      </right>
      <top/>
      <bottom/>
      <diagonal/>
    </border>
    <border>
      <left style="thin">
        <color indexed="64"/>
      </left>
      <right/>
      <top style="thin">
        <color indexed="64"/>
      </top>
      <bottom style="thin">
        <color theme="1"/>
      </bottom>
      <diagonal/>
    </border>
    <border>
      <left/>
      <right style="thin">
        <color indexed="64"/>
      </right>
      <top style="thin">
        <color indexed="64"/>
      </top>
      <bottom style="thin">
        <color theme="1"/>
      </bottom>
      <diagonal/>
    </border>
    <border>
      <left style="hair">
        <color indexed="64"/>
      </left>
      <right style="medium">
        <color indexed="64"/>
      </right>
      <top style="thin">
        <color indexed="64"/>
      </top>
      <bottom style="thin">
        <color indexed="64"/>
      </bottom>
      <diagonal/>
    </border>
    <border>
      <left style="hair">
        <color indexed="64"/>
      </left>
      <right/>
      <top style="hair">
        <color indexed="64"/>
      </top>
      <bottom style="thin">
        <color indexed="64"/>
      </bottom>
      <diagonal/>
    </border>
    <border>
      <left/>
      <right/>
      <top style="hair">
        <color indexed="64"/>
      </top>
      <bottom style="thin">
        <color indexed="64"/>
      </bottom>
      <diagonal/>
    </border>
    <border>
      <left/>
      <right style="hair">
        <color indexed="64"/>
      </right>
      <top style="thin">
        <color indexed="64"/>
      </top>
      <bottom style="hair">
        <color indexed="64"/>
      </bottom>
      <diagonal/>
    </border>
  </borders>
  <cellStyleXfs count="6">
    <xf numFmtId="0" fontId="0" fillId="0" borderId="0"/>
    <xf numFmtId="0" fontId="12" fillId="0" borderId="0"/>
    <xf numFmtId="0" fontId="13" fillId="11" borderId="0" applyNumberFormat="0" applyBorder="0" applyAlignment="0" applyProtection="0"/>
    <xf numFmtId="164" fontId="18" fillId="0" borderId="0" applyFont="0" applyFill="0" applyBorder="0" applyAlignment="0" applyProtection="0"/>
    <xf numFmtId="0" fontId="19" fillId="12" borderId="0" applyNumberFormat="0" applyBorder="0" applyAlignment="0" applyProtection="0"/>
    <xf numFmtId="9" fontId="18" fillId="0" borderId="0" applyFont="0" applyFill="0" applyBorder="0" applyAlignment="0" applyProtection="0"/>
  </cellStyleXfs>
  <cellXfs count="1130">
    <xf numFmtId="0" fontId="0" fillId="0" borderId="0" xfId="0"/>
    <xf numFmtId="0" fontId="0" fillId="0" borderId="0" xfId="0" applyAlignment="1">
      <alignment horizontal="center"/>
    </xf>
    <xf numFmtId="0" fontId="10" fillId="7" borderId="0" xfId="0" applyFont="1" applyFill="1" applyAlignment="1">
      <alignment horizontal="center"/>
    </xf>
    <xf numFmtId="0" fontId="10" fillId="7" borderId="0" xfId="0" applyFont="1" applyFill="1" applyAlignment="1">
      <alignment horizontal="center" vertical="center"/>
    </xf>
    <xf numFmtId="168" fontId="11" fillId="7" borderId="0" xfId="0" applyNumberFormat="1" applyFont="1" applyFill="1"/>
    <xf numFmtId="171" fontId="11" fillId="7" borderId="0" xfId="0" applyNumberFormat="1" applyFont="1" applyFill="1"/>
    <xf numFmtId="0" fontId="11" fillId="7" borderId="0" xfId="0" applyFont="1" applyFill="1"/>
    <xf numFmtId="168" fontId="10" fillId="7" borderId="0" xfId="0" applyNumberFormat="1" applyFont="1" applyFill="1" applyAlignment="1">
      <alignment horizontal="center"/>
    </xf>
    <xf numFmtId="0" fontId="11" fillId="7" borderId="0" xfId="0" applyFont="1" applyFill="1" applyAlignment="1">
      <alignment horizontal="center" vertical="center"/>
    </xf>
    <xf numFmtId="168" fontId="11" fillId="7" borderId="0" xfId="0" applyNumberFormat="1" applyFont="1" applyFill="1" applyAlignment="1">
      <alignment horizontal="center" vertical="center"/>
    </xf>
    <xf numFmtId="165" fontId="2" fillId="7" borderId="0" xfId="0" applyNumberFormat="1" applyFont="1" applyFill="1" applyAlignment="1">
      <alignment horizontal="center" vertical="center"/>
    </xf>
    <xf numFmtId="171" fontId="2" fillId="7" borderId="0" xfId="0" applyNumberFormat="1" applyFont="1" applyFill="1" applyAlignment="1">
      <alignment horizontal="center" vertical="center"/>
    </xf>
    <xf numFmtId="165" fontId="1" fillId="7" borderId="0" xfId="0" applyNumberFormat="1" applyFont="1" applyFill="1" applyAlignment="1">
      <alignment horizontal="center" vertical="center"/>
    </xf>
    <xf numFmtId="171" fontId="1" fillId="7" borderId="0" xfId="0" applyNumberFormat="1" applyFont="1" applyFill="1" applyAlignment="1">
      <alignment horizontal="center" vertical="center"/>
    </xf>
    <xf numFmtId="0" fontId="10" fillId="7" borderId="0" xfId="0" applyFont="1" applyFill="1"/>
    <xf numFmtId="168" fontId="10" fillId="7" borderId="0" xfId="0" applyNumberFormat="1" applyFont="1" applyFill="1"/>
    <xf numFmtId="171" fontId="10" fillId="7" borderId="0" xfId="0" applyNumberFormat="1" applyFont="1" applyFill="1"/>
    <xf numFmtId="165" fontId="11" fillId="7" borderId="0" xfId="0" applyNumberFormat="1" applyFont="1" applyFill="1"/>
    <xf numFmtId="171" fontId="10" fillId="7" borderId="0" xfId="0" applyNumberFormat="1" applyFont="1" applyFill="1" applyAlignment="1">
      <alignment horizontal="center"/>
    </xf>
    <xf numFmtId="169" fontId="11" fillId="7" borderId="0" xfId="0" applyNumberFormat="1" applyFont="1" applyFill="1" applyAlignment="1">
      <alignment horizontal="center" vertical="center"/>
    </xf>
    <xf numFmtId="169" fontId="11" fillId="7" borderId="0" xfId="0" applyNumberFormat="1" applyFont="1" applyFill="1"/>
    <xf numFmtId="2" fontId="11" fillId="7" borderId="0" xfId="0" applyNumberFormat="1" applyFont="1" applyFill="1"/>
    <xf numFmtId="171" fontId="11" fillId="7" borderId="0" xfId="0" applyNumberFormat="1" applyFont="1" applyFill="1" applyAlignment="1">
      <alignment horizontal="center"/>
    </xf>
    <xf numFmtId="0" fontId="11" fillId="7" borderId="0" xfId="0" applyFont="1" applyFill="1" applyAlignment="1">
      <alignment horizontal="left" vertical="center"/>
    </xf>
    <xf numFmtId="0" fontId="11" fillId="7" borderId="0" xfId="0" applyFont="1" applyFill="1" applyAlignment="1">
      <alignment horizontal="right"/>
    </xf>
    <xf numFmtId="170" fontId="10" fillId="7" borderId="0" xfId="0" applyNumberFormat="1" applyFont="1" applyFill="1" applyAlignment="1">
      <alignment horizontal="center"/>
    </xf>
    <xf numFmtId="170" fontId="11" fillId="7" borderId="0" xfId="0" applyNumberFormat="1" applyFont="1" applyFill="1" applyAlignment="1">
      <alignment horizontal="center" vertical="center"/>
    </xf>
    <xf numFmtId="0" fontId="0" fillId="0" borderId="0" xfId="0" applyAlignment="1">
      <alignment horizontal="left" vertical="top"/>
    </xf>
    <xf numFmtId="0" fontId="10" fillId="7" borderId="16" xfId="0" applyFont="1" applyFill="1" applyBorder="1" applyAlignment="1">
      <alignment horizontal="center"/>
    </xf>
    <xf numFmtId="0" fontId="11" fillId="7" borderId="16" xfId="0" applyFont="1" applyFill="1" applyBorder="1"/>
    <xf numFmtId="169" fontId="11" fillId="7" borderId="16" xfId="0" applyNumberFormat="1" applyFont="1" applyFill="1" applyBorder="1" applyAlignment="1">
      <alignment horizontal="center" vertical="center"/>
    </xf>
    <xf numFmtId="0" fontId="10" fillId="7" borderId="16" xfId="0" applyFont="1" applyFill="1" applyBorder="1" applyAlignment="1">
      <alignment horizontal="center" vertical="center"/>
    </xf>
    <xf numFmtId="171" fontId="11" fillId="7" borderId="16" xfId="0" applyNumberFormat="1" applyFont="1" applyFill="1" applyBorder="1" applyAlignment="1">
      <alignment horizontal="center"/>
    </xf>
    <xf numFmtId="0" fontId="0" fillId="7" borderId="0" xfId="0" applyFill="1"/>
    <xf numFmtId="168" fontId="0" fillId="7" borderId="0" xfId="0" applyNumberFormat="1" applyFill="1"/>
    <xf numFmtId="171" fontId="0" fillId="7" borderId="0" xfId="0" applyNumberFormat="1" applyFill="1"/>
    <xf numFmtId="165" fontId="0" fillId="7" borderId="0" xfId="0" applyNumberFormat="1" applyFill="1"/>
    <xf numFmtId="0" fontId="6" fillId="7" borderId="0" xfId="0" applyFont="1" applyFill="1" applyAlignment="1">
      <alignment horizontal="center" vertical="center"/>
    </xf>
    <xf numFmtId="169" fontId="7" fillId="7" borderId="0" xfId="0" applyNumberFormat="1" applyFont="1" applyFill="1" applyAlignment="1">
      <alignment horizontal="center" vertical="center"/>
    </xf>
    <xf numFmtId="168" fontId="9" fillId="7" borderId="0" xfId="0" applyNumberFormat="1" applyFont="1" applyFill="1"/>
    <xf numFmtId="173" fontId="11" fillId="7" borderId="16" xfId="0" applyNumberFormat="1" applyFont="1" applyFill="1" applyBorder="1" applyAlignment="1">
      <alignment horizontal="center" vertical="center"/>
    </xf>
    <xf numFmtId="0" fontId="11" fillId="7" borderId="16" xfId="0" applyFont="1" applyFill="1" applyBorder="1" applyAlignment="1">
      <alignment wrapText="1"/>
    </xf>
    <xf numFmtId="174" fontId="11" fillId="7" borderId="16" xfId="0" applyNumberFormat="1" applyFont="1" applyFill="1" applyBorder="1" applyAlignment="1">
      <alignment horizontal="center" vertical="center"/>
    </xf>
    <xf numFmtId="0" fontId="11" fillId="7" borderId="16" xfId="0" applyFont="1" applyFill="1" applyBorder="1" applyAlignment="1">
      <alignment horizontal="center" vertical="center"/>
    </xf>
    <xf numFmtId="0" fontId="14" fillId="0" borderId="0" xfId="0" applyFont="1" applyAlignment="1">
      <alignment horizontal="center" vertical="top" wrapText="1"/>
    </xf>
    <xf numFmtId="0" fontId="14" fillId="0" borderId="0" xfId="0" applyFont="1" applyAlignment="1">
      <alignment vertical="top" wrapText="1"/>
    </xf>
    <xf numFmtId="0" fontId="0" fillId="0" borderId="0" xfId="0" applyAlignment="1">
      <alignment horizontal="left" vertical="top" wrapText="1"/>
    </xf>
    <xf numFmtId="178" fontId="16" fillId="0" borderId="0" xfId="0" applyNumberFormat="1" applyFont="1" applyAlignment="1">
      <alignment horizontal="center" vertical="top" wrapText="1"/>
    </xf>
    <xf numFmtId="0" fontId="0" fillId="0" borderId="0" xfId="0" applyAlignment="1">
      <alignment horizontal="center" vertical="top" wrapText="1"/>
    </xf>
    <xf numFmtId="181" fontId="16" fillId="0" borderId="0" xfId="0" applyNumberFormat="1" applyFont="1" applyAlignment="1">
      <alignment horizontal="center" vertical="top" wrapText="1"/>
    </xf>
    <xf numFmtId="0" fontId="17" fillId="0" borderId="0" xfId="0" applyFont="1" applyAlignment="1">
      <alignment horizontal="center" vertical="top"/>
    </xf>
    <xf numFmtId="0" fontId="0" fillId="0" borderId="0" xfId="0" applyAlignment="1">
      <alignment horizontal="center" vertical="top"/>
    </xf>
    <xf numFmtId="0" fontId="14" fillId="0" borderId="0" xfId="0" applyFont="1" applyAlignment="1">
      <alignment horizontal="center" vertical="top"/>
    </xf>
    <xf numFmtId="172" fontId="14" fillId="0" borderId="0" xfId="0" applyNumberFormat="1" applyFont="1" applyAlignment="1">
      <alignment horizontal="center" vertical="top" wrapText="1"/>
    </xf>
    <xf numFmtId="183" fontId="15" fillId="0" borderId="0" xfId="0" applyNumberFormat="1" applyFont="1" applyAlignment="1">
      <alignment vertical="top" wrapText="1"/>
    </xf>
    <xf numFmtId="0" fontId="0" fillId="7" borderId="0" xfId="0" applyFill="1" applyAlignment="1">
      <alignment horizontal="center"/>
    </xf>
    <xf numFmtId="0" fontId="8" fillId="17" borderId="37" xfId="0" applyFont="1" applyFill="1" applyBorder="1" applyAlignment="1">
      <alignment horizontal="center"/>
    </xf>
    <xf numFmtId="0" fontId="0" fillId="7" borderId="36" xfId="0" applyFill="1" applyBorder="1"/>
    <xf numFmtId="0" fontId="0" fillId="7" borderId="31" xfId="0" applyFill="1" applyBorder="1"/>
    <xf numFmtId="0" fontId="0" fillId="7" borderId="37" xfId="0" applyFill="1" applyBorder="1" applyAlignment="1">
      <alignment horizontal="center"/>
    </xf>
    <xf numFmtId="0" fontId="11" fillId="7" borderId="40" xfId="0" applyFont="1" applyFill="1" applyBorder="1"/>
    <xf numFmtId="0" fontId="0" fillId="7" borderId="27" xfId="0" applyFill="1" applyBorder="1" applyAlignment="1">
      <alignment horizontal="left"/>
    </xf>
    <xf numFmtId="0" fontId="0" fillId="7" borderId="24" xfId="0" applyFill="1" applyBorder="1" applyAlignment="1">
      <alignment horizontal="left"/>
    </xf>
    <xf numFmtId="0" fontId="26" fillId="7" borderId="38" xfId="0" applyFont="1" applyFill="1" applyBorder="1"/>
    <xf numFmtId="0" fontId="22" fillId="7" borderId="0" xfId="0" applyFont="1" applyFill="1" applyAlignment="1">
      <alignment horizontal="center"/>
    </xf>
    <xf numFmtId="171" fontId="9" fillId="7" borderId="0" xfId="0" applyNumberFormat="1" applyFont="1" applyFill="1"/>
    <xf numFmtId="186" fontId="16" fillId="0" borderId="0" xfId="0" applyNumberFormat="1" applyFont="1" applyAlignment="1">
      <alignment horizontal="center" vertical="top" wrapText="1"/>
    </xf>
    <xf numFmtId="186" fontId="0" fillId="0" borderId="0" xfId="0" applyNumberFormat="1" applyAlignment="1">
      <alignment horizontal="center"/>
    </xf>
    <xf numFmtId="0" fontId="8" fillId="17" borderId="37" xfId="0" applyFont="1" applyFill="1" applyBorder="1" applyAlignment="1">
      <alignment horizontal="center" vertical="center"/>
    </xf>
    <xf numFmtId="171" fontId="33" fillId="7" borderId="0" xfId="0" applyNumberFormat="1" applyFont="1" applyFill="1" applyAlignment="1">
      <alignment horizontal="center"/>
    </xf>
    <xf numFmtId="0" fontId="34" fillId="7" borderId="0" xfId="0" applyFont="1" applyFill="1" applyAlignment="1">
      <alignment horizontal="center"/>
    </xf>
    <xf numFmtId="0" fontId="9" fillId="16" borderId="37" xfId="0" applyFont="1" applyFill="1" applyBorder="1" applyAlignment="1">
      <alignment horizontal="center" vertical="center" wrapText="1"/>
    </xf>
    <xf numFmtId="0" fontId="36" fillId="0" borderId="0" xfId="0" applyFont="1" applyAlignment="1">
      <alignment horizontal="left" vertical="top"/>
    </xf>
    <xf numFmtId="0" fontId="24" fillId="0" borderId="0" xfId="0" applyFont="1" applyAlignment="1">
      <alignment horizontal="center"/>
    </xf>
    <xf numFmtId="0" fontId="37" fillId="17" borderId="18" xfId="0" applyFont="1" applyFill="1" applyBorder="1" applyAlignment="1" applyProtection="1">
      <alignment horizontal="center" vertical="center" wrapText="1"/>
      <protection locked="0"/>
    </xf>
    <xf numFmtId="165" fontId="37" fillId="17" borderId="10" xfId="0" applyNumberFormat="1" applyFont="1" applyFill="1" applyBorder="1" applyAlignment="1" applyProtection="1">
      <alignment horizontal="center" vertical="center" wrapText="1"/>
      <protection locked="0"/>
    </xf>
    <xf numFmtId="165" fontId="37" fillId="17" borderId="10" xfId="0" applyNumberFormat="1" applyFont="1" applyFill="1" applyBorder="1" applyAlignment="1" applyProtection="1">
      <alignment horizontal="center" vertical="center"/>
      <protection locked="0"/>
    </xf>
    <xf numFmtId="0" fontId="1" fillId="2" borderId="15" xfId="0" applyFont="1" applyFill="1" applyBorder="1" applyAlignment="1">
      <alignment horizontal="left" vertical="center"/>
    </xf>
    <xf numFmtId="165" fontId="2" fillId="3" borderId="10" xfId="0" applyNumberFormat="1" applyFont="1" applyFill="1" applyBorder="1" applyAlignment="1" applyProtection="1">
      <alignment horizontal="center" vertical="center"/>
      <protection locked="0"/>
    </xf>
    <xf numFmtId="0" fontId="4" fillId="2" borderId="0" xfId="0" applyFont="1" applyFill="1" applyAlignment="1">
      <alignment horizontal="center" vertical="center" wrapText="1"/>
    </xf>
    <xf numFmtId="49" fontId="37" fillId="17" borderId="38" xfId="0" applyNumberFormat="1" applyFont="1" applyFill="1" applyBorder="1" applyAlignment="1">
      <alignment horizontal="center" vertical="center"/>
    </xf>
    <xf numFmtId="0" fontId="4" fillId="2" borderId="17" xfId="0" applyFont="1" applyFill="1" applyBorder="1" applyAlignment="1">
      <alignment horizontal="center" vertical="center" wrapText="1"/>
    </xf>
    <xf numFmtId="0" fontId="37" fillId="17" borderId="17" xfId="0" applyFont="1" applyFill="1" applyBorder="1" applyAlignment="1">
      <alignment horizontal="center" vertical="center" wrapText="1"/>
    </xf>
    <xf numFmtId="165" fontId="37" fillId="17" borderId="38" xfId="0" applyNumberFormat="1" applyFont="1" applyFill="1" applyBorder="1" applyAlignment="1">
      <alignment horizontal="center" vertical="center" wrapText="1"/>
    </xf>
    <xf numFmtId="0" fontId="4" fillId="2" borderId="38" xfId="0" applyFont="1" applyFill="1" applyBorder="1" applyAlignment="1">
      <alignment horizontal="center" vertical="center" wrapText="1"/>
    </xf>
    <xf numFmtId="165" fontId="37" fillId="17" borderId="17" xfId="0" applyNumberFormat="1" applyFont="1" applyFill="1" applyBorder="1" applyAlignment="1">
      <alignment horizontal="center" vertical="center" wrapText="1"/>
    </xf>
    <xf numFmtId="4" fontId="4" fillId="2" borderId="26" xfId="0" applyNumberFormat="1" applyFont="1" applyFill="1" applyBorder="1" applyAlignment="1">
      <alignment horizontal="center" vertical="center" wrapText="1"/>
    </xf>
    <xf numFmtId="4" fontId="4" fillId="2" borderId="38" xfId="0" applyNumberFormat="1" applyFont="1" applyFill="1" applyBorder="1" applyAlignment="1">
      <alignment horizontal="center" vertical="center" wrapText="1"/>
    </xf>
    <xf numFmtId="165" fontId="4" fillId="2" borderId="17" xfId="0" applyNumberFormat="1" applyFont="1" applyFill="1" applyBorder="1" applyAlignment="1">
      <alignment horizontal="center" vertical="center" wrapText="1"/>
    </xf>
    <xf numFmtId="165" fontId="4" fillId="2" borderId="38" xfId="0" applyNumberFormat="1" applyFont="1" applyFill="1" applyBorder="1" applyAlignment="1">
      <alignment horizontal="center" vertical="center" wrapText="1"/>
    </xf>
    <xf numFmtId="166" fontId="2" fillId="3" borderId="17" xfId="0" applyNumberFormat="1" applyFont="1" applyFill="1" applyBorder="1" applyAlignment="1">
      <alignment horizontal="center" vertical="center"/>
    </xf>
    <xf numFmtId="166" fontId="2" fillId="3" borderId="38" xfId="0" applyNumberFormat="1" applyFont="1" applyFill="1" applyBorder="1" applyAlignment="1">
      <alignment horizontal="center" vertical="center"/>
    </xf>
    <xf numFmtId="165" fontId="2" fillId="3" borderId="17" xfId="0" applyNumberFormat="1" applyFont="1" applyFill="1" applyBorder="1" applyAlignment="1">
      <alignment horizontal="center" vertical="center"/>
    </xf>
    <xf numFmtId="165" fontId="2" fillId="3" borderId="38" xfId="0" applyNumberFormat="1" applyFont="1" applyFill="1" applyBorder="1" applyAlignment="1">
      <alignment horizontal="center" vertical="center"/>
    </xf>
    <xf numFmtId="173" fontId="39" fillId="0" borderId="0" xfId="0" applyNumberFormat="1" applyFont="1" applyAlignment="1">
      <alignment horizontal="center" vertical="center"/>
    </xf>
    <xf numFmtId="49" fontId="37" fillId="17" borderId="44" xfId="0" applyNumberFormat="1" applyFont="1" applyFill="1" applyBorder="1" applyAlignment="1">
      <alignment horizontal="center" vertical="center"/>
    </xf>
    <xf numFmtId="0" fontId="4" fillId="2" borderId="43" xfId="0" applyFont="1" applyFill="1" applyBorder="1" applyAlignment="1">
      <alignment horizontal="center" vertical="center" wrapText="1"/>
    </xf>
    <xf numFmtId="0" fontId="37" fillId="17" borderId="44" xfId="0" applyFont="1" applyFill="1" applyBorder="1" applyAlignment="1">
      <alignment horizontal="center" vertical="center" wrapText="1"/>
    </xf>
    <xf numFmtId="189" fontId="38" fillId="0" borderId="44" xfId="0" applyNumberFormat="1" applyFont="1" applyBorder="1" applyAlignment="1">
      <alignment horizontal="center" vertical="center" wrapText="1"/>
    </xf>
    <xf numFmtId="189" fontId="42" fillId="0" borderId="44" xfId="0" applyNumberFormat="1" applyFont="1" applyBorder="1" applyAlignment="1">
      <alignment horizontal="center" vertical="center"/>
    </xf>
    <xf numFmtId="189" fontId="38" fillId="0" borderId="37" xfId="0" applyNumberFormat="1" applyFont="1" applyBorder="1" applyAlignment="1">
      <alignment horizontal="center" vertical="center" wrapText="1"/>
    </xf>
    <xf numFmtId="189" fontId="42" fillId="0" borderId="37" xfId="0" applyNumberFormat="1" applyFont="1" applyBorder="1" applyAlignment="1">
      <alignment horizontal="center" vertical="center"/>
    </xf>
    <xf numFmtId="188" fontId="38" fillId="0" borderId="10" xfId="0" applyNumberFormat="1" applyFont="1" applyBorder="1" applyAlignment="1">
      <alignment horizontal="center" vertical="center" wrapText="1"/>
    </xf>
    <xf numFmtId="188" fontId="42" fillId="0" borderId="10" xfId="0" applyNumberFormat="1" applyFont="1" applyBorder="1" applyAlignment="1">
      <alignment horizontal="center" vertical="center"/>
    </xf>
    <xf numFmtId="190" fontId="38" fillId="0" borderId="43" xfId="0" applyNumberFormat="1" applyFont="1" applyBorder="1" applyAlignment="1">
      <alignment horizontal="center" vertical="center" wrapText="1"/>
    </xf>
    <xf numFmtId="190" fontId="42" fillId="0" borderId="43" xfId="0" applyNumberFormat="1" applyFont="1" applyBorder="1" applyAlignment="1">
      <alignment horizontal="center" vertical="center"/>
    </xf>
    <xf numFmtId="190" fontId="38" fillId="0" borderId="37" xfId="0" applyNumberFormat="1" applyFont="1" applyBorder="1" applyAlignment="1">
      <alignment horizontal="center" vertical="center" wrapText="1"/>
    </xf>
    <xf numFmtId="190" fontId="42" fillId="0" borderId="37" xfId="0" applyNumberFormat="1" applyFont="1" applyBorder="1" applyAlignment="1">
      <alignment horizontal="center" vertical="center"/>
    </xf>
    <xf numFmtId="190" fontId="38" fillId="0" borderId="44" xfId="0" applyNumberFormat="1" applyFont="1" applyBorder="1" applyAlignment="1">
      <alignment horizontal="center" vertical="center" wrapText="1"/>
    </xf>
    <xf numFmtId="190" fontId="42" fillId="0" borderId="44" xfId="0" applyNumberFormat="1" applyFont="1" applyBorder="1" applyAlignment="1">
      <alignment horizontal="center" vertical="center"/>
    </xf>
    <xf numFmtId="184" fontId="40" fillId="0" borderId="43" xfId="0" applyNumberFormat="1" applyFont="1" applyBorder="1" applyAlignment="1">
      <alignment horizontal="center" vertical="center"/>
    </xf>
    <xf numFmtId="184" fontId="41" fillId="0" borderId="43" xfId="0" applyNumberFormat="1" applyFont="1" applyBorder="1" applyAlignment="1">
      <alignment horizontal="center" vertical="center"/>
    </xf>
    <xf numFmtId="184" fontId="40" fillId="0" borderId="44" xfId="0" applyNumberFormat="1" applyFont="1" applyBorder="1" applyAlignment="1">
      <alignment horizontal="center" vertical="center"/>
    </xf>
    <xf numFmtId="184" fontId="41" fillId="0" borderId="44" xfId="0" applyNumberFormat="1" applyFont="1" applyBorder="1" applyAlignment="1">
      <alignment horizontal="center" vertical="center"/>
    </xf>
    <xf numFmtId="165" fontId="21" fillId="15" borderId="10" xfId="0" applyNumberFormat="1" applyFont="1" applyFill="1" applyBorder="1" applyAlignment="1">
      <alignment horizontal="center" vertical="center"/>
    </xf>
    <xf numFmtId="190" fontId="43" fillId="0" borderId="10" xfId="0" applyNumberFormat="1" applyFont="1" applyBorder="1" applyAlignment="1">
      <alignment horizontal="center" vertical="center"/>
    </xf>
    <xf numFmtId="190" fontId="43" fillId="0" borderId="10" xfId="0" applyNumberFormat="1" applyFont="1" applyBorder="1" applyAlignment="1">
      <alignment horizontal="center" vertical="center" wrapText="1"/>
    </xf>
    <xf numFmtId="190" fontId="44" fillId="0" borderId="10" xfId="0" applyNumberFormat="1" applyFont="1" applyBorder="1" applyAlignment="1">
      <alignment horizontal="center" vertical="center"/>
    </xf>
    <xf numFmtId="190" fontId="43" fillId="0" borderId="43" xfId="0" applyNumberFormat="1" applyFont="1" applyBorder="1" applyAlignment="1">
      <alignment horizontal="center" vertical="center"/>
    </xf>
    <xf numFmtId="190" fontId="43" fillId="0" borderId="43" xfId="0" applyNumberFormat="1" applyFont="1" applyBorder="1" applyAlignment="1">
      <alignment horizontal="center" vertical="center" wrapText="1"/>
    </xf>
    <xf numFmtId="190" fontId="44" fillId="0" borderId="43" xfId="0" applyNumberFormat="1" applyFont="1" applyBorder="1" applyAlignment="1">
      <alignment horizontal="center" vertical="center"/>
    </xf>
    <xf numFmtId="190" fontId="43" fillId="0" borderId="44" xfId="0" applyNumberFormat="1" applyFont="1" applyBorder="1" applyAlignment="1">
      <alignment horizontal="center" vertical="center"/>
    </xf>
    <xf numFmtId="190" fontId="43" fillId="0" borderId="44" xfId="0" applyNumberFormat="1" applyFont="1" applyBorder="1" applyAlignment="1">
      <alignment horizontal="center" vertical="center" wrapText="1"/>
    </xf>
    <xf numFmtId="190" fontId="44" fillId="0" borderId="44" xfId="0" applyNumberFormat="1" applyFont="1" applyBorder="1" applyAlignment="1">
      <alignment horizontal="center" vertical="center"/>
    </xf>
    <xf numFmtId="165" fontId="19" fillId="15" borderId="10" xfId="0" applyNumberFormat="1" applyFont="1" applyFill="1" applyBorder="1" applyAlignment="1">
      <alignment horizontal="center" vertical="center"/>
    </xf>
    <xf numFmtId="166" fontId="2" fillId="3" borderId="43" xfId="0" applyNumberFormat="1" applyFont="1" applyFill="1" applyBorder="1" applyAlignment="1" applyProtection="1">
      <alignment vertical="center"/>
      <protection locked="0"/>
    </xf>
    <xf numFmtId="165" fontId="2" fillId="19" borderId="17" xfId="0" applyNumberFormat="1" applyFont="1" applyFill="1" applyBorder="1" applyAlignment="1">
      <alignment horizontal="center" vertical="center"/>
    </xf>
    <xf numFmtId="165" fontId="2" fillId="19" borderId="38" xfId="0" applyNumberFormat="1" applyFont="1" applyFill="1" applyBorder="1" applyAlignment="1">
      <alignment horizontal="center" vertical="center"/>
    </xf>
    <xf numFmtId="165" fontId="2" fillId="19" borderId="17" xfId="0" applyNumberFormat="1" applyFont="1" applyFill="1" applyBorder="1" applyAlignment="1">
      <alignment horizontal="center" vertical="center" wrapText="1"/>
    </xf>
    <xf numFmtId="190" fontId="47" fillId="0" borderId="43" xfId="0" applyNumberFormat="1" applyFont="1" applyBorder="1" applyAlignment="1">
      <alignment horizontal="center" vertical="center"/>
    </xf>
    <xf numFmtId="190" fontId="47" fillId="0" borderId="44" xfId="0" applyNumberFormat="1" applyFont="1" applyBorder="1" applyAlignment="1">
      <alignment horizontal="center" vertical="center"/>
    </xf>
    <xf numFmtId="190" fontId="47" fillId="0" borderId="43" xfId="0" applyNumberFormat="1" applyFont="1" applyBorder="1" applyAlignment="1">
      <alignment horizontal="center" vertical="center" wrapText="1"/>
    </xf>
    <xf numFmtId="190" fontId="47" fillId="0" borderId="44" xfId="0" applyNumberFormat="1" applyFont="1" applyBorder="1" applyAlignment="1">
      <alignment horizontal="center" vertical="center" wrapText="1"/>
    </xf>
    <xf numFmtId="190" fontId="48" fillId="0" borderId="43" xfId="0" applyNumberFormat="1" applyFont="1" applyBorder="1" applyAlignment="1">
      <alignment horizontal="center" vertical="center"/>
    </xf>
    <xf numFmtId="190" fontId="48" fillId="0" borderId="44" xfId="0" applyNumberFormat="1" applyFont="1" applyBorder="1" applyAlignment="1">
      <alignment horizontal="center" vertical="center"/>
    </xf>
    <xf numFmtId="0" fontId="9" fillId="16" borderId="41" xfId="0" applyFont="1" applyFill="1" applyBorder="1" applyAlignment="1">
      <alignment horizontal="center" vertical="center" wrapText="1"/>
    </xf>
    <xf numFmtId="0" fontId="0" fillId="0" borderId="41" xfId="0" applyBorder="1" applyAlignment="1">
      <alignment horizontal="center" vertical="center"/>
    </xf>
    <xf numFmtId="0" fontId="0" fillId="0" borderId="38" xfId="0" applyBorder="1" applyAlignment="1">
      <alignment horizontal="center" vertical="center" wrapText="1"/>
    </xf>
    <xf numFmtId="0" fontId="9" fillId="16" borderId="41" xfId="0" applyFont="1" applyFill="1" applyBorder="1" applyAlignment="1">
      <alignment horizontal="center" vertical="center"/>
    </xf>
    <xf numFmtId="193" fontId="0" fillId="0" borderId="37" xfId="0" applyNumberFormat="1" applyBorder="1" applyAlignment="1">
      <alignment horizontal="center" vertical="center"/>
    </xf>
    <xf numFmtId="193" fontId="0" fillId="0" borderId="41" xfId="0" applyNumberFormat="1" applyBorder="1" applyAlignment="1">
      <alignment horizontal="center" vertical="center"/>
    </xf>
    <xf numFmtId="165" fontId="21" fillId="15" borderId="44" xfId="0" applyNumberFormat="1" applyFont="1" applyFill="1" applyBorder="1" applyAlignment="1">
      <alignment horizontal="center" vertical="center"/>
    </xf>
    <xf numFmtId="193" fontId="0" fillId="16" borderId="0" xfId="0" applyNumberFormat="1" applyFill="1" applyAlignment="1">
      <alignment horizontal="center" vertical="center"/>
    </xf>
    <xf numFmtId="191" fontId="47" fillId="0" borderId="17" xfId="0" applyNumberFormat="1" applyFont="1" applyBorder="1" applyAlignment="1">
      <alignment horizontal="center" vertical="center" wrapText="1"/>
    </xf>
    <xf numFmtId="191" fontId="48" fillId="0" borderId="17" xfId="0" applyNumberFormat="1" applyFont="1" applyBorder="1" applyAlignment="1">
      <alignment horizontal="center" vertical="center"/>
    </xf>
    <xf numFmtId="188" fontId="11" fillId="0" borderId="17" xfId="0" applyNumberFormat="1" applyFont="1" applyBorder="1" applyAlignment="1">
      <alignment horizontal="center"/>
    </xf>
    <xf numFmtId="165" fontId="2" fillId="19" borderId="49" xfId="0" applyNumberFormat="1" applyFont="1" applyFill="1" applyBorder="1" applyAlignment="1">
      <alignment horizontal="center" vertical="center" wrapText="1"/>
    </xf>
    <xf numFmtId="188" fontId="0" fillId="0" borderId="41" xfId="0" applyNumberFormat="1" applyBorder="1" applyAlignment="1">
      <alignment horizontal="center" vertical="center" wrapText="1"/>
    </xf>
    <xf numFmtId="0" fontId="8" fillId="17" borderId="10" xfId="0" applyFont="1" applyFill="1" applyBorder="1" applyAlignment="1">
      <alignment horizontal="center" vertical="center" wrapText="1"/>
    </xf>
    <xf numFmtId="165" fontId="21" fillId="15" borderId="43" xfId="0" applyNumberFormat="1" applyFont="1" applyFill="1" applyBorder="1" applyAlignment="1">
      <alignment horizontal="center" vertical="center"/>
    </xf>
    <xf numFmtId="188" fontId="9" fillId="0" borderId="43" xfId="0" applyNumberFormat="1" applyFont="1" applyBorder="1" applyAlignment="1">
      <alignment horizontal="center"/>
    </xf>
    <xf numFmtId="167" fontId="9" fillId="14" borderId="37" xfId="0" applyNumberFormat="1" applyFont="1" applyFill="1" applyBorder="1" applyAlignment="1">
      <alignment horizontal="center" vertical="center" wrapText="1"/>
    </xf>
    <xf numFmtId="188" fontId="0" fillId="0" borderId="10" xfId="0" applyNumberFormat="1" applyBorder="1" applyAlignment="1">
      <alignment horizontal="center" vertical="center" wrapText="1"/>
    </xf>
    <xf numFmtId="188" fontId="8" fillId="17" borderId="43" xfId="0" applyNumberFormat="1" applyFont="1" applyFill="1" applyBorder="1" applyAlignment="1">
      <alignment horizontal="center"/>
    </xf>
    <xf numFmtId="0" fontId="8" fillId="17" borderId="41" xfId="0" applyFont="1" applyFill="1" applyBorder="1" applyAlignment="1">
      <alignment horizontal="center" vertical="center"/>
    </xf>
    <xf numFmtId="0" fontId="5" fillId="7" borderId="0" xfId="0" applyFont="1" applyFill="1" applyAlignment="1">
      <alignment horizontal="center"/>
    </xf>
    <xf numFmtId="0" fontId="24" fillId="0" borderId="0" xfId="0" applyFont="1" applyAlignment="1">
      <alignment horizontal="center" vertical="center"/>
    </xf>
    <xf numFmtId="0" fontId="11" fillId="0" borderId="38" xfId="0" applyFont="1" applyBorder="1" applyAlignment="1">
      <alignment horizontal="center" vertical="center"/>
    </xf>
    <xf numFmtId="165" fontId="21" fillId="15" borderId="15" xfId="0" applyNumberFormat="1" applyFont="1" applyFill="1" applyBorder="1" applyAlignment="1">
      <alignment horizontal="center" vertical="center"/>
    </xf>
    <xf numFmtId="190" fontId="11" fillId="0" borderId="38" xfId="0" applyNumberFormat="1" applyFont="1" applyBorder="1" applyAlignment="1">
      <alignment horizontal="center" vertical="center"/>
    </xf>
    <xf numFmtId="190" fontId="11" fillId="0" borderId="43" xfId="0" applyNumberFormat="1" applyFont="1" applyBorder="1" applyAlignment="1">
      <alignment horizontal="center" vertical="center"/>
    </xf>
    <xf numFmtId="190" fontId="11" fillId="0" borderId="44" xfId="0" applyNumberFormat="1" applyFont="1" applyBorder="1" applyAlignment="1">
      <alignment horizontal="center" vertical="center"/>
    </xf>
    <xf numFmtId="192" fontId="11" fillId="0" borderId="43" xfId="0" applyNumberFormat="1" applyFont="1" applyBorder="1" applyAlignment="1">
      <alignment horizontal="center" vertical="center"/>
    </xf>
    <xf numFmtId="0" fontId="11" fillId="0" borderId="41" xfId="0" applyFont="1" applyBorder="1" applyAlignment="1">
      <alignment horizontal="center" vertical="center"/>
    </xf>
    <xf numFmtId="190" fontId="25" fillId="0" borderId="44" xfId="0" applyNumberFormat="1" applyFont="1" applyBorder="1" applyAlignment="1">
      <alignment horizontal="center" vertical="center"/>
    </xf>
    <xf numFmtId="190" fontId="42" fillId="0" borderId="36" xfId="0" applyNumberFormat="1" applyFont="1" applyBorder="1" applyAlignment="1">
      <alignment horizontal="center" vertical="center" wrapText="1"/>
    </xf>
    <xf numFmtId="194" fontId="42" fillId="0" borderId="37" xfId="0" applyNumberFormat="1" applyFont="1" applyBorder="1" applyAlignment="1">
      <alignment horizontal="center" vertical="center" wrapText="1"/>
    </xf>
    <xf numFmtId="188" fontId="42" fillId="0" borderId="37" xfId="0" applyNumberFormat="1" applyFont="1" applyBorder="1" applyAlignment="1">
      <alignment horizontal="center" vertical="center" wrapText="1"/>
    </xf>
    <xf numFmtId="188" fontId="0" fillId="0" borderId="32" xfId="0" applyNumberFormat="1" applyBorder="1" applyAlignment="1">
      <alignment horizontal="center" vertical="center" wrapText="1"/>
    </xf>
    <xf numFmtId="189" fontId="0" fillId="0" borderId="37" xfId="0" applyNumberFormat="1" applyBorder="1" applyAlignment="1">
      <alignment horizontal="center" vertical="center" wrapText="1"/>
    </xf>
    <xf numFmtId="165" fontId="21" fillId="15" borderId="37" xfId="0" applyNumberFormat="1" applyFont="1" applyFill="1" applyBorder="1" applyAlignment="1">
      <alignment horizontal="center" vertical="center"/>
    </xf>
    <xf numFmtId="188" fontId="9" fillId="0" borderId="37" xfId="0" applyNumberFormat="1" applyFont="1" applyBorder="1" applyAlignment="1">
      <alignment horizontal="center"/>
    </xf>
    <xf numFmtId="167" fontId="9" fillId="14" borderId="41" xfId="0" applyNumberFormat="1" applyFont="1" applyFill="1" applyBorder="1" applyAlignment="1">
      <alignment horizontal="center" vertical="center" wrapText="1"/>
    </xf>
    <xf numFmtId="165" fontId="21" fillId="15" borderId="39" xfId="0" applyNumberFormat="1" applyFont="1" applyFill="1" applyBorder="1" applyAlignment="1">
      <alignment horizontal="center" vertical="center"/>
    </xf>
    <xf numFmtId="188" fontId="9" fillId="0" borderId="39" xfId="0" applyNumberFormat="1" applyFont="1" applyBorder="1" applyAlignment="1">
      <alignment horizontal="center"/>
    </xf>
    <xf numFmtId="0" fontId="9" fillId="16" borderId="39" xfId="0" applyFont="1" applyFill="1" applyBorder="1" applyAlignment="1">
      <alignment horizontal="center" vertical="center" wrapText="1"/>
    </xf>
    <xf numFmtId="185" fontId="10" fillId="7" borderId="32" xfId="4" applyNumberFormat="1" applyFont="1" applyFill="1" applyBorder="1" applyAlignment="1">
      <alignment horizontal="center" vertical="center"/>
    </xf>
    <xf numFmtId="165" fontId="21" fillId="15" borderId="38" xfId="0" applyNumberFormat="1" applyFont="1" applyFill="1" applyBorder="1" applyAlignment="1">
      <alignment horizontal="center" vertical="center"/>
    </xf>
    <xf numFmtId="188" fontId="0" fillId="0" borderId="40" xfId="0" applyNumberFormat="1" applyBorder="1" applyAlignment="1">
      <alignment horizontal="center" vertical="center" wrapText="1"/>
    </xf>
    <xf numFmtId="167" fontId="9" fillId="14" borderId="38" xfId="0" applyNumberFormat="1" applyFont="1" applyFill="1" applyBorder="1" applyAlignment="1">
      <alignment horizontal="center" vertical="center" wrapText="1"/>
    </xf>
    <xf numFmtId="188" fontId="42" fillId="0" borderId="38" xfId="0" applyNumberFormat="1" applyFont="1" applyBorder="1" applyAlignment="1">
      <alignment horizontal="center" vertical="center" wrapText="1"/>
    </xf>
    <xf numFmtId="188" fontId="23" fillId="12" borderId="43" xfId="4" applyNumberFormat="1" applyFont="1" applyBorder="1" applyAlignment="1">
      <alignment horizontal="center" vertical="center"/>
    </xf>
    <xf numFmtId="167" fontId="9" fillId="14" borderId="43" xfId="0" applyNumberFormat="1" applyFont="1" applyFill="1" applyBorder="1" applyAlignment="1">
      <alignment horizontal="center" vertical="center" wrapText="1"/>
    </xf>
    <xf numFmtId="188" fontId="0" fillId="0" borderId="43" xfId="0" applyNumberFormat="1" applyBorder="1" applyAlignment="1">
      <alignment horizontal="center" vertical="center" wrapText="1"/>
    </xf>
    <xf numFmtId="0" fontId="0" fillId="7" borderId="0" xfId="0" applyFill="1" applyAlignment="1">
      <alignment vertical="center"/>
    </xf>
    <xf numFmtId="0" fontId="8" fillId="17" borderId="0" xfId="0" applyFont="1" applyFill="1" applyAlignment="1">
      <alignment horizontal="center"/>
    </xf>
    <xf numFmtId="0" fontId="0" fillId="7" borderId="26" xfId="0" applyFill="1" applyBorder="1"/>
    <xf numFmtId="0" fontId="0" fillId="7" borderId="23" xfId="0" applyFill="1" applyBorder="1"/>
    <xf numFmtId="0" fontId="0" fillId="7" borderId="37" xfId="0" applyFill="1" applyBorder="1"/>
    <xf numFmtId="0" fontId="0" fillId="7" borderId="32" xfId="0" applyFill="1" applyBorder="1"/>
    <xf numFmtId="0" fontId="0" fillId="7" borderId="20" xfId="0" applyFill="1" applyBorder="1" applyAlignment="1">
      <alignment horizontal="center"/>
    </xf>
    <xf numFmtId="0" fontId="34" fillId="7" borderId="0" xfId="0" applyFont="1" applyFill="1"/>
    <xf numFmtId="0" fontId="0" fillId="5" borderId="26" xfId="0" applyFill="1" applyBorder="1"/>
    <xf numFmtId="0" fontId="0" fillId="5" borderId="37" xfId="0" applyFill="1" applyBorder="1"/>
    <xf numFmtId="0" fontId="0" fillId="5" borderId="0" xfId="0" applyFill="1" applyAlignment="1">
      <alignment horizontal="center"/>
    </xf>
    <xf numFmtId="0" fontId="11" fillId="5" borderId="38" xfId="0" applyFont="1" applyFill="1" applyBorder="1"/>
    <xf numFmtId="0" fontId="0" fillId="5" borderId="27" xfId="0" applyFill="1" applyBorder="1" applyAlignment="1">
      <alignment horizontal="left"/>
    </xf>
    <xf numFmtId="189" fontId="23" fillId="12" borderId="44" xfId="4" applyNumberFormat="1" applyFont="1" applyBorder="1" applyAlignment="1">
      <alignment horizontal="center" vertical="center"/>
    </xf>
    <xf numFmtId="0" fontId="34" fillId="7" borderId="37" xfId="0" applyFont="1" applyFill="1" applyBorder="1" applyAlignment="1">
      <alignment horizontal="center"/>
    </xf>
    <xf numFmtId="0" fontId="34" fillId="7" borderId="32" xfId="0" applyFont="1" applyFill="1" applyBorder="1" applyAlignment="1">
      <alignment horizontal="center"/>
    </xf>
    <xf numFmtId="0" fontId="0" fillId="7" borderId="27" xfId="0" applyFill="1" applyBorder="1"/>
    <xf numFmtId="0" fontId="0" fillId="7" borderId="26" xfId="0" applyFill="1" applyBorder="1" applyAlignment="1">
      <alignment horizontal="center"/>
    </xf>
    <xf numFmtId="0" fontId="0" fillId="7" borderId="38" xfId="0" applyFill="1" applyBorder="1" applyAlignment="1">
      <alignment horizontal="center"/>
    </xf>
    <xf numFmtId="0" fontId="52" fillId="7" borderId="38" xfId="0" applyFont="1" applyFill="1" applyBorder="1"/>
    <xf numFmtId="3" fontId="52" fillId="7" borderId="38" xfId="0" applyNumberFormat="1" applyFont="1" applyFill="1" applyBorder="1"/>
    <xf numFmtId="0" fontId="8" fillId="17" borderId="28" xfId="0" applyFont="1" applyFill="1" applyBorder="1" applyAlignment="1">
      <alignment vertical="center"/>
    </xf>
    <xf numFmtId="188" fontId="8" fillId="17" borderId="46" xfId="0" applyNumberFormat="1" applyFont="1" applyFill="1" applyBorder="1" applyAlignment="1">
      <alignment horizontal="center" vertical="center"/>
    </xf>
    <xf numFmtId="188" fontId="8" fillId="17" borderId="47" xfId="0" applyNumberFormat="1" applyFont="1" applyFill="1" applyBorder="1" applyAlignment="1">
      <alignment horizontal="center" vertical="center"/>
    </xf>
    <xf numFmtId="188" fontId="8" fillId="17" borderId="50" xfId="0" applyNumberFormat="1" applyFont="1" applyFill="1" applyBorder="1" applyAlignment="1">
      <alignment horizontal="center" vertical="center"/>
    </xf>
    <xf numFmtId="0" fontId="8" fillId="17" borderId="47" xfId="0" applyFont="1" applyFill="1" applyBorder="1" applyAlignment="1">
      <alignment horizontal="center" vertical="center"/>
    </xf>
    <xf numFmtId="0" fontId="8" fillId="17" borderId="51" xfId="0" applyFont="1" applyFill="1" applyBorder="1" applyAlignment="1">
      <alignment horizontal="center" vertical="center"/>
    </xf>
    <xf numFmtId="0" fontId="8" fillId="17" borderId="46" xfId="0" applyFont="1" applyFill="1" applyBorder="1" applyAlignment="1">
      <alignment horizontal="center" vertical="center"/>
    </xf>
    <xf numFmtId="0" fontId="8" fillId="17" borderId="48" xfId="0" applyFont="1" applyFill="1" applyBorder="1" applyAlignment="1">
      <alignment horizontal="center" vertical="center"/>
    </xf>
    <xf numFmtId="0" fontId="38" fillId="0" borderId="43" xfId="0" applyFont="1" applyBorder="1" applyAlignment="1">
      <alignment horizontal="center" vertical="center" wrapText="1"/>
    </xf>
    <xf numFmtId="0" fontId="42" fillId="0" borderId="43" xfId="0" applyFont="1" applyBorder="1" applyAlignment="1">
      <alignment horizontal="center" vertical="center"/>
    </xf>
    <xf numFmtId="173" fontId="54" fillId="0" borderId="38" xfId="0" applyNumberFormat="1" applyFont="1" applyBorder="1" applyAlignment="1">
      <alignment horizontal="center" vertical="center"/>
    </xf>
    <xf numFmtId="187" fontId="54" fillId="0" borderId="44" xfId="0" applyNumberFormat="1" applyFont="1" applyBorder="1" applyAlignment="1">
      <alignment horizontal="center" vertical="center"/>
    </xf>
    <xf numFmtId="187" fontId="52" fillId="0" borderId="44" xfId="0" applyNumberFormat="1" applyFont="1" applyBorder="1" applyAlignment="1">
      <alignment horizontal="center" vertical="center"/>
    </xf>
    <xf numFmtId="0" fontId="54" fillId="0" borderId="38" xfId="0" applyFont="1" applyBorder="1" applyAlignment="1">
      <alignment horizontal="left" vertical="center" wrapText="1"/>
    </xf>
    <xf numFmtId="0" fontId="54" fillId="0" borderId="17" xfId="0" applyFont="1" applyBorder="1" applyAlignment="1">
      <alignment horizontal="center" vertical="center" wrapText="1"/>
    </xf>
    <xf numFmtId="188" fontId="54" fillId="0" borderId="38" xfId="0" applyNumberFormat="1" applyFont="1" applyBorder="1" applyAlignment="1">
      <alignment vertical="center"/>
    </xf>
    <xf numFmtId="167" fontId="54" fillId="0" borderId="43" xfId="0" applyNumberFormat="1" applyFont="1" applyBorder="1" applyAlignment="1">
      <alignment horizontal="center" vertical="center" wrapText="1"/>
    </xf>
    <xf numFmtId="188" fontId="38" fillId="0" borderId="38" xfId="0" applyNumberFormat="1" applyFont="1" applyBorder="1" applyAlignment="1">
      <alignment vertical="center"/>
    </xf>
    <xf numFmtId="188" fontId="42" fillId="0" borderId="38" xfId="0" applyNumberFormat="1" applyFont="1" applyBorder="1"/>
    <xf numFmtId="188" fontId="42" fillId="0" borderId="37" xfId="0" applyNumberFormat="1" applyFont="1" applyBorder="1"/>
    <xf numFmtId="190" fontId="54" fillId="0" borderId="43" xfId="0" applyNumberFormat="1" applyFont="1" applyBorder="1" applyAlignment="1">
      <alignment horizontal="center" vertical="center" wrapText="1"/>
    </xf>
    <xf numFmtId="190" fontId="52" fillId="0" borderId="43" xfId="0" applyNumberFormat="1" applyFont="1" applyBorder="1"/>
    <xf numFmtId="190" fontId="54" fillId="0" borderId="37" xfId="0" applyNumberFormat="1" applyFont="1" applyBorder="1" applyAlignment="1">
      <alignment horizontal="center" vertical="center" wrapText="1"/>
    </xf>
    <xf numFmtId="190" fontId="52" fillId="0" borderId="37" xfId="0" applyNumberFormat="1" applyFont="1" applyBorder="1" applyAlignment="1">
      <alignment horizontal="center" vertical="center"/>
    </xf>
    <xf numFmtId="190" fontId="54" fillId="0" borderId="0" xfId="0" applyNumberFormat="1" applyFont="1" applyAlignment="1">
      <alignment horizontal="center" vertical="center" wrapText="1"/>
    </xf>
    <xf numFmtId="190" fontId="52" fillId="0" borderId="0" xfId="0" applyNumberFormat="1" applyFont="1" applyAlignment="1">
      <alignment horizontal="center" vertical="center"/>
    </xf>
    <xf numFmtId="175" fontId="54" fillId="0" borderId="10" xfId="0" applyNumberFormat="1" applyFont="1" applyBorder="1" applyAlignment="1">
      <alignment horizontal="center" vertical="center" wrapText="1"/>
    </xf>
    <xf numFmtId="165" fontId="54" fillId="0" borderId="10" xfId="0" applyNumberFormat="1" applyFont="1" applyBorder="1" applyAlignment="1">
      <alignment horizontal="center" vertical="center" wrapText="1"/>
    </xf>
    <xf numFmtId="165" fontId="54" fillId="0" borderId="10" xfId="0" applyNumberFormat="1" applyFont="1" applyBorder="1" applyAlignment="1">
      <alignment horizontal="left" vertical="center" wrapText="1"/>
    </xf>
    <xf numFmtId="0" fontId="54" fillId="0" borderId="10" xfId="0" applyFont="1" applyBorder="1" applyAlignment="1">
      <alignment horizontal="left" vertical="center" wrapText="1"/>
    </xf>
    <xf numFmtId="0" fontId="52" fillId="0" borderId="10" xfId="0" applyFont="1" applyBorder="1"/>
    <xf numFmtId="0" fontId="53" fillId="0" borderId="10" xfId="0" applyFont="1" applyBorder="1"/>
    <xf numFmtId="189" fontId="38" fillId="0" borderId="41" xfId="0" applyNumberFormat="1" applyFont="1" applyBorder="1" applyAlignment="1">
      <alignment horizontal="center" vertical="center" wrapText="1"/>
    </xf>
    <xf numFmtId="189" fontId="42" fillId="0" borderId="41" xfId="0" applyNumberFormat="1" applyFont="1" applyBorder="1" applyAlignment="1">
      <alignment horizontal="center" vertical="center"/>
    </xf>
    <xf numFmtId="0" fontId="54" fillId="0" borderId="18" xfId="0" applyFont="1" applyBorder="1" applyAlignment="1">
      <alignment horizontal="center" vertical="center" wrapText="1"/>
    </xf>
    <xf numFmtId="0" fontId="54" fillId="0" borderId="18" xfId="0" applyFont="1" applyBorder="1" applyAlignment="1">
      <alignment horizontal="left" vertical="center" wrapText="1"/>
    </xf>
    <xf numFmtId="0" fontId="52" fillId="0" borderId="18" xfId="0" applyFont="1" applyBorder="1"/>
    <xf numFmtId="0" fontId="8" fillId="17" borderId="1" xfId="0" applyFont="1" applyFill="1" applyBorder="1" applyAlignment="1">
      <alignment horizontal="right"/>
    </xf>
    <xf numFmtId="0" fontId="0" fillId="17" borderId="2" xfId="0" applyFill="1" applyBorder="1"/>
    <xf numFmtId="188" fontId="2" fillId="0" borderId="52" xfId="0" applyNumberFormat="1" applyFont="1" applyBorder="1" applyAlignment="1">
      <alignment vertical="center"/>
    </xf>
    <xf numFmtId="192" fontId="38" fillId="0" borderId="53" xfId="0" applyNumberFormat="1" applyFont="1" applyBorder="1" applyAlignment="1">
      <alignment vertical="center"/>
    </xf>
    <xf numFmtId="188" fontId="2" fillId="0" borderId="54" xfId="0" applyNumberFormat="1" applyFont="1" applyBorder="1" applyAlignment="1">
      <alignment vertical="center"/>
    </xf>
    <xf numFmtId="190" fontId="55" fillId="0" borderId="52" xfId="0" applyNumberFormat="1" applyFont="1" applyBorder="1" applyAlignment="1">
      <alignment horizontal="center" vertical="center" wrapText="1"/>
    </xf>
    <xf numFmtId="190" fontId="55" fillId="0" borderId="53" xfId="0" applyNumberFormat="1" applyFont="1" applyBorder="1" applyAlignment="1">
      <alignment horizontal="center" vertical="center" wrapText="1"/>
    </xf>
    <xf numFmtId="190" fontId="55" fillId="0" borderId="54" xfId="0" applyNumberFormat="1" applyFont="1" applyBorder="1" applyAlignment="1">
      <alignment horizontal="center" vertical="center" wrapText="1"/>
    </xf>
    <xf numFmtId="190" fontId="2" fillId="0" borderId="54" xfId="0" applyNumberFormat="1" applyFont="1" applyBorder="1" applyAlignment="1">
      <alignment horizontal="center" vertical="center" wrapText="1"/>
    </xf>
    <xf numFmtId="188" fontId="37" fillId="17" borderId="55" xfId="0" applyNumberFormat="1" applyFont="1" applyFill="1" applyBorder="1" applyAlignment="1">
      <alignment vertical="center"/>
    </xf>
    <xf numFmtId="188" fontId="45" fillId="17" borderId="2" xfId="0" applyNumberFormat="1" applyFont="1" applyFill="1" applyBorder="1" applyAlignment="1">
      <alignment vertical="center"/>
    </xf>
    <xf numFmtId="188" fontId="45" fillId="17" borderId="56" xfId="0" applyNumberFormat="1" applyFont="1" applyFill="1" applyBorder="1" applyAlignment="1">
      <alignment vertical="center"/>
    </xf>
    <xf numFmtId="189" fontId="46" fillId="0" borderId="57" xfId="0" applyNumberFormat="1" applyFont="1" applyBorder="1" applyAlignment="1">
      <alignment horizontal="center" vertical="center" wrapText="1"/>
    </xf>
    <xf numFmtId="189" fontId="46" fillId="0" borderId="58" xfId="0" applyNumberFormat="1" applyFont="1" applyBorder="1" applyAlignment="1">
      <alignment horizontal="center" vertical="center" wrapText="1"/>
    </xf>
    <xf numFmtId="189" fontId="46" fillId="0" borderId="59" xfId="0" applyNumberFormat="1" applyFont="1" applyBorder="1" applyAlignment="1">
      <alignment horizontal="center" vertical="center" wrapText="1"/>
    </xf>
    <xf numFmtId="0" fontId="0" fillId="7" borderId="12" xfId="0" applyFill="1" applyBorder="1"/>
    <xf numFmtId="165" fontId="21" fillId="15" borderId="36" xfId="0" applyNumberFormat="1" applyFont="1" applyFill="1" applyBorder="1" applyAlignment="1">
      <alignment horizontal="center" vertical="center"/>
    </xf>
    <xf numFmtId="0" fontId="9" fillId="7" borderId="36" xfId="0" applyFont="1" applyFill="1" applyBorder="1" applyAlignment="1">
      <alignment horizontal="center"/>
    </xf>
    <xf numFmtId="188" fontId="0" fillId="0" borderId="37" xfId="0" applyNumberFormat="1" applyBorder="1" applyAlignment="1">
      <alignment horizontal="center" vertical="center" wrapText="1"/>
    </xf>
    <xf numFmtId="189" fontId="0" fillId="0" borderId="38" xfId="0" applyNumberFormat="1" applyBorder="1" applyAlignment="1">
      <alignment horizontal="center" vertical="center" wrapText="1"/>
    </xf>
    <xf numFmtId="0" fontId="11" fillId="0" borderId="37" xfId="0" applyFont="1" applyBorder="1" applyAlignment="1">
      <alignment horizontal="center" vertical="center"/>
    </xf>
    <xf numFmtId="190" fontId="11" fillId="0" borderId="37" xfId="0" applyNumberFormat="1" applyFont="1" applyBorder="1" applyAlignment="1">
      <alignment horizontal="center" vertical="center"/>
    </xf>
    <xf numFmtId="0" fontId="8" fillId="17" borderId="47" xfId="0" applyFont="1" applyFill="1" applyBorder="1" applyAlignment="1">
      <alignment horizontal="center" vertical="center" wrapText="1"/>
    </xf>
    <xf numFmtId="0" fontId="9" fillId="7" borderId="0" xfId="0" applyFont="1" applyFill="1" applyAlignment="1">
      <alignment horizontal="center"/>
    </xf>
    <xf numFmtId="0" fontId="8" fillId="17" borderId="0" xfId="0" applyFont="1" applyFill="1" applyAlignment="1">
      <alignment horizontal="center" vertical="center"/>
    </xf>
    <xf numFmtId="171" fontId="42" fillId="7" borderId="38" xfId="0" applyNumberFormat="1" applyFont="1" applyFill="1" applyBorder="1" applyAlignment="1">
      <alignment horizontal="center"/>
    </xf>
    <xf numFmtId="188" fontId="20" fillId="20" borderId="16" xfId="0" applyNumberFormat="1" applyFont="1" applyFill="1" applyBorder="1" applyAlignment="1">
      <alignment horizontal="center" vertical="center"/>
    </xf>
    <xf numFmtId="0" fontId="8" fillId="17" borderId="0" xfId="0" applyFont="1" applyFill="1"/>
    <xf numFmtId="0" fontId="8" fillId="17" borderId="48" xfId="0" applyFont="1" applyFill="1" applyBorder="1"/>
    <xf numFmtId="0" fontId="24" fillId="7" borderId="0" xfId="0" applyFont="1" applyFill="1" applyAlignment="1">
      <alignment horizontal="center"/>
    </xf>
    <xf numFmtId="188" fontId="37" fillId="17" borderId="6" xfId="0" applyNumberFormat="1" applyFont="1" applyFill="1" applyBorder="1" applyAlignment="1">
      <alignment vertical="center"/>
    </xf>
    <xf numFmtId="188" fontId="37" fillId="17" borderId="7" xfId="0" applyNumberFormat="1" applyFont="1" applyFill="1" applyBorder="1" applyAlignment="1">
      <alignment vertical="center"/>
    </xf>
    <xf numFmtId="188" fontId="37" fillId="17" borderId="8" xfId="0" applyNumberFormat="1" applyFont="1" applyFill="1" applyBorder="1" applyAlignment="1">
      <alignment vertical="center"/>
    </xf>
    <xf numFmtId="188" fontId="57" fillId="2" borderId="61" xfId="0" applyNumberFormat="1" applyFont="1" applyFill="1" applyBorder="1" applyAlignment="1">
      <alignment horizontal="center" vertical="center" wrapText="1"/>
    </xf>
    <xf numFmtId="165" fontId="21" fillId="15" borderId="62" xfId="0" applyNumberFormat="1" applyFont="1" applyFill="1" applyBorder="1" applyAlignment="1">
      <alignment horizontal="center" vertical="center"/>
    </xf>
    <xf numFmtId="190" fontId="38" fillId="0" borderId="17" xfId="0" applyNumberFormat="1" applyFont="1" applyBorder="1" applyAlignment="1">
      <alignment horizontal="center" vertical="center" wrapText="1"/>
    </xf>
    <xf numFmtId="190" fontId="38" fillId="0" borderId="38" xfId="0" applyNumberFormat="1" applyFont="1" applyBorder="1" applyAlignment="1">
      <alignment horizontal="center" vertical="center" wrapText="1"/>
    </xf>
    <xf numFmtId="188" fontId="38" fillId="0" borderId="17" xfId="0" applyNumberFormat="1" applyFont="1" applyBorder="1" applyAlignment="1">
      <alignment horizontal="center" vertical="center" wrapText="1"/>
    </xf>
    <xf numFmtId="0" fontId="42" fillId="0" borderId="44" xfId="0" applyFont="1" applyBorder="1" applyAlignment="1">
      <alignment horizontal="left"/>
    </xf>
    <xf numFmtId="173" fontId="42" fillId="0" borderId="41" xfId="0" applyNumberFormat="1" applyFont="1" applyBorder="1" applyAlignment="1">
      <alignment horizontal="center"/>
    </xf>
    <xf numFmtId="190" fontId="43" fillId="0" borderId="17" xfId="0" applyNumberFormat="1" applyFont="1" applyBorder="1" applyAlignment="1">
      <alignment horizontal="center" vertical="center"/>
    </xf>
    <xf numFmtId="165" fontId="43" fillId="0" borderId="17" xfId="0" applyNumberFormat="1" applyFont="1" applyBorder="1" applyAlignment="1">
      <alignment horizontal="center" vertical="center"/>
    </xf>
    <xf numFmtId="165" fontId="43" fillId="0" borderId="38" xfId="0" applyNumberFormat="1" applyFont="1" applyBorder="1" applyAlignment="1">
      <alignment horizontal="center" vertical="center"/>
    </xf>
    <xf numFmtId="166" fontId="40" fillId="0" borderId="38" xfId="0" applyNumberFormat="1" applyFont="1" applyBorder="1" applyAlignment="1">
      <alignment horizontal="center" vertical="center"/>
    </xf>
    <xf numFmtId="166" fontId="58" fillId="0" borderId="17" xfId="0" applyNumberFormat="1" applyFont="1" applyBorder="1" applyAlignment="1">
      <alignment horizontal="center" vertical="center"/>
    </xf>
    <xf numFmtId="0" fontId="24" fillId="0" borderId="41" xfId="0" applyFont="1" applyBorder="1" applyAlignment="1">
      <alignment horizontal="center"/>
    </xf>
    <xf numFmtId="165" fontId="21" fillId="21" borderId="10" xfId="0" applyNumberFormat="1" applyFont="1" applyFill="1" applyBorder="1" applyAlignment="1">
      <alignment horizontal="center" vertical="center"/>
    </xf>
    <xf numFmtId="165" fontId="21" fillId="21" borderId="17" xfId="0" applyNumberFormat="1" applyFont="1" applyFill="1" applyBorder="1" applyAlignment="1">
      <alignment horizontal="center" vertical="center"/>
    </xf>
    <xf numFmtId="190" fontId="47" fillId="0" borderId="17" xfId="0" applyNumberFormat="1" applyFont="1" applyBorder="1" applyAlignment="1">
      <alignment horizontal="center" vertical="center"/>
    </xf>
    <xf numFmtId="190" fontId="47" fillId="0" borderId="38" xfId="0" applyNumberFormat="1" applyFont="1" applyBorder="1" applyAlignment="1">
      <alignment horizontal="center" vertical="center"/>
    </xf>
    <xf numFmtId="188" fontId="1" fillId="0" borderId="17" xfId="0" applyNumberFormat="1" applyFont="1" applyBorder="1" applyAlignment="1">
      <alignment horizontal="center" vertical="center"/>
    </xf>
    <xf numFmtId="0" fontId="0" fillId="7" borderId="16" xfId="0" applyFill="1" applyBorder="1" applyAlignment="1">
      <alignment horizontal="center"/>
    </xf>
    <xf numFmtId="0" fontId="8" fillId="17" borderId="28" xfId="0" applyFont="1" applyFill="1" applyBorder="1" applyAlignment="1">
      <alignment horizontal="center"/>
    </xf>
    <xf numFmtId="0" fontId="60" fillId="17" borderId="41" xfId="0" applyFont="1" applyFill="1" applyBorder="1" applyAlignment="1">
      <alignment horizontal="center" vertical="center" wrapText="1"/>
    </xf>
    <xf numFmtId="0" fontId="60" fillId="17" borderId="37" xfId="0" applyFont="1" applyFill="1" applyBorder="1" applyAlignment="1">
      <alignment horizontal="center" vertical="center" wrapText="1"/>
    </xf>
    <xf numFmtId="0" fontId="60" fillId="17" borderId="38" xfId="0" applyFont="1" applyFill="1" applyBorder="1" applyAlignment="1">
      <alignment horizontal="center" vertical="center" wrapText="1"/>
    </xf>
    <xf numFmtId="0" fontId="59" fillId="17" borderId="46" xfId="0" applyFont="1" applyFill="1" applyBorder="1" applyAlignment="1">
      <alignment horizontal="center" vertical="center" wrapText="1"/>
    </xf>
    <xf numFmtId="0" fontId="59" fillId="17" borderId="47" xfId="0" applyFont="1" applyFill="1" applyBorder="1" applyAlignment="1">
      <alignment horizontal="center" vertical="center" wrapText="1"/>
    </xf>
    <xf numFmtId="165" fontId="0" fillId="9" borderId="37" xfId="0" applyNumberFormat="1" applyFill="1" applyBorder="1" applyAlignment="1">
      <alignment horizontal="center" vertical="top"/>
    </xf>
    <xf numFmtId="165" fontId="0" fillId="9" borderId="44" xfId="0" applyNumberFormat="1" applyFill="1" applyBorder="1" applyAlignment="1">
      <alignment horizontal="center" vertical="top"/>
    </xf>
    <xf numFmtId="165" fontId="10" fillId="18" borderId="46" xfId="0" applyNumberFormat="1" applyFont="1" applyFill="1" applyBorder="1" applyAlignment="1">
      <alignment horizontal="center" vertical="top"/>
    </xf>
    <xf numFmtId="165" fontId="10" fillId="18" borderId="47" xfId="0" applyNumberFormat="1" applyFont="1" applyFill="1" applyBorder="1" applyAlignment="1">
      <alignment horizontal="center" vertical="top"/>
    </xf>
    <xf numFmtId="165" fontId="10" fillId="18" borderId="48" xfId="0" applyNumberFormat="1" applyFont="1" applyFill="1" applyBorder="1" applyAlignment="1">
      <alignment horizontal="center" vertical="top"/>
    </xf>
    <xf numFmtId="165" fontId="0" fillId="9" borderId="43" xfId="0" applyNumberFormat="1" applyFill="1" applyBorder="1" applyAlignment="1">
      <alignment horizontal="center" vertical="top"/>
    </xf>
    <xf numFmtId="165" fontId="0" fillId="9" borderId="63" xfId="0" applyNumberFormat="1" applyFill="1" applyBorder="1" applyAlignment="1">
      <alignment horizontal="center" vertical="top"/>
    </xf>
    <xf numFmtId="165" fontId="0" fillId="9" borderId="64" xfId="0" applyNumberFormat="1" applyFill="1" applyBorder="1" applyAlignment="1">
      <alignment horizontal="center" vertical="top"/>
    </xf>
    <xf numFmtId="165" fontId="0" fillId="9" borderId="65" xfId="0" applyNumberFormat="1" applyFill="1" applyBorder="1" applyAlignment="1">
      <alignment horizontal="center" vertical="top"/>
    </xf>
    <xf numFmtId="0" fontId="0" fillId="18" borderId="15" xfId="0" applyFill="1" applyBorder="1" applyAlignment="1">
      <alignment horizontal="center"/>
    </xf>
    <xf numFmtId="0" fontId="0" fillId="22" borderId="10" xfId="0" applyFill="1" applyBorder="1" applyAlignment="1">
      <alignment horizontal="center"/>
    </xf>
    <xf numFmtId="0" fontId="0" fillId="22" borderId="14" xfId="0" applyFill="1" applyBorder="1" applyAlignment="1">
      <alignment horizontal="center"/>
    </xf>
    <xf numFmtId="2" fontId="63" fillId="17" borderId="37" xfId="0" applyNumberFormat="1" applyFont="1" applyFill="1" applyBorder="1" applyAlignment="1">
      <alignment horizontal="center" vertical="center" wrapText="1"/>
    </xf>
    <xf numFmtId="0" fontId="61" fillId="17" borderId="9" xfId="0" applyFont="1" applyFill="1" applyBorder="1" applyAlignment="1">
      <alignment horizontal="center" wrapText="1"/>
    </xf>
    <xf numFmtId="0" fontId="62" fillId="17" borderId="28" xfId="0" applyFont="1" applyFill="1" applyBorder="1" applyAlignment="1">
      <alignment horizontal="center" wrapText="1"/>
    </xf>
    <xf numFmtId="167" fontId="13" fillId="11" borderId="46" xfId="2" applyNumberFormat="1" applyBorder="1" applyAlignment="1">
      <alignment horizontal="center" vertical="top"/>
    </xf>
    <xf numFmtId="165" fontId="10" fillId="18" borderId="51" xfId="0" applyNumberFormat="1" applyFont="1" applyFill="1" applyBorder="1" applyAlignment="1">
      <alignment horizontal="center" vertical="top"/>
    </xf>
    <xf numFmtId="167" fontId="13" fillId="11" borderId="47" xfId="2" applyNumberFormat="1" applyBorder="1" applyAlignment="1">
      <alignment horizontal="center" vertical="top"/>
    </xf>
    <xf numFmtId="0" fontId="8" fillId="17" borderId="30" xfId="0" applyFont="1" applyFill="1" applyBorder="1" applyAlignment="1">
      <alignment horizontal="center"/>
    </xf>
    <xf numFmtId="178" fontId="0" fillId="7" borderId="0" xfId="0" applyNumberFormat="1" applyFill="1"/>
    <xf numFmtId="0" fontId="15" fillId="7" borderId="0" xfId="0" applyFont="1" applyFill="1" applyAlignment="1">
      <alignment vertical="top"/>
    </xf>
    <xf numFmtId="0" fontId="14" fillId="7" borderId="0" xfId="0" applyFont="1" applyFill="1" applyAlignment="1">
      <alignment vertical="top"/>
    </xf>
    <xf numFmtId="0" fontId="5" fillId="17" borderId="37" xfId="0" applyFont="1" applyFill="1" applyBorder="1" applyAlignment="1">
      <alignment horizontal="center"/>
    </xf>
    <xf numFmtId="0" fontId="5" fillId="17" borderId="47" xfId="0" applyFont="1" applyFill="1" applyBorder="1" applyAlignment="1">
      <alignment horizontal="center"/>
    </xf>
    <xf numFmtId="0" fontId="5" fillId="17" borderId="48" xfId="0" applyFont="1" applyFill="1" applyBorder="1" applyAlignment="1">
      <alignment horizontal="center"/>
    </xf>
    <xf numFmtId="0" fontId="42" fillId="0" borderId="41" xfId="0" applyFont="1" applyBorder="1" applyAlignment="1">
      <alignment horizontal="center" vertical="top"/>
    </xf>
    <xf numFmtId="0" fontId="5" fillId="17" borderId="37" xfId="0" applyFont="1" applyFill="1" applyBorder="1" applyAlignment="1">
      <alignment horizontal="center" vertical="center"/>
    </xf>
    <xf numFmtId="0" fontId="5" fillId="17" borderId="38" xfId="0" applyFont="1" applyFill="1" applyBorder="1" applyAlignment="1">
      <alignment horizontal="center" vertical="center"/>
    </xf>
    <xf numFmtId="190" fontId="65" fillId="0" borderId="37" xfId="0" applyNumberFormat="1" applyFont="1" applyBorder="1" applyAlignment="1">
      <alignment horizontal="center" vertical="center"/>
    </xf>
    <xf numFmtId="176" fontId="65" fillId="0" borderId="37" xfId="0" applyNumberFormat="1" applyFont="1" applyBorder="1" applyAlignment="1">
      <alignment horizontal="center" vertical="center"/>
    </xf>
    <xf numFmtId="180" fontId="42" fillId="0" borderId="37" xfId="0" applyNumberFormat="1" applyFont="1" applyBorder="1" applyAlignment="1">
      <alignment horizontal="center" vertical="center"/>
    </xf>
    <xf numFmtId="0" fontId="5" fillId="17" borderId="43" xfId="0" applyFont="1" applyFill="1" applyBorder="1" applyAlignment="1">
      <alignment horizontal="center"/>
    </xf>
    <xf numFmtId="0" fontId="42" fillId="9" borderId="46" xfId="0" applyFont="1" applyFill="1" applyBorder="1" applyAlignment="1">
      <alignment horizontal="center" vertical="top"/>
    </xf>
    <xf numFmtId="176" fontId="0" fillId="9" borderId="47" xfId="0" applyNumberFormat="1" applyFill="1" applyBorder="1" applyAlignment="1">
      <alignment horizontal="center" vertical="top"/>
    </xf>
    <xf numFmtId="190" fontId="9" fillId="9" borderId="48" xfId="0" applyNumberFormat="1" applyFont="1" applyFill="1" applyBorder="1" applyAlignment="1">
      <alignment horizontal="center" vertical="top"/>
    </xf>
    <xf numFmtId="180" fontId="42" fillId="0" borderId="38" xfId="0" applyNumberFormat="1" applyFont="1" applyBorder="1" applyAlignment="1">
      <alignment horizontal="center" vertical="center"/>
    </xf>
    <xf numFmtId="0" fontId="8" fillId="7" borderId="0" xfId="0" applyFont="1" applyFill="1"/>
    <xf numFmtId="165" fontId="21" fillId="15" borderId="65" xfId="0" applyNumberFormat="1" applyFont="1" applyFill="1" applyBorder="1" applyAlignment="1">
      <alignment horizontal="center" vertical="center"/>
    </xf>
    <xf numFmtId="171" fontId="56" fillId="7" borderId="0" xfId="0" applyNumberFormat="1" applyFont="1" applyFill="1"/>
    <xf numFmtId="176" fontId="56" fillId="7" borderId="0" xfId="0" applyNumberFormat="1" applyFont="1" applyFill="1"/>
    <xf numFmtId="180" fontId="56" fillId="7" borderId="0" xfId="0" applyNumberFormat="1" applyFont="1" applyFill="1"/>
    <xf numFmtId="180" fontId="56" fillId="7" borderId="12" xfId="0" applyNumberFormat="1" applyFont="1" applyFill="1" applyBorder="1"/>
    <xf numFmtId="171" fontId="0" fillId="7" borderId="37" xfId="0" applyNumberFormat="1" applyFill="1" applyBorder="1"/>
    <xf numFmtId="176" fontId="0" fillId="7" borderId="37" xfId="0" applyNumberFormat="1" applyFill="1" applyBorder="1"/>
    <xf numFmtId="180" fontId="0" fillId="7" borderId="64" xfId="0" applyNumberFormat="1" applyFill="1" applyBorder="1"/>
    <xf numFmtId="196" fontId="42" fillId="0" borderId="44" xfId="0" applyNumberFormat="1" applyFont="1" applyBorder="1" applyAlignment="1">
      <alignment horizontal="center" vertical="center"/>
    </xf>
    <xf numFmtId="180" fontId="0" fillId="7" borderId="37" xfId="0" applyNumberFormat="1" applyFill="1" applyBorder="1"/>
    <xf numFmtId="0" fontId="3" fillId="0" borderId="37" xfId="0" applyFont="1" applyBorder="1" applyAlignment="1">
      <alignment horizontal="center" vertical="center" wrapText="1"/>
    </xf>
    <xf numFmtId="0" fontId="52" fillId="0" borderId="41" xfId="2" applyNumberFormat="1" applyFont="1" applyFill="1" applyBorder="1" applyAlignment="1">
      <alignment horizontal="center" vertical="top"/>
    </xf>
    <xf numFmtId="0" fontId="52" fillId="0" borderId="37" xfId="0" applyFont="1" applyBorder="1" applyAlignment="1">
      <alignment horizontal="center" vertical="center"/>
    </xf>
    <xf numFmtId="0" fontId="52" fillId="0" borderId="37" xfId="0" applyFont="1" applyBorder="1" applyAlignment="1">
      <alignment horizontal="center"/>
    </xf>
    <xf numFmtId="175" fontId="8" fillId="17" borderId="37" xfId="0" applyNumberFormat="1" applyFont="1" applyFill="1" applyBorder="1" applyAlignment="1">
      <alignment horizontal="center" vertical="center" wrapText="1"/>
    </xf>
    <xf numFmtId="0" fontId="14" fillId="0" borderId="0" xfId="0" applyFont="1" applyAlignment="1">
      <alignment horizontal="center" vertical="center"/>
    </xf>
    <xf numFmtId="0" fontId="8" fillId="0" borderId="0" xfId="0" applyFont="1" applyAlignment="1">
      <alignment horizontal="center"/>
    </xf>
    <xf numFmtId="167" fontId="0" fillId="0" borderId="0" xfId="0" applyNumberFormat="1"/>
    <xf numFmtId="165" fontId="10" fillId="0" borderId="0" xfId="0" applyNumberFormat="1" applyFont="1" applyAlignment="1">
      <alignment horizontal="center" vertical="center"/>
    </xf>
    <xf numFmtId="190" fontId="52" fillId="0" borderId="0" xfId="0" applyNumberFormat="1" applyFont="1" applyAlignment="1">
      <alignment horizontal="center"/>
    </xf>
    <xf numFmtId="0" fontId="0" fillId="0" borderId="0" xfId="0" applyAlignment="1">
      <alignment horizontal="center" vertical="center"/>
    </xf>
    <xf numFmtId="0" fontId="49" fillId="4" borderId="0" xfId="0" applyFont="1" applyFill="1" applyAlignment="1">
      <alignment horizontal="center" vertical="center" wrapText="1"/>
    </xf>
    <xf numFmtId="186" fontId="68" fillId="0" borderId="0" xfId="0" applyNumberFormat="1" applyFont="1" applyAlignment="1">
      <alignment horizontal="center"/>
    </xf>
    <xf numFmtId="190" fontId="42" fillId="0" borderId="0" xfId="0" applyNumberFormat="1" applyFont="1" applyAlignment="1">
      <alignment horizontal="center"/>
    </xf>
    <xf numFmtId="0" fontId="8" fillId="17" borderId="9" xfId="0" applyFont="1" applyFill="1" applyBorder="1" applyAlignment="1">
      <alignment horizontal="center" vertical="center"/>
    </xf>
    <xf numFmtId="0" fontId="53" fillId="0" borderId="63" xfId="0" applyFont="1" applyBorder="1" applyAlignment="1">
      <alignment horizontal="center" vertical="center"/>
    </xf>
    <xf numFmtId="0" fontId="8" fillId="0" borderId="0" xfId="0" applyFont="1" applyAlignment="1">
      <alignment horizontal="center" vertical="center"/>
    </xf>
    <xf numFmtId="0" fontId="0" fillId="0" borderId="0" xfId="0" applyAlignment="1">
      <alignment horizontal="right"/>
    </xf>
    <xf numFmtId="0" fontId="0" fillId="0" borderId="0" xfId="0" applyAlignment="1">
      <alignment horizontal="left"/>
    </xf>
    <xf numFmtId="165" fontId="0" fillId="0" borderId="0" xfId="0" applyNumberFormat="1" applyAlignment="1">
      <alignment horizontal="center" vertical="top"/>
    </xf>
    <xf numFmtId="186" fontId="7" fillId="0" borderId="0" xfId="0" applyNumberFormat="1" applyFont="1" applyAlignment="1">
      <alignment horizontal="center"/>
    </xf>
    <xf numFmtId="0" fontId="14" fillId="0" borderId="0" xfId="0" applyFont="1" applyAlignment="1">
      <alignment horizontal="left" vertical="center"/>
    </xf>
    <xf numFmtId="190" fontId="52" fillId="23" borderId="0" xfId="0" applyNumberFormat="1" applyFont="1" applyFill="1" applyAlignment="1">
      <alignment horizontal="center" vertical="center"/>
    </xf>
    <xf numFmtId="0" fontId="24" fillId="6" borderId="15" xfId="0" applyFont="1" applyFill="1" applyBorder="1" applyAlignment="1">
      <alignment horizontal="center" vertical="center"/>
    </xf>
    <xf numFmtId="0" fontId="0" fillId="18" borderId="10" xfId="0" applyFill="1" applyBorder="1" applyAlignment="1">
      <alignment horizontal="center" vertical="center"/>
    </xf>
    <xf numFmtId="165" fontId="13" fillId="11" borderId="46" xfId="2" applyNumberFormat="1" applyBorder="1" applyAlignment="1">
      <alignment horizontal="center" vertical="center"/>
    </xf>
    <xf numFmtId="165" fontId="10" fillId="18" borderId="47" xfId="0" applyNumberFormat="1" applyFont="1" applyFill="1" applyBorder="1" applyAlignment="1">
      <alignment horizontal="center" vertical="center"/>
    </xf>
    <xf numFmtId="165" fontId="10" fillId="18" borderId="48" xfId="0" applyNumberFormat="1" applyFont="1" applyFill="1" applyBorder="1" applyAlignment="1">
      <alignment horizontal="center" vertical="center"/>
    </xf>
    <xf numFmtId="0" fontId="0" fillId="22" borderId="10" xfId="0" applyFill="1" applyBorder="1" applyAlignment="1">
      <alignment horizontal="center" vertical="center"/>
    </xf>
    <xf numFmtId="165" fontId="0" fillId="9" borderId="43" xfId="0" applyNumberFormat="1" applyFill="1" applyBorder="1" applyAlignment="1">
      <alignment horizontal="center" vertical="center"/>
    </xf>
    <xf numFmtId="165" fontId="0" fillId="9" borderId="37" xfId="0" applyNumberFormat="1" applyFill="1" applyBorder="1" applyAlignment="1">
      <alignment horizontal="center" vertical="center"/>
    </xf>
    <xf numFmtId="165" fontId="0" fillId="9" borderId="44" xfId="0" applyNumberFormat="1" applyFill="1" applyBorder="1" applyAlignment="1">
      <alignment horizontal="center" vertical="center"/>
    </xf>
    <xf numFmtId="165" fontId="0" fillId="9" borderId="63" xfId="0" applyNumberFormat="1" applyFill="1" applyBorder="1" applyAlignment="1">
      <alignment horizontal="center" vertical="center"/>
    </xf>
    <xf numFmtId="165" fontId="0" fillId="9" borderId="64" xfId="0" applyNumberFormat="1" applyFill="1" applyBorder="1" applyAlignment="1">
      <alignment horizontal="center" vertical="center"/>
    </xf>
    <xf numFmtId="165" fontId="0" fillId="9" borderId="65" xfId="0" applyNumberFormat="1" applyFill="1" applyBorder="1" applyAlignment="1">
      <alignment horizontal="center" vertical="center"/>
    </xf>
    <xf numFmtId="0" fontId="59" fillId="17" borderId="6" xfId="0" applyFont="1" applyFill="1" applyBorder="1" applyAlignment="1">
      <alignment vertical="center"/>
    </xf>
    <xf numFmtId="0" fontId="59" fillId="17" borderId="7" xfId="0" applyFont="1" applyFill="1" applyBorder="1" applyAlignment="1">
      <alignment horizontal="right" vertical="center"/>
    </xf>
    <xf numFmtId="0" fontId="72" fillId="7" borderId="7" xfId="0" applyFont="1" applyFill="1" applyBorder="1" applyAlignment="1">
      <alignment horizontal="right" vertical="center"/>
    </xf>
    <xf numFmtId="0" fontId="14" fillId="7" borderId="8" xfId="0" applyFont="1" applyFill="1" applyBorder="1" applyAlignment="1">
      <alignment horizontal="left" vertical="center"/>
    </xf>
    <xf numFmtId="165" fontId="9" fillId="9" borderId="15" xfId="0" applyNumberFormat="1" applyFont="1" applyFill="1" applyBorder="1" applyAlignment="1">
      <alignment horizontal="center" vertical="center"/>
    </xf>
    <xf numFmtId="0" fontId="8" fillId="17" borderId="29" xfId="0" applyFont="1" applyFill="1" applyBorder="1" applyAlignment="1">
      <alignment horizontal="center" vertical="center"/>
    </xf>
    <xf numFmtId="190" fontId="42" fillId="7" borderId="10" xfId="0" applyNumberFormat="1" applyFont="1" applyFill="1" applyBorder="1" applyAlignment="1">
      <alignment horizontal="center" vertical="center"/>
    </xf>
    <xf numFmtId="0" fontId="8" fillId="17" borderId="30" xfId="0" applyFont="1" applyFill="1" applyBorder="1" applyAlignment="1">
      <alignment horizontal="center" vertical="center"/>
    </xf>
    <xf numFmtId="0" fontId="9" fillId="23" borderId="0" xfId="0" quotePrefix="1" applyFont="1" applyFill="1" applyAlignment="1">
      <alignment horizontal="center" vertical="center"/>
    </xf>
    <xf numFmtId="190" fontId="52" fillId="23" borderId="30" xfId="0" applyNumberFormat="1" applyFont="1" applyFill="1" applyBorder="1" applyAlignment="1">
      <alignment horizontal="center" vertical="center"/>
    </xf>
    <xf numFmtId="0" fontId="9" fillId="0" borderId="0" xfId="0" quotePrefix="1" applyFont="1" applyAlignment="1">
      <alignment horizontal="center" vertical="center"/>
    </xf>
    <xf numFmtId="190" fontId="52" fillId="0" borderId="30" xfId="0" applyNumberFormat="1" applyFont="1" applyBorder="1" applyAlignment="1">
      <alignment horizontal="center" vertical="center"/>
    </xf>
    <xf numFmtId="0" fontId="14" fillId="0" borderId="37" xfId="0" applyFont="1" applyBorder="1" applyAlignment="1">
      <alignment horizontal="center" vertical="center"/>
    </xf>
    <xf numFmtId="0" fontId="14" fillId="0" borderId="44" xfId="0" applyFont="1" applyBorder="1" applyAlignment="1">
      <alignment horizontal="center" vertical="center"/>
    </xf>
    <xf numFmtId="186" fontId="42" fillId="0" borderId="43" xfId="0" applyNumberFormat="1" applyFont="1" applyBorder="1" applyAlignment="1">
      <alignment horizontal="center"/>
    </xf>
    <xf numFmtId="186" fontId="42" fillId="0" borderId="37" xfId="0" applyNumberFormat="1" applyFont="1" applyBorder="1" applyAlignment="1">
      <alignment horizontal="center"/>
    </xf>
    <xf numFmtId="186" fontId="16" fillId="0" borderId="37" xfId="0" applyNumberFormat="1" applyFont="1" applyBorder="1" applyAlignment="1">
      <alignment horizontal="center" vertical="top" wrapText="1"/>
    </xf>
    <xf numFmtId="186" fontId="16" fillId="0" borderId="44" xfId="0" applyNumberFormat="1" applyFont="1" applyBorder="1" applyAlignment="1">
      <alignment horizontal="center" vertical="top" wrapText="1"/>
    </xf>
    <xf numFmtId="178" fontId="16" fillId="0" borderId="37" xfId="0" applyNumberFormat="1" applyFont="1" applyBorder="1" applyAlignment="1">
      <alignment horizontal="center" vertical="top" wrapText="1"/>
    </xf>
    <xf numFmtId="181" fontId="16" fillId="0" borderId="37" xfId="0" applyNumberFormat="1" applyFont="1" applyBorder="1" applyAlignment="1">
      <alignment horizontal="center" vertical="top" wrapText="1"/>
    </xf>
    <xf numFmtId="0" fontId="0" fillId="0" borderId="37" xfId="0" applyBorder="1" applyAlignment="1">
      <alignment horizontal="center"/>
    </xf>
    <xf numFmtId="0" fontId="67" fillId="4" borderId="46" xfId="0" applyFont="1" applyFill="1" applyBorder="1" applyAlignment="1">
      <alignment horizontal="center" vertical="center"/>
    </xf>
    <xf numFmtId="0" fontId="67" fillId="4" borderId="47" xfId="0" applyFont="1" applyFill="1" applyBorder="1" applyAlignment="1">
      <alignment horizontal="center" vertical="center"/>
    </xf>
    <xf numFmtId="0" fontId="14" fillId="0" borderId="47" xfId="0" applyFont="1" applyBorder="1" applyAlignment="1">
      <alignment horizontal="center" vertical="center"/>
    </xf>
    <xf numFmtId="0" fontId="14" fillId="0" borderId="48" xfId="0" applyFont="1" applyBorder="1" applyAlignment="1">
      <alignment horizontal="center" vertical="center"/>
    </xf>
    <xf numFmtId="0" fontId="53" fillId="7" borderId="17" xfId="0" applyFont="1" applyFill="1" applyBorder="1" applyAlignment="1">
      <alignment horizontal="center" vertical="center"/>
    </xf>
    <xf numFmtId="0" fontId="53" fillId="7" borderId="30" xfId="0" applyFont="1" applyFill="1" applyBorder="1" applyAlignment="1">
      <alignment horizontal="center" vertical="center"/>
    </xf>
    <xf numFmtId="0" fontId="14" fillId="0" borderId="6" xfId="0" applyFont="1" applyBorder="1" applyAlignment="1">
      <alignment horizontal="left" vertical="center"/>
    </xf>
    <xf numFmtId="0" fontId="0" fillId="0" borderId="8" xfId="0" applyBorder="1" applyAlignment="1">
      <alignment horizontal="center" vertical="center"/>
    </xf>
    <xf numFmtId="0" fontId="14" fillId="0" borderId="60" xfId="0" applyFont="1" applyBorder="1" applyAlignment="1">
      <alignment horizontal="center" vertical="center"/>
    </xf>
    <xf numFmtId="165" fontId="10" fillId="0" borderId="0" xfId="0" applyNumberFormat="1" applyFont="1" applyAlignment="1">
      <alignment horizontal="center" vertical="top"/>
    </xf>
    <xf numFmtId="186" fontId="16" fillId="7" borderId="0" xfId="0" applyNumberFormat="1" applyFont="1" applyFill="1" applyAlignment="1">
      <alignment horizontal="center" vertical="top" wrapText="1"/>
    </xf>
    <xf numFmtId="4" fontId="0" fillId="0" borderId="0" xfId="0" applyNumberFormat="1" applyAlignment="1">
      <alignment horizontal="center" vertical="center"/>
    </xf>
    <xf numFmtId="165" fontId="10" fillId="0" borderId="66" xfId="0" applyNumberFormat="1" applyFont="1" applyBorder="1" applyAlignment="1">
      <alignment horizontal="center" vertical="center"/>
    </xf>
    <xf numFmtId="4" fontId="0" fillId="0" borderId="67" xfId="0" applyNumberFormat="1" applyBorder="1" applyAlignment="1">
      <alignment horizontal="center" vertical="center"/>
    </xf>
    <xf numFmtId="3" fontId="9" fillId="0" borderId="0" xfId="0" applyNumberFormat="1" applyFont="1" applyAlignment="1">
      <alignment horizontal="center" vertical="top"/>
    </xf>
    <xf numFmtId="0" fontId="37" fillId="17" borderId="0" xfId="0" applyFont="1" applyFill="1" applyAlignment="1">
      <alignment horizontal="center" vertical="center"/>
    </xf>
    <xf numFmtId="0" fontId="0" fillId="0" borderId="17" xfId="0" applyBorder="1" applyAlignment="1">
      <alignment horizontal="center"/>
    </xf>
    <xf numFmtId="0" fontId="14" fillId="0" borderId="17" xfId="0" applyFont="1" applyBorder="1" applyAlignment="1">
      <alignment horizontal="center" vertical="top"/>
    </xf>
    <xf numFmtId="165" fontId="10" fillId="0" borderId="17" xfId="0" applyNumberFormat="1" applyFont="1" applyBorder="1" applyAlignment="1">
      <alignment horizontal="center" vertical="center"/>
    </xf>
    <xf numFmtId="4" fontId="0" fillId="0" borderId="17" xfId="0" applyNumberFormat="1" applyBorder="1" applyAlignment="1">
      <alignment horizontal="center" vertical="center"/>
    </xf>
    <xf numFmtId="0" fontId="8" fillId="0" borderId="17" xfId="0" applyFont="1" applyBorder="1" applyAlignment="1">
      <alignment horizontal="center"/>
    </xf>
    <xf numFmtId="165" fontId="0" fillId="0" borderId="0" xfId="0" applyNumberFormat="1" applyAlignment="1">
      <alignment horizontal="center" vertical="center"/>
    </xf>
    <xf numFmtId="0" fontId="66" fillId="0" borderId="15" xfId="0" applyFont="1" applyBorder="1" applyAlignment="1">
      <alignment horizontal="center" vertical="center"/>
    </xf>
    <xf numFmtId="188" fontId="9" fillId="9" borderId="14" xfId="0" applyNumberFormat="1" applyFont="1" applyFill="1" applyBorder="1" applyAlignment="1">
      <alignment horizontal="center" vertical="center"/>
    </xf>
    <xf numFmtId="190" fontId="42" fillId="0" borderId="43" xfId="0" applyNumberFormat="1" applyFont="1" applyBorder="1" applyAlignment="1">
      <alignment horizontal="center"/>
    </xf>
    <xf numFmtId="190" fontId="42" fillId="0" borderId="37" xfId="0" applyNumberFormat="1" applyFont="1" applyBorder="1" applyAlignment="1">
      <alignment horizontal="center"/>
    </xf>
    <xf numFmtId="190" fontId="42" fillId="0" borderId="44" xfId="0" applyNumberFormat="1" applyFont="1" applyBorder="1" applyAlignment="1">
      <alignment horizontal="center"/>
    </xf>
    <xf numFmtId="165" fontId="10" fillId="18" borderId="15" xfId="0" applyNumberFormat="1" applyFont="1" applyFill="1" applyBorder="1" applyAlignment="1">
      <alignment horizontal="center" vertical="center"/>
    </xf>
    <xf numFmtId="165" fontId="0" fillId="9" borderId="10" xfId="0" applyNumberFormat="1" applyFill="1" applyBorder="1" applyAlignment="1">
      <alignment horizontal="center" vertical="center"/>
    </xf>
    <xf numFmtId="165" fontId="0" fillId="9" borderId="14" xfId="0" applyNumberFormat="1" applyFill="1" applyBorder="1" applyAlignment="1">
      <alignment horizontal="center" vertical="center"/>
    </xf>
    <xf numFmtId="167" fontId="0" fillId="0" borderId="0" xfId="0" applyNumberFormat="1" applyAlignment="1">
      <alignment horizontal="center" vertical="center"/>
    </xf>
    <xf numFmtId="0" fontId="9" fillId="0" borderId="0" xfId="0" applyFont="1" applyAlignment="1">
      <alignment horizontal="center" vertical="center"/>
    </xf>
    <xf numFmtId="165" fontId="13" fillId="0" borderId="0" xfId="2" applyNumberFormat="1" applyFill="1" applyBorder="1" applyAlignment="1">
      <alignment horizontal="center" vertical="center"/>
    </xf>
    <xf numFmtId="3" fontId="9" fillId="0" borderId="0" xfId="0" applyNumberFormat="1" applyFont="1" applyAlignment="1">
      <alignment horizontal="center" vertical="center"/>
    </xf>
    <xf numFmtId="190" fontId="44" fillId="0" borderId="43" xfId="0" applyNumberFormat="1" applyFont="1" applyBorder="1" applyAlignment="1">
      <alignment horizontal="center"/>
    </xf>
    <xf numFmtId="190" fontId="44" fillId="0" borderId="10" xfId="0" applyNumberFormat="1" applyFont="1" applyBorder="1" applyAlignment="1">
      <alignment horizontal="center"/>
    </xf>
    <xf numFmtId="190" fontId="44" fillId="0" borderId="44" xfId="0" applyNumberFormat="1" applyFont="1" applyBorder="1" applyAlignment="1">
      <alignment horizontal="center"/>
    </xf>
    <xf numFmtId="197" fontId="69" fillId="0" borderId="43" xfId="0" applyNumberFormat="1" applyFont="1" applyBorder="1" applyAlignment="1">
      <alignment horizontal="center"/>
    </xf>
    <xf numFmtId="197" fontId="41" fillId="0" borderId="44" xfId="0" applyNumberFormat="1" applyFont="1" applyBorder="1" applyAlignment="1">
      <alignment horizontal="center"/>
    </xf>
    <xf numFmtId="190" fontId="48" fillId="0" borderId="43" xfId="0" applyNumberFormat="1" applyFont="1" applyBorder="1" applyAlignment="1">
      <alignment horizontal="center"/>
    </xf>
    <xf numFmtId="190" fontId="48" fillId="0" borderId="44" xfId="0" applyNumberFormat="1" applyFont="1" applyBorder="1" applyAlignment="1">
      <alignment horizontal="center"/>
    </xf>
    <xf numFmtId="191" fontId="48" fillId="0" borderId="10" xfId="0" applyNumberFormat="1" applyFont="1" applyBorder="1" applyAlignment="1">
      <alignment horizontal="center"/>
    </xf>
    <xf numFmtId="0" fontId="0" fillId="7" borderId="17" xfId="0" applyFill="1" applyBorder="1"/>
    <xf numFmtId="0" fontId="52" fillId="0" borderId="0" xfId="0" applyFont="1" applyAlignment="1">
      <alignment horizontal="center"/>
    </xf>
    <xf numFmtId="188" fontId="42" fillId="0" borderId="0" xfId="0" applyNumberFormat="1" applyFont="1" applyAlignment="1">
      <alignment horizontal="center" vertical="center"/>
    </xf>
    <xf numFmtId="190" fontId="44" fillId="0" borderId="0" xfId="0" applyNumberFormat="1" applyFont="1" applyAlignment="1">
      <alignment horizontal="center"/>
    </xf>
    <xf numFmtId="197" fontId="69" fillId="0" borderId="0" xfId="0" applyNumberFormat="1" applyFont="1" applyAlignment="1">
      <alignment horizontal="center"/>
    </xf>
    <xf numFmtId="197" fontId="41" fillId="0" borderId="0" xfId="0" applyNumberFormat="1" applyFont="1" applyAlignment="1">
      <alignment horizontal="center"/>
    </xf>
    <xf numFmtId="165" fontId="21" fillId="0" borderId="0" xfId="0" applyNumberFormat="1" applyFont="1" applyAlignment="1">
      <alignment horizontal="center" vertical="center"/>
    </xf>
    <xf numFmtId="190" fontId="48" fillId="0" borderId="0" xfId="0" applyNumberFormat="1" applyFont="1" applyAlignment="1">
      <alignment horizontal="center"/>
    </xf>
    <xf numFmtId="191" fontId="48" fillId="0" borderId="0" xfId="0" applyNumberFormat="1" applyFont="1" applyAlignment="1">
      <alignment horizontal="center"/>
    </xf>
    <xf numFmtId="188" fontId="11" fillId="0" borderId="0" xfId="0" applyNumberFormat="1" applyFont="1" applyAlignment="1">
      <alignment horizontal="center"/>
    </xf>
    <xf numFmtId="0" fontId="10" fillId="4" borderId="38" xfId="0" applyFont="1" applyFill="1" applyBorder="1" applyAlignment="1">
      <alignment horizontal="center" vertical="center" wrapText="1"/>
    </xf>
    <xf numFmtId="175" fontId="8" fillId="17" borderId="41" xfId="0" applyNumberFormat="1" applyFont="1" applyFill="1" applyBorder="1" applyAlignment="1">
      <alignment horizontal="center" vertical="center" wrapText="1"/>
    </xf>
    <xf numFmtId="0" fontId="10" fillId="4" borderId="10" xfId="0" applyFont="1" applyFill="1" applyBorder="1" applyAlignment="1">
      <alignment horizontal="center" vertical="center" wrapText="1"/>
    </xf>
    <xf numFmtId="0" fontId="42" fillId="9" borderId="46" xfId="0" applyFont="1" applyFill="1" applyBorder="1" applyAlignment="1">
      <alignment horizontal="center" vertical="center"/>
    </xf>
    <xf numFmtId="0" fontId="42" fillId="9" borderId="47" xfId="0" applyFont="1" applyFill="1" applyBorder="1" applyAlignment="1">
      <alignment horizontal="center" vertical="center"/>
    </xf>
    <xf numFmtId="0" fontId="42" fillId="9" borderId="63" xfId="0" applyFont="1" applyFill="1" applyBorder="1" applyAlignment="1">
      <alignment horizontal="center" vertical="center"/>
    </xf>
    <xf numFmtId="0" fontId="42" fillId="9" borderId="64" xfId="0" applyFont="1" applyFill="1" applyBorder="1" applyAlignment="1">
      <alignment horizontal="center" vertical="center"/>
    </xf>
    <xf numFmtId="0" fontId="42" fillId="9" borderId="51" xfId="0" applyFont="1" applyFill="1" applyBorder="1" applyAlignment="1">
      <alignment horizontal="center" vertical="center"/>
    </xf>
    <xf numFmtId="0" fontId="42" fillId="9" borderId="69" xfId="0" applyFont="1" applyFill="1" applyBorder="1" applyAlignment="1">
      <alignment horizontal="center" vertical="center"/>
    </xf>
    <xf numFmtId="0" fontId="42" fillId="9" borderId="60" xfId="0" applyFont="1" applyFill="1" applyBorder="1" applyAlignment="1">
      <alignment horizontal="center" vertical="center"/>
    </xf>
    <xf numFmtId="0" fontId="42" fillId="9" borderId="70" xfId="0" applyFont="1" applyFill="1" applyBorder="1" applyAlignment="1">
      <alignment horizontal="center" vertical="center"/>
    </xf>
    <xf numFmtId="0" fontId="42" fillId="9" borderId="15" xfId="0" applyFont="1" applyFill="1" applyBorder="1" applyAlignment="1">
      <alignment horizontal="center" vertical="center"/>
    </xf>
    <xf numFmtId="0" fontId="42" fillId="9" borderId="14" xfId="0" applyFont="1" applyFill="1" applyBorder="1" applyAlignment="1">
      <alignment horizontal="center" vertical="center"/>
    </xf>
    <xf numFmtId="0" fontId="9" fillId="0" borderId="10" xfId="0" applyFont="1" applyBorder="1" applyAlignment="1">
      <alignment horizontal="center"/>
    </xf>
    <xf numFmtId="0" fontId="71" fillId="0" borderId="69" xfId="0" applyFont="1" applyBorder="1" applyAlignment="1">
      <alignment horizontal="center"/>
    </xf>
    <xf numFmtId="165" fontId="21" fillId="15" borderId="13" xfId="0" applyNumberFormat="1" applyFont="1" applyFill="1" applyBorder="1" applyAlignment="1">
      <alignment horizontal="center" vertical="center"/>
    </xf>
    <xf numFmtId="175" fontId="7" fillId="7" borderId="0" xfId="0" applyNumberFormat="1" applyFont="1" applyFill="1" applyAlignment="1">
      <alignment horizontal="center" vertical="center"/>
    </xf>
    <xf numFmtId="188" fontId="20" fillId="7" borderId="0" xfId="0" applyNumberFormat="1" applyFont="1" applyFill="1" applyAlignment="1">
      <alignment horizontal="center" vertical="center"/>
    </xf>
    <xf numFmtId="188" fontId="37" fillId="7" borderId="0" xfId="0" applyNumberFormat="1" applyFont="1" applyFill="1" applyAlignment="1">
      <alignment vertical="center"/>
    </xf>
    <xf numFmtId="0" fontId="2" fillId="7" borderId="0" xfId="0" applyFont="1" applyFill="1" applyAlignment="1">
      <alignment vertical="center"/>
    </xf>
    <xf numFmtId="0" fontId="9" fillId="7" borderId="0" xfId="0" applyFont="1" applyFill="1"/>
    <xf numFmtId="0" fontId="1" fillId="7" borderId="0" xfId="0" applyFont="1" applyFill="1" applyAlignment="1">
      <alignment horizontal="left" vertical="center"/>
    </xf>
    <xf numFmtId="166" fontId="2" fillId="7" borderId="0" xfId="0" applyNumberFormat="1" applyFont="1" applyFill="1" applyAlignment="1" applyProtection="1">
      <alignment vertical="center"/>
      <protection locked="0"/>
    </xf>
    <xf numFmtId="165" fontId="2" fillId="7" borderId="0" xfId="0" applyNumberFormat="1" applyFont="1" applyFill="1" applyAlignment="1" applyProtection="1">
      <alignment vertical="center"/>
      <protection locked="0"/>
    </xf>
    <xf numFmtId="0" fontId="4" fillId="7" borderId="0" xfId="0" applyFont="1" applyFill="1" applyAlignment="1">
      <alignment horizontal="center" vertical="center" wrapText="1"/>
    </xf>
    <xf numFmtId="165" fontId="0" fillId="7" borderId="0" xfId="0" applyNumberFormat="1" applyFill="1" applyAlignment="1">
      <alignment horizontal="center" vertical="top"/>
    </xf>
    <xf numFmtId="186" fontId="0" fillId="7" borderId="0" xfId="0" applyNumberFormat="1" applyFill="1" applyAlignment="1">
      <alignment horizontal="center"/>
    </xf>
    <xf numFmtId="165" fontId="2" fillId="7" borderId="0" xfId="0" applyNumberFormat="1" applyFont="1" applyFill="1" applyAlignment="1" applyProtection="1">
      <alignment horizontal="center" vertical="center"/>
      <protection locked="0"/>
    </xf>
    <xf numFmtId="165" fontId="2" fillId="7" borderId="0" xfId="0" applyNumberFormat="1" applyFont="1" applyFill="1" applyAlignment="1">
      <alignment horizontal="center" vertical="center" wrapText="1"/>
    </xf>
    <xf numFmtId="166" fontId="2" fillId="7" borderId="0" xfId="0" applyNumberFormat="1" applyFont="1" applyFill="1" applyAlignment="1">
      <alignment horizontal="center" vertical="center"/>
    </xf>
    <xf numFmtId="165" fontId="10" fillId="7" borderId="0" xfId="0" applyNumberFormat="1" applyFont="1" applyFill="1" applyAlignment="1">
      <alignment horizontal="center" vertical="top"/>
    </xf>
    <xf numFmtId="175" fontId="10" fillId="7" borderId="30" xfId="0" applyNumberFormat="1" applyFont="1" applyFill="1" applyBorder="1" applyAlignment="1">
      <alignment horizontal="center" vertical="center" wrapText="1"/>
    </xf>
    <xf numFmtId="0" fontId="14" fillId="7" borderId="0" xfId="0" applyFont="1" applyFill="1" applyAlignment="1">
      <alignment horizontal="center" vertical="center"/>
    </xf>
    <xf numFmtId="175" fontId="10" fillId="4" borderId="38" xfId="0" applyNumberFormat="1" applyFont="1" applyFill="1" applyBorder="1" applyAlignment="1">
      <alignment horizontal="center" vertical="center" wrapText="1"/>
    </xf>
    <xf numFmtId="165" fontId="2" fillId="19" borderId="46" xfId="0" applyNumberFormat="1" applyFont="1" applyFill="1" applyBorder="1" applyAlignment="1">
      <alignment horizontal="center" vertical="center"/>
    </xf>
    <xf numFmtId="165" fontId="2" fillId="19" borderId="47" xfId="0" applyNumberFormat="1" applyFont="1" applyFill="1" applyBorder="1" applyAlignment="1">
      <alignment horizontal="center" vertical="center"/>
    </xf>
    <xf numFmtId="165" fontId="2" fillId="19" borderId="48" xfId="0" applyNumberFormat="1" applyFont="1" applyFill="1" applyBorder="1" applyAlignment="1">
      <alignment horizontal="center" vertical="center"/>
    </xf>
    <xf numFmtId="198" fontId="10" fillId="4" borderId="10" xfId="0" applyNumberFormat="1" applyFont="1" applyFill="1" applyBorder="1" applyAlignment="1">
      <alignment horizontal="center" vertical="center" wrapText="1"/>
    </xf>
    <xf numFmtId="198" fontId="42" fillId="0" borderId="10" xfId="2" applyNumberFormat="1" applyFont="1" applyFill="1" applyBorder="1" applyAlignment="1">
      <alignment horizontal="center" vertical="top"/>
    </xf>
    <xf numFmtId="188" fontId="73" fillId="7" borderId="64" xfId="0" applyNumberFormat="1" applyFont="1" applyFill="1" applyBorder="1" applyAlignment="1">
      <alignment horizontal="center" vertical="center" wrapText="1"/>
    </xf>
    <xf numFmtId="190" fontId="73" fillId="7" borderId="64" xfId="0" applyNumberFormat="1" applyFont="1" applyFill="1" applyBorder="1" applyAlignment="1">
      <alignment horizontal="center" vertical="center" wrapText="1"/>
    </xf>
    <xf numFmtId="190" fontId="73" fillId="7" borderId="65" xfId="0" applyNumberFormat="1" applyFont="1" applyFill="1" applyBorder="1" applyAlignment="1">
      <alignment horizontal="center" vertical="center" wrapText="1"/>
    </xf>
    <xf numFmtId="0" fontId="67" fillId="10" borderId="0" xfId="0" applyFont="1" applyFill="1" applyAlignment="1">
      <alignment horizontal="center" vertical="center"/>
    </xf>
    <xf numFmtId="168" fontId="9" fillId="7" borderId="0" xfId="0" applyNumberFormat="1" applyFont="1" applyFill="1" applyAlignment="1">
      <alignment horizontal="center"/>
    </xf>
    <xf numFmtId="0" fontId="0" fillId="7" borderId="0" xfId="0" applyFill="1" applyAlignment="1">
      <alignment horizontal="right"/>
    </xf>
    <xf numFmtId="170" fontId="31" fillId="7" borderId="0" xfId="0" applyNumberFormat="1" applyFont="1" applyFill="1"/>
    <xf numFmtId="171" fontId="31" fillId="7" borderId="0" xfId="0" applyNumberFormat="1" applyFont="1" applyFill="1"/>
    <xf numFmtId="171" fontId="32" fillId="7" borderId="0" xfId="0" applyNumberFormat="1" applyFont="1" applyFill="1"/>
    <xf numFmtId="170" fontId="0" fillId="7" borderId="0" xfId="0" applyNumberFormat="1" applyFill="1"/>
    <xf numFmtId="49" fontId="37" fillId="7" borderId="25" xfId="0" applyNumberFormat="1" applyFont="1" applyFill="1" applyBorder="1" applyAlignment="1" applyProtection="1">
      <alignment vertical="center"/>
      <protection locked="0"/>
    </xf>
    <xf numFmtId="0" fontId="4" fillId="2" borderId="74" xfId="0" applyFont="1" applyFill="1" applyBorder="1" applyAlignment="1">
      <alignment horizontal="center" vertical="center" wrapText="1"/>
    </xf>
    <xf numFmtId="49" fontId="37" fillId="17" borderId="72" xfId="0" applyNumberFormat="1" applyFont="1" applyFill="1" applyBorder="1" applyAlignment="1">
      <alignment horizontal="center" vertical="center"/>
    </xf>
    <xf numFmtId="49" fontId="37" fillId="17" borderId="73" xfId="0" applyNumberFormat="1" applyFont="1" applyFill="1" applyBorder="1" applyAlignment="1">
      <alignment horizontal="center" vertical="center"/>
    </xf>
    <xf numFmtId="0" fontId="4" fillId="2" borderId="71" xfId="0" applyFont="1" applyFill="1" applyBorder="1" applyAlignment="1">
      <alignment horizontal="center" vertical="center" wrapText="1"/>
    </xf>
    <xf numFmtId="0" fontId="37" fillId="17" borderId="73" xfId="0" applyFont="1" applyFill="1" applyBorder="1" applyAlignment="1">
      <alignment horizontal="center" vertical="center" wrapText="1"/>
    </xf>
    <xf numFmtId="0" fontId="37" fillId="17" borderId="75" xfId="0" applyFont="1" applyFill="1" applyBorder="1" applyAlignment="1">
      <alignment horizontal="center" vertical="center" wrapText="1"/>
    </xf>
    <xf numFmtId="165" fontId="37" fillId="17" borderId="72" xfId="0" applyNumberFormat="1" applyFont="1" applyFill="1" applyBorder="1" applyAlignment="1">
      <alignment horizontal="center" vertical="center" wrapText="1"/>
    </xf>
    <xf numFmtId="0" fontId="4" fillId="2" borderId="72" xfId="0" applyFont="1" applyFill="1" applyBorder="1" applyAlignment="1">
      <alignment horizontal="center" vertical="center" wrapText="1"/>
    </xf>
    <xf numFmtId="187" fontId="54" fillId="0" borderId="30" xfId="0" applyNumberFormat="1" applyFont="1" applyBorder="1" applyAlignment="1">
      <alignment horizontal="center" vertical="center"/>
    </xf>
    <xf numFmtId="173" fontId="74" fillId="0" borderId="80" xfId="0" applyNumberFormat="1" applyFont="1" applyBorder="1" applyAlignment="1">
      <alignment horizontal="center" vertical="center"/>
    </xf>
    <xf numFmtId="173" fontId="74" fillId="0" borderId="37" xfId="0" applyNumberFormat="1" applyFont="1" applyBorder="1" applyAlignment="1">
      <alignment horizontal="center" vertical="center"/>
    </xf>
    <xf numFmtId="0" fontId="42" fillId="9" borderId="12" xfId="0" applyFont="1" applyFill="1" applyBorder="1" applyAlignment="1">
      <alignment horizontal="center" vertical="center"/>
    </xf>
    <xf numFmtId="188" fontId="38" fillId="0" borderId="0" xfId="0" applyNumberFormat="1" applyFont="1" applyAlignment="1">
      <alignment horizontal="center" vertical="center" wrapText="1"/>
    </xf>
    <xf numFmtId="0" fontId="42" fillId="9" borderId="65" xfId="0" applyFont="1" applyFill="1" applyBorder="1" applyAlignment="1">
      <alignment horizontal="center" vertical="center"/>
    </xf>
    <xf numFmtId="0" fontId="75" fillId="0" borderId="37" xfId="0" applyFont="1" applyBorder="1" applyAlignment="1">
      <alignment horizontal="left" vertical="center" wrapText="1"/>
    </xf>
    <xf numFmtId="173" fontId="24" fillId="0" borderId="43" xfId="0" applyNumberFormat="1" applyFont="1" applyBorder="1" applyAlignment="1">
      <alignment horizontal="center"/>
    </xf>
    <xf numFmtId="0" fontId="49" fillId="4" borderId="46" xfId="0" applyFont="1" applyFill="1" applyBorder="1" applyAlignment="1">
      <alignment horizontal="center" vertical="center" wrapText="1"/>
    </xf>
    <xf numFmtId="190" fontId="13" fillId="0" borderId="37" xfId="2" applyNumberFormat="1" applyFill="1" applyBorder="1" applyAlignment="1">
      <alignment horizontal="center" vertical="top"/>
    </xf>
    <xf numFmtId="190" fontId="13" fillId="0" borderId="0" xfId="2" applyNumberFormat="1" applyFill="1" applyBorder="1" applyAlignment="1">
      <alignment horizontal="center" vertical="top"/>
    </xf>
    <xf numFmtId="0" fontId="0" fillId="7" borderId="43" xfId="0" applyFill="1" applyBorder="1"/>
    <xf numFmtId="0" fontId="0" fillId="7" borderId="30" xfId="0" applyFill="1" applyBorder="1" applyAlignment="1">
      <alignment horizontal="left"/>
    </xf>
    <xf numFmtId="0" fontId="0" fillId="7" borderId="63" xfId="0" applyFill="1" applyBorder="1"/>
    <xf numFmtId="0" fontId="52" fillId="7" borderId="69" xfId="0" applyFont="1" applyFill="1" applyBorder="1"/>
    <xf numFmtId="0" fontId="0" fillId="7" borderId="13" xfId="0" applyFill="1" applyBorder="1" applyAlignment="1">
      <alignment horizontal="left"/>
    </xf>
    <xf numFmtId="173" fontId="24" fillId="0" borderId="0" xfId="0" applyNumberFormat="1" applyFont="1" applyAlignment="1">
      <alignment horizontal="center"/>
    </xf>
    <xf numFmtId="0" fontId="75" fillId="0" borderId="0" xfId="0" applyFont="1" applyAlignment="1">
      <alignment horizontal="left" vertical="center" wrapText="1"/>
    </xf>
    <xf numFmtId="0" fontId="42" fillId="0" borderId="0" xfId="2" applyNumberFormat="1" applyFont="1" applyFill="1" applyBorder="1" applyAlignment="1">
      <alignment horizontal="center" vertical="top"/>
    </xf>
    <xf numFmtId="188" fontId="13" fillId="0" borderId="0" xfId="2" applyNumberFormat="1" applyFill="1" applyBorder="1" applyAlignment="1">
      <alignment horizontal="center" vertical="top"/>
    </xf>
    <xf numFmtId="188" fontId="11" fillId="7" borderId="0" xfId="0" applyNumberFormat="1" applyFont="1" applyFill="1" applyAlignment="1">
      <alignment horizontal="center"/>
    </xf>
    <xf numFmtId="0" fontId="42" fillId="9" borderId="9" xfId="0" applyFont="1" applyFill="1" applyBorder="1" applyAlignment="1">
      <alignment vertical="center"/>
    </xf>
    <xf numFmtId="0" fontId="42" fillId="9" borderId="28" xfId="0" applyFont="1" applyFill="1" applyBorder="1" applyAlignment="1">
      <alignment vertical="center"/>
    </xf>
    <xf numFmtId="0" fontId="42" fillId="9" borderId="28" xfId="0" applyFont="1" applyFill="1" applyBorder="1" applyAlignment="1">
      <alignment horizontal="right" vertical="center"/>
    </xf>
    <xf numFmtId="184" fontId="0" fillId="7" borderId="0" xfId="0" applyNumberFormat="1" applyFill="1"/>
    <xf numFmtId="0" fontId="10" fillId="4" borderId="17" xfId="0" applyFont="1" applyFill="1" applyBorder="1" applyAlignment="1">
      <alignment horizontal="center" vertical="center" wrapText="1"/>
    </xf>
    <xf numFmtId="0" fontId="42" fillId="0" borderId="17" xfId="2" applyNumberFormat="1" applyFont="1" applyFill="1" applyBorder="1" applyAlignment="1">
      <alignment horizontal="center" vertical="top"/>
    </xf>
    <xf numFmtId="175" fontId="10" fillId="4" borderId="17" xfId="0" applyNumberFormat="1" applyFont="1" applyFill="1" applyBorder="1" applyAlignment="1">
      <alignment horizontal="center" vertical="center" wrapText="1"/>
    </xf>
    <xf numFmtId="188" fontId="13" fillId="0" borderId="43" xfId="2" applyNumberFormat="1" applyFill="1" applyBorder="1" applyAlignment="1">
      <alignment horizontal="center" vertical="top"/>
    </xf>
    <xf numFmtId="190" fontId="26" fillId="9" borderId="64" xfId="0" applyNumberFormat="1" applyFont="1" applyFill="1" applyBorder="1" applyAlignment="1">
      <alignment horizontal="center" vertical="center"/>
    </xf>
    <xf numFmtId="190" fontId="26" fillId="9" borderId="65" xfId="0" applyNumberFormat="1" applyFont="1" applyFill="1" applyBorder="1" applyAlignment="1">
      <alignment horizontal="center" vertical="center"/>
    </xf>
    <xf numFmtId="0" fontId="49" fillId="9" borderId="28" xfId="0" applyFont="1" applyFill="1" applyBorder="1" applyAlignment="1">
      <alignment vertical="center"/>
    </xf>
    <xf numFmtId="0" fontId="49" fillId="9" borderId="29" xfId="0" applyFont="1" applyFill="1" applyBorder="1" applyAlignment="1">
      <alignment vertical="center"/>
    </xf>
    <xf numFmtId="188" fontId="20" fillId="20" borderId="11" xfId="0" applyNumberFormat="1" applyFont="1" applyFill="1" applyBorder="1" applyAlignment="1">
      <alignment horizontal="center" vertical="center"/>
    </xf>
    <xf numFmtId="188" fontId="26" fillId="9" borderId="17" xfId="0" applyNumberFormat="1" applyFont="1" applyFill="1" applyBorder="1" applyAlignment="1">
      <alignment horizontal="center" vertical="center"/>
    </xf>
    <xf numFmtId="0" fontId="26" fillId="9" borderId="28" xfId="0" applyFont="1" applyFill="1" applyBorder="1" applyAlignment="1">
      <alignment horizontal="center" vertical="center"/>
    </xf>
    <xf numFmtId="0" fontId="53" fillId="7" borderId="38" xfId="0" applyFont="1" applyFill="1" applyBorder="1"/>
    <xf numFmtId="0" fontId="49" fillId="7" borderId="43" xfId="0" applyFont="1" applyFill="1" applyBorder="1" applyAlignment="1">
      <alignment horizontal="center" vertical="center"/>
    </xf>
    <xf numFmtId="0" fontId="49" fillId="7" borderId="38" xfId="0" applyFont="1" applyFill="1" applyBorder="1" applyAlignment="1">
      <alignment horizontal="center" vertical="center"/>
    </xf>
    <xf numFmtId="0" fontId="49" fillId="7" borderId="30" xfId="0" applyFont="1" applyFill="1" applyBorder="1" applyAlignment="1">
      <alignment horizontal="center" vertical="center"/>
    </xf>
    <xf numFmtId="0" fontId="27" fillId="7" borderId="43" xfId="0" applyFont="1" applyFill="1" applyBorder="1"/>
    <xf numFmtId="167" fontId="22" fillId="7" borderId="38" xfId="0" applyNumberFormat="1" applyFont="1" applyFill="1" applyBorder="1"/>
    <xf numFmtId="0" fontId="22" fillId="7" borderId="30" xfId="0" applyFont="1" applyFill="1" applyBorder="1"/>
    <xf numFmtId="0" fontId="22" fillId="7" borderId="43" xfId="0" applyFont="1" applyFill="1" applyBorder="1"/>
    <xf numFmtId="0" fontId="0" fillId="7" borderId="38" xfId="0" applyFill="1" applyBorder="1"/>
    <xf numFmtId="0" fontId="0" fillId="7" borderId="30" xfId="0" applyFill="1" applyBorder="1"/>
    <xf numFmtId="0" fontId="52" fillId="7" borderId="69" xfId="0" applyFont="1" applyFill="1" applyBorder="1" applyAlignment="1">
      <alignment horizontal="center"/>
    </xf>
    <xf numFmtId="0" fontId="26" fillId="7" borderId="43" xfId="0" applyFont="1" applyFill="1" applyBorder="1"/>
    <xf numFmtId="0" fontId="26" fillId="7" borderId="30" xfId="0" applyFont="1" applyFill="1" applyBorder="1" applyAlignment="1">
      <alignment horizontal="left"/>
    </xf>
    <xf numFmtId="0" fontId="49" fillId="4" borderId="60" xfId="0" applyFont="1" applyFill="1" applyBorder="1" applyAlignment="1">
      <alignment horizontal="center" vertical="center" wrapText="1"/>
    </xf>
    <xf numFmtId="173" fontId="24" fillId="0" borderId="41" xfId="0" applyNumberFormat="1" applyFont="1" applyBorder="1" applyAlignment="1">
      <alignment horizontal="center"/>
    </xf>
    <xf numFmtId="167" fontId="78" fillId="7" borderId="38" xfId="0" applyNumberFormat="1" applyFont="1" applyFill="1" applyBorder="1"/>
    <xf numFmtId="0" fontId="78" fillId="7" borderId="69" xfId="0" applyFont="1" applyFill="1" applyBorder="1"/>
    <xf numFmtId="167" fontId="25" fillId="7" borderId="38" xfId="0" applyNumberFormat="1" applyFont="1" applyFill="1" applyBorder="1"/>
    <xf numFmtId="0" fontId="78" fillId="7" borderId="63" xfId="0" applyFont="1" applyFill="1" applyBorder="1"/>
    <xf numFmtId="0" fontId="78" fillId="7" borderId="13" xfId="0" applyFont="1" applyFill="1" applyBorder="1" applyAlignment="1">
      <alignment horizontal="left"/>
    </xf>
    <xf numFmtId="0" fontId="78" fillId="7" borderId="43" xfId="0" applyFont="1" applyFill="1" applyBorder="1"/>
    <xf numFmtId="0" fontId="78" fillId="7" borderId="30" xfId="0" applyFont="1" applyFill="1" applyBorder="1"/>
    <xf numFmtId="167" fontId="10" fillId="7" borderId="38" xfId="0" applyNumberFormat="1" applyFont="1" applyFill="1" applyBorder="1"/>
    <xf numFmtId="0" fontId="11" fillId="7" borderId="17" xfId="0" applyFont="1" applyFill="1" applyBorder="1" applyAlignment="1">
      <alignment horizontal="center"/>
    </xf>
    <xf numFmtId="0" fontId="11" fillId="7" borderId="17" xfId="0" applyFont="1" applyFill="1" applyBorder="1" applyAlignment="1">
      <alignment horizontal="center" vertical="center"/>
    </xf>
    <xf numFmtId="0" fontId="10" fillId="4" borderId="48" xfId="0" applyFont="1" applyFill="1" applyBorder="1" applyAlignment="1">
      <alignment horizontal="center" vertical="center" wrapText="1"/>
    </xf>
    <xf numFmtId="195" fontId="38" fillId="0" borderId="0" xfId="0" applyNumberFormat="1" applyFont="1" applyAlignment="1">
      <alignment horizontal="center" vertical="center" wrapText="1"/>
    </xf>
    <xf numFmtId="0" fontId="11" fillId="0" borderId="0" xfId="0" applyFont="1" applyAlignment="1">
      <alignment horizontal="center"/>
    </xf>
    <xf numFmtId="0" fontId="11" fillId="0" borderId="0" xfId="0" applyFont="1"/>
    <xf numFmtId="0" fontId="80" fillId="0" borderId="0" xfId="0" applyFont="1" applyAlignment="1">
      <alignment horizontal="center" vertical="center"/>
    </xf>
    <xf numFmtId="195" fontId="81" fillId="0" borderId="0" xfId="0" applyNumberFormat="1" applyFont="1" applyAlignment="1">
      <alignment horizontal="center" vertical="center" wrapText="1"/>
    </xf>
    <xf numFmtId="199" fontId="82" fillId="0" borderId="17" xfId="2" applyNumberFormat="1" applyFont="1" applyFill="1" applyBorder="1" applyAlignment="1">
      <alignment horizontal="center" vertical="top"/>
    </xf>
    <xf numFmtId="0" fontId="26" fillId="0" borderId="12" xfId="0" applyFont="1" applyBorder="1" applyAlignment="1">
      <alignment vertical="center"/>
    </xf>
    <xf numFmtId="0" fontId="26" fillId="0" borderId="13" xfId="0" applyFont="1" applyBorder="1" applyAlignment="1">
      <alignment vertical="center"/>
    </xf>
    <xf numFmtId="195" fontId="13" fillId="0" borderId="41" xfId="2" applyNumberFormat="1" applyFill="1" applyBorder="1" applyAlignment="1">
      <alignment horizontal="center" vertical="top"/>
    </xf>
    <xf numFmtId="175" fontId="10" fillId="4" borderId="60" xfId="0" applyNumberFormat="1" applyFont="1" applyFill="1" applyBorder="1" applyAlignment="1">
      <alignment horizontal="center" vertical="center" wrapText="1"/>
    </xf>
    <xf numFmtId="0" fontId="42" fillId="9" borderId="48" xfId="0" applyFont="1" applyFill="1" applyBorder="1" applyAlignment="1">
      <alignment horizontal="center" vertical="center"/>
    </xf>
    <xf numFmtId="175" fontId="10" fillId="4" borderId="44" xfId="0" applyNumberFormat="1" applyFont="1" applyFill="1" applyBorder="1" applyAlignment="1">
      <alignment horizontal="center" vertical="center" wrapText="1"/>
    </xf>
    <xf numFmtId="195" fontId="13" fillId="0" borderId="44" xfId="2" applyNumberFormat="1" applyFill="1" applyBorder="1" applyAlignment="1">
      <alignment horizontal="center" vertical="top"/>
    </xf>
    <xf numFmtId="175" fontId="13" fillId="0" borderId="37" xfId="2" applyNumberFormat="1" applyFill="1" applyBorder="1" applyAlignment="1">
      <alignment horizontal="center" vertical="top"/>
    </xf>
    <xf numFmtId="175" fontId="13" fillId="0" borderId="0" xfId="2" applyNumberFormat="1" applyFill="1" applyBorder="1" applyAlignment="1">
      <alignment horizontal="center" vertical="top"/>
    </xf>
    <xf numFmtId="190" fontId="49" fillId="9" borderId="9" xfId="0" applyNumberFormat="1" applyFont="1" applyFill="1" applyBorder="1" applyAlignment="1">
      <alignment vertical="center"/>
    </xf>
    <xf numFmtId="190" fontId="49" fillId="9" borderId="28" xfId="0" applyNumberFormat="1" applyFont="1" applyFill="1" applyBorder="1" applyAlignment="1">
      <alignment vertical="center"/>
    </xf>
    <xf numFmtId="0" fontId="10" fillId="4" borderId="47" xfId="0" applyFont="1" applyFill="1" applyBorder="1" applyAlignment="1">
      <alignment horizontal="center" vertical="center" wrapText="1"/>
    </xf>
    <xf numFmtId="175" fontId="10" fillId="4" borderId="15" xfId="0" applyNumberFormat="1" applyFont="1" applyFill="1" applyBorder="1" applyAlignment="1">
      <alignment horizontal="center" vertical="center" wrapText="1"/>
    </xf>
    <xf numFmtId="198" fontId="82" fillId="0" borderId="37" xfId="2" applyNumberFormat="1" applyFont="1" applyFill="1" applyBorder="1" applyAlignment="1">
      <alignment horizontal="center" vertical="top"/>
    </xf>
    <xf numFmtId="175" fontId="42" fillId="0" borderId="43" xfId="0" applyNumberFormat="1" applyFont="1" applyBorder="1" applyAlignment="1">
      <alignment horizontal="center"/>
    </xf>
    <xf numFmtId="175" fontId="42" fillId="0" borderId="37" xfId="0" applyNumberFormat="1" applyFont="1" applyBorder="1" applyAlignment="1">
      <alignment horizontal="center"/>
    </xf>
    <xf numFmtId="175" fontId="42" fillId="0" borderId="44" xfId="0" applyNumberFormat="1" applyFont="1" applyBorder="1" applyAlignment="1">
      <alignment horizontal="center"/>
    </xf>
    <xf numFmtId="175" fontId="44" fillId="0" borderId="10" xfId="0" applyNumberFormat="1" applyFont="1" applyBorder="1" applyAlignment="1">
      <alignment horizontal="center"/>
    </xf>
    <xf numFmtId="189" fontId="73" fillId="7" borderId="63" xfId="0" applyNumberFormat="1" applyFont="1" applyFill="1" applyBorder="1" applyAlignment="1">
      <alignment horizontal="center" vertical="center" wrapText="1"/>
    </xf>
    <xf numFmtId="174" fontId="11" fillId="7" borderId="16" xfId="0" applyNumberFormat="1" applyFont="1" applyFill="1" applyBorder="1" applyAlignment="1">
      <alignment horizontal="center"/>
    </xf>
    <xf numFmtId="0" fontId="11" fillId="7" borderId="0" xfId="0" applyFont="1" applyFill="1" applyAlignment="1">
      <alignment horizontal="center"/>
    </xf>
    <xf numFmtId="175" fontId="42" fillId="5" borderId="88" xfId="0" applyNumberFormat="1" applyFont="1" applyFill="1" applyBorder="1" applyAlignment="1">
      <alignment horizontal="center" vertical="center"/>
    </xf>
    <xf numFmtId="175" fontId="42" fillId="5" borderId="89" xfId="0" applyNumberFormat="1" applyFont="1" applyFill="1" applyBorder="1" applyAlignment="1">
      <alignment horizontal="center" vertical="center"/>
    </xf>
    <xf numFmtId="188" fontId="42" fillId="5" borderId="92" xfId="0" applyNumberFormat="1" applyFont="1" applyFill="1" applyBorder="1" applyAlignment="1">
      <alignment horizontal="center" vertical="center"/>
    </xf>
    <xf numFmtId="175" fontId="42" fillId="5" borderId="87" xfId="0" applyNumberFormat="1" applyFont="1" applyFill="1" applyBorder="1" applyAlignment="1">
      <alignment horizontal="center" vertical="center"/>
    </xf>
    <xf numFmtId="168" fontId="0" fillId="8" borderId="0" xfId="0" applyNumberFormat="1" applyFill="1"/>
    <xf numFmtId="0" fontId="0" fillId="7" borderId="99" xfId="0" applyFill="1" applyBorder="1"/>
    <xf numFmtId="0" fontId="0" fillId="7" borderId="100" xfId="0" applyFill="1" applyBorder="1"/>
    <xf numFmtId="171" fontId="53" fillId="8" borderId="10" xfId="0" applyNumberFormat="1" applyFont="1" applyFill="1" applyBorder="1"/>
    <xf numFmtId="171" fontId="53" fillId="7" borderId="14" xfId="0" applyNumberFormat="1" applyFont="1" applyFill="1" applyBorder="1"/>
    <xf numFmtId="171" fontId="53" fillId="7" borderId="17" xfId="0" applyNumberFormat="1" applyFont="1" applyFill="1" applyBorder="1"/>
    <xf numFmtId="168" fontId="8" fillId="17" borderId="14" xfId="0" applyNumberFormat="1" applyFont="1" applyFill="1" applyBorder="1" applyAlignment="1">
      <alignment horizontal="center"/>
    </xf>
    <xf numFmtId="0" fontId="8" fillId="17" borderId="43" xfId="0" applyFont="1" applyFill="1" applyBorder="1" applyAlignment="1">
      <alignment horizontal="center"/>
    </xf>
    <xf numFmtId="0" fontId="8" fillId="17" borderId="44" xfId="0" applyFont="1" applyFill="1" applyBorder="1" applyAlignment="1">
      <alignment horizontal="center"/>
    </xf>
    <xf numFmtId="0" fontId="0" fillId="0" borderId="0" xfId="0" applyAlignment="1">
      <alignment vertical="center"/>
    </xf>
    <xf numFmtId="0" fontId="8" fillId="17" borderId="10" xfId="0" applyFont="1" applyFill="1" applyBorder="1" applyAlignment="1">
      <alignment horizontal="center"/>
    </xf>
    <xf numFmtId="0" fontId="0" fillId="8" borderId="0" xfId="0" applyFill="1"/>
    <xf numFmtId="173" fontId="1" fillId="8" borderId="86" xfId="0" applyNumberFormat="1" applyFont="1" applyFill="1" applyBorder="1" applyAlignment="1">
      <alignment horizontal="center" vertical="center"/>
    </xf>
    <xf numFmtId="173" fontId="0" fillId="7" borderId="109" xfId="0" applyNumberFormat="1" applyFill="1" applyBorder="1" applyAlignment="1">
      <alignment horizontal="center"/>
    </xf>
    <xf numFmtId="0" fontId="0" fillId="7" borderId="109" xfId="0" applyFill="1" applyBorder="1" applyAlignment="1">
      <alignment horizontal="center"/>
    </xf>
    <xf numFmtId="171" fontId="53" fillId="7" borderId="10" xfId="0" applyNumberFormat="1" applyFont="1" applyFill="1" applyBorder="1"/>
    <xf numFmtId="173" fontId="1" fillId="7" borderId="81" xfId="0" applyNumberFormat="1" applyFont="1" applyFill="1" applyBorder="1" applyAlignment="1">
      <alignment horizontal="center" vertical="center"/>
    </xf>
    <xf numFmtId="173" fontId="1" fillId="7" borderId="83" xfId="0" applyNumberFormat="1" applyFont="1" applyFill="1" applyBorder="1" applyAlignment="1">
      <alignment horizontal="center" vertical="center"/>
    </xf>
    <xf numFmtId="171" fontId="53" fillId="8" borderId="16" xfId="0" applyNumberFormat="1" applyFont="1" applyFill="1" applyBorder="1"/>
    <xf numFmtId="188" fontId="42" fillId="8" borderId="16" xfId="0" applyNumberFormat="1" applyFont="1" applyFill="1" applyBorder="1" applyAlignment="1">
      <alignment horizontal="center" vertical="center"/>
    </xf>
    <xf numFmtId="175" fontId="42" fillId="8" borderId="86" xfId="0" applyNumberFormat="1" applyFont="1" applyFill="1" applyBorder="1" applyAlignment="1">
      <alignment horizontal="center" vertical="center"/>
    </xf>
    <xf numFmtId="175" fontId="42" fillId="8" borderId="58" xfId="0" applyNumberFormat="1" applyFont="1" applyFill="1" applyBorder="1" applyAlignment="1">
      <alignment horizontal="center" vertical="center"/>
    </xf>
    <xf numFmtId="175" fontId="42" fillId="8" borderId="59" xfId="0" applyNumberFormat="1" applyFont="1" applyFill="1" applyBorder="1" applyAlignment="1">
      <alignment horizontal="center" vertical="center"/>
    </xf>
    <xf numFmtId="173" fontId="1" fillId="8" borderId="87" xfId="0" applyNumberFormat="1" applyFont="1" applyFill="1" applyBorder="1" applyAlignment="1">
      <alignment horizontal="center" vertical="center"/>
    </xf>
    <xf numFmtId="0" fontId="9" fillId="5" borderId="15" xfId="0" quotePrefix="1" applyFont="1" applyFill="1" applyBorder="1" applyAlignment="1">
      <alignment horizontal="center"/>
    </xf>
    <xf numFmtId="0" fontId="9" fillId="5" borderId="10" xfId="0" quotePrefix="1" applyFont="1" applyFill="1" applyBorder="1" applyAlignment="1">
      <alignment horizontal="center"/>
    </xf>
    <xf numFmtId="0" fontId="9" fillId="5" borderId="14" xfId="0" quotePrefix="1" applyFont="1" applyFill="1" applyBorder="1" applyAlignment="1">
      <alignment horizontal="center"/>
    </xf>
    <xf numFmtId="188" fontId="42" fillId="7" borderId="106" xfId="0" applyNumberFormat="1" applyFont="1" applyFill="1" applyBorder="1" applyAlignment="1">
      <alignment horizontal="center" vertical="center"/>
    </xf>
    <xf numFmtId="175" fontId="42" fillId="7" borderId="107" xfId="0" applyNumberFormat="1" applyFont="1" applyFill="1" applyBorder="1" applyAlignment="1">
      <alignment horizontal="center" vertical="center"/>
    </xf>
    <xf numFmtId="175" fontId="42" fillId="7" borderId="104" xfId="0" applyNumberFormat="1" applyFont="1" applyFill="1" applyBorder="1" applyAlignment="1">
      <alignment horizontal="center" vertical="center"/>
    </xf>
    <xf numFmtId="175" fontId="42" fillId="7" borderId="105" xfId="0" applyNumberFormat="1" applyFont="1" applyFill="1" applyBorder="1" applyAlignment="1">
      <alignment horizontal="center" vertical="center"/>
    </xf>
    <xf numFmtId="188" fontId="42" fillId="7" borderId="92" xfId="0" applyNumberFormat="1" applyFont="1" applyFill="1" applyBorder="1" applyAlignment="1">
      <alignment horizontal="center" vertical="center"/>
    </xf>
    <xf numFmtId="175" fontId="42" fillId="7" borderId="90" xfId="0" applyNumberFormat="1" applyFont="1" applyFill="1" applyBorder="1" applyAlignment="1">
      <alignment horizontal="center" vertical="center"/>
    </xf>
    <xf numFmtId="175" fontId="42" fillId="7" borderId="88" xfId="0" applyNumberFormat="1" applyFont="1" applyFill="1" applyBorder="1" applyAlignment="1">
      <alignment horizontal="center" vertical="center"/>
    </xf>
    <xf numFmtId="175" fontId="42" fillId="7" borderId="89" xfId="0" applyNumberFormat="1" applyFont="1" applyFill="1" applyBorder="1" applyAlignment="1">
      <alignment horizontal="center" vertical="center"/>
    </xf>
    <xf numFmtId="188" fontId="42" fillId="7" borderId="76" xfId="0" applyNumberFormat="1" applyFont="1" applyFill="1" applyBorder="1" applyAlignment="1">
      <alignment horizontal="center" vertical="center"/>
    </xf>
    <xf numFmtId="175" fontId="42" fillId="7" borderId="91" xfId="0" applyNumberFormat="1" applyFont="1" applyFill="1" applyBorder="1" applyAlignment="1">
      <alignment horizontal="center" vertical="center"/>
    </xf>
    <xf numFmtId="175" fontId="42" fillId="7" borderId="84" xfId="0" applyNumberFormat="1" applyFont="1" applyFill="1" applyBorder="1" applyAlignment="1">
      <alignment horizontal="center" vertical="center"/>
    </xf>
    <xf numFmtId="175" fontId="42" fillId="7" borderId="85" xfId="0" applyNumberFormat="1" applyFont="1" applyFill="1" applyBorder="1" applyAlignment="1">
      <alignment horizontal="center" vertical="center"/>
    </xf>
    <xf numFmtId="173" fontId="0" fillId="7" borderId="108" xfId="0" applyNumberFormat="1" applyFill="1" applyBorder="1" applyAlignment="1">
      <alignment horizontal="center"/>
    </xf>
    <xf numFmtId="175" fontId="52" fillId="7" borderId="16" xfId="0" applyNumberFormat="1" applyFont="1" applyFill="1" applyBorder="1" applyAlignment="1">
      <alignment horizontal="center"/>
    </xf>
    <xf numFmtId="182" fontId="52" fillId="7" borderId="16" xfId="0" applyNumberFormat="1" applyFont="1" applyFill="1" applyBorder="1" applyAlignment="1">
      <alignment horizontal="center"/>
    </xf>
    <xf numFmtId="177" fontId="0" fillId="7" borderId="0" xfId="0" applyNumberFormat="1" applyFill="1"/>
    <xf numFmtId="0" fontId="52" fillId="14" borderId="82" xfId="0" applyFont="1" applyFill="1" applyBorder="1" applyAlignment="1">
      <alignment horizontal="right"/>
    </xf>
    <xf numFmtId="0" fontId="52" fillId="14" borderId="89" xfId="0" applyFont="1" applyFill="1" applyBorder="1" applyAlignment="1">
      <alignment horizontal="right"/>
    </xf>
    <xf numFmtId="0" fontId="0" fillId="14" borderId="89" xfId="0" applyFill="1" applyBorder="1" applyAlignment="1">
      <alignment horizontal="right"/>
    </xf>
    <xf numFmtId="170" fontId="52" fillId="14" borderId="102" xfId="0" applyNumberFormat="1" applyFont="1" applyFill="1" applyBorder="1" applyAlignment="1">
      <alignment horizontal="center" vertical="center"/>
    </xf>
    <xf numFmtId="171" fontId="52" fillId="14" borderId="103" xfId="0" applyNumberFormat="1" applyFont="1" applyFill="1" applyBorder="1" applyAlignment="1">
      <alignment horizontal="center"/>
    </xf>
    <xf numFmtId="171" fontId="52" fillId="14" borderId="104" xfId="0" applyNumberFormat="1" applyFont="1" applyFill="1" applyBorder="1" applyAlignment="1">
      <alignment horizontal="center"/>
    </xf>
    <xf numFmtId="171" fontId="52" fillId="14" borderId="105" xfId="0" applyNumberFormat="1" applyFont="1" applyFill="1" applyBorder="1" applyAlignment="1">
      <alignment horizontal="center"/>
    </xf>
    <xf numFmtId="170" fontId="52" fillId="14" borderId="97" xfId="0" applyNumberFormat="1" applyFont="1" applyFill="1" applyBorder="1" applyAlignment="1">
      <alignment horizontal="center" vertical="center"/>
    </xf>
    <xf numFmtId="171" fontId="52" fillId="14" borderId="87" xfId="0" applyNumberFormat="1" applyFont="1" applyFill="1" applyBorder="1" applyAlignment="1">
      <alignment horizontal="center"/>
    </xf>
    <xf numFmtId="171" fontId="52" fillId="14" borderId="88" xfId="0" applyNumberFormat="1" applyFont="1" applyFill="1" applyBorder="1" applyAlignment="1">
      <alignment horizontal="center"/>
    </xf>
    <xf numFmtId="171" fontId="52" fillId="14" borderId="89" xfId="0" applyNumberFormat="1" applyFont="1" applyFill="1" applyBorder="1" applyAlignment="1">
      <alignment horizontal="center"/>
    </xf>
    <xf numFmtId="170" fontId="52" fillId="14" borderId="98" xfId="0" applyNumberFormat="1" applyFont="1" applyFill="1" applyBorder="1" applyAlignment="1">
      <alignment horizontal="center" vertical="center"/>
    </xf>
    <xf numFmtId="171" fontId="52" fillId="14" borderId="83" xfId="0" applyNumberFormat="1" applyFont="1" applyFill="1" applyBorder="1" applyAlignment="1">
      <alignment horizontal="center"/>
    </xf>
    <xf numFmtId="171" fontId="52" fillId="14" borderId="84" xfId="0" applyNumberFormat="1" applyFont="1" applyFill="1" applyBorder="1" applyAlignment="1">
      <alignment horizontal="center"/>
    </xf>
    <xf numFmtId="171" fontId="52" fillId="14" borderId="85" xfId="0" applyNumberFormat="1" applyFont="1" applyFill="1" applyBorder="1" applyAlignment="1">
      <alignment horizontal="center"/>
    </xf>
    <xf numFmtId="0" fontId="0" fillId="24" borderId="6" xfId="0" applyFill="1" applyBorder="1"/>
    <xf numFmtId="0" fontId="0" fillId="24" borderId="7" xfId="0" applyFill="1" applyBorder="1"/>
    <xf numFmtId="168" fontId="0" fillId="24" borderId="7" xfId="0" applyNumberFormat="1" applyFill="1" applyBorder="1"/>
    <xf numFmtId="171" fontId="0" fillId="24" borderId="7" xfId="0" applyNumberFormat="1" applyFill="1" applyBorder="1"/>
    <xf numFmtId="168" fontId="24" fillId="24" borderId="7" xfId="0" applyNumberFormat="1" applyFont="1" applyFill="1" applyBorder="1" applyAlignment="1">
      <alignment horizontal="right"/>
    </xf>
    <xf numFmtId="198" fontId="24" fillId="24" borderId="8" xfId="0" applyNumberFormat="1" applyFont="1" applyFill="1" applyBorder="1"/>
    <xf numFmtId="0" fontId="0" fillId="7" borderId="6" xfId="0" applyFill="1" applyBorder="1" applyAlignment="1">
      <alignment horizontal="center"/>
    </xf>
    <xf numFmtId="0" fontId="0" fillId="7" borderId="7" xfId="0" applyFill="1" applyBorder="1"/>
    <xf numFmtId="168" fontId="0" fillId="7" borderId="7" xfId="0" applyNumberFormat="1" applyFill="1" applyBorder="1"/>
    <xf numFmtId="171" fontId="0" fillId="7" borderId="7" xfId="0" applyNumberFormat="1" applyFill="1" applyBorder="1"/>
    <xf numFmtId="168" fontId="24" fillId="7" borderId="7" xfId="0" applyNumberFormat="1" applyFont="1" applyFill="1" applyBorder="1" applyAlignment="1">
      <alignment horizontal="right"/>
    </xf>
    <xf numFmtId="198" fontId="24" fillId="7" borderId="8" xfId="0" applyNumberFormat="1" applyFont="1" applyFill="1" applyBorder="1"/>
    <xf numFmtId="0" fontId="52" fillId="14" borderId="8" xfId="0" applyFont="1" applyFill="1" applyBorder="1" applyAlignment="1">
      <alignment horizontal="right" vertical="center"/>
    </xf>
    <xf numFmtId="0" fontId="52" fillId="14" borderId="99" xfId="0" applyFont="1" applyFill="1" applyBorder="1" applyAlignment="1">
      <alignment horizontal="right" vertical="center"/>
    </xf>
    <xf numFmtId="0" fontId="52" fillId="14" borderId="100" xfId="0" applyFont="1" applyFill="1" applyBorder="1" applyAlignment="1">
      <alignment horizontal="right" vertical="center"/>
    </xf>
    <xf numFmtId="0" fontId="52" fillId="14" borderId="101" xfId="0" applyFont="1" applyFill="1" applyBorder="1" applyAlignment="1">
      <alignment horizontal="right" vertical="center"/>
    </xf>
    <xf numFmtId="170" fontId="42" fillId="14" borderId="16" xfId="0" applyNumberFormat="1" applyFont="1" applyFill="1" applyBorder="1" applyAlignment="1">
      <alignment horizontal="center"/>
    </xf>
    <xf numFmtId="171" fontId="52" fillId="14" borderId="63" xfId="0" applyNumberFormat="1" applyFont="1" applyFill="1" applyBorder="1" applyAlignment="1">
      <alignment horizontal="center"/>
    </xf>
    <xf numFmtId="171" fontId="52" fillId="14" borderId="65" xfId="0" applyNumberFormat="1" applyFont="1" applyFill="1" applyBorder="1" applyAlignment="1">
      <alignment horizontal="center"/>
    </xf>
    <xf numFmtId="170" fontId="52" fillId="14" borderId="92" xfId="0" applyNumberFormat="1" applyFont="1" applyFill="1" applyBorder="1" applyAlignment="1">
      <alignment horizontal="center"/>
    </xf>
    <xf numFmtId="171" fontId="52" fillId="14" borderId="110" xfId="0" applyNumberFormat="1" applyFont="1" applyFill="1" applyBorder="1" applyAlignment="1">
      <alignment horizontal="center"/>
    </xf>
    <xf numFmtId="171" fontId="71" fillId="5" borderId="14" xfId="0" applyNumberFormat="1" applyFont="1" applyFill="1" applyBorder="1" applyAlignment="1">
      <alignment horizontal="center"/>
    </xf>
    <xf numFmtId="0" fontId="42" fillId="7" borderId="14" xfId="0" applyFont="1" applyFill="1" applyBorder="1"/>
    <xf numFmtId="0" fontId="11" fillId="7" borderId="16" xfId="0" applyFont="1" applyFill="1" applyBorder="1" applyAlignment="1">
      <alignment horizontal="right"/>
    </xf>
    <xf numFmtId="0" fontId="0" fillId="7" borderId="6" xfId="0" applyFill="1" applyBorder="1"/>
    <xf numFmtId="0" fontId="10" fillId="17" borderId="63" xfId="0" applyFont="1" applyFill="1" applyBorder="1" applyAlignment="1">
      <alignment horizontal="center"/>
    </xf>
    <xf numFmtId="0" fontId="10" fillId="17" borderId="64" xfId="0" applyFont="1" applyFill="1" applyBorder="1" applyAlignment="1">
      <alignment horizontal="center"/>
    </xf>
    <xf numFmtId="0" fontId="10" fillId="17" borderId="65" xfId="0" applyFont="1" applyFill="1" applyBorder="1" applyAlignment="1">
      <alignment horizontal="center"/>
    </xf>
    <xf numFmtId="175" fontId="52" fillId="10" borderId="87" xfId="0" applyNumberFormat="1" applyFont="1" applyFill="1" applyBorder="1" applyAlignment="1">
      <alignment horizontal="center" vertical="center"/>
    </xf>
    <xf numFmtId="175" fontId="52" fillId="10" borderId="88" xfId="0" applyNumberFormat="1" applyFont="1" applyFill="1" applyBorder="1" applyAlignment="1">
      <alignment horizontal="center" vertical="center"/>
    </xf>
    <xf numFmtId="175" fontId="52" fillId="10" borderId="89" xfId="0" applyNumberFormat="1" applyFont="1" applyFill="1" applyBorder="1" applyAlignment="1">
      <alignment horizontal="center" vertical="center"/>
    </xf>
    <xf numFmtId="175" fontId="53" fillId="7" borderId="15" xfId="0" applyNumberFormat="1" applyFont="1" applyFill="1" applyBorder="1" applyAlignment="1">
      <alignment horizontal="center" vertical="center"/>
    </xf>
    <xf numFmtId="175" fontId="42" fillId="7" borderId="15" xfId="0" applyNumberFormat="1" applyFont="1" applyFill="1" applyBorder="1" applyAlignment="1">
      <alignment horizontal="center" vertical="center"/>
    </xf>
    <xf numFmtId="199" fontId="11" fillId="7" borderId="15" xfId="0" applyNumberFormat="1" applyFont="1" applyFill="1" applyBorder="1" applyAlignment="1">
      <alignment horizontal="center" vertical="center"/>
    </xf>
    <xf numFmtId="188" fontId="42" fillId="7" borderId="15" xfId="0" applyNumberFormat="1" applyFont="1" applyFill="1" applyBorder="1" applyAlignment="1">
      <alignment horizontal="center" vertical="center"/>
    </xf>
    <xf numFmtId="175" fontId="42" fillId="7" borderId="46" xfId="0" applyNumberFormat="1" applyFont="1" applyFill="1" applyBorder="1" applyAlignment="1">
      <alignment horizontal="center" vertical="center"/>
    </xf>
    <xf numFmtId="175" fontId="42" fillId="7" borderId="47" xfId="0" applyNumberFormat="1" applyFont="1" applyFill="1" applyBorder="1" applyAlignment="1">
      <alignment horizontal="center" vertical="center"/>
    </xf>
    <xf numFmtId="175" fontId="42" fillId="7" borderId="48" xfId="0" applyNumberFormat="1" applyFont="1" applyFill="1" applyBorder="1" applyAlignment="1">
      <alignment horizontal="center" vertical="center"/>
    </xf>
    <xf numFmtId="198" fontId="42" fillId="7" borderId="15" xfId="0" applyNumberFormat="1" applyFont="1" applyFill="1" applyBorder="1" applyAlignment="1">
      <alignment horizontal="center" vertical="center"/>
    </xf>
    <xf numFmtId="175" fontId="53" fillId="7" borderId="76" xfId="0" applyNumberFormat="1" applyFont="1" applyFill="1" applyBorder="1" applyAlignment="1">
      <alignment horizontal="center" vertical="center"/>
    </xf>
    <xf numFmtId="175" fontId="42" fillId="7" borderId="76" xfId="0" applyNumberFormat="1" applyFont="1" applyFill="1" applyBorder="1" applyAlignment="1">
      <alignment horizontal="center" vertical="center"/>
    </xf>
    <xf numFmtId="199" fontId="11" fillId="7" borderId="76" xfId="0" applyNumberFormat="1" applyFont="1" applyFill="1" applyBorder="1" applyAlignment="1">
      <alignment horizontal="center" vertical="center"/>
    </xf>
    <xf numFmtId="175" fontId="42" fillId="7" borderId="83" xfId="0" applyNumberFormat="1" applyFont="1" applyFill="1" applyBorder="1" applyAlignment="1">
      <alignment horizontal="center" vertical="center"/>
    </xf>
    <xf numFmtId="198" fontId="42" fillId="7" borderId="76" xfId="0" applyNumberFormat="1" applyFont="1" applyFill="1" applyBorder="1" applyAlignment="1">
      <alignment horizontal="center" vertical="center"/>
    </xf>
    <xf numFmtId="168" fontId="9" fillId="5" borderId="14" xfId="0" applyNumberFormat="1" applyFont="1" applyFill="1" applyBorder="1" applyAlignment="1">
      <alignment horizontal="center"/>
    </xf>
    <xf numFmtId="168" fontId="0" fillId="7" borderId="0" xfId="0" applyNumberFormat="1" applyFill="1" applyAlignment="1">
      <alignment vertical="center" wrapText="1"/>
    </xf>
    <xf numFmtId="168" fontId="0" fillId="7" borderId="12" xfId="0" applyNumberFormat="1" applyFill="1" applyBorder="1"/>
    <xf numFmtId="171" fontId="0" fillId="7" borderId="70" xfId="0" applyNumberFormat="1" applyFill="1" applyBorder="1" applyAlignment="1">
      <alignment horizontal="right"/>
    </xf>
    <xf numFmtId="165" fontId="21" fillId="15" borderId="63" xfId="0" applyNumberFormat="1" applyFont="1" applyFill="1" applyBorder="1" applyAlignment="1">
      <alignment horizontal="center" vertical="center"/>
    </xf>
    <xf numFmtId="168" fontId="9" fillId="5" borderId="14" xfId="0" applyNumberFormat="1" applyFont="1" applyFill="1" applyBorder="1" applyAlignment="1">
      <alignment horizontal="center" vertical="center" wrapText="1"/>
    </xf>
    <xf numFmtId="165" fontId="4" fillId="5" borderId="63" xfId="0" applyNumberFormat="1" applyFont="1" applyFill="1" applyBorder="1" applyAlignment="1">
      <alignment horizontal="center" vertical="center" wrapText="1"/>
    </xf>
    <xf numFmtId="165" fontId="4" fillId="5" borderId="64" xfId="0" applyNumberFormat="1" applyFont="1" applyFill="1" applyBorder="1" applyAlignment="1">
      <alignment horizontal="center" vertical="center" wrapText="1"/>
    </xf>
    <xf numFmtId="165" fontId="4" fillId="5" borderId="65" xfId="0" applyNumberFormat="1" applyFont="1" applyFill="1" applyBorder="1" applyAlignment="1">
      <alignment horizontal="center" vertical="center" wrapText="1"/>
    </xf>
    <xf numFmtId="171" fontId="0" fillId="7" borderId="9" xfId="0" applyNumberFormat="1" applyFill="1" applyBorder="1"/>
    <xf numFmtId="0" fontId="0" fillId="7" borderId="28" xfId="0" applyFill="1" applyBorder="1" applyAlignment="1">
      <alignment horizontal="right"/>
    </xf>
    <xf numFmtId="165" fontId="21" fillId="15" borderId="48" xfId="0" applyNumberFormat="1" applyFont="1" applyFill="1" applyBorder="1" applyAlignment="1">
      <alignment horizontal="center" vertical="center"/>
    </xf>
    <xf numFmtId="165" fontId="21" fillId="15" borderId="46" xfId="0" applyNumberFormat="1" applyFont="1" applyFill="1" applyBorder="1" applyAlignment="1">
      <alignment horizontal="center" vertical="center"/>
    </xf>
    <xf numFmtId="171" fontId="0" fillId="7" borderId="28" xfId="0" applyNumberFormat="1" applyFill="1" applyBorder="1"/>
    <xf numFmtId="168" fontId="0" fillId="7" borderId="29" xfId="0" applyNumberFormat="1" applyFill="1" applyBorder="1"/>
    <xf numFmtId="171" fontId="0" fillId="7" borderId="17" xfId="0" applyNumberFormat="1" applyFill="1" applyBorder="1"/>
    <xf numFmtId="168" fontId="0" fillId="7" borderId="30" xfId="0" applyNumberFormat="1" applyFill="1" applyBorder="1"/>
    <xf numFmtId="171" fontId="0" fillId="7" borderId="11" xfId="0" applyNumberFormat="1" applyFill="1" applyBorder="1"/>
    <xf numFmtId="168" fontId="0" fillId="7" borderId="13" xfId="0" applyNumberFormat="1" applyFill="1" applyBorder="1"/>
    <xf numFmtId="0" fontId="0" fillId="7" borderId="11" xfId="0" applyFill="1" applyBorder="1"/>
    <xf numFmtId="0" fontId="0" fillId="7" borderId="13" xfId="0" applyFill="1" applyBorder="1"/>
    <xf numFmtId="165" fontId="21" fillId="15" borderId="16" xfId="0" applyNumberFormat="1" applyFont="1" applyFill="1" applyBorder="1" applyAlignment="1">
      <alignment horizontal="center" vertical="center"/>
    </xf>
    <xf numFmtId="188" fontId="26" fillId="9" borderId="0" xfId="0" applyNumberFormat="1" applyFont="1" applyFill="1" applyAlignment="1">
      <alignment horizontal="center" vertical="center"/>
    </xf>
    <xf numFmtId="0" fontId="49" fillId="9" borderId="7" xfId="0" applyFont="1" applyFill="1" applyBorder="1" applyAlignment="1">
      <alignment horizontal="right" vertical="center"/>
    </xf>
    <xf numFmtId="0" fontId="49" fillId="9" borderId="28" xfId="0" applyFont="1" applyFill="1" applyBorder="1" applyAlignment="1">
      <alignment horizontal="right" vertical="center"/>
    </xf>
    <xf numFmtId="188" fontId="26" fillId="9" borderId="28" xfId="0" applyNumberFormat="1" applyFont="1" applyFill="1" applyBorder="1" applyAlignment="1">
      <alignment horizontal="center" vertical="center"/>
    </xf>
    <xf numFmtId="168" fontId="9" fillId="7" borderId="17" xfId="0" applyNumberFormat="1" applyFont="1" applyFill="1" applyBorder="1"/>
    <xf numFmtId="0" fontId="0" fillId="7" borderId="96" xfId="0" applyFill="1" applyBorder="1" applyAlignment="1">
      <alignment horizontal="right"/>
    </xf>
    <xf numFmtId="0" fontId="0" fillId="7" borderId="97" xfId="0" applyFill="1" applyBorder="1" applyAlignment="1">
      <alignment horizontal="right"/>
    </xf>
    <xf numFmtId="0" fontId="0" fillId="7" borderId="82" xfId="0" applyFill="1" applyBorder="1" applyAlignment="1">
      <alignment horizontal="right"/>
    </xf>
    <xf numFmtId="173" fontId="1" fillId="7" borderId="87" xfId="0" applyNumberFormat="1" applyFont="1" applyFill="1" applyBorder="1" applyAlignment="1">
      <alignment horizontal="center" vertical="center"/>
    </xf>
    <xf numFmtId="0" fontId="0" fillId="7" borderId="89" xfId="0" applyFill="1" applyBorder="1" applyAlignment="1">
      <alignment horizontal="right"/>
    </xf>
    <xf numFmtId="0" fontId="0" fillId="7" borderId="89" xfId="0" applyFill="1" applyBorder="1"/>
    <xf numFmtId="0" fontId="0" fillId="7" borderId="87" xfId="0" applyFill="1" applyBorder="1"/>
    <xf numFmtId="0" fontId="0" fillId="7" borderId="83" xfId="0" applyFill="1" applyBorder="1"/>
    <xf numFmtId="0" fontId="0" fillId="7" borderId="85" xfId="0" applyFill="1" applyBorder="1"/>
    <xf numFmtId="0" fontId="84" fillId="0" borderId="0" xfId="0" applyFont="1"/>
    <xf numFmtId="195" fontId="13" fillId="0" borderId="37" xfId="2" applyNumberFormat="1" applyFill="1" applyBorder="1" applyAlignment="1">
      <alignment horizontal="center" vertical="top"/>
    </xf>
    <xf numFmtId="175" fontId="0" fillId="0" borderId="0" xfId="0" applyNumberFormat="1"/>
    <xf numFmtId="175" fontId="53" fillId="7" borderId="92" xfId="0" applyNumberFormat="1" applyFont="1" applyFill="1" applyBorder="1" applyAlignment="1">
      <alignment horizontal="center" vertical="center"/>
    </xf>
    <xf numFmtId="175" fontId="42" fillId="7" borderId="111" xfId="0" applyNumberFormat="1" applyFont="1" applyFill="1" applyBorder="1" applyAlignment="1">
      <alignment horizontal="center" vertical="center"/>
    </xf>
    <xf numFmtId="199" fontId="11" fillId="7" borderId="111" xfId="0" applyNumberFormat="1" applyFont="1" applyFill="1" applyBorder="1" applyAlignment="1">
      <alignment horizontal="center" vertical="center"/>
    </xf>
    <xf numFmtId="175" fontId="42" fillId="7" borderId="92" xfId="0" applyNumberFormat="1" applyFont="1" applyFill="1" applyBorder="1" applyAlignment="1">
      <alignment horizontal="center" vertical="center"/>
    </xf>
    <xf numFmtId="199" fontId="11" fillId="7" borderId="92" xfId="0" applyNumberFormat="1" applyFont="1" applyFill="1" applyBorder="1" applyAlignment="1">
      <alignment horizontal="center" vertical="center"/>
    </xf>
    <xf numFmtId="0" fontId="0" fillId="7" borderId="85" xfId="0" applyFill="1" applyBorder="1" applyAlignment="1">
      <alignment horizontal="right"/>
    </xf>
    <xf numFmtId="188" fontId="42" fillId="7" borderId="111" xfId="0" applyNumberFormat="1" applyFont="1" applyFill="1" applyBorder="1" applyAlignment="1">
      <alignment horizontal="center" vertical="center"/>
    </xf>
    <xf numFmtId="175" fontId="42" fillId="7" borderId="93" xfId="0" applyNumberFormat="1" applyFont="1" applyFill="1" applyBorder="1" applyAlignment="1">
      <alignment horizontal="center" vertical="center"/>
    </xf>
    <xf numFmtId="175" fontId="42" fillId="7" borderId="94" xfId="0" applyNumberFormat="1" applyFont="1" applyFill="1" applyBorder="1" applyAlignment="1">
      <alignment horizontal="center" vertical="center"/>
    </xf>
    <xf numFmtId="175" fontId="42" fillId="7" borderId="95" xfId="0" applyNumberFormat="1" applyFont="1" applyFill="1" applyBorder="1" applyAlignment="1">
      <alignment horizontal="center" vertical="center"/>
    </xf>
    <xf numFmtId="175" fontId="42" fillId="7" borderId="87" xfId="0" applyNumberFormat="1" applyFont="1" applyFill="1" applyBorder="1" applyAlignment="1">
      <alignment horizontal="center" vertical="center"/>
    </xf>
    <xf numFmtId="198" fontId="42" fillId="7" borderId="111" xfId="0" applyNumberFormat="1" applyFont="1" applyFill="1" applyBorder="1" applyAlignment="1">
      <alignment horizontal="center" vertical="center"/>
    </xf>
    <xf numFmtId="198" fontId="42" fillId="7" borderId="92" xfId="0" applyNumberFormat="1" applyFont="1" applyFill="1" applyBorder="1" applyAlignment="1">
      <alignment horizontal="center" vertical="center"/>
    </xf>
    <xf numFmtId="195" fontId="13" fillId="11" borderId="0" xfId="2" applyNumberFormat="1" applyBorder="1" applyAlignment="1">
      <alignment horizontal="center" vertical="top"/>
    </xf>
    <xf numFmtId="175" fontId="10" fillId="4" borderId="0" xfId="0" applyNumberFormat="1" applyFont="1" applyFill="1" applyAlignment="1">
      <alignment horizontal="center" vertical="center" wrapText="1"/>
    </xf>
    <xf numFmtId="0" fontId="42" fillId="0" borderId="44" xfId="0" applyFont="1" applyBorder="1" applyAlignment="1">
      <alignment horizontal="center" vertical="center"/>
    </xf>
    <xf numFmtId="0" fontId="42" fillId="0" borderId="44" xfId="0" applyFont="1" applyBorder="1" applyAlignment="1">
      <alignment horizontal="center"/>
    </xf>
    <xf numFmtId="188" fontId="25" fillId="5" borderId="87" xfId="0" applyNumberFormat="1" applyFont="1" applyFill="1" applyBorder="1" applyAlignment="1">
      <alignment horizontal="center" vertical="center"/>
    </xf>
    <xf numFmtId="188" fontId="25" fillId="5" borderId="88" xfId="0" applyNumberFormat="1" applyFont="1" applyFill="1" applyBorder="1" applyAlignment="1">
      <alignment horizontal="center" vertical="center"/>
    </xf>
    <xf numFmtId="188" fontId="25" fillId="5" borderId="89" xfId="0" applyNumberFormat="1" applyFont="1" applyFill="1" applyBorder="1" applyAlignment="1">
      <alignment horizontal="center" vertical="center"/>
    </xf>
    <xf numFmtId="188" fontId="25" fillId="5" borderId="94" xfId="0" applyNumberFormat="1" applyFont="1" applyFill="1" applyBorder="1" applyAlignment="1">
      <alignment horizontal="center" vertical="center"/>
    </xf>
    <xf numFmtId="188" fontId="25" fillId="5" borderId="93" xfId="0" applyNumberFormat="1" applyFont="1" applyFill="1" applyBorder="1" applyAlignment="1">
      <alignment horizontal="center" vertical="center"/>
    </xf>
    <xf numFmtId="188" fontId="25" fillId="5" borderId="95" xfId="0" applyNumberFormat="1" applyFont="1" applyFill="1" applyBorder="1" applyAlignment="1">
      <alignment horizontal="center" vertical="center"/>
    </xf>
    <xf numFmtId="0" fontId="0" fillId="7" borderId="28" xfId="0" applyFill="1" applyBorder="1" applyAlignment="1">
      <alignment horizontal="left"/>
    </xf>
    <xf numFmtId="0" fontId="0" fillId="7" borderId="0" xfId="0" applyFill="1" applyAlignment="1">
      <alignment horizontal="left"/>
    </xf>
    <xf numFmtId="171" fontId="3" fillId="7" borderId="12" xfId="0" applyNumberFormat="1" applyFont="1" applyFill="1" applyBorder="1" applyAlignment="1">
      <alignment horizontal="left" vertical="center" wrapText="1"/>
    </xf>
    <xf numFmtId="0" fontId="0" fillId="7" borderId="29" xfId="0" applyFill="1" applyBorder="1"/>
    <xf numFmtId="165" fontId="21" fillId="15" borderId="14" xfId="0" applyNumberFormat="1" applyFont="1" applyFill="1" applyBorder="1" applyAlignment="1">
      <alignment horizontal="center" vertical="center"/>
    </xf>
    <xf numFmtId="168" fontId="0" fillId="7" borderId="12" xfId="0" applyNumberFormat="1" applyFill="1" applyBorder="1" applyAlignment="1">
      <alignment vertical="center" wrapText="1"/>
    </xf>
    <xf numFmtId="171" fontId="0" fillId="7" borderId="30" xfId="0" applyNumberFormat="1" applyFill="1" applyBorder="1"/>
    <xf numFmtId="168" fontId="9" fillId="7" borderId="30" xfId="0" applyNumberFormat="1" applyFont="1" applyFill="1" applyBorder="1" applyAlignment="1">
      <alignment horizontal="center"/>
    </xf>
    <xf numFmtId="171" fontId="11" fillId="26" borderId="0" xfId="0" applyNumberFormat="1" applyFont="1" applyFill="1" applyAlignment="1">
      <alignment horizontal="center" vertical="center"/>
    </xf>
    <xf numFmtId="0" fontId="10" fillId="26" borderId="112" xfId="0" applyFont="1" applyFill="1" applyBorder="1" applyAlignment="1">
      <alignment horizontal="center"/>
    </xf>
    <xf numFmtId="168" fontId="10" fillId="26" borderId="113" xfId="0" applyNumberFormat="1" applyFont="1" applyFill="1" applyBorder="1" applyAlignment="1">
      <alignment horizontal="center"/>
    </xf>
    <xf numFmtId="0" fontId="10" fillId="26" borderId="114" xfId="0" applyFont="1" applyFill="1" applyBorder="1" applyAlignment="1">
      <alignment horizontal="center" vertical="center"/>
    </xf>
    <xf numFmtId="171" fontId="10" fillId="26" borderId="113" xfId="0" applyNumberFormat="1" applyFont="1" applyFill="1" applyBorder="1" applyAlignment="1">
      <alignment horizontal="center" vertical="center"/>
    </xf>
    <xf numFmtId="198" fontId="10" fillId="26" borderId="115" xfId="0" applyNumberFormat="1" applyFont="1" applyFill="1" applyBorder="1" applyAlignment="1">
      <alignment horizontal="center" vertical="center"/>
    </xf>
    <xf numFmtId="0" fontId="11" fillId="26" borderId="116" xfId="0" applyFont="1" applyFill="1" applyBorder="1" applyAlignment="1">
      <alignment vertical="center" wrapText="1"/>
    </xf>
    <xf numFmtId="0" fontId="10" fillId="26" borderId="117" xfId="0" applyFont="1" applyFill="1" applyBorder="1" applyAlignment="1">
      <alignment horizontal="center" vertical="center"/>
    </xf>
    <xf numFmtId="172" fontId="11" fillId="26" borderId="118" xfId="0" applyNumberFormat="1" applyFont="1" applyFill="1" applyBorder="1" applyAlignment="1">
      <alignment horizontal="center" vertical="center"/>
    </xf>
    <xf numFmtId="0" fontId="11" fillId="26" borderId="118" xfId="0" applyFont="1" applyFill="1" applyBorder="1" applyAlignment="1">
      <alignment horizontal="center" vertical="center"/>
    </xf>
    <xf numFmtId="0" fontId="11" fillId="26" borderId="119" xfId="0" applyFont="1" applyFill="1" applyBorder="1" applyAlignment="1">
      <alignment horizontal="center" vertical="center"/>
    </xf>
    <xf numFmtId="0" fontId="11" fillId="26" borderId="30" xfId="0" applyFont="1" applyFill="1" applyBorder="1" applyAlignment="1">
      <alignment horizontal="center" vertical="center"/>
    </xf>
    <xf numFmtId="176" fontId="11" fillId="26" borderId="30" xfId="0" applyNumberFormat="1" applyFont="1" applyFill="1" applyBorder="1" applyAlignment="1">
      <alignment horizontal="center" vertical="center"/>
    </xf>
    <xf numFmtId="171" fontId="11" fillId="26" borderId="120" xfId="0" applyNumberFormat="1" applyFont="1" applyFill="1" applyBorder="1" applyAlignment="1">
      <alignment horizontal="center" vertical="center"/>
    </xf>
    <xf numFmtId="171" fontId="11" fillId="26" borderId="121" xfId="0" applyNumberFormat="1" applyFont="1" applyFill="1" applyBorder="1" applyAlignment="1">
      <alignment horizontal="center" vertical="center"/>
    </xf>
    <xf numFmtId="171" fontId="11" fillId="26" borderId="122" xfId="0" applyNumberFormat="1" applyFont="1" applyFill="1" applyBorder="1" applyAlignment="1">
      <alignment horizontal="center" vertical="center"/>
    </xf>
    <xf numFmtId="171" fontId="11" fillId="26" borderId="123" xfId="0" applyNumberFormat="1" applyFont="1" applyFill="1" applyBorder="1" applyAlignment="1">
      <alignment horizontal="center" vertical="center"/>
    </xf>
    <xf numFmtId="171" fontId="11" fillId="26" borderId="124" xfId="0" applyNumberFormat="1" applyFont="1" applyFill="1" applyBorder="1" applyAlignment="1">
      <alignment horizontal="center" vertical="center"/>
    </xf>
    <xf numFmtId="171" fontId="11" fillId="26" borderId="125" xfId="0" applyNumberFormat="1" applyFont="1" applyFill="1" applyBorder="1" applyAlignment="1">
      <alignment horizontal="center" vertical="center"/>
    </xf>
    <xf numFmtId="171" fontId="11" fillId="26" borderId="126" xfId="0" applyNumberFormat="1" applyFont="1" applyFill="1" applyBorder="1" applyAlignment="1">
      <alignment horizontal="center" vertical="center"/>
    </xf>
    <xf numFmtId="171" fontId="11" fillId="26" borderId="127" xfId="0" applyNumberFormat="1" applyFont="1" applyFill="1" applyBorder="1" applyAlignment="1">
      <alignment horizontal="center" vertical="center"/>
    </xf>
    <xf numFmtId="0" fontId="11" fillId="26" borderId="117" xfId="0" applyFont="1" applyFill="1" applyBorder="1"/>
    <xf numFmtId="0" fontId="10" fillId="26" borderId="118" xfId="0" applyFont="1" applyFill="1" applyBorder="1" applyAlignment="1">
      <alignment horizontal="center" vertical="center"/>
    </xf>
    <xf numFmtId="0" fontId="10" fillId="26" borderId="128" xfId="0" applyFont="1" applyFill="1" applyBorder="1" applyAlignment="1">
      <alignment horizontal="center" vertical="center"/>
    </xf>
    <xf numFmtId="171" fontId="11" fillId="26" borderId="13" xfId="0" applyNumberFormat="1" applyFont="1" applyFill="1" applyBorder="1" applyAlignment="1">
      <alignment horizontal="center" vertical="center"/>
    </xf>
    <xf numFmtId="0" fontId="10" fillId="26" borderId="117" xfId="0" applyFont="1" applyFill="1" applyBorder="1" applyAlignment="1">
      <alignment horizontal="center"/>
    </xf>
    <xf numFmtId="0" fontId="11" fillId="26" borderId="117" xfId="0" applyFont="1" applyFill="1" applyBorder="1" applyAlignment="1">
      <alignment horizontal="center" vertical="center"/>
    </xf>
    <xf numFmtId="171" fontId="10" fillId="26" borderId="118" xfId="0" applyNumberFormat="1" applyFont="1" applyFill="1" applyBorder="1" applyAlignment="1">
      <alignment horizontal="center" vertical="center"/>
    </xf>
    <xf numFmtId="171" fontId="11" fillId="26" borderId="118" xfId="0" applyNumberFormat="1" applyFont="1" applyFill="1" applyBorder="1" applyAlignment="1">
      <alignment horizontal="center" vertical="center"/>
    </xf>
    <xf numFmtId="171" fontId="10" fillId="26" borderId="128" xfId="0" applyNumberFormat="1" applyFont="1" applyFill="1" applyBorder="1" applyAlignment="1">
      <alignment horizontal="center" vertical="center"/>
    </xf>
    <xf numFmtId="171" fontId="11" fillId="26" borderId="128" xfId="0" applyNumberFormat="1" applyFont="1" applyFill="1" applyBorder="1" applyAlignment="1">
      <alignment horizontal="center" vertical="center"/>
    </xf>
    <xf numFmtId="171" fontId="11" fillId="26" borderId="129" xfId="0" applyNumberFormat="1" applyFont="1" applyFill="1" applyBorder="1" applyAlignment="1">
      <alignment horizontal="center" vertical="center"/>
    </xf>
    <xf numFmtId="171" fontId="11" fillId="26" borderId="29" xfId="0" applyNumberFormat="1" applyFont="1" applyFill="1" applyBorder="1"/>
    <xf numFmtId="0" fontId="10" fillId="26" borderId="130" xfId="0" applyFont="1" applyFill="1" applyBorder="1" applyAlignment="1">
      <alignment horizontal="center" vertical="center"/>
    </xf>
    <xf numFmtId="0" fontId="10" fillId="26" borderId="131" xfId="0" applyFont="1" applyFill="1" applyBorder="1" applyAlignment="1">
      <alignment horizontal="center" vertical="center"/>
    </xf>
    <xf numFmtId="0" fontId="10" fillId="26" borderId="132" xfId="0" applyFont="1" applyFill="1" applyBorder="1" applyAlignment="1">
      <alignment horizontal="center" vertical="center"/>
    </xf>
    <xf numFmtId="0" fontId="9" fillId="7" borderId="15" xfId="0" applyFont="1" applyFill="1" applyBorder="1" applyAlignment="1">
      <alignment horizontal="center"/>
    </xf>
    <xf numFmtId="171" fontId="9" fillId="7" borderId="14" xfId="0" applyNumberFormat="1" applyFont="1" applyFill="1" applyBorder="1" applyAlignment="1">
      <alignment horizontal="center" vertical="center"/>
    </xf>
    <xf numFmtId="171" fontId="0" fillId="7" borderId="12" xfId="0" applyNumberFormat="1" applyFill="1" applyBorder="1"/>
    <xf numFmtId="168" fontId="34" fillId="7" borderId="0" xfId="0" applyNumberFormat="1" applyFont="1" applyFill="1" applyAlignment="1">
      <alignment vertical="center" wrapText="1"/>
    </xf>
    <xf numFmtId="171" fontId="0" fillId="7" borderId="15" xfId="0" applyNumberFormat="1" applyFill="1" applyBorder="1" applyAlignment="1">
      <alignment horizontal="center" vertical="center"/>
    </xf>
    <xf numFmtId="171" fontId="0" fillId="7" borderId="14" xfId="0" applyNumberFormat="1" applyFill="1" applyBorder="1" applyAlignment="1">
      <alignment horizontal="center" vertical="center"/>
    </xf>
    <xf numFmtId="171" fontId="0" fillId="7" borderId="14" xfId="0" applyNumberFormat="1" applyFill="1" applyBorder="1" applyAlignment="1">
      <alignment horizontal="right" vertical="center"/>
    </xf>
    <xf numFmtId="171" fontId="0" fillId="7" borderId="14" xfId="0" applyNumberFormat="1" applyFill="1" applyBorder="1" applyAlignment="1">
      <alignment horizontal="left" vertical="center"/>
    </xf>
    <xf numFmtId="168" fontId="9" fillId="7" borderId="15" xfId="0" applyNumberFormat="1" applyFont="1" applyFill="1" applyBorder="1" applyAlignment="1">
      <alignment horizontal="right"/>
    </xf>
    <xf numFmtId="168" fontId="9" fillId="7" borderId="15" xfId="0" applyNumberFormat="1" applyFont="1" applyFill="1" applyBorder="1" applyAlignment="1">
      <alignment horizontal="left"/>
    </xf>
    <xf numFmtId="0" fontId="9" fillId="7" borderId="14" xfId="0" applyFont="1" applyFill="1" applyBorder="1" applyAlignment="1">
      <alignment horizontal="center"/>
    </xf>
    <xf numFmtId="171" fontId="0" fillId="7" borderId="15" xfId="0" applyNumberFormat="1" applyFill="1" applyBorder="1" applyAlignment="1">
      <alignment horizontal="right" vertical="center"/>
    </xf>
    <xf numFmtId="9" fontId="0" fillId="7" borderId="0" xfId="5" applyFont="1" applyFill="1" applyBorder="1" applyAlignment="1">
      <alignment horizontal="center"/>
    </xf>
    <xf numFmtId="168" fontId="9" fillId="7" borderId="14" xfId="0" applyNumberFormat="1" applyFont="1" applyFill="1" applyBorder="1" applyAlignment="1">
      <alignment horizontal="right"/>
    </xf>
    <xf numFmtId="168" fontId="9" fillId="7" borderId="14" xfId="0" applyNumberFormat="1" applyFont="1" applyFill="1" applyBorder="1" applyAlignment="1">
      <alignment horizontal="left"/>
    </xf>
    <xf numFmtId="190" fontId="42" fillId="0" borderId="41" xfId="0" applyNumberFormat="1" applyFont="1" applyBorder="1" applyAlignment="1">
      <alignment horizontal="center" vertical="center" wrapText="1"/>
    </xf>
    <xf numFmtId="190" fontId="9" fillId="7" borderId="37" xfId="0" applyNumberFormat="1" applyFont="1" applyFill="1" applyBorder="1" applyAlignment="1">
      <alignment horizontal="center"/>
    </xf>
    <xf numFmtId="193" fontId="9" fillId="7" borderId="41" xfId="0" applyNumberFormat="1" applyFont="1" applyFill="1" applyBorder="1" applyAlignment="1">
      <alignment horizontal="center"/>
    </xf>
    <xf numFmtId="168" fontId="10" fillId="24" borderId="16" xfId="0" applyNumberFormat="1" applyFont="1" applyFill="1" applyBorder="1" applyAlignment="1">
      <alignment horizontal="center"/>
    </xf>
    <xf numFmtId="0" fontId="10" fillId="24" borderId="16" xfId="0" applyFont="1" applyFill="1" applyBorder="1" applyAlignment="1">
      <alignment horizontal="center"/>
    </xf>
    <xf numFmtId="0" fontId="10" fillId="24" borderId="16" xfId="0" applyFont="1" applyFill="1" applyBorder="1" applyAlignment="1">
      <alignment horizontal="left"/>
    </xf>
    <xf numFmtId="0" fontId="11" fillId="7" borderId="16" xfId="0" applyFont="1" applyFill="1" applyBorder="1" applyAlignment="1">
      <alignment horizontal="center"/>
    </xf>
    <xf numFmtId="0" fontId="86" fillId="0" borderId="41" xfId="3" applyNumberFormat="1" applyFont="1" applyFill="1" applyBorder="1" applyAlignment="1">
      <alignment horizontal="center" vertical="top" wrapText="1"/>
    </xf>
    <xf numFmtId="178" fontId="86" fillId="0" borderId="37" xfId="0" applyNumberFormat="1" applyFont="1" applyBorder="1" applyAlignment="1">
      <alignment horizontal="center" vertical="top" wrapText="1"/>
    </xf>
    <xf numFmtId="0" fontId="86" fillId="0" borderId="37" xfId="0" applyFont="1" applyBorder="1" applyAlignment="1">
      <alignment horizontal="center" vertical="top" wrapText="1"/>
    </xf>
    <xf numFmtId="0" fontId="63" fillId="17" borderId="41" xfId="0" applyFont="1" applyFill="1" applyBorder="1" applyAlignment="1">
      <alignment horizontal="center" vertical="center" wrapText="1"/>
    </xf>
    <xf numFmtId="0" fontId="63" fillId="17" borderId="37" xfId="0" applyFont="1" applyFill="1" applyBorder="1" applyAlignment="1">
      <alignment horizontal="center" vertical="center" wrapText="1"/>
    </xf>
    <xf numFmtId="167" fontId="87" fillId="0" borderId="37" xfId="0" applyNumberFormat="1" applyFont="1" applyBorder="1" applyAlignment="1">
      <alignment horizontal="center" vertical="center" wrapText="1"/>
    </xf>
    <xf numFmtId="167" fontId="87" fillId="0" borderId="41" xfId="0" applyNumberFormat="1" applyFont="1" applyBorder="1" applyAlignment="1">
      <alignment horizontal="center" vertical="center" wrapText="1"/>
    </xf>
    <xf numFmtId="167" fontId="87" fillId="0" borderId="41" xfId="0" applyNumberFormat="1" applyFont="1" applyBorder="1" applyAlignment="1">
      <alignment horizontal="center" vertical="top" wrapText="1"/>
    </xf>
    <xf numFmtId="2" fontId="87" fillId="0" borderId="37" xfId="0" applyNumberFormat="1" applyFont="1" applyBorder="1" applyAlignment="1">
      <alignment horizontal="center" vertical="center" wrapText="1"/>
    </xf>
    <xf numFmtId="2" fontId="87" fillId="0" borderId="37" xfId="0" applyNumberFormat="1" applyFont="1" applyBorder="1" applyAlignment="1">
      <alignment horizontal="center" vertical="top" wrapText="1"/>
    </xf>
    <xf numFmtId="167" fontId="87" fillId="0" borderId="37" xfId="0" applyNumberFormat="1" applyFont="1" applyBorder="1" applyAlignment="1">
      <alignment horizontal="center" vertical="top" wrapText="1"/>
    </xf>
    <xf numFmtId="165" fontId="2" fillId="3" borderId="38" xfId="0" applyNumberFormat="1" applyFont="1" applyFill="1" applyBorder="1" applyAlignment="1">
      <alignment horizontal="center" vertical="center" wrapText="1"/>
    </xf>
    <xf numFmtId="165" fontId="21" fillId="15" borderId="29" xfId="0" applyNumberFormat="1" applyFont="1" applyFill="1" applyBorder="1" applyAlignment="1">
      <alignment horizontal="center" vertical="center"/>
    </xf>
    <xf numFmtId="165" fontId="2" fillId="3" borderId="44" xfId="0" applyNumberFormat="1" applyFont="1" applyFill="1" applyBorder="1" applyAlignment="1">
      <alignment horizontal="center" vertical="center" wrapText="1"/>
    </xf>
    <xf numFmtId="195" fontId="13" fillId="0" borderId="0" xfId="2" applyNumberFormat="1" applyFill="1" applyBorder="1" applyAlignment="1">
      <alignment horizontal="center" vertical="top"/>
    </xf>
    <xf numFmtId="165" fontId="21" fillId="7" borderId="17" xfId="0" applyNumberFormat="1" applyFont="1" applyFill="1" applyBorder="1" applyAlignment="1">
      <alignment horizontal="center" vertical="center"/>
    </xf>
    <xf numFmtId="0" fontId="88" fillId="7" borderId="0" xfId="0" applyFont="1" applyFill="1" applyAlignment="1">
      <alignment vertical="center"/>
    </xf>
    <xf numFmtId="199" fontId="42" fillId="0" borderId="0" xfId="2" applyNumberFormat="1" applyFont="1" applyFill="1" applyBorder="1" applyAlignment="1">
      <alignment horizontal="center" vertical="top"/>
    </xf>
    <xf numFmtId="175" fontId="42" fillId="0" borderId="0" xfId="0" applyNumberFormat="1" applyFont="1" applyAlignment="1">
      <alignment horizontal="center"/>
    </xf>
    <xf numFmtId="175" fontId="44" fillId="0" borderId="0" xfId="0" applyNumberFormat="1" applyFont="1" applyAlignment="1">
      <alignment horizontal="center"/>
    </xf>
    <xf numFmtId="198" fontId="0" fillId="0" borderId="0" xfId="0" applyNumberFormat="1"/>
    <xf numFmtId="168" fontId="22" fillId="7" borderId="0" xfId="0" applyNumberFormat="1" applyFont="1" applyFill="1"/>
    <xf numFmtId="171" fontId="22" fillId="7" borderId="0" xfId="0" applyNumberFormat="1" applyFont="1" applyFill="1"/>
    <xf numFmtId="190" fontId="76" fillId="13" borderId="15" xfId="0" applyNumberFormat="1" applyFont="1" applyFill="1" applyBorder="1" applyAlignment="1">
      <alignment horizontal="center" vertical="center"/>
    </xf>
    <xf numFmtId="190" fontId="76" fillId="13" borderId="19" xfId="0" applyNumberFormat="1" applyFont="1" applyFill="1" applyBorder="1" applyAlignment="1">
      <alignment horizontal="center" vertical="center"/>
    </xf>
    <xf numFmtId="0" fontId="8" fillId="17" borderId="60" xfId="0" applyFont="1" applyFill="1" applyBorder="1" applyAlignment="1">
      <alignment horizontal="center"/>
    </xf>
    <xf numFmtId="190" fontId="49" fillId="9" borderId="15" xfId="0" applyNumberFormat="1" applyFont="1" applyFill="1" applyBorder="1" applyAlignment="1">
      <alignment horizontal="center" vertical="center"/>
    </xf>
    <xf numFmtId="0" fontId="49" fillId="9" borderId="14" xfId="0" applyFont="1" applyFill="1" applyBorder="1" applyAlignment="1">
      <alignment horizontal="center" vertical="center"/>
    </xf>
    <xf numFmtId="173" fontId="85" fillId="25" borderId="8" xfId="0" applyNumberFormat="1" applyFont="1" applyFill="1" applyBorder="1" applyAlignment="1">
      <alignment horizontal="center"/>
    </xf>
    <xf numFmtId="0" fontId="49" fillId="0" borderId="6" xfId="0" applyFont="1" applyBorder="1" applyAlignment="1">
      <alignment horizontal="right"/>
    </xf>
    <xf numFmtId="190" fontId="0" fillId="7" borderId="0" xfId="0" applyNumberFormat="1" applyFill="1"/>
    <xf numFmtId="0" fontId="9" fillId="10" borderId="134" xfId="0" applyFont="1" applyFill="1" applyBorder="1" applyAlignment="1">
      <alignment horizontal="center" vertical="center"/>
    </xf>
    <xf numFmtId="0" fontId="9" fillId="10" borderId="135" xfId="0" applyFont="1" applyFill="1" applyBorder="1" applyAlignment="1">
      <alignment horizontal="center" vertical="center"/>
    </xf>
    <xf numFmtId="0" fontId="0" fillId="16" borderId="17" xfId="0" applyFill="1" applyBorder="1" applyAlignment="1">
      <alignment horizontal="center"/>
    </xf>
    <xf numFmtId="0" fontId="0" fillId="16" borderId="30" xfId="0" applyFill="1" applyBorder="1" applyAlignment="1">
      <alignment horizontal="center"/>
    </xf>
    <xf numFmtId="0" fontId="0" fillId="16" borderId="11" xfId="0" applyFill="1" applyBorder="1" applyAlignment="1">
      <alignment horizontal="center"/>
    </xf>
    <xf numFmtId="0" fontId="0" fillId="16" borderId="13" xfId="0" applyFill="1" applyBorder="1" applyAlignment="1">
      <alignment horizontal="center"/>
    </xf>
    <xf numFmtId="195" fontId="0" fillId="0" borderId="41" xfId="0" applyNumberFormat="1" applyBorder="1" applyAlignment="1">
      <alignment horizontal="center"/>
    </xf>
    <xf numFmtId="0" fontId="0" fillId="7" borderId="0" xfId="0" applyFill="1" applyAlignment="1">
      <alignment horizontal="center" wrapText="1"/>
    </xf>
    <xf numFmtId="195" fontId="89" fillId="7" borderId="0" xfId="0" applyNumberFormat="1" applyFont="1" applyFill="1" applyAlignment="1">
      <alignment horizontal="center"/>
    </xf>
    <xf numFmtId="195" fontId="0" fillId="0" borderId="0" xfId="0" applyNumberFormat="1" applyAlignment="1">
      <alignment horizontal="center"/>
    </xf>
    <xf numFmtId="190" fontId="49" fillId="13" borderId="10" xfId="0" applyNumberFormat="1" applyFont="1" applyFill="1" applyBorder="1" applyAlignment="1">
      <alignment horizontal="center" vertical="center"/>
    </xf>
    <xf numFmtId="0" fontId="9" fillId="10" borderId="63" xfId="0" applyFont="1" applyFill="1" applyBorder="1" applyAlignment="1">
      <alignment horizontal="center" vertical="center"/>
    </xf>
    <xf numFmtId="0" fontId="9" fillId="10" borderId="65" xfId="0" applyFont="1" applyFill="1" applyBorder="1" applyAlignment="1">
      <alignment horizontal="center" vertical="center"/>
    </xf>
    <xf numFmtId="0" fontId="9" fillId="10" borderId="12" xfId="0" applyFont="1" applyFill="1" applyBorder="1" applyAlignment="1">
      <alignment horizontal="center" vertical="center"/>
    </xf>
    <xf numFmtId="0" fontId="9" fillId="10" borderId="70" xfId="0" applyFont="1" applyFill="1" applyBorder="1" applyAlignment="1">
      <alignment horizontal="center" vertical="center"/>
    </xf>
    <xf numFmtId="171" fontId="33" fillId="7" borderId="43" xfId="0" applyNumberFormat="1" applyFont="1" applyFill="1" applyBorder="1" applyAlignment="1">
      <alignment horizontal="center"/>
    </xf>
    <xf numFmtId="0" fontId="67" fillId="10" borderId="38" xfId="0" applyFont="1" applyFill="1" applyBorder="1" applyAlignment="1">
      <alignment horizontal="center" vertical="center"/>
    </xf>
    <xf numFmtId="194" fontId="0" fillId="0" borderId="0" xfId="0" applyNumberFormat="1" applyAlignment="1">
      <alignment horizontal="center"/>
    </xf>
    <xf numFmtId="0" fontId="90" fillId="0" borderId="37" xfId="0" applyFont="1" applyBorder="1" applyAlignment="1">
      <alignment horizontal="center"/>
    </xf>
    <xf numFmtId="0" fontId="90" fillId="0" borderId="0" xfId="0" applyFont="1" applyAlignment="1">
      <alignment horizontal="center"/>
    </xf>
    <xf numFmtId="0" fontId="90" fillId="0" borderId="38" xfId="0" applyFont="1" applyBorder="1" applyAlignment="1">
      <alignment horizontal="center"/>
    </xf>
    <xf numFmtId="195" fontId="90" fillId="0" borderId="43" xfId="0" applyNumberFormat="1" applyFont="1" applyBorder="1" applyAlignment="1">
      <alignment horizontal="center"/>
    </xf>
    <xf numFmtId="195" fontId="90" fillId="0" borderId="38" xfId="0" applyNumberFormat="1" applyFont="1" applyBorder="1" applyAlignment="1">
      <alignment horizontal="center"/>
    </xf>
    <xf numFmtId="195" fontId="90" fillId="0" borderId="44" xfId="0" applyNumberFormat="1" applyFont="1" applyBorder="1" applyAlignment="1">
      <alignment horizontal="center"/>
    </xf>
    <xf numFmtId="167" fontId="0" fillId="7" borderId="0" xfId="0" applyNumberFormat="1" applyFill="1" applyAlignment="1">
      <alignment horizontal="center"/>
    </xf>
    <xf numFmtId="199" fontId="0" fillId="0" borderId="44" xfId="0" applyNumberFormat="1" applyBorder="1" applyAlignment="1">
      <alignment horizontal="center"/>
    </xf>
    <xf numFmtId="188" fontId="0" fillId="0" borderId="44" xfId="0" applyNumberFormat="1" applyBorder="1" applyAlignment="1">
      <alignment horizontal="center"/>
    </xf>
    <xf numFmtId="195" fontId="90" fillId="0" borderId="10" xfId="0" applyNumberFormat="1" applyFont="1" applyBorder="1" applyAlignment="1">
      <alignment horizontal="center"/>
    </xf>
    <xf numFmtId="0" fontId="8" fillId="17" borderId="17" xfId="0" applyFont="1" applyFill="1" applyBorder="1" applyAlignment="1">
      <alignment horizontal="center"/>
    </xf>
    <xf numFmtId="190" fontId="90" fillId="0" borderId="0" xfId="0" applyNumberFormat="1" applyFont="1" applyAlignment="1">
      <alignment horizontal="center"/>
    </xf>
    <xf numFmtId="190" fontId="90" fillId="0" borderId="38" xfId="0" applyNumberFormat="1" applyFont="1" applyBorder="1" applyAlignment="1">
      <alignment horizontal="center"/>
    </xf>
    <xf numFmtId="199" fontId="0" fillId="0" borderId="43" xfId="0" applyNumberFormat="1" applyBorder="1" applyAlignment="1">
      <alignment horizontal="center"/>
    </xf>
    <xf numFmtId="195" fontId="0" fillId="0" borderId="43" xfId="0" applyNumberFormat="1" applyBorder="1" applyAlignment="1">
      <alignment horizontal="center" vertical="center"/>
    </xf>
    <xf numFmtId="195" fontId="0" fillId="0" borderId="0" xfId="0" applyNumberFormat="1" applyAlignment="1">
      <alignment horizontal="center" vertical="center"/>
    </xf>
    <xf numFmtId="195" fontId="0" fillId="0" borderId="38" xfId="0" applyNumberFormat="1" applyBorder="1" applyAlignment="1">
      <alignment horizontal="center"/>
    </xf>
    <xf numFmtId="190" fontId="0" fillId="0" borderId="37" xfId="0" applyNumberFormat="1" applyBorder="1" applyAlignment="1">
      <alignment horizontal="center"/>
    </xf>
    <xf numFmtId="195" fontId="0" fillId="0" borderId="44" xfId="0" applyNumberFormat="1" applyBorder="1" applyAlignment="1">
      <alignment horizontal="center" vertical="center"/>
    </xf>
    <xf numFmtId="200" fontId="0" fillId="0" borderId="0" xfId="0" applyNumberFormat="1"/>
    <xf numFmtId="0" fontId="9" fillId="7" borderId="0" xfId="0" applyFont="1" applyFill="1" applyAlignment="1">
      <alignment horizontal="center" vertical="center"/>
    </xf>
    <xf numFmtId="167" fontId="85" fillId="7" borderId="0" xfId="0" applyNumberFormat="1" applyFont="1" applyFill="1" applyAlignment="1">
      <alignment horizontal="center"/>
    </xf>
    <xf numFmtId="0" fontId="8" fillId="17" borderId="46" xfId="0" applyFont="1" applyFill="1" applyBorder="1" applyAlignment="1">
      <alignment horizontal="center" vertical="center" wrapText="1"/>
    </xf>
    <xf numFmtId="0" fontId="8" fillId="17" borderId="28" xfId="0" applyFont="1" applyFill="1" applyBorder="1" applyAlignment="1">
      <alignment horizontal="center" vertical="center" wrapText="1"/>
    </xf>
    <xf numFmtId="0" fontId="8" fillId="17" borderId="48" xfId="0" applyFont="1" applyFill="1" applyBorder="1" applyAlignment="1">
      <alignment horizontal="center" vertical="center" wrapText="1"/>
    </xf>
    <xf numFmtId="0" fontId="8" fillId="17" borderId="51" xfId="0" applyFont="1" applyFill="1" applyBorder="1" applyAlignment="1">
      <alignment horizontal="center" vertical="center" wrapText="1"/>
    </xf>
    <xf numFmtId="0" fontId="8" fillId="17" borderId="9" xfId="0" applyFont="1" applyFill="1" applyBorder="1" applyAlignment="1">
      <alignment horizontal="center" vertical="center" wrapText="1"/>
    </xf>
    <xf numFmtId="0" fontId="8" fillId="17" borderId="15" xfId="0" applyFont="1" applyFill="1" applyBorder="1" applyAlignment="1">
      <alignment horizontal="center" vertical="center" wrapText="1"/>
    </xf>
    <xf numFmtId="0" fontId="8" fillId="17" borderId="29" xfId="0" applyFont="1" applyFill="1" applyBorder="1" applyAlignment="1">
      <alignment horizontal="center" vertical="center" wrapText="1"/>
    </xf>
    <xf numFmtId="0" fontId="8" fillId="17" borderId="60" xfId="0" applyFont="1" applyFill="1" applyBorder="1" applyAlignment="1">
      <alignment horizontal="center" vertical="center" wrapText="1"/>
    </xf>
    <xf numFmtId="200" fontId="0" fillId="0" borderId="0" xfId="0" applyNumberFormat="1" applyAlignment="1">
      <alignment horizontal="center"/>
    </xf>
    <xf numFmtId="165" fontId="10" fillId="18" borderId="9" xfId="0" applyNumberFormat="1" applyFont="1" applyFill="1" applyBorder="1" applyAlignment="1">
      <alignment horizontal="center" vertical="top"/>
    </xf>
    <xf numFmtId="195" fontId="11" fillId="0" borderId="0" xfId="0" applyNumberFormat="1" applyFont="1" applyAlignment="1">
      <alignment horizontal="center" vertical="center"/>
    </xf>
    <xf numFmtId="195" fontId="11" fillId="0" borderId="38" xfId="0" applyNumberFormat="1" applyFont="1" applyBorder="1" applyAlignment="1">
      <alignment horizontal="center" vertical="center"/>
    </xf>
    <xf numFmtId="0" fontId="9" fillId="7" borderId="41" xfId="0" applyFont="1" applyFill="1" applyBorder="1" applyAlignment="1">
      <alignment horizontal="center"/>
    </xf>
    <xf numFmtId="201" fontId="42" fillId="0" borderId="37" xfId="0" applyNumberFormat="1" applyFont="1" applyBorder="1" applyAlignment="1">
      <alignment horizontal="center" vertical="center" wrapText="1"/>
    </xf>
    <xf numFmtId="0" fontId="22" fillId="16" borderId="9" xfId="0" applyFont="1" applyFill="1" applyBorder="1"/>
    <xf numFmtId="0" fontId="22" fillId="16" borderId="28" xfId="0" applyFont="1" applyFill="1" applyBorder="1"/>
    <xf numFmtId="0" fontId="0" fillId="16" borderId="28" xfId="0" applyFill="1" applyBorder="1"/>
    <xf numFmtId="0" fontId="0" fillId="16" borderId="29" xfId="0" applyFill="1" applyBorder="1"/>
    <xf numFmtId="167" fontId="0" fillId="16" borderId="11" xfId="0" applyNumberFormat="1" applyFill="1" applyBorder="1" applyAlignment="1">
      <alignment horizontal="left" vertical="center"/>
    </xf>
    <xf numFmtId="167" fontId="0" fillId="16" borderId="12" xfId="0" applyNumberFormat="1" applyFill="1" applyBorder="1" applyAlignment="1">
      <alignment horizontal="center" vertical="center"/>
    </xf>
    <xf numFmtId="167" fontId="0" fillId="16" borderId="13" xfId="0" applyNumberFormat="1" applyFill="1" applyBorder="1" applyAlignment="1">
      <alignment horizontal="center" vertical="center"/>
    </xf>
    <xf numFmtId="195" fontId="9" fillId="14" borderId="37" xfId="0" applyNumberFormat="1" applyFont="1" applyFill="1" applyBorder="1" applyAlignment="1">
      <alignment horizontal="center" vertical="center" wrapText="1"/>
    </xf>
    <xf numFmtId="195" fontId="42" fillId="0" borderId="41" xfId="0" applyNumberFormat="1" applyFont="1" applyBorder="1" applyAlignment="1">
      <alignment horizontal="center" vertical="center" wrapText="1"/>
    </xf>
    <xf numFmtId="0" fontId="0" fillId="7" borderId="0" xfId="0" quotePrefix="1" applyFill="1"/>
    <xf numFmtId="0" fontId="9" fillId="9" borderId="0" xfId="0" applyFont="1" applyFill="1" applyAlignment="1">
      <alignment horizontal="right" vertical="center"/>
    </xf>
    <xf numFmtId="195" fontId="0" fillId="9" borderId="86" xfId="0" applyNumberFormat="1" applyFill="1" applyBorder="1" applyAlignment="1">
      <alignment horizontal="center" vertical="center"/>
    </xf>
    <xf numFmtId="195" fontId="0" fillId="9" borderId="58" xfId="0" applyNumberFormat="1" applyFill="1" applyBorder="1" applyAlignment="1">
      <alignment horizontal="center" vertical="center"/>
    </xf>
    <xf numFmtId="195" fontId="0" fillId="9" borderId="136" xfId="0" applyNumberFormat="1" applyFill="1" applyBorder="1" applyAlignment="1">
      <alignment horizontal="center" vertical="center"/>
    </xf>
    <xf numFmtId="195" fontId="0" fillId="9" borderId="63" xfId="0" applyNumberFormat="1" applyFill="1" applyBorder="1" applyAlignment="1">
      <alignment horizontal="center" vertical="center"/>
    </xf>
    <xf numFmtId="195" fontId="0" fillId="9" borderId="64" xfId="0" applyNumberFormat="1" applyFill="1" applyBorder="1" applyAlignment="1">
      <alignment horizontal="center" vertical="center"/>
    </xf>
    <xf numFmtId="195" fontId="0" fillId="9" borderId="65" xfId="0" applyNumberFormat="1" applyFill="1" applyBorder="1" applyAlignment="1">
      <alignment horizontal="center" vertical="center"/>
    </xf>
    <xf numFmtId="195" fontId="9" fillId="9" borderId="43" xfId="0" applyNumberFormat="1" applyFont="1" applyFill="1" applyBorder="1" applyAlignment="1">
      <alignment horizontal="center" vertical="center"/>
    </xf>
    <xf numFmtId="195" fontId="9" fillId="9" borderId="37" xfId="0" applyNumberFormat="1" applyFont="1" applyFill="1" applyBorder="1" applyAlignment="1">
      <alignment horizontal="center" vertical="center"/>
    </xf>
    <xf numFmtId="195" fontId="9" fillId="9" borderId="44" xfId="0" applyNumberFormat="1" applyFont="1" applyFill="1" applyBorder="1" applyAlignment="1">
      <alignment horizontal="center" vertical="center"/>
    </xf>
    <xf numFmtId="195" fontId="0" fillId="7" borderId="41" xfId="0" applyNumberFormat="1" applyFill="1" applyBorder="1" applyAlignment="1">
      <alignment horizontal="center"/>
    </xf>
    <xf numFmtId="195" fontId="0" fillId="7" borderId="37" xfId="0" applyNumberFormat="1" applyFill="1" applyBorder="1" applyAlignment="1">
      <alignment horizontal="center"/>
    </xf>
    <xf numFmtId="195" fontId="95" fillId="7" borderId="41" xfId="0" applyNumberFormat="1" applyFont="1" applyFill="1" applyBorder="1" applyAlignment="1">
      <alignment horizontal="center"/>
    </xf>
    <xf numFmtId="195" fontId="0" fillId="9" borderId="64" xfId="0" applyNumberFormat="1" applyFill="1" applyBorder="1" applyAlignment="1">
      <alignment horizontal="center" vertical="top"/>
    </xf>
    <xf numFmtId="0" fontId="8" fillId="17" borderId="9" xfId="0" applyFont="1" applyFill="1" applyBorder="1" applyAlignment="1">
      <alignment vertical="center"/>
    </xf>
    <xf numFmtId="0" fontId="37" fillId="17" borderId="28" xfId="0" applyFont="1" applyFill="1" applyBorder="1" applyAlignment="1">
      <alignment horizontal="center" vertical="center" wrapText="1"/>
    </xf>
    <xf numFmtId="195" fontId="0" fillId="7" borderId="44" xfId="0" applyNumberFormat="1" applyFill="1" applyBorder="1" applyAlignment="1">
      <alignment horizontal="center"/>
    </xf>
    <xf numFmtId="0" fontId="0" fillId="7" borderId="44" xfId="0" applyFill="1" applyBorder="1"/>
    <xf numFmtId="0" fontId="8" fillId="17" borderId="11" xfId="0" applyFont="1" applyFill="1" applyBorder="1" applyAlignment="1">
      <alignment horizontal="center" vertical="top"/>
    </xf>
    <xf numFmtId="195" fontId="0" fillId="9" borderId="65" xfId="0" applyNumberFormat="1" applyFill="1" applyBorder="1" applyAlignment="1">
      <alignment horizontal="center" vertical="top"/>
    </xf>
    <xf numFmtId="195" fontId="9" fillId="9" borderId="64" xfId="0" applyNumberFormat="1" applyFont="1" applyFill="1" applyBorder="1" applyAlignment="1">
      <alignment horizontal="center" vertical="top"/>
    </xf>
    <xf numFmtId="0" fontId="0" fillId="0" borderId="37" xfId="0" applyBorder="1"/>
    <xf numFmtId="195" fontId="22" fillId="7" borderId="37" xfId="0" applyNumberFormat="1" applyFont="1" applyFill="1" applyBorder="1" applyAlignment="1">
      <alignment horizontal="center"/>
    </xf>
    <xf numFmtId="0" fontId="9" fillId="16" borderId="10" xfId="0" applyFont="1" applyFill="1" applyBorder="1" applyAlignment="1">
      <alignment horizontal="center"/>
    </xf>
    <xf numFmtId="195" fontId="89" fillId="7" borderId="41" xfId="0" applyNumberFormat="1" applyFont="1" applyFill="1" applyBorder="1" applyAlignment="1">
      <alignment horizontal="center"/>
    </xf>
    <xf numFmtId="195" fontId="0" fillId="0" borderId="36" xfId="0" applyNumberFormat="1" applyBorder="1"/>
    <xf numFmtId="0" fontId="60" fillId="17" borderId="36" xfId="0" applyFont="1" applyFill="1" applyBorder="1" applyAlignment="1">
      <alignment horizontal="center" vertical="center" wrapText="1"/>
    </xf>
    <xf numFmtId="0" fontId="60" fillId="17" borderId="39" xfId="0" applyFont="1" applyFill="1" applyBorder="1" applyAlignment="1">
      <alignment horizontal="center" vertical="center" wrapText="1"/>
    </xf>
    <xf numFmtId="199" fontId="0" fillId="0" borderId="37" xfId="0" applyNumberFormat="1" applyBorder="1"/>
    <xf numFmtId="188" fontId="0" fillId="0" borderId="37" xfId="0" applyNumberFormat="1" applyBorder="1"/>
    <xf numFmtId="200" fontId="0" fillId="0" borderId="37" xfId="0" applyNumberFormat="1" applyBorder="1"/>
    <xf numFmtId="195" fontId="0" fillId="0" borderId="37" xfId="0" applyNumberFormat="1" applyBorder="1"/>
    <xf numFmtId="195" fontId="0" fillId="0" borderId="39" xfId="0" applyNumberFormat="1" applyBorder="1"/>
    <xf numFmtId="202" fontId="0" fillId="0" borderId="37" xfId="0" applyNumberFormat="1" applyBorder="1"/>
    <xf numFmtId="178" fontId="96" fillId="0" borderId="41" xfId="0" applyNumberFormat="1" applyFont="1" applyBorder="1" applyAlignment="1">
      <alignment horizontal="center" vertical="top" wrapText="1"/>
    </xf>
    <xf numFmtId="179" fontId="96" fillId="0" borderId="37" xfId="0" applyNumberFormat="1" applyFont="1" applyBorder="1" applyAlignment="1">
      <alignment horizontal="center" vertical="top" wrapText="1"/>
    </xf>
    <xf numFmtId="178" fontId="96" fillId="0" borderId="37" xfId="0" applyNumberFormat="1" applyFont="1" applyBorder="1" applyAlignment="1">
      <alignment horizontal="center" vertical="top" wrapText="1"/>
    </xf>
    <xf numFmtId="178" fontId="97" fillId="0" borderId="41" xfId="0" applyNumberFormat="1" applyFont="1" applyBorder="1" applyAlignment="1">
      <alignment horizontal="center" vertical="top" wrapText="1"/>
    </xf>
    <xf numFmtId="179" fontId="97" fillId="0" borderId="37" xfId="0" applyNumberFormat="1" applyFont="1" applyBorder="1" applyAlignment="1">
      <alignment horizontal="center" vertical="top" wrapText="1"/>
    </xf>
    <xf numFmtId="178" fontId="97" fillId="0" borderId="37" xfId="0" applyNumberFormat="1" applyFont="1" applyBorder="1" applyAlignment="1">
      <alignment horizontal="center" vertical="top" wrapText="1"/>
    </xf>
    <xf numFmtId="0" fontId="99" fillId="0" borderId="41" xfId="3" applyNumberFormat="1" applyFont="1" applyFill="1" applyBorder="1" applyAlignment="1">
      <alignment horizontal="center" vertical="top" wrapText="1"/>
    </xf>
    <xf numFmtId="178" fontId="99" fillId="0" borderId="37" xfId="0" applyNumberFormat="1" applyFont="1" applyBorder="1" applyAlignment="1">
      <alignment horizontal="center" vertical="top" wrapText="1"/>
    </xf>
    <xf numFmtId="178" fontId="87" fillId="0" borderId="41" xfId="0" applyNumberFormat="1" applyFont="1" applyBorder="1" applyAlignment="1">
      <alignment horizontal="center" vertical="top" wrapText="1"/>
    </xf>
    <xf numFmtId="179" fontId="87" fillId="0" borderId="37" xfId="0" applyNumberFormat="1" applyFont="1" applyBorder="1" applyAlignment="1">
      <alignment horizontal="center" vertical="top" wrapText="1"/>
    </xf>
    <xf numFmtId="178" fontId="87" fillId="0" borderId="37" xfId="0" applyNumberFormat="1" applyFont="1" applyBorder="1" applyAlignment="1">
      <alignment horizontal="center" vertical="top" wrapText="1"/>
    </xf>
    <xf numFmtId="165" fontId="87" fillId="0" borderId="37" xfId="0" applyNumberFormat="1" applyFont="1" applyBorder="1" applyAlignment="1">
      <alignment horizontal="center" vertical="center" wrapText="1"/>
    </xf>
    <xf numFmtId="165" fontId="87" fillId="0" borderId="37" xfId="0" applyNumberFormat="1" applyFont="1" applyBorder="1" applyAlignment="1">
      <alignment horizontal="center" vertical="top" wrapText="1"/>
    </xf>
    <xf numFmtId="165" fontId="96" fillId="0" borderId="37" xfId="0" applyNumberFormat="1" applyFont="1" applyBorder="1" applyAlignment="1">
      <alignment horizontal="center" vertical="top" wrapText="1"/>
    </xf>
    <xf numFmtId="165" fontId="97" fillId="0" borderId="37" xfId="0" applyNumberFormat="1" applyFont="1" applyBorder="1" applyAlignment="1">
      <alignment horizontal="center" vertical="top" wrapText="1"/>
    </xf>
    <xf numFmtId="167" fontId="96" fillId="0" borderId="37" xfId="0" applyNumberFormat="1" applyFont="1" applyBorder="1" applyAlignment="1">
      <alignment horizontal="center" vertical="top" wrapText="1"/>
    </xf>
    <xf numFmtId="167" fontId="97" fillId="0" borderId="37" xfId="0" applyNumberFormat="1" applyFont="1" applyBorder="1" applyAlignment="1">
      <alignment horizontal="center" vertical="top" wrapText="1"/>
    </xf>
    <xf numFmtId="165" fontId="87" fillId="0" borderId="38" xfId="0" applyNumberFormat="1" applyFont="1" applyBorder="1" applyAlignment="1">
      <alignment horizontal="center" vertical="center" wrapText="1"/>
    </xf>
    <xf numFmtId="165" fontId="87" fillId="0" borderId="38" xfId="0" applyNumberFormat="1" applyFont="1" applyBorder="1" applyAlignment="1">
      <alignment horizontal="center" vertical="top" wrapText="1"/>
    </xf>
    <xf numFmtId="165" fontId="96" fillId="0" borderId="38" xfId="0" applyNumberFormat="1" applyFont="1" applyBorder="1" applyAlignment="1">
      <alignment horizontal="center" vertical="top" wrapText="1"/>
    </xf>
    <xf numFmtId="165" fontId="97" fillId="0" borderId="38" xfId="0" applyNumberFormat="1" applyFont="1" applyBorder="1" applyAlignment="1">
      <alignment horizontal="center" vertical="top" wrapText="1"/>
    </xf>
    <xf numFmtId="0" fontId="59" fillId="17" borderId="51" xfId="0" applyFont="1" applyFill="1" applyBorder="1" applyAlignment="1">
      <alignment horizontal="center" vertical="center" wrapText="1"/>
    </xf>
    <xf numFmtId="186" fontId="42" fillId="27" borderId="43" xfId="0" applyNumberFormat="1" applyFont="1" applyFill="1" applyBorder="1" applyAlignment="1">
      <alignment horizontal="center"/>
    </xf>
    <xf numFmtId="186" fontId="42" fillId="27" borderId="37" xfId="0" applyNumberFormat="1" applyFont="1" applyFill="1" applyBorder="1" applyAlignment="1">
      <alignment horizontal="center"/>
    </xf>
    <xf numFmtId="178" fontId="16" fillId="27" borderId="37" xfId="0" applyNumberFormat="1" applyFont="1" applyFill="1" applyBorder="1" applyAlignment="1">
      <alignment horizontal="center" vertical="top" wrapText="1"/>
    </xf>
    <xf numFmtId="186" fontId="16" fillId="27" borderId="37" xfId="0" applyNumberFormat="1" applyFont="1" applyFill="1" applyBorder="1" applyAlignment="1">
      <alignment horizontal="center" vertical="top" wrapText="1"/>
    </xf>
    <xf numFmtId="181" fontId="16" fillId="27" borderId="37" xfId="0" applyNumberFormat="1" applyFont="1" applyFill="1" applyBorder="1" applyAlignment="1">
      <alignment horizontal="center" vertical="top" wrapText="1"/>
    </xf>
    <xf numFmtId="186" fontId="16" fillId="27" borderId="44" xfId="0" applyNumberFormat="1" applyFont="1" applyFill="1" applyBorder="1" applyAlignment="1">
      <alignment horizontal="center" vertical="top" wrapText="1"/>
    </xf>
    <xf numFmtId="175" fontId="52" fillId="10" borderId="94" xfId="0" applyNumberFormat="1" applyFont="1" applyFill="1" applyBorder="1" applyAlignment="1">
      <alignment horizontal="center" vertical="center"/>
    </xf>
    <xf numFmtId="0" fontId="98" fillId="0" borderId="41" xfId="3" applyNumberFormat="1" applyFont="1" applyFill="1" applyBorder="1" applyAlignment="1">
      <alignment horizontal="center" vertical="top" wrapText="1"/>
    </xf>
    <xf numFmtId="178" fontId="98" fillId="0" borderId="37" xfId="0" applyNumberFormat="1" applyFont="1" applyBorder="1" applyAlignment="1">
      <alignment horizontal="center" vertical="top" wrapText="1"/>
    </xf>
    <xf numFmtId="171" fontId="83" fillId="7" borderId="9" xfId="0" applyNumberFormat="1" applyFont="1" applyFill="1" applyBorder="1" applyAlignment="1">
      <alignment horizontal="center" vertical="center"/>
    </xf>
    <xf numFmtId="171" fontId="83" fillId="7" borderId="28" xfId="0" applyNumberFormat="1" applyFont="1" applyFill="1" applyBorder="1" applyAlignment="1">
      <alignment horizontal="center" vertical="center"/>
    </xf>
    <xf numFmtId="171" fontId="83" fillId="7" borderId="29" xfId="0" applyNumberFormat="1" applyFont="1" applyFill="1" applyBorder="1" applyAlignment="1">
      <alignment horizontal="center" vertical="center"/>
    </xf>
    <xf numFmtId="171" fontId="83" fillId="7" borderId="17" xfId="0" applyNumberFormat="1" applyFont="1" applyFill="1" applyBorder="1" applyAlignment="1">
      <alignment horizontal="center" vertical="center"/>
    </xf>
    <xf numFmtId="171" fontId="83" fillId="7" borderId="0" xfId="0" applyNumberFormat="1" applyFont="1" applyFill="1" applyAlignment="1">
      <alignment horizontal="center" vertical="center"/>
    </xf>
    <xf numFmtId="171" fontId="83" fillId="7" borderId="30" xfId="0" applyNumberFormat="1" applyFont="1" applyFill="1" applyBorder="1" applyAlignment="1">
      <alignment horizontal="center" vertical="center"/>
    </xf>
    <xf numFmtId="171" fontId="9" fillId="7" borderId="0" xfId="0" applyNumberFormat="1" applyFont="1" applyFill="1" applyAlignment="1">
      <alignment horizontal="center"/>
    </xf>
    <xf numFmtId="168" fontId="71" fillId="5" borderId="10" xfId="0" applyNumberFormat="1" applyFont="1" applyFill="1" applyBorder="1" applyAlignment="1">
      <alignment horizontal="center"/>
    </xf>
    <xf numFmtId="0" fontId="8" fillId="17" borderId="43" xfId="0" applyFont="1" applyFill="1" applyBorder="1" applyAlignment="1">
      <alignment horizontal="center"/>
    </xf>
    <xf numFmtId="0" fontId="8" fillId="17" borderId="37" xfId="0" applyFont="1" applyFill="1" applyBorder="1" applyAlignment="1">
      <alignment horizontal="center"/>
    </xf>
    <xf numFmtId="0" fontId="8" fillId="17" borderId="44" xfId="0" applyFont="1" applyFill="1" applyBorder="1" applyAlignment="1">
      <alignment horizontal="center"/>
    </xf>
    <xf numFmtId="175" fontId="52" fillId="7" borderId="98" xfId="0" applyNumberFormat="1" applyFont="1" applyFill="1" applyBorder="1" applyAlignment="1">
      <alignment horizontal="center" vertical="center"/>
    </xf>
    <xf numFmtId="175" fontId="52" fillId="7" borderId="138" xfId="0" applyNumberFormat="1" applyFont="1" applyFill="1" applyBorder="1" applyAlignment="1">
      <alignment horizontal="center" vertical="center"/>
    </xf>
    <xf numFmtId="175" fontId="52" fillId="7" borderId="137" xfId="0" applyNumberFormat="1" applyFont="1" applyFill="1" applyBorder="1" applyAlignment="1">
      <alignment horizontal="center" vertical="center"/>
    </xf>
    <xf numFmtId="175" fontId="52" fillId="7" borderId="91" xfId="0" applyNumberFormat="1" applyFont="1" applyFill="1" applyBorder="1" applyAlignment="1">
      <alignment horizontal="center" vertical="center"/>
    </xf>
    <xf numFmtId="175" fontId="52" fillId="10" borderId="96" xfId="0" applyNumberFormat="1" applyFont="1" applyFill="1" applyBorder="1" applyAlignment="1">
      <alignment horizontal="center" vertical="center"/>
    </xf>
    <xf numFmtId="175" fontId="52" fillId="10" borderId="108" xfId="0" applyNumberFormat="1" applyFont="1" applyFill="1" applyBorder="1" applyAlignment="1">
      <alignment horizontal="center" vertical="center"/>
    </xf>
    <xf numFmtId="175" fontId="52" fillId="10" borderId="139" xfId="0" applyNumberFormat="1" applyFont="1" applyFill="1" applyBorder="1" applyAlignment="1">
      <alignment horizontal="center" vertical="center"/>
    </xf>
    <xf numFmtId="175" fontId="52" fillId="10" borderId="97" xfId="0" applyNumberFormat="1" applyFont="1" applyFill="1" applyBorder="1" applyAlignment="1">
      <alignment horizontal="center" vertical="center"/>
    </xf>
    <xf numFmtId="175" fontId="52" fillId="10" borderId="109" xfId="0" applyNumberFormat="1" applyFont="1" applyFill="1" applyBorder="1" applyAlignment="1">
      <alignment horizontal="center" vertical="center"/>
    </xf>
    <xf numFmtId="175" fontId="52" fillId="10" borderId="100" xfId="0" applyNumberFormat="1" applyFont="1" applyFill="1" applyBorder="1" applyAlignment="1">
      <alignment horizontal="center" vertical="center"/>
    </xf>
    <xf numFmtId="188" fontId="25" fillId="5" borderId="97" xfId="0" applyNumberFormat="1" applyFont="1" applyFill="1" applyBorder="1" applyAlignment="1">
      <alignment horizontal="center" vertical="center"/>
    </xf>
    <xf numFmtId="188" fontId="25" fillId="5" borderId="109" xfId="0" applyNumberFormat="1" applyFont="1" applyFill="1" applyBorder="1" applyAlignment="1">
      <alignment horizontal="center" vertical="center"/>
    </xf>
    <xf numFmtId="188" fontId="25" fillId="5" borderId="100" xfId="0" applyNumberFormat="1" applyFont="1" applyFill="1" applyBorder="1" applyAlignment="1">
      <alignment horizontal="center" vertical="center"/>
    </xf>
    <xf numFmtId="188" fontId="25" fillId="5" borderId="96" xfId="0" applyNumberFormat="1" applyFont="1" applyFill="1" applyBorder="1" applyAlignment="1">
      <alignment horizontal="center" vertical="center"/>
    </xf>
    <xf numFmtId="188" fontId="25" fillId="5" borderId="108" xfId="0" applyNumberFormat="1" applyFont="1" applyFill="1" applyBorder="1" applyAlignment="1">
      <alignment horizontal="center" vertical="center"/>
    </xf>
    <xf numFmtId="188" fontId="25" fillId="5" borderId="99" xfId="0" applyNumberFormat="1" applyFont="1" applyFill="1" applyBorder="1" applyAlignment="1">
      <alignment horizontal="center" vertical="center"/>
    </xf>
    <xf numFmtId="0" fontId="5" fillId="17" borderId="15" xfId="0" applyFont="1" applyFill="1" applyBorder="1" applyAlignment="1">
      <alignment horizontal="center" vertical="center" wrapText="1"/>
    </xf>
    <xf numFmtId="0" fontId="5" fillId="17" borderId="10" xfId="0" applyFont="1" applyFill="1" applyBorder="1" applyAlignment="1">
      <alignment horizontal="center" vertical="center" wrapText="1"/>
    </xf>
    <xf numFmtId="0" fontId="8" fillId="17" borderId="21" xfId="0" applyFont="1" applyFill="1" applyBorder="1" applyAlignment="1">
      <alignment horizontal="center" vertical="center"/>
    </xf>
    <xf numFmtId="0" fontId="8" fillId="17" borderId="25" xfId="0" applyFont="1" applyFill="1" applyBorder="1" applyAlignment="1">
      <alignment horizontal="center" vertical="center"/>
    </xf>
    <xf numFmtId="0" fontId="8" fillId="17" borderId="22" xfId="0" applyFont="1" applyFill="1" applyBorder="1" applyAlignment="1">
      <alignment horizontal="center" vertical="center"/>
    </xf>
    <xf numFmtId="0" fontId="8" fillId="17" borderId="33" xfId="0" applyFont="1" applyFill="1" applyBorder="1" applyAlignment="1">
      <alignment horizontal="center" vertical="center"/>
    </xf>
    <xf numFmtId="0" fontId="8" fillId="17" borderId="34" xfId="0" applyFont="1" applyFill="1" applyBorder="1" applyAlignment="1">
      <alignment horizontal="center" vertical="center"/>
    </xf>
    <xf numFmtId="0" fontId="8" fillId="17" borderId="35" xfId="0" applyFont="1" applyFill="1" applyBorder="1" applyAlignment="1">
      <alignment horizontal="center" vertical="center"/>
    </xf>
    <xf numFmtId="0" fontId="51" fillId="17" borderId="26" xfId="0" applyFont="1" applyFill="1" applyBorder="1" applyAlignment="1">
      <alignment horizontal="center" vertical="center"/>
    </xf>
    <xf numFmtId="0" fontId="51" fillId="17" borderId="0" xfId="0" applyFont="1" applyFill="1" applyAlignment="1">
      <alignment horizontal="center" vertical="center"/>
    </xf>
    <xf numFmtId="0" fontId="51" fillId="17" borderId="27" xfId="0" applyFont="1" applyFill="1" applyBorder="1" applyAlignment="1">
      <alignment horizontal="center" vertical="center"/>
    </xf>
    <xf numFmtId="0" fontId="15" fillId="0" borderId="0" xfId="0" applyFont="1" applyAlignment="1">
      <alignment horizontal="center" vertical="top" wrapText="1"/>
    </xf>
    <xf numFmtId="0" fontId="36" fillId="0" borderId="0" xfId="0" applyFont="1" applyAlignment="1">
      <alignment horizontal="left" vertical="center" wrapText="1" indent="2"/>
    </xf>
    <xf numFmtId="0" fontId="61" fillId="17" borderId="0" xfId="0" applyFont="1" applyFill="1" applyAlignment="1">
      <alignment horizontal="center" vertical="center" wrapText="1"/>
    </xf>
    <xf numFmtId="168" fontId="0" fillId="7" borderId="11" xfId="0" applyNumberFormat="1" applyFill="1" applyBorder="1" applyAlignment="1">
      <alignment horizontal="right"/>
    </xf>
    <xf numFmtId="168" fontId="0" fillId="7" borderId="12" xfId="0" applyNumberFormat="1" applyFill="1" applyBorder="1" applyAlignment="1">
      <alignment horizontal="right"/>
    </xf>
    <xf numFmtId="0" fontId="8" fillId="17" borderId="9" xfId="0" applyFont="1" applyFill="1" applyBorder="1" applyAlignment="1">
      <alignment horizontal="center"/>
    </xf>
    <xf numFmtId="0" fontId="8" fillId="17" borderId="28" xfId="0" applyFont="1" applyFill="1" applyBorder="1" applyAlignment="1">
      <alignment horizontal="center"/>
    </xf>
    <xf numFmtId="0" fontId="8" fillId="17" borderId="29" xfId="0" applyFont="1" applyFill="1" applyBorder="1" applyAlignment="1">
      <alignment horizontal="center"/>
    </xf>
    <xf numFmtId="0" fontId="8" fillId="17" borderId="17" xfId="0" applyFont="1" applyFill="1" applyBorder="1" applyAlignment="1">
      <alignment horizontal="center"/>
    </xf>
    <xf numFmtId="0" fontId="8" fillId="17" borderId="0" xfId="0" applyFont="1" applyFill="1" applyAlignment="1">
      <alignment horizontal="center"/>
    </xf>
    <xf numFmtId="171" fontId="0" fillId="7" borderId="17" xfId="0" applyNumberFormat="1" applyFill="1" applyBorder="1" applyAlignment="1">
      <alignment horizontal="right"/>
    </xf>
    <xf numFmtId="171" fontId="0" fillId="7" borderId="0" xfId="0" applyNumberFormat="1" applyFill="1" applyAlignment="1">
      <alignment horizontal="right"/>
    </xf>
    <xf numFmtId="195" fontId="8" fillId="17" borderId="9" xfId="0" applyNumberFormat="1" applyFont="1" applyFill="1" applyBorder="1" applyAlignment="1">
      <alignment horizontal="center" vertical="center"/>
    </xf>
    <xf numFmtId="195" fontId="8" fillId="17" borderId="28" xfId="0" applyNumberFormat="1" applyFont="1" applyFill="1" applyBorder="1" applyAlignment="1">
      <alignment horizontal="center" vertical="center"/>
    </xf>
    <xf numFmtId="195" fontId="8" fillId="17" borderId="29" xfId="0" applyNumberFormat="1" applyFont="1" applyFill="1" applyBorder="1" applyAlignment="1">
      <alignment horizontal="center" vertical="center"/>
    </xf>
    <xf numFmtId="0" fontId="60" fillId="17" borderId="21" xfId="0" applyFont="1" applyFill="1" applyBorder="1" applyAlignment="1">
      <alignment horizontal="center" vertical="center" wrapText="1"/>
    </xf>
    <xf numFmtId="0" fontId="60" fillId="17" borderId="25" xfId="0" applyFont="1" applyFill="1" applyBorder="1" applyAlignment="1">
      <alignment horizontal="center" vertical="center" wrapText="1"/>
    </xf>
    <xf numFmtId="0" fontId="60" fillId="17" borderId="22" xfId="0" applyFont="1" applyFill="1" applyBorder="1" applyAlignment="1">
      <alignment horizontal="center" vertical="center" wrapText="1"/>
    </xf>
    <xf numFmtId="0" fontId="8" fillId="17" borderId="3" xfId="0" applyFont="1" applyFill="1" applyBorder="1" applyAlignment="1">
      <alignment horizontal="center"/>
    </xf>
    <xf numFmtId="0" fontId="8" fillId="17" borderId="4" xfId="0" applyFont="1" applyFill="1" applyBorder="1" applyAlignment="1">
      <alignment horizontal="center"/>
    </xf>
    <xf numFmtId="0" fontId="8" fillId="17" borderId="5" xfId="0" applyFont="1" applyFill="1" applyBorder="1" applyAlignment="1">
      <alignment horizontal="center"/>
    </xf>
    <xf numFmtId="0" fontId="9" fillId="10" borderId="6" xfId="0" applyFont="1" applyFill="1" applyBorder="1" applyAlignment="1">
      <alignment horizontal="center"/>
    </xf>
    <xf numFmtId="0" fontId="9" fillId="10" borderId="8" xfId="0" applyFont="1" applyFill="1" applyBorder="1" applyAlignment="1">
      <alignment horizontal="center"/>
    </xf>
    <xf numFmtId="0" fontId="9" fillId="10" borderId="9" xfId="0" applyFont="1" applyFill="1" applyBorder="1" applyAlignment="1">
      <alignment horizontal="center"/>
    </xf>
    <xf numFmtId="0" fontId="9" fillId="10" borderId="28" xfId="0" applyFont="1" applyFill="1" applyBorder="1" applyAlignment="1">
      <alignment horizontal="center"/>
    </xf>
    <xf numFmtId="0" fontId="9" fillId="10" borderId="29" xfId="0" applyFont="1" applyFill="1" applyBorder="1" applyAlignment="1">
      <alignment horizontal="center"/>
    </xf>
    <xf numFmtId="188" fontId="37" fillId="17" borderId="6" xfId="0" applyNumberFormat="1" applyFont="1" applyFill="1" applyBorder="1" applyAlignment="1">
      <alignment horizontal="left" vertical="center"/>
    </xf>
    <xf numFmtId="188" fontId="37" fillId="17" borderId="7" xfId="0" applyNumberFormat="1" applyFont="1" applyFill="1" applyBorder="1" applyAlignment="1">
      <alignment horizontal="left" vertical="center"/>
    </xf>
    <xf numFmtId="188" fontId="37" fillId="17" borderId="8" xfId="0" applyNumberFormat="1" applyFont="1" applyFill="1" applyBorder="1" applyAlignment="1">
      <alignment horizontal="left" vertical="center"/>
    </xf>
    <xf numFmtId="49" fontId="37" fillId="17" borderId="21" xfId="0" applyNumberFormat="1" applyFont="1" applyFill="1" applyBorder="1" applyAlignment="1" applyProtection="1">
      <alignment horizontal="center" vertical="center"/>
      <protection locked="0"/>
    </xf>
    <xf numFmtId="49" fontId="37" fillId="17" borderId="25" xfId="0" applyNumberFormat="1" applyFont="1" applyFill="1" applyBorder="1" applyAlignment="1" applyProtection="1">
      <alignment horizontal="center" vertical="center"/>
      <protection locked="0"/>
    </xf>
    <xf numFmtId="49" fontId="37" fillId="17" borderId="42" xfId="0" applyNumberFormat="1" applyFont="1" applyFill="1" applyBorder="1" applyAlignment="1" applyProtection="1">
      <alignment horizontal="center" vertical="center"/>
      <protection locked="0"/>
    </xf>
    <xf numFmtId="49" fontId="37" fillId="17" borderId="26" xfId="0" applyNumberFormat="1" applyFont="1" applyFill="1" applyBorder="1" applyAlignment="1" applyProtection="1">
      <alignment horizontal="center" vertical="center"/>
      <protection locked="0"/>
    </xf>
    <xf numFmtId="49" fontId="37" fillId="17" borderId="0" xfId="0" applyNumberFormat="1" applyFont="1" applyFill="1" applyAlignment="1" applyProtection="1">
      <alignment horizontal="center" vertical="center"/>
      <protection locked="0"/>
    </xf>
    <xf numFmtId="49" fontId="37" fillId="17" borderId="30" xfId="0" applyNumberFormat="1" applyFont="1" applyFill="1" applyBorder="1" applyAlignment="1" applyProtection="1">
      <alignment horizontal="center" vertical="center"/>
      <protection locked="0"/>
    </xf>
    <xf numFmtId="0" fontId="37" fillId="17" borderId="38" xfId="0" applyFont="1" applyFill="1" applyBorder="1" applyAlignment="1" applyProtection="1">
      <alignment horizontal="center" vertical="center"/>
      <protection locked="0"/>
    </xf>
    <xf numFmtId="0" fontId="37" fillId="17" borderId="0" xfId="0" applyFont="1" applyFill="1" applyAlignment="1" applyProtection="1">
      <alignment horizontal="center" vertical="center"/>
      <protection locked="0"/>
    </xf>
    <xf numFmtId="0" fontId="37" fillId="17" borderId="27" xfId="0" applyFont="1" applyFill="1" applyBorder="1" applyAlignment="1" applyProtection="1">
      <alignment horizontal="center" vertical="center"/>
      <protection locked="0"/>
    </xf>
    <xf numFmtId="0" fontId="37" fillId="17" borderId="45" xfId="0" applyFont="1" applyFill="1" applyBorder="1" applyAlignment="1" applyProtection="1">
      <alignment horizontal="center" vertical="center"/>
      <protection locked="0"/>
    </xf>
    <xf numFmtId="0" fontId="37" fillId="17" borderId="17" xfId="0" applyFont="1" applyFill="1" applyBorder="1" applyAlignment="1" applyProtection="1">
      <alignment horizontal="center" vertical="center"/>
      <protection locked="0"/>
    </xf>
    <xf numFmtId="166" fontId="2" fillId="3" borderId="17" xfId="0" applyNumberFormat="1" applyFont="1" applyFill="1" applyBorder="1" applyAlignment="1" applyProtection="1">
      <alignment horizontal="center" vertical="center"/>
      <protection locked="0"/>
    </xf>
    <xf numFmtId="166" fontId="2" fillId="3" borderId="30" xfId="0" applyNumberFormat="1" applyFont="1" applyFill="1" applyBorder="1" applyAlignment="1" applyProtection="1">
      <alignment horizontal="center" vertical="center"/>
      <protection locked="0"/>
    </xf>
    <xf numFmtId="165" fontId="2" fillId="3" borderId="17" xfId="0" applyNumberFormat="1" applyFont="1" applyFill="1" applyBorder="1" applyAlignment="1" applyProtection="1">
      <alignment horizontal="center" vertical="center"/>
      <protection locked="0"/>
    </xf>
    <xf numFmtId="165" fontId="2" fillId="3" borderId="30" xfId="0" applyNumberFormat="1" applyFont="1" applyFill="1" applyBorder="1" applyAlignment="1" applyProtection="1">
      <alignment horizontal="center" vertical="center"/>
      <protection locked="0"/>
    </xf>
    <xf numFmtId="0" fontId="2" fillId="3" borderId="9" xfId="0" applyFont="1" applyFill="1" applyBorder="1" applyAlignment="1">
      <alignment horizontal="center" vertical="center"/>
    </xf>
    <xf numFmtId="0" fontId="2" fillId="3" borderId="28" xfId="0" applyFont="1" applyFill="1" applyBorder="1" applyAlignment="1">
      <alignment horizontal="center" vertical="center"/>
    </xf>
    <xf numFmtId="165" fontId="2" fillId="19" borderId="9" xfId="0" applyNumberFormat="1" applyFont="1" applyFill="1" applyBorder="1" applyAlignment="1" applyProtection="1">
      <alignment horizontal="center" vertical="center"/>
      <protection locked="0"/>
    </xf>
    <xf numFmtId="165" fontId="2" fillId="19" borderId="29" xfId="0" applyNumberFormat="1" applyFont="1" applyFill="1" applyBorder="1" applyAlignment="1" applyProtection="1">
      <alignment horizontal="center" vertical="center"/>
      <protection locked="0"/>
    </xf>
    <xf numFmtId="4" fontId="4" fillId="2" borderId="26" xfId="0" applyNumberFormat="1" applyFont="1" applyFill="1" applyBorder="1" applyAlignment="1">
      <alignment horizontal="center" vertical="center" wrapText="1"/>
    </xf>
    <xf numFmtId="4" fontId="4" fillId="2" borderId="0" xfId="0" applyNumberFormat="1" applyFont="1" applyFill="1" applyAlignment="1">
      <alignment horizontal="center" vertical="center" wrapText="1"/>
    </xf>
    <xf numFmtId="4" fontId="4" fillId="2" borderId="30" xfId="0" applyNumberFormat="1" applyFont="1" applyFill="1" applyBorder="1" applyAlignment="1">
      <alignment horizontal="center" vertical="center" wrapText="1"/>
    </xf>
    <xf numFmtId="0" fontId="37" fillId="17" borderId="30" xfId="0" applyFont="1" applyFill="1" applyBorder="1" applyAlignment="1" applyProtection="1">
      <alignment horizontal="center" vertical="center"/>
      <protection locked="0"/>
    </xf>
    <xf numFmtId="0" fontId="37" fillId="17" borderId="17" xfId="0" applyFont="1" applyFill="1" applyBorder="1" applyAlignment="1">
      <alignment horizontal="center" vertical="center"/>
    </xf>
    <xf numFmtId="0" fontId="37" fillId="17" borderId="30" xfId="0" applyFont="1" applyFill="1" applyBorder="1" applyAlignment="1">
      <alignment horizontal="center" vertical="center"/>
    </xf>
    <xf numFmtId="165" fontId="37" fillId="17" borderId="43" xfId="0" applyNumberFormat="1" applyFont="1" applyFill="1" applyBorder="1" applyAlignment="1" applyProtection="1">
      <alignment horizontal="center" vertical="center" wrapText="1"/>
      <protection locked="0"/>
    </xf>
    <xf numFmtId="165" fontId="37" fillId="17" borderId="37" xfId="0" applyNumberFormat="1" applyFont="1" applyFill="1" applyBorder="1" applyAlignment="1" applyProtection="1">
      <alignment horizontal="center" vertical="center" wrapText="1"/>
      <protection locked="0"/>
    </xf>
    <xf numFmtId="165" fontId="37" fillId="17" borderId="44" xfId="0" applyNumberFormat="1" applyFont="1" applyFill="1" applyBorder="1" applyAlignment="1" applyProtection="1">
      <alignment horizontal="center" vertical="center" wrapText="1"/>
      <protection locked="0"/>
    </xf>
    <xf numFmtId="165" fontId="4" fillId="2" borderId="46" xfId="0" applyNumberFormat="1" applyFont="1" applyFill="1" applyBorder="1" applyAlignment="1">
      <alignment horizontal="center" vertical="center" wrapText="1"/>
    </xf>
    <xf numFmtId="165" fontId="4" fillId="2" borderId="47" xfId="0" applyNumberFormat="1" applyFont="1" applyFill="1" applyBorder="1" applyAlignment="1">
      <alignment horizontal="center" vertical="center" wrapText="1"/>
    </xf>
    <xf numFmtId="165" fontId="4" fillId="2" borderId="48" xfId="0" applyNumberFormat="1" applyFont="1" applyFill="1" applyBorder="1" applyAlignment="1">
      <alignment horizontal="center" vertical="center" wrapText="1"/>
    </xf>
    <xf numFmtId="165" fontId="2" fillId="3" borderId="68" xfId="0" applyNumberFormat="1" applyFont="1" applyFill="1" applyBorder="1" applyAlignment="1" applyProtection="1">
      <alignment horizontal="center" vertical="center"/>
      <protection locked="0"/>
    </xf>
    <xf numFmtId="165" fontId="2" fillId="3" borderId="133" xfId="0" applyNumberFormat="1" applyFont="1" applyFill="1" applyBorder="1" applyAlignment="1" applyProtection="1">
      <alignment horizontal="center" vertical="center"/>
      <protection locked="0"/>
    </xf>
    <xf numFmtId="175" fontId="70" fillId="4" borderId="51" xfId="0" applyNumberFormat="1" applyFont="1" applyFill="1" applyBorder="1" applyAlignment="1">
      <alignment horizontal="center" vertical="center" wrapText="1"/>
    </xf>
    <xf numFmtId="175" fontId="70" fillId="4" borderId="29" xfId="0" applyNumberFormat="1" applyFont="1" applyFill="1" applyBorder="1" applyAlignment="1">
      <alignment horizontal="center" vertical="center" wrapText="1"/>
    </xf>
    <xf numFmtId="190" fontId="49" fillId="9" borderId="9" xfId="0" applyNumberFormat="1" applyFont="1" applyFill="1" applyBorder="1" applyAlignment="1">
      <alignment horizontal="center" vertical="center"/>
    </xf>
    <xf numFmtId="190" fontId="49" fillId="9" borderId="28" xfId="0" applyNumberFormat="1" applyFont="1" applyFill="1" applyBorder="1" applyAlignment="1">
      <alignment horizontal="center" vertical="center"/>
    </xf>
    <xf numFmtId="190" fontId="49" fillId="9" borderId="29" xfId="0" applyNumberFormat="1" applyFont="1" applyFill="1" applyBorder="1" applyAlignment="1">
      <alignment horizontal="center" vertical="center"/>
    </xf>
    <xf numFmtId="0" fontId="49" fillId="9" borderId="11" xfId="0" applyFont="1" applyFill="1" applyBorder="1" applyAlignment="1">
      <alignment horizontal="center" vertical="center"/>
    </xf>
    <xf numFmtId="0" fontId="49" fillId="9" borderId="12" xfId="0" applyFont="1" applyFill="1" applyBorder="1" applyAlignment="1">
      <alignment horizontal="center" vertical="center"/>
    </xf>
    <xf numFmtId="0" fontId="49" fillId="9" borderId="13" xfId="0" applyFont="1" applyFill="1" applyBorder="1" applyAlignment="1">
      <alignment horizontal="center" vertical="center"/>
    </xf>
    <xf numFmtId="0" fontId="37" fillId="17" borderId="77" xfId="0" applyFont="1" applyFill="1" applyBorder="1" applyAlignment="1" applyProtection="1">
      <alignment horizontal="center" vertical="center"/>
      <protection locked="0"/>
    </xf>
    <xf numFmtId="0" fontId="37" fillId="17" borderId="78" xfId="0" applyFont="1" applyFill="1" applyBorder="1" applyAlignment="1" applyProtection="1">
      <alignment horizontal="center" vertical="center"/>
      <protection locked="0"/>
    </xf>
    <xf numFmtId="0" fontId="37" fillId="17" borderId="79" xfId="0" applyFont="1" applyFill="1" applyBorder="1" applyAlignment="1" applyProtection="1">
      <alignment horizontal="center" vertical="center"/>
      <protection locked="0"/>
    </xf>
    <xf numFmtId="0" fontId="8" fillId="17" borderId="9" xfId="0" applyFont="1" applyFill="1" applyBorder="1" applyAlignment="1">
      <alignment horizontal="center" vertical="center"/>
    </xf>
    <xf numFmtId="0" fontId="8" fillId="17" borderId="28" xfId="0" applyFont="1" applyFill="1" applyBorder="1" applyAlignment="1">
      <alignment horizontal="center" vertical="center"/>
    </xf>
    <xf numFmtId="0" fontId="8" fillId="17" borderId="29" xfId="0" applyFont="1" applyFill="1" applyBorder="1" applyAlignment="1">
      <alignment horizontal="center" vertical="center"/>
    </xf>
    <xf numFmtId="0" fontId="26" fillId="9" borderId="9" xfId="0" applyFont="1" applyFill="1" applyBorder="1" applyAlignment="1">
      <alignment horizontal="center" vertical="center"/>
    </xf>
    <xf numFmtId="0" fontId="26" fillId="9" borderId="28" xfId="0" applyFont="1" applyFill="1" applyBorder="1" applyAlignment="1">
      <alignment horizontal="center" vertical="center"/>
    </xf>
    <xf numFmtId="0" fontId="26" fillId="9" borderId="29" xfId="0" applyFont="1" applyFill="1" applyBorder="1" applyAlignment="1">
      <alignment horizontal="center" vertical="center"/>
    </xf>
    <xf numFmtId="49" fontId="37" fillId="17" borderId="77" xfId="0" applyNumberFormat="1" applyFont="1" applyFill="1" applyBorder="1" applyAlignment="1" applyProtection="1">
      <alignment horizontal="center" vertical="center"/>
      <protection locked="0"/>
    </xf>
    <xf numFmtId="49" fontId="37" fillId="17" borderId="78" xfId="0" applyNumberFormat="1" applyFont="1" applyFill="1" applyBorder="1" applyAlignment="1" applyProtection="1">
      <alignment horizontal="center" vertical="center"/>
      <protection locked="0"/>
    </xf>
    <xf numFmtId="49" fontId="37" fillId="17" borderId="79" xfId="0" applyNumberFormat="1" applyFont="1" applyFill="1" applyBorder="1" applyAlignment="1" applyProtection="1">
      <alignment horizontal="center" vertical="center"/>
      <protection locked="0"/>
    </xf>
    <xf numFmtId="188" fontId="37" fillId="17" borderId="12" xfId="0" applyNumberFormat="1" applyFont="1" applyFill="1" applyBorder="1" applyAlignment="1">
      <alignment horizontal="left" vertical="center"/>
    </xf>
    <xf numFmtId="188" fontId="37" fillId="17" borderId="13" xfId="0" applyNumberFormat="1" applyFont="1" applyFill="1" applyBorder="1" applyAlignment="1">
      <alignment horizontal="left" vertical="center"/>
    </xf>
    <xf numFmtId="165" fontId="2" fillId="3" borderId="0" xfId="0" applyNumberFormat="1" applyFont="1" applyFill="1" applyAlignment="1" applyProtection="1">
      <alignment horizontal="center" vertical="center"/>
      <protection locked="0"/>
    </xf>
    <xf numFmtId="0" fontId="26" fillId="9" borderId="51" xfId="0" applyFont="1" applyFill="1" applyBorder="1" applyAlignment="1">
      <alignment horizontal="center" vertical="center"/>
    </xf>
    <xf numFmtId="0" fontId="26" fillId="9" borderId="60" xfId="0" applyFont="1" applyFill="1" applyBorder="1" applyAlignment="1">
      <alignment horizontal="center" vertical="center"/>
    </xf>
    <xf numFmtId="0" fontId="77" fillId="7" borderId="9" xfId="0" applyFont="1" applyFill="1" applyBorder="1" applyAlignment="1">
      <alignment horizontal="center" vertical="center"/>
    </xf>
    <xf numFmtId="0" fontId="77" fillId="7" borderId="28" xfId="0" applyFont="1" applyFill="1" applyBorder="1" applyAlignment="1">
      <alignment horizontal="center" vertical="center"/>
    </xf>
    <xf numFmtId="0" fontId="77" fillId="7" borderId="29" xfId="0" applyFont="1" applyFill="1" applyBorder="1" applyAlignment="1">
      <alignment horizontal="center" vertical="center"/>
    </xf>
    <xf numFmtId="0" fontId="49" fillId="9" borderId="46" xfId="0" applyFont="1" applyFill="1" applyBorder="1" applyAlignment="1">
      <alignment horizontal="center" vertical="center"/>
    </xf>
    <xf numFmtId="0" fontId="49" fillId="9" borderId="47" xfId="0" applyFont="1" applyFill="1" applyBorder="1" applyAlignment="1">
      <alignment horizontal="center" vertical="center"/>
    </xf>
    <xf numFmtId="0" fontId="49" fillId="9" borderId="48" xfId="0" applyFont="1" applyFill="1" applyBorder="1" applyAlignment="1">
      <alignment horizontal="center" vertical="center"/>
    </xf>
    <xf numFmtId="0" fontId="8" fillId="17" borderId="17" xfId="0" applyFont="1" applyFill="1" applyBorder="1" applyAlignment="1">
      <alignment horizontal="center" vertical="center"/>
    </xf>
    <xf numFmtId="0" fontId="8" fillId="17" borderId="0" xfId="0" applyFont="1" applyFill="1" applyAlignment="1">
      <alignment horizontal="center" vertical="center"/>
    </xf>
    <xf numFmtId="0" fontId="8" fillId="17" borderId="30" xfId="0" applyFont="1" applyFill="1" applyBorder="1" applyAlignment="1">
      <alignment horizontal="center" vertical="center"/>
    </xf>
  </cellXfs>
  <cellStyles count="6">
    <cellStyle name="Insatisfaisant" xfId="4" builtinId="27"/>
    <cellStyle name="Milliers" xfId="3" builtinId="3"/>
    <cellStyle name="Normal" xfId="0" builtinId="0"/>
    <cellStyle name="Normalny_W&amp;C LIST" xfId="1" xr:uid="{00000000-0005-0000-0000-000003000000}"/>
    <cellStyle name="Pourcentage" xfId="5" builtinId="5"/>
    <cellStyle name="Satisfaisant" xfId="2" builtinId="26"/>
  </cellStyles>
  <dxfs count="375">
    <dxf>
      <font>
        <b val="0"/>
        <i val="0"/>
        <strike val="0"/>
        <condense val="0"/>
        <extend val="0"/>
        <outline val="0"/>
        <shadow val="0"/>
        <u val="none"/>
        <vertAlign val="baseline"/>
        <sz val="11"/>
        <color rgb="FF9C0006"/>
        <name val="Calibri"/>
        <scheme val="none"/>
      </font>
      <numFmt numFmtId="165" formatCode="#,##0.000"/>
      <fill>
        <patternFill patternType="solid">
          <fgColor indexed="64"/>
          <bgColor rgb="FFFFC7CE"/>
        </patternFill>
      </fill>
      <alignment horizontal="center" vertical="center" textRotation="0" wrapText="0" indent="0" justifyLastLine="0" shrinkToFit="0" readingOrder="0"/>
      <border diagonalUp="0" diagonalDown="0">
        <left style="hair">
          <color indexed="64"/>
        </left>
        <right style="thin">
          <color indexed="64"/>
        </right>
        <top/>
        <bottom/>
        <vertical/>
        <horizontal/>
      </border>
    </dxf>
    <dxf>
      <font>
        <b val="0"/>
        <i val="0"/>
        <strike val="0"/>
        <condense val="0"/>
        <extend val="0"/>
        <outline val="0"/>
        <shadow val="0"/>
        <u val="none"/>
        <vertAlign val="baseline"/>
        <sz val="11"/>
        <color auto="1"/>
        <name val="Calibri"/>
        <scheme val="minor"/>
      </font>
      <numFmt numFmtId="188" formatCode="#,##0.000&quot; t&quot;;\-#,##0.000&quot; t&quo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11"/>
        <color rgb="FF7030A0"/>
        <name val="Calibri"/>
        <scheme val="minor"/>
      </font>
      <numFmt numFmtId="191" formatCode="#,##0.000&quot; t/m&quot;;\-#,##0.000&quot; t/m&quot;;0.000&quot; t/m&quo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bottom/>
        <vertical/>
        <horizontal/>
      </border>
    </dxf>
    <dxf>
      <font>
        <b val="0"/>
        <i/>
        <strike val="0"/>
        <condense val="0"/>
        <extend val="0"/>
        <outline val="0"/>
        <shadow val="0"/>
        <u val="none"/>
        <vertAlign val="baseline"/>
        <sz val="11"/>
        <color rgb="FF7030A0"/>
        <name val="Calibri"/>
        <scheme val="minor"/>
      </font>
      <numFmt numFmtId="190" formatCode="#,##0.000&quot; m&quot;;\-#,##0.000&quot; m&quot;;0.000&quot; m&quot;;@"/>
      <fill>
        <patternFill patternType="none">
          <fgColor indexed="64"/>
          <bgColor indexed="65"/>
        </patternFill>
      </fill>
      <alignment horizontal="center" vertical="bottom" textRotation="0" wrapText="0" indent="0" justifyLastLine="0" shrinkToFit="0" readingOrder="0"/>
      <border diagonalUp="0" diagonalDown="0">
        <left style="hair">
          <color indexed="64"/>
        </left>
        <right style="thin">
          <color indexed="64"/>
        </right>
        <top/>
        <bottom/>
        <vertical/>
        <horizontal/>
      </border>
    </dxf>
    <dxf>
      <font>
        <b val="0"/>
        <i/>
        <strike val="0"/>
        <condense val="0"/>
        <extend val="0"/>
        <outline val="0"/>
        <shadow val="0"/>
        <u val="none"/>
        <vertAlign val="baseline"/>
        <sz val="11"/>
        <color rgb="FF7030A0"/>
        <name val="Calibri"/>
        <scheme val="minor"/>
      </font>
      <numFmt numFmtId="190" formatCode="#,##0.000&quot; m&quot;;\-#,##0.000&quot; m&quot;;0.000&quot; m&quo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hair">
          <color indexed="64"/>
        </right>
        <top/>
        <bottom/>
        <vertical/>
        <horizontal/>
      </border>
    </dxf>
    <dxf>
      <font>
        <b val="0"/>
        <i val="0"/>
        <strike val="0"/>
        <condense val="0"/>
        <extend val="0"/>
        <outline val="0"/>
        <shadow val="0"/>
        <u val="none"/>
        <vertAlign val="baseline"/>
        <sz val="11"/>
        <color rgb="FF9C0006"/>
        <name val="Calibri"/>
        <scheme val="none"/>
      </font>
      <numFmt numFmtId="165" formatCode="#,##0.000"/>
      <fill>
        <patternFill patternType="solid">
          <fgColor indexed="64"/>
          <bgColor rgb="FFFFC7CE"/>
        </patternFill>
      </fill>
      <alignment horizontal="center"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1"/>
        <color theme="1" tint="0.34998626667073579"/>
        <name val="Calibri"/>
        <scheme val="minor"/>
      </font>
      <numFmt numFmtId="197" formatCode="0.0_ ;\-0.0\ "/>
      <fill>
        <patternFill patternType="none">
          <fgColor indexed="64"/>
          <bgColor indexed="65"/>
        </patternFill>
      </fill>
      <alignment horizontal="center" vertical="bottom" textRotation="0" wrapText="0" indent="0" justifyLastLine="0" shrinkToFit="0" readingOrder="0"/>
      <border diagonalUp="0" diagonalDown="0">
        <left style="hair">
          <color indexed="64"/>
        </left>
        <right style="thin">
          <color indexed="64"/>
        </right>
        <top/>
        <bottom/>
        <vertical/>
        <horizontal/>
      </border>
    </dxf>
    <dxf>
      <font>
        <b val="0"/>
        <i val="0"/>
        <strike val="0"/>
        <condense val="0"/>
        <extend val="0"/>
        <outline val="0"/>
        <shadow val="0"/>
        <u val="none"/>
        <vertAlign val="baseline"/>
        <sz val="11"/>
        <color theme="1" tint="0.499984740745262"/>
        <name val="Calibri"/>
        <scheme val="minor"/>
      </font>
      <numFmt numFmtId="197" formatCode="0.0_ ;\-0.0\ "/>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hair">
          <color indexed="64"/>
        </right>
        <top/>
        <bottom/>
        <vertical/>
        <horizontal/>
      </border>
    </dxf>
    <dxf>
      <font>
        <b val="0"/>
        <i/>
        <strike val="0"/>
        <condense val="0"/>
        <extend val="0"/>
        <outline val="0"/>
        <shadow val="0"/>
        <u val="none"/>
        <vertAlign val="baseline"/>
        <sz val="11"/>
        <color theme="3"/>
        <name val="Calibri"/>
        <scheme val="minor"/>
      </font>
      <numFmt numFmtId="190" formatCode="#,##0.000&quot; m&quot;;\-#,##0.000&quot; m&quot;;0.000&quot; m&quot;;@"/>
      <fill>
        <patternFill patternType="none">
          <fgColor indexed="64"/>
          <bgColor indexed="65"/>
        </patternFill>
      </fill>
      <alignment horizontal="center" vertical="bottom" textRotation="0" wrapText="0" indent="0" justifyLastLine="0" shrinkToFit="0" readingOrder="0"/>
      <border diagonalUp="0" diagonalDown="0">
        <left style="hair">
          <color indexed="64"/>
        </left>
        <right style="thin">
          <color indexed="64"/>
        </right>
        <top/>
        <bottom/>
        <vertical/>
        <horizontal/>
      </border>
    </dxf>
    <dxf>
      <font>
        <b val="0"/>
        <i/>
        <strike val="0"/>
        <condense val="0"/>
        <extend val="0"/>
        <outline val="0"/>
        <shadow val="0"/>
        <u val="none"/>
        <vertAlign val="baseline"/>
        <sz val="11"/>
        <color theme="3"/>
        <name val="Calibri"/>
        <scheme val="minor"/>
      </font>
      <numFmt numFmtId="190" formatCode="#,##0.000&quot; m&quot;;\-#,##0.000&quot; m&quot;;0.000&quot; m&quo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hair">
          <color indexed="64"/>
        </right>
        <top/>
        <bottom/>
        <vertical/>
        <horizontal/>
      </border>
    </dxf>
    <dxf>
      <font>
        <b val="0"/>
        <i/>
        <strike val="0"/>
        <condense val="0"/>
        <extend val="0"/>
        <outline val="0"/>
        <shadow val="0"/>
        <u val="none"/>
        <vertAlign val="baseline"/>
        <sz val="11"/>
        <color theme="3"/>
        <name val="Calibri"/>
        <scheme val="minor"/>
      </font>
      <numFmt numFmtId="175" formatCode="#,##0.000&quot; m&quot;;\-#,##0.000&quot; m&quo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bottom/>
        <vertical/>
        <horizontal/>
      </border>
    </dxf>
    <dxf>
      <font>
        <b val="0"/>
        <i/>
        <strike val="0"/>
        <condense val="0"/>
        <extend val="0"/>
        <outline val="0"/>
        <shadow val="0"/>
        <u val="none"/>
        <vertAlign val="baseline"/>
        <sz val="11"/>
        <color theme="1" tint="0.34998626667073579"/>
        <name val="Calibri"/>
        <scheme val="minor"/>
      </font>
      <numFmt numFmtId="175" formatCode="#,##0.000&quot; m&quot;;\-#,##0.000&quot; m&quot;;\-"/>
      <fill>
        <patternFill patternType="none">
          <fgColor indexed="64"/>
          <bgColor indexed="65"/>
        </patternFill>
      </fill>
      <alignment horizontal="center" vertical="bottom" textRotation="0" wrapText="0" indent="0" justifyLastLine="0" shrinkToFit="0" readingOrder="0"/>
      <border diagonalUp="0" diagonalDown="0">
        <left style="hair">
          <color indexed="64"/>
        </left>
        <right style="thin">
          <color indexed="64"/>
        </right>
        <top/>
        <bottom/>
        <vertical/>
        <horizontal/>
      </border>
    </dxf>
    <dxf>
      <font>
        <b val="0"/>
        <i/>
        <strike val="0"/>
        <condense val="0"/>
        <extend val="0"/>
        <outline val="0"/>
        <shadow val="0"/>
        <u val="none"/>
        <vertAlign val="baseline"/>
        <sz val="11"/>
        <color theme="1" tint="0.34998626667073579"/>
        <name val="Calibri"/>
        <scheme val="minor"/>
      </font>
      <numFmt numFmtId="175" formatCode="#,##0.000&quot; m&quot;;\-#,##0.000&quot; m&quot;;\-"/>
      <fill>
        <patternFill patternType="none">
          <fgColor indexed="64"/>
          <bgColor indexed="65"/>
        </patternFill>
      </fill>
      <alignment horizontal="center" vertical="bottom" textRotation="0" wrapText="0" indent="0" justifyLastLine="0" shrinkToFit="0" readingOrder="0"/>
      <border diagonalUp="0" diagonalDown="0">
        <left style="hair">
          <color indexed="64"/>
        </left>
        <right style="hair">
          <color indexed="64"/>
        </right>
        <top/>
        <bottom/>
        <vertical/>
        <horizontal/>
      </border>
    </dxf>
    <dxf>
      <font>
        <b val="0"/>
        <i/>
        <strike val="0"/>
        <condense val="0"/>
        <extend val="0"/>
        <outline val="0"/>
        <shadow val="0"/>
        <u val="none"/>
        <vertAlign val="baseline"/>
        <sz val="11"/>
        <color theme="1" tint="0.34998626667073579"/>
        <name val="Calibri"/>
        <scheme val="minor"/>
      </font>
      <numFmt numFmtId="175" formatCode="#,##0.000&quot; m&quot;;\-#,##0.000&quot; m&quo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hair">
          <color indexed="64"/>
        </right>
        <top/>
        <bottom/>
        <vertical/>
        <horizontal/>
      </border>
    </dxf>
    <dxf>
      <font>
        <b val="0"/>
        <i/>
        <strike val="0"/>
        <condense val="0"/>
        <extend val="0"/>
        <outline val="0"/>
        <shadow val="0"/>
        <u val="none"/>
        <vertAlign val="baseline"/>
        <sz val="11"/>
        <color theme="1" tint="0.34998626667073579"/>
        <name val="Calibri"/>
        <scheme val="minor"/>
      </font>
      <numFmt numFmtId="188" formatCode="#,##0.000&quot; t&quot;;\-#,##0.000&quot; t&quo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bottom/>
        <vertical/>
        <horizontal/>
      </border>
    </dxf>
    <dxf>
      <numFmt numFmtId="175" formatCode="#,##0.000&quot; m&quot;;\-#,##0.000&quot; m&quot;;\-"/>
    </dxf>
    <dxf>
      <font>
        <b val="0"/>
        <i val="0"/>
        <strike val="0"/>
        <condense val="0"/>
        <extend val="0"/>
        <outline val="0"/>
        <shadow val="0"/>
        <u val="none"/>
        <vertAlign val="baseline"/>
        <sz val="11"/>
        <color rgb="FF006100"/>
        <name val="Calibri"/>
        <scheme val="minor"/>
      </font>
      <numFmt numFmtId="175" formatCode="#,##0.000&quot; m&quot;;\-#,##0.000&quot; m&quot;;\-"/>
      <fill>
        <patternFill patternType="none">
          <fgColor indexed="64"/>
          <bgColor indexed="65"/>
        </patternFill>
      </fill>
      <alignment horizontal="center" vertical="top" textRotation="0" wrapText="0" indent="0" justifyLastLine="0" shrinkToFit="0" readingOrder="0"/>
      <border diagonalUp="0" diagonalDown="0">
        <left style="hair">
          <color indexed="64"/>
        </left>
        <right style="hair">
          <color indexed="64"/>
        </right>
        <top/>
        <bottom/>
        <vertical/>
        <horizontal/>
      </border>
    </dxf>
    <dxf>
      <font>
        <b val="0"/>
        <i val="0"/>
        <strike val="0"/>
        <condense val="0"/>
        <extend val="0"/>
        <outline val="0"/>
        <shadow val="0"/>
        <u val="none"/>
        <vertAlign val="baseline"/>
        <sz val="11"/>
        <color rgb="FF006100"/>
        <name val="Calibri"/>
        <scheme val="minor"/>
      </font>
      <numFmt numFmtId="175" formatCode="#,##0.000&quot; m&quot;;\-#,##0.000&quot; m&quot;;\-"/>
      <fill>
        <patternFill patternType="none">
          <fgColor indexed="64"/>
          <bgColor indexed="65"/>
        </patternFill>
      </fill>
      <alignment horizontal="center" vertical="top" textRotation="0" wrapText="0" indent="0" justifyLastLine="0" shrinkToFit="0" readingOrder="0"/>
      <border diagonalUp="0" diagonalDown="0">
        <left style="hair">
          <color indexed="64"/>
        </left>
        <right style="hair">
          <color indexed="64"/>
        </right>
        <top/>
        <bottom/>
        <vertical/>
        <horizontal/>
      </border>
    </dxf>
    <dxf>
      <font>
        <b val="0"/>
        <i val="0"/>
        <strike val="0"/>
        <condense val="0"/>
        <extend val="0"/>
        <outline val="0"/>
        <shadow val="0"/>
        <u val="none"/>
        <vertAlign val="baseline"/>
        <sz val="11"/>
        <color rgb="FF006100"/>
        <name val="Calibri"/>
        <scheme val="minor"/>
      </font>
      <numFmt numFmtId="195" formatCode="#,##0.000&quot; m&quot;;\-#,##0.000&quot; m&quot;;\-;@"/>
      <fill>
        <patternFill patternType="none">
          <fgColor indexed="64"/>
          <bgColor indexed="65"/>
        </patternFill>
      </fill>
      <alignment horizontal="center" vertical="top" textRotation="0" wrapText="0" indent="0" justifyLastLine="0" shrinkToFit="0" readingOrder="0"/>
      <border diagonalUp="0" diagonalDown="0">
        <left style="hair">
          <color indexed="64"/>
        </left>
        <right style="hair">
          <color indexed="64"/>
        </right>
        <top/>
        <bottom/>
        <vertical style="hair">
          <color indexed="64"/>
        </vertical>
        <horizontal/>
      </border>
    </dxf>
    <dxf>
      <font>
        <b val="0"/>
        <i val="0"/>
        <strike val="0"/>
        <condense val="0"/>
        <extend val="0"/>
        <outline val="0"/>
        <shadow val="0"/>
        <u val="none"/>
        <vertAlign val="baseline"/>
        <sz val="11"/>
        <color rgb="FF006100"/>
        <name val="Calibri"/>
        <scheme val="minor"/>
      </font>
      <numFmt numFmtId="188" formatCode="#,##0.000&quot; t&quot;;\-#,##0.000&quot; t&quot;;\-;@"/>
      <fill>
        <patternFill patternType="none">
          <fgColor indexed="64"/>
          <bgColor indexed="65"/>
        </patternFill>
      </fill>
      <alignment horizontal="center" vertical="top" textRotation="0" wrapText="0" indent="0" justifyLastLine="0" shrinkToFit="0" readingOrder="0"/>
      <border diagonalUp="0" diagonalDown="0">
        <left style="thin">
          <color indexed="64"/>
        </left>
        <right style="hair">
          <color indexed="64"/>
        </right>
        <top/>
        <bottom/>
        <vertical/>
        <horizontal/>
      </border>
    </dxf>
    <dxf>
      <font>
        <b val="0"/>
        <i val="0"/>
        <strike val="0"/>
        <condense val="0"/>
        <extend val="0"/>
        <outline val="0"/>
        <shadow val="0"/>
        <u val="none"/>
        <vertAlign val="baseline"/>
        <sz val="11"/>
        <color rgb="FF006100"/>
        <name val="Calibri"/>
        <scheme val="minor"/>
      </font>
      <numFmt numFmtId="195" formatCode="#,##0.000&quot; m&quot;;\-#,##0.000&quot; m&quot;;\-;@"/>
      <fill>
        <patternFill patternType="none">
          <fgColor indexed="64"/>
          <bgColor indexed="65"/>
        </patternFill>
      </fill>
      <alignment horizontal="center" vertical="top" textRotation="0" wrapText="0" indent="0" justifyLastLine="0" shrinkToFit="0" readingOrder="0"/>
      <border diagonalUp="0" diagonalDown="0">
        <left style="hair">
          <color indexed="64"/>
        </left>
        <right style="thin">
          <color indexed="64"/>
        </right>
        <top/>
        <bottom/>
        <vertical/>
        <horizontal/>
      </border>
    </dxf>
    <dxf>
      <font>
        <i/>
        <color rgb="FF006100"/>
      </font>
      <numFmt numFmtId="198" formatCode="#,##0.0&quot; t*m&quot;;\-#,##0.0&quot; t*m&quot;;\-;@"/>
      <fill>
        <patternFill patternType="none">
          <fgColor indexed="64"/>
          <bgColor indexed="65"/>
        </patternFill>
      </fill>
      <alignment horizontal="center" vertical="top" textRotation="0" wrapText="0" indent="0" justifyLastLine="0" shrinkToFit="0" readingOrder="0"/>
      <border diagonalUp="0" diagonalDown="0">
        <left style="hair">
          <color indexed="64"/>
        </left>
        <right style="hair">
          <color indexed="64"/>
        </right>
        <top/>
        <bottom/>
        <vertical/>
        <horizontal/>
      </border>
    </dxf>
    <dxf>
      <font>
        <b val="0"/>
        <i/>
        <strike val="0"/>
        <condense val="0"/>
        <extend val="0"/>
        <outline val="0"/>
        <shadow val="0"/>
        <u val="none"/>
        <vertAlign val="baseline"/>
        <sz val="11"/>
        <color rgb="FF006100"/>
        <name val="Calibri"/>
        <scheme val="minor"/>
      </font>
      <numFmt numFmtId="199" formatCode="#,##0.00&quot; m3&quot;;\-#,##0.00&quot; m3&quot;;\-;@"/>
      <fill>
        <patternFill patternType="none">
          <fgColor indexed="64"/>
          <bgColor indexed="65"/>
        </patternFill>
      </fill>
      <alignment horizontal="center" vertical="top"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11"/>
        <color theme="1" tint="0.34998626667073579"/>
        <name val="Calibri"/>
        <scheme val="none"/>
      </font>
      <numFmt numFmtId="195" formatCode="#,##0.000&quot; m&quot;;\-#,##0.000&quot; m&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rgb="FF006100"/>
        <name val="Calibri"/>
        <scheme val="none"/>
      </font>
      <numFmt numFmtId="0" formatCode="General"/>
      <fill>
        <patternFill patternType="none">
          <fgColor indexed="64"/>
          <bgColor indexed="65"/>
        </patternFill>
      </fill>
      <alignment horizontal="left" vertical="center" textRotation="0" wrapText="1" indent="0" justifyLastLine="0" shrinkToFit="0" readingOrder="0"/>
      <border diagonalUp="0" diagonalDown="0">
        <left style="hair">
          <color indexed="64"/>
        </left>
        <right style="hair">
          <color indexed="64"/>
        </right>
        <top/>
        <bottom/>
        <vertical/>
        <horizontal/>
      </border>
    </dxf>
    <dxf>
      <font>
        <b val="0"/>
        <i/>
        <strike val="0"/>
        <condense val="0"/>
        <extend val="0"/>
        <outline val="0"/>
        <shadow val="0"/>
        <u val="none"/>
        <vertAlign val="baseline"/>
        <sz val="11"/>
        <color theme="1" tint="0.499984740745262"/>
        <name val="Calibri"/>
        <scheme val="minor"/>
      </font>
      <numFmt numFmtId="173" formatCode="00"/>
      <fill>
        <patternFill patternType="none">
          <fgColor indexed="64"/>
          <bgColor indexed="65"/>
        </patternFill>
      </fill>
      <alignment horizontal="center" vertical="bottom" textRotation="0" wrapText="0" indent="0" justifyLastLine="0" shrinkToFit="0" readingOrder="0"/>
      <border diagonalUp="0" diagonalDown="0">
        <left/>
        <right style="hair">
          <color indexed="64"/>
        </right>
        <top/>
        <bottom/>
        <vertical/>
        <horizontal/>
      </border>
    </dxf>
    <dxf>
      <border outline="0">
        <left style="thin">
          <color indexed="64"/>
        </left>
        <right style="thin">
          <color indexed="64"/>
        </right>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color rgb="FF006100"/>
      </font>
      <fill>
        <patternFill>
          <bgColor rgb="FFC6EFCE"/>
        </patternFill>
      </fill>
    </dxf>
    <dxf>
      <fill>
        <patternFill>
          <bgColor theme="0" tint="-0.14996795556505021"/>
        </patternFill>
      </fill>
    </dxf>
    <dxf>
      <fill>
        <patternFill>
          <bgColor theme="0" tint="-0.14996795556505021"/>
        </patternFill>
      </fill>
    </dxf>
    <dxf>
      <font>
        <color rgb="FF006100"/>
      </font>
      <fill>
        <patternFill>
          <bgColor rgb="FFC6EFCE"/>
        </patternFill>
      </fill>
    </dxf>
    <dxf>
      <font>
        <color rgb="FF006100"/>
      </font>
      <fill>
        <patternFill>
          <bgColor rgb="FFC6EFCE"/>
        </patternFill>
      </fill>
    </dxf>
    <dxf>
      <fill>
        <patternFill>
          <bgColor theme="0" tint="-0.14996795556505021"/>
        </patternFill>
      </fill>
    </dxf>
    <dxf>
      <font>
        <b val="0"/>
        <i val="0"/>
        <strike val="0"/>
        <condense val="0"/>
        <extend val="0"/>
        <outline val="0"/>
        <shadow val="0"/>
        <u val="none"/>
        <vertAlign val="baseline"/>
        <sz val="11"/>
        <color rgb="FF9C0006"/>
        <name val="Calibri"/>
        <scheme val="none"/>
      </font>
      <numFmt numFmtId="165" formatCode="#,##0.000"/>
      <fill>
        <patternFill patternType="solid">
          <fgColor indexed="64"/>
          <bgColor rgb="FFFFC7CE"/>
        </patternFill>
      </fill>
      <alignment horizontal="center" vertical="center" textRotation="0" wrapText="0" indent="0" justifyLastLine="0" shrinkToFit="0" readingOrder="0"/>
      <border diagonalUp="0" diagonalDown="0">
        <left style="hair">
          <color indexed="64"/>
        </left>
        <right style="thin">
          <color indexed="64"/>
        </right>
        <top/>
        <bottom/>
        <vertical/>
        <horizontal/>
      </border>
    </dxf>
    <dxf>
      <font>
        <b val="0"/>
        <i val="0"/>
        <strike val="0"/>
        <condense val="0"/>
        <extend val="0"/>
        <outline val="0"/>
        <shadow val="0"/>
        <u val="none"/>
        <vertAlign val="baseline"/>
        <sz val="11"/>
        <color auto="1"/>
        <name val="Calibri"/>
        <scheme val="none"/>
      </font>
      <numFmt numFmtId="189" formatCode="#,##0.0&quot; t*m&quot;;\-#,##0.0&quot; t*m&quot;;0.0&quot; t*m&quo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11"/>
        <color rgb="FF7030A0"/>
        <name val="Calibri"/>
        <scheme val="none"/>
      </font>
      <numFmt numFmtId="192" formatCode="#,##0.000_ ;\-#,##0.000\ "/>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11"/>
        <color rgb="FF7030A0"/>
        <name val="Calibri"/>
        <scheme val="none"/>
      </font>
      <numFmt numFmtId="191" formatCode="#,##0.000&quot; t/m&quot;;\-#,##0.000&quot; t/m&quot;;0.000&quot; t/m&quot;;@"/>
      <fill>
        <patternFill patternType="none">
          <fgColor indexed="64"/>
          <bgColor indexed="65"/>
        </patternFill>
      </fill>
      <alignment horizontal="center" vertical="center" textRotation="0" wrapText="0" indent="0" justifyLastLine="0" shrinkToFit="0" readingOrder="0"/>
      <border diagonalUp="0" diagonalDown="0">
        <left style="hair">
          <color indexed="64"/>
        </left>
        <right/>
        <top/>
        <bottom/>
        <vertical/>
        <horizontal/>
      </border>
    </dxf>
    <dxf>
      <font>
        <b val="0"/>
        <i/>
        <strike val="0"/>
        <condense val="0"/>
        <extend val="0"/>
        <outline val="0"/>
        <shadow val="0"/>
        <u val="none"/>
        <vertAlign val="baseline"/>
        <sz val="11"/>
        <color rgb="FF7030A0"/>
        <name val="Calibri"/>
        <scheme val="none"/>
      </font>
      <numFmt numFmtId="191" formatCode="#,##0.000&quot; t/m&quot;;\-#,##0.000&quot; t/m&quot;;0.000&quot; t/m&quo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1"/>
        <color rgb="FF9C0006"/>
        <name val="Calibri"/>
        <scheme val="none"/>
      </font>
      <numFmt numFmtId="165" formatCode="#,##0.000"/>
      <fill>
        <patternFill patternType="solid">
          <fgColor indexed="64"/>
          <bgColor rgb="FFFEC7CE"/>
        </patternFill>
      </fill>
      <alignment horizontal="center"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1"/>
        <color theme="1" tint="0.34998626667073579"/>
        <name val="Calibri"/>
        <scheme val="none"/>
      </font>
      <numFmt numFmtId="166" formatCode="#,##0.0"/>
      <fill>
        <patternFill patternType="none">
          <fgColor indexed="64"/>
          <bgColor indexed="65"/>
        </patternFill>
      </fill>
      <alignment horizontal="center" vertical="center" textRotation="0" wrapText="0" indent="0" justifyLastLine="0" shrinkToFit="0" readingOrder="0"/>
      <border diagonalUp="0" diagonalDown="0">
        <left style="hair">
          <color indexed="64"/>
        </left>
        <right/>
        <top/>
        <bottom/>
        <vertical/>
        <horizontal/>
      </border>
    </dxf>
    <dxf>
      <font>
        <b val="0"/>
        <i val="0"/>
        <strike val="0"/>
        <condense val="0"/>
        <extend val="0"/>
        <outline val="0"/>
        <shadow val="0"/>
        <u val="none"/>
        <vertAlign val="baseline"/>
        <sz val="11"/>
        <color theme="1" tint="0.499984740745262"/>
        <name val="Calibri"/>
        <scheme val="none"/>
      </font>
      <numFmt numFmtId="166" formatCode="#,##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11"/>
        <color theme="3"/>
        <name val="Calibri"/>
        <scheme val="none"/>
      </font>
      <numFmt numFmtId="165" formatCode="#,##0.000"/>
      <fill>
        <patternFill patternType="none">
          <fgColor indexed="64"/>
          <bgColor indexed="65"/>
        </patternFill>
      </fill>
      <alignment horizontal="center" vertical="center" textRotation="0" wrapText="0" indent="0" justifyLastLine="0" shrinkToFit="0" readingOrder="0"/>
      <border diagonalUp="0" diagonalDown="0">
        <left style="hair">
          <color indexed="64"/>
        </left>
        <right/>
        <top/>
        <bottom/>
        <vertical/>
        <horizontal/>
      </border>
    </dxf>
    <dxf>
      <font>
        <b val="0"/>
        <i/>
        <strike val="0"/>
        <condense val="0"/>
        <extend val="0"/>
        <outline val="0"/>
        <shadow val="0"/>
        <u val="none"/>
        <vertAlign val="baseline"/>
        <sz val="11"/>
        <color theme="3"/>
        <name val="Calibri"/>
        <scheme val="none"/>
      </font>
      <numFmt numFmtId="165" formatCode="#,##0.0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11"/>
        <color theme="3"/>
        <name val="Calibri"/>
        <scheme val="none"/>
      </font>
      <numFmt numFmtId="191" formatCode="#,##0.000&quot; t/m&quot;;\-#,##0.000&quot; t/m&quot;;0.000&quot; t/m&quo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11"/>
        <color theme="1" tint="0.34998626667073579"/>
        <name val="Calibri"/>
        <scheme val="none"/>
      </font>
      <numFmt numFmtId="191" formatCode="#,##0.000&quot; t/m&quot;;\-#,##0.000&quot; t/m&quot;;0.000&quot; t/m&quot;;@"/>
      <fill>
        <patternFill patternType="none">
          <fgColor indexed="64"/>
          <bgColor indexed="65"/>
        </patternFill>
      </fill>
      <alignment horizontal="center" vertical="center" textRotation="0" wrapText="1" indent="0" justifyLastLine="0" shrinkToFit="0" readingOrder="0"/>
      <border diagonalUp="0" diagonalDown="0">
        <left style="hair">
          <color indexed="64"/>
        </left>
        <right/>
        <top/>
        <bottom/>
        <vertical/>
        <horizontal/>
      </border>
    </dxf>
    <dxf>
      <font>
        <b val="0"/>
        <i/>
        <strike val="0"/>
        <condense val="0"/>
        <extend val="0"/>
        <outline val="0"/>
        <shadow val="0"/>
        <u val="none"/>
        <vertAlign val="baseline"/>
        <sz val="11"/>
        <color theme="1" tint="0.34998626667073579"/>
        <name val="Calibri"/>
        <scheme val="none"/>
      </font>
      <numFmt numFmtId="191" formatCode="#,##0.000&quot; t/m&quot;;\-#,##0.000&quot; t/m&quot;;0.000&quot; t/m&quot;;@"/>
      <fill>
        <patternFill patternType="none">
          <fgColor indexed="64"/>
          <bgColor indexed="65"/>
        </patternFill>
      </fill>
      <alignment horizontal="center" vertical="center" textRotation="0" wrapText="1" indent="0" justifyLastLine="0" shrinkToFit="0" readingOrder="0"/>
      <border diagonalUp="0" diagonalDown="0">
        <left style="hair">
          <color indexed="64"/>
        </left>
        <right/>
        <top/>
        <bottom/>
        <vertical/>
        <horizontal/>
      </border>
    </dxf>
    <dxf>
      <font>
        <b val="0"/>
        <i/>
        <strike val="0"/>
        <condense val="0"/>
        <extend val="0"/>
        <outline val="0"/>
        <shadow val="0"/>
        <u val="none"/>
        <vertAlign val="baseline"/>
        <sz val="11"/>
        <color theme="1" tint="0.34998626667073579"/>
        <name val="Calibri"/>
        <scheme val="none"/>
      </font>
      <numFmt numFmtId="191" formatCode="#,##0.000&quot; t/m&quot;;\-#,##0.000&quot; t/m&quot;;0.000&quot; t/m&quo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11"/>
        <color theme="1" tint="0.34998626667073579"/>
        <name val="Calibri"/>
        <scheme val="none"/>
      </font>
      <numFmt numFmtId="189" formatCode="#,##0.0&quot; t*m&quot;;\-#,##0.0&quot; t*m&quot;;0.0&quot; t*m&quo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top/>
        <bottom/>
      </border>
    </dxf>
    <dxf>
      <font>
        <b val="0"/>
        <i/>
        <strike val="0"/>
        <condense val="0"/>
        <extend val="0"/>
        <outline val="0"/>
        <shadow val="0"/>
        <u val="none"/>
        <vertAlign val="baseline"/>
        <sz val="11"/>
        <color theme="1" tint="0.34998626667073579"/>
        <name val="Calibri"/>
        <scheme val="minor"/>
      </font>
      <numFmt numFmtId="0" formatCode="General"/>
      <fill>
        <patternFill patternType="none">
          <fgColor indexed="64"/>
          <bgColor indexed="65"/>
        </patternFill>
      </fill>
      <alignment horizontal="left" vertical="bottom" textRotation="0" wrapText="0" indent="0" justifyLastLine="0" shrinkToFit="0" readingOrder="0"/>
      <border diagonalUp="0" diagonalDown="0">
        <left style="hair">
          <color indexed="64"/>
        </left>
        <right style="thin">
          <color indexed="64"/>
        </right>
        <top/>
        <bottom/>
      </border>
    </dxf>
    <dxf>
      <font>
        <b val="0"/>
        <i/>
        <strike val="0"/>
        <condense val="0"/>
        <extend val="0"/>
        <outline val="0"/>
        <shadow val="0"/>
        <u val="none"/>
        <vertAlign val="baseline"/>
        <sz val="11"/>
        <color theme="1" tint="0.499984740745262"/>
        <name val="Calibri"/>
        <scheme val="minor"/>
      </font>
      <numFmt numFmtId="0" formatCode="General"/>
      <fill>
        <patternFill patternType="none">
          <fgColor indexed="64"/>
          <bgColor indexed="65"/>
        </patternFill>
      </fill>
      <alignment horizontal="center" vertical="bottom" textRotation="0" wrapText="0" indent="0" justifyLastLine="0" shrinkToFit="0" readingOrder="0"/>
      <border>
        <right style="hair">
          <color indexed="64"/>
        </right>
      </border>
    </dxf>
    <dxf>
      <font>
        <b val="0"/>
        <i/>
        <strike val="0"/>
        <condense val="0"/>
        <extend val="0"/>
        <outline val="0"/>
        <shadow val="0"/>
        <u val="none"/>
        <vertAlign val="baseline"/>
        <sz val="11"/>
        <color theme="1" tint="0.34998626667073579"/>
        <name val="Calibri"/>
        <scheme val="minor"/>
      </font>
      <numFmt numFmtId="173" formatCode="00"/>
      <fill>
        <patternFill patternType="none">
          <fgColor indexed="64"/>
          <bgColor indexed="65"/>
        </patternFill>
      </fill>
      <alignment horizontal="center" vertical="bottom" textRotation="0" wrapText="0" indent="0" justifyLastLine="0" shrinkToFit="0" readingOrder="0"/>
      <border diagonalUp="0" diagonalDown="0">
        <left/>
        <right style="hair">
          <color indexed="64"/>
        </right>
        <top/>
        <bottom/>
        <vertical/>
        <horizontal/>
      </border>
    </dxf>
    <dxf>
      <border outline="0">
        <left style="thin">
          <color indexed="64"/>
        </left>
        <right style="thin">
          <color indexed="64"/>
        </right>
      </border>
    </dxf>
    <dxf>
      <font>
        <b val="0"/>
        <i val="0"/>
        <strike val="0"/>
        <condense val="0"/>
        <extend val="0"/>
        <outline val="0"/>
        <shadow val="0"/>
        <u val="none"/>
        <vertAlign val="baseline"/>
        <sz val="11"/>
        <color auto="1"/>
        <name val="Calibri"/>
        <scheme val="none"/>
      </font>
      <fill>
        <patternFill patternType="none">
          <fgColor indexed="64"/>
          <bgColor indexed="65"/>
        </patternFill>
      </fill>
      <alignment horizontal="center" vertical="center" textRotation="0" wrapText="0" indent="0" justifyLastLine="0" shrinkToFit="0" readingOrder="0"/>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font>
      <fill>
        <patternFill>
          <bgColor rgb="FF00B0F0"/>
        </patternFill>
      </fill>
    </dxf>
    <dxf>
      <font>
        <color rgb="FF9C0006"/>
      </font>
      <numFmt numFmtId="165" formatCode="#,##0.000"/>
      <fill>
        <patternFill patternType="solid">
          <fgColor indexed="64"/>
          <bgColor rgb="FFFFC7CE"/>
        </patternFill>
      </fill>
      <alignment horizontal="center" vertical="center" textRotation="0" wrapText="0" indent="0" justifyLastLine="0" shrinkToFit="0" readingOrder="0"/>
      <border diagonalUp="0" diagonalDown="0">
        <left style="hair">
          <color indexed="64"/>
        </left>
        <right style="thin">
          <color indexed="64"/>
        </right>
        <top/>
        <bottom/>
        <vertical/>
        <horizontal/>
      </border>
    </dxf>
    <dxf>
      <font>
        <b val="0"/>
        <i val="0"/>
        <strike val="0"/>
        <condense val="0"/>
        <extend val="0"/>
        <outline val="0"/>
        <shadow val="0"/>
        <u val="none"/>
        <vertAlign val="baseline"/>
        <sz val="11"/>
        <color auto="1"/>
        <name val="Calibri"/>
        <scheme val="minor"/>
      </font>
      <numFmt numFmtId="189" formatCode="#,##0.0&quot; t*m&quot;;\-#,##0.0&quot; t*m&quot;;0.0&quot; t*m&quo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top/>
        <bottom/>
      </border>
    </dxf>
    <dxf>
      <font>
        <b val="0"/>
        <i/>
        <strike val="0"/>
        <condense val="0"/>
        <extend val="0"/>
        <outline val="0"/>
        <shadow val="0"/>
        <u val="none"/>
        <vertAlign val="baseline"/>
        <sz val="11"/>
        <color rgb="FF7030A0"/>
        <name val="Calibri"/>
        <scheme val="minor"/>
      </font>
      <numFmt numFmtId="192" formatCode="#,##0.000_ ;\-#,##0.000\ "/>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strike val="0"/>
        <condense val="0"/>
        <extend val="0"/>
        <outline val="0"/>
        <shadow val="0"/>
        <u val="none"/>
        <vertAlign val="baseline"/>
        <sz val="11"/>
        <color rgb="FF7030A0"/>
        <name val="Calibri"/>
        <scheme val="minor"/>
      </font>
      <numFmt numFmtId="191" formatCode="#,##0.000&quot; t/m&quot;;\-#,##0.000&quot; t/m&quot;;0.000&quot; t/m&quot;;@"/>
      <fill>
        <patternFill patternType="none">
          <fgColor indexed="64"/>
          <bgColor auto="1"/>
        </patternFill>
      </fill>
      <alignment horizontal="center" vertical="bottom" textRotation="0" wrapText="0" indent="0" justifyLastLine="0" shrinkToFit="0" readingOrder="0"/>
      <border diagonalUp="0" diagonalDown="0" outline="0">
        <left style="hair">
          <color indexed="64"/>
        </left>
        <right style="thin">
          <color indexed="64"/>
        </right>
        <top/>
        <bottom/>
      </border>
    </dxf>
    <dxf>
      <font>
        <b val="0"/>
        <i/>
        <strike val="0"/>
        <condense val="0"/>
        <extend val="0"/>
        <outline val="0"/>
        <shadow val="0"/>
        <u val="none"/>
        <vertAlign val="baseline"/>
        <sz val="11"/>
        <color rgb="FF7030A0"/>
        <name val="Calibri"/>
        <scheme val="minor"/>
      </font>
      <numFmt numFmtId="191" formatCode="#,##0.000&quot; t/m&quot;;\-#,##0.000&quot; t/m&quot;;0.000&quot; t/m&quo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hair">
          <color indexed="64"/>
        </right>
        <top/>
        <bottom/>
      </border>
    </dxf>
    <dxf>
      <font>
        <b val="0"/>
        <i val="0"/>
        <strike val="0"/>
        <condense val="0"/>
        <extend val="0"/>
        <outline val="0"/>
        <shadow val="0"/>
        <u val="none"/>
        <vertAlign val="baseline"/>
        <sz val="11"/>
        <color rgb="FF9C0006"/>
        <name val="Calibri"/>
        <scheme val="none"/>
      </font>
      <numFmt numFmtId="165" formatCode="#,##0.000"/>
      <fill>
        <patternFill patternType="solid">
          <fgColor indexed="64"/>
          <bgColor rgb="FFFFC7CE"/>
        </patternFill>
      </fill>
      <alignment horizontal="center"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1"/>
        <color theme="1" tint="0.34998626667073579"/>
        <name val="Calibri"/>
        <scheme val="minor"/>
      </font>
      <numFmt numFmtId="198" formatCode="#,##0.0&quot; t*m&quot;;\-#,##0.0&quot; t*m&quot;;\-;@"/>
      <fill>
        <patternFill patternType="none">
          <fgColor indexed="64"/>
          <bgColor auto="1"/>
        </patternFill>
      </fill>
      <alignment horizontal="center" vertical="bottom" textRotation="0" wrapText="0" indent="0" justifyLastLine="0" shrinkToFit="0" readingOrder="0"/>
      <border diagonalUp="0" diagonalDown="0" outline="0">
        <left style="hair">
          <color indexed="64"/>
        </left>
        <right style="thin">
          <color indexed="64"/>
        </right>
        <top/>
        <bottom/>
      </border>
    </dxf>
    <dxf>
      <font>
        <b val="0"/>
        <i val="0"/>
        <strike val="0"/>
        <condense val="0"/>
        <extend val="0"/>
        <outline val="0"/>
        <shadow val="0"/>
        <u val="none"/>
        <vertAlign val="baseline"/>
        <sz val="11"/>
        <color theme="1" tint="0.499984740745262"/>
        <name val="Calibri"/>
        <scheme val="minor"/>
      </font>
      <numFmt numFmtId="198" formatCode="#,##0.0&quot; t*m&quot;;\-#,##0.0&quot; t*m&quo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hair">
          <color indexed="64"/>
        </right>
        <top/>
        <bottom/>
      </border>
    </dxf>
    <dxf>
      <font>
        <b val="0"/>
        <i/>
        <strike val="0"/>
        <condense val="0"/>
        <extend val="0"/>
        <outline val="0"/>
        <shadow val="0"/>
        <u val="none"/>
        <vertAlign val="baseline"/>
        <sz val="11"/>
        <color theme="3"/>
        <name val="Calibri"/>
        <scheme val="minor"/>
      </font>
      <numFmt numFmtId="191" formatCode="#,##0.000&quot; t/m&quot;;\-#,##0.000&quot; t/m&quot;;0.000&quot; t/m&quot;;@"/>
      <fill>
        <patternFill patternType="none">
          <fgColor indexed="64"/>
          <bgColor auto="1"/>
        </patternFill>
      </fill>
      <alignment horizontal="center" vertical="bottom" textRotation="0" wrapText="0" indent="0" justifyLastLine="0" shrinkToFit="0" readingOrder="0"/>
      <border diagonalUp="0" diagonalDown="0" outline="0">
        <left style="hair">
          <color indexed="64"/>
        </left>
        <right style="thin">
          <color indexed="64"/>
        </right>
        <top/>
        <bottom/>
      </border>
    </dxf>
    <dxf>
      <font>
        <b val="0"/>
        <i/>
        <strike val="0"/>
        <condense val="0"/>
        <extend val="0"/>
        <outline val="0"/>
        <shadow val="0"/>
        <u val="none"/>
        <vertAlign val="baseline"/>
        <sz val="11"/>
        <color theme="3"/>
        <name val="Calibri"/>
        <scheme val="minor"/>
      </font>
      <numFmt numFmtId="191" formatCode="#,##0.000&quot; t/m&quot;;\-#,##0.000&quot; t/m&quot;;0.000&quot; t/m&quo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hair">
          <color indexed="64"/>
        </right>
        <top/>
        <bottom/>
      </border>
    </dxf>
    <dxf>
      <font>
        <b val="0"/>
        <i/>
        <strike val="0"/>
        <condense val="0"/>
        <extend val="0"/>
        <outline val="0"/>
        <shadow val="0"/>
        <u val="none"/>
        <vertAlign val="baseline"/>
        <sz val="11"/>
        <color theme="3"/>
        <name val="Calibri"/>
        <scheme val="minor"/>
      </font>
      <numFmt numFmtId="191" formatCode="#,##0.000&quot; t/m&quot;;\-#,##0.000&quot; t/m&quot;;0.000&quot; t/m&quo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strike val="0"/>
        <condense val="0"/>
        <extend val="0"/>
        <outline val="0"/>
        <shadow val="0"/>
        <u val="none"/>
        <vertAlign val="baseline"/>
        <sz val="11"/>
        <color theme="1" tint="0.34998626667073579"/>
        <name val="Calibri"/>
        <scheme val="minor"/>
      </font>
      <numFmt numFmtId="191" formatCode="#,##0.000&quot; t/m&quot;;\-#,##0.000&quot; t/m&quot;;0.000&quot; t/m&quot;;@"/>
      <fill>
        <patternFill patternType="none">
          <fgColor indexed="64"/>
          <bgColor auto="1"/>
        </patternFill>
      </fill>
      <alignment horizontal="center" vertical="bottom" textRotation="0" wrapText="0" indent="0" justifyLastLine="0" shrinkToFit="0" readingOrder="0"/>
      <border diagonalUp="0" diagonalDown="0" outline="0">
        <left style="hair">
          <color indexed="64"/>
        </left>
        <right style="thin">
          <color indexed="64"/>
        </right>
        <top/>
        <bottom/>
      </border>
    </dxf>
    <dxf>
      <font>
        <b val="0"/>
        <i/>
        <strike val="0"/>
        <condense val="0"/>
        <extend val="0"/>
        <outline val="0"/>
        <shadow val="0"/>
        <u val="none"/>
        <vertAlign val="baseline"/>
        <sz val="11"/>
        <color theme="1" tint="0.34998626667073579"/>
        <name val="Calibri"/>
        <scheme val="minor"/>
      </font>
      <numFmt numFmtId="191" formatCode="#,##0.000&quot; t/m&quot;;\-#,##0.000&quot; t/m&quot;;0.000&quot; t/m&quot;;@"/>
      <fill>
        <patternFill patternType="none">
          <fgColor indexed="64"/>
          <bgColor auto="1"/>
        </patternFill>
      </fill>
      <alignment horizontal="center" vertical="bottom" textRotation="0" wrapText="0" indent="0" justifyLastLine="0" shrinkToFit="0" readingOrder="0"/>
      <border diagonalUp="0" diagonalDown="0" outline="0">
        <left style="hair">
          <color indexed="64"/>
        </left>
        <right style="hair">
          <color indexed="64"/>
        </right>
        <top/>
        <bottom/>
      </border>
    </dxf>
    <dxf>
      <font>
        <b val="0"/>
        <i/>
        <strike val="0"/>
        <condense val="0"/>
        <extend val="0"/>
        <outline val="0"/>
        <shadow val="0"/>
        <u val="none"/>
        <vertAlign val="baseline"/>
        <sz val="11"/>
        <color theme="1" tint="0.34998626667073579"/>
        <name val="Calibri"/>
        <scheme val="minor"/>
      </font>
      <numFmt numFmtId="191" formatCode="#,##0.000&quot; t/m&quot;;\-#,##0.000&quot; t/m&quot;;0.000&quot; t/m&quo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hair">
          <color indexed="64"/>
        </right>
        <top/>
        <bottom/>
      </border>
    </dxf>
    <dxf>
      <font>
        <b val="0"/>
        <i/>
        <strike val="0"/>
        <condense val="0"/>
        <extend val="0"/>
        <outline val="0"/>
        <shadow val="0"/>
        <u val="none"/>
        <vertAlign val="baseline"/>
        <sz val="11"/>
        <color theme="1" tint="0.34998626667073579"/>
        <name val="Calibri"/>
        <scheme val="minor"/>
      </font>
      <numFmt numFmtId="189" formatCode="#,##0.0&quot; t*m&quot;;\-#,##0.0&quot; t*m&quot;;0.0&quot; t*m&quo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bottom/>
        <vertical/>
        <horizontal/>
      </border>
    </dxf>
    <dxf>
      <numFmt numFmtId="191" formatCode="#,##0.000&quot; t/m&quot;;\-#,##0.000&quot; t/m&quot;;0.000&quot; t/m&quot;;@"/>
      <fill>
        <patternFill patternType="none">
          <fgColor indexed="64"/>
          <bgColor auto="1"/>
        </patternFill>
      </fill>
      <alignment horizontal="center" vertical="top" textRotation="0" wrapText="0" indent="0" justifyLastLine="0" shrinkToFit="0" readingOrder="0"/>
    </dxf>
    <dxf>
      <numFmt numFmtId="191" formatCode="#,##0.000&quot; t/m&quot;;\-#,##0.000&quot; t/m&quot;;0.000&quot; t/m&quot;;@"/>
      <fill>
        <patternFill patternType="none">
          <fgColor indexed="64"/>
          <bgColor auto="1"/>
        </patternFill>
      </fill>
      <alignment horizontal="center" vertical="top" textRotation="0" wrapText="0" indent="0" justifyLastLine="0" shrinkToFit="0" readingOrder="0"/>
      <border diagonalUp="0" diagonalDown="0">
        <left style="hair">
          <color indexed="64"/>
        </left>
        <right style="hair">
          <color indexed="64"/>
        </right>
        <top/>
        <bottom/>
        <vertical/>
        <horizontal/>
      </border>
    </dxf>
    <dxf>
      <numFmt numFmtId="191" formatCode="#,##0.000&quot; t/m&quot;;\-#,##0.000&quot; t/m&quot;;0.000&quot; t/m&quot;;@"/>
      <fill>
        <patternFill patternType="none">
          <fgColor indexed="64"/>
          <bgColor auto="1"/>
        </patternFill>
      </fill>
      <alignment horizontal="center" vertical="top" textRotation="0" wrapText="0" indent="0" justifyLastLine="0" shrinkToFit="0" readingOrder="0"/>
      <border diagonalUp="0" diagonalDown="0">
        <left style="hair">
          <color indexed="64"/>
        </left>
        <right style="hair">
          <color indexed="64"/>
        </right>
        <top/>
        <bottom/>
        <vertical/>
        <horizontal/>
      </border>
    </dxf>
    <dxf>
      <numFmt numFmtId="189" formatCode="#,##0.0&quot; t*m&quot;;\-#,##0.0&quot; t*m&quot;;0.0&quot; t*m&quot;;@"/>
      <fill>
        <patternFill patternType="none">
          <fgColor indexed="64"/>
          <bgColor auto="1"/>
        </patternFill>
      </fill>
      <alignment horizontal="center" vertical="top"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11"/>
        <color theme="1" tint="0.34998626667073579"/>
        <name val="Calibri"/>
        <scheme val="minor"/>
      </font>
      <numFmt numFmtId="0" formatCode="General"/>
      <fill>
        <patternFill patternType="none">
          <fgColor indexed="64"/>
          <bgColor indexed="65"/>
        </patternFill>
      </fill>
      <alignment horizontal="center" vertical="top" textRotation="0" wrapText="0" indent="0" justifyLastLine="0" shrinkToFit="0" readingOrder="0"/>
      <border diagonalUp="0" diagonalDown="0">
        <left style="thin">
          <color indexed="64"/>
        </left>
        <right style="hair">
          <color indexed="64"/>
        </right>
        <top/>
        <bottom/>
        <vertical/>
        <horizontal/>
      </border>
    </dxf>
    <dxf>
      <font>
        <b val="0"/>
        <i val="0"/>
        <strike val="0"/>
        <condense val="0"/>
        <extend val="0"/>
        <outline val="0"/>
        <shadow val="0"/>
        <u val="none"/>
        <vertAlign val="baseline"/>
        <sz val="11"/>
        <color rgb="FF006100"/>
        <name val="Calibri"/>
        <scheme val="none"/>
      </font>
      <numFmt numFmtId="0" formatCode="General"/>
      <fill>
        <patternFill patternType="none">
          <fgColor indexed="64"/>
          <bgColor indexed="65"/>
        </patternFill>
      </fill>
      <alignment horizontal="left" vertical="center" textRotation="0" wrapText="1" indent="0" justifyLastLine="0" shrinkToFit="0" readingOrder="0"/>
      <border diagonalUp="0" diagonalDown="0">
        <left/>
        <right style="hair">
          <color indexed="64"/>
        </right>
        <top/>
        <bottom/>
      </border>
      <protection locked="1" hidden="0"/>
    </dxf>
    <dxf>
      <font>
        <b val="0"/>
        <i/>
        <strike val="0"/>
        <condense val="0"/>
        <extend val="0"/>
        <outline val="0"/>
        <shadow val="0"/>
        <u val="none"/>
        <vertAlign val="baseline"/>
        <sz val="11"/>
        <color theme="1" tint="0.499984740745262"/>
        <name val="Calibri"/>
        <scheme val="minor"/>
      </font>
      <numFmt numFmtId="173" formatCode="00"/>
      <fill>
        <patternFill patternType="none">
          <fgColor indexed="64"/>
          <bgColor auto="1"/>
        </patternFill>
      </fill>
      <alignment horizontal="center" vertical="bottom" textRotation="0" wrapText="0" indent="0" justifyLastLine="0" shrinkToFit="0" readingOrder="0"/>
      <border diagonalUp="0" diagonalDown="0">
        <left style="thin">
          <color indexed="64"/>
        </left>
        <right style="hair">
          <color indexed="64"/>
        </right>
        <top/>
        <bottom/>
        <vertical/>
        <horizontal/>
      </border>
    </dxf>
    <dxf>
      <border outline="0">
        <right style="thin">
          <color indexed="64"/>
        </right>
      </border>
    </dxf>
    <dxf>
      <font>
        <b val="0"/>
        <i/>
        <strike val="0"/>
        <condense val="0"/>
        <extend val="0"/>
        <outline val="0"/>
        <shadow val="0"/>
        <u val="none"/>
        <vertAlign val="baseline"/>
        <sz val="11"/>
        <color theme="1" tint="0.34998626667073579"/>
        <name val="Calibri"/>
        <scheme val="none"/>
      </font>
      <numFmt numFmtId="189" formatCode="#,##0.0&quot; t*m&quot;;\-#,##0.0&quot; t*m&quot;;0.0&quot; t*m&quot;;@"/>
      <fill>
        <patternFill patternType="none">
          <fgColor indexed="64"/>
          <bgColor indexed="65"/>
        </patternFill>
      </fill>
      <alignment horizontal="general" vertical="center" textRotation="0" wrapText="0" indent="0" justifyLastLine="0" shrinkToFit="0" readingOrder="0"/>
      <border diagonalUp="0" diagonalDown="0">
        <left style="hair">
          <color indexed="64"/>
        </left>
        <right/>
        <top/>
        <bottom/>
        <vertical/>
        <horizontal/>
      </border>
    </dxf>
    <dxf>
      <font>
        <b val="0"/>
        <i val="0"/>
        <strike val="0"/>
        <condense val="0"/>
        <extend val="0"/>
        <outline val="0"/>
        <shadow val="0"/>
        <u val="none"/>
        <vertAlign val="baseline"/>
        <sz val="11"/>
        <color rgb="FF0000FF"/>
        <name val="Calibri"/>
        <scheme val="none"/>
      </font>
      <numFmt numFmtId="189" formatCode="#,##0.0&quot; t*m&quot;;\-#,##0.0&quot; t*m&quot;;0.0&quot; t*m&quot;;@"/>
      <fill>
        <patternFill patternType="none">
          <fgColor indexed="64"/>
          <bgColor indexed="65"/>
        </patternFill>
      </fill>
      <alignment horizontal="general" vertical="center" textRotation="0" wrapText="0" indent="0" justifyLastLine="0" shrinkToFit="0" readingOrder="0"/>
      <border diagonalUp="0" diagonalDown="0">
        <left style="hair">
          <color indexed="64"/>
        </left>
        <right/>
        <top/>
        <bottom/>
        <vertical/>
        <horizontal/>
      </border>
    </dxf>
    <dxf>
      <font>
        <b val="0"/>
        <i val="0"/>
        <strike val="0"/>
        <condense val="0"/>
        <extend val="0"/>
        <outline val="0"/>
        <shadow val="0"/>
        <u val="none"/>
        <vertAlign val="baseline"/>
        <sz val="11"/>
        <color rgb="FF0000FF"/>
        <name val="Calibri"/>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1"/>
        <color rgb="FF0000FF"/>
        <name val="Calibri"/>
        <scheme val="none"/>
      </font>
      <fill>
        <patternFill patternType="none">
          <fgColor indexed="64"/>
          <bgColor indexed="65"/>
        </patternFill>
      </fill>
      <alignment horizontal="left" vertical="center" textRotation="0" wrapText="1" indent="0" justifyLastLine="0" shrinkToFit="0" readingOrder="0"/>
      <border diagonalUp="0" diagonalDown="0">
        <left style="hair">
          <color indexed="64"/>
        </left>
        <right/>
        <top/>
        <bottom/>
        <vertical/>
        <horizontal/>
      </border>
    </dxf>
    <dxf>
      <font>
        <b val="0"/>
        <i/>
        <strike val="0"/>
        <condense val="0"/>
        <extend val="0"/>
        <outline val="0"/>
        <shadow val="0"/>
        <u val="none"/>
        <vertAlign val="baseline"/>
        <sz val="11"/>
        <color theme="1" tint="0.34998626667073579"/>
        <name val="Calibri"/>
        <scheme val="none"/>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hair">
          <color indexed="64"/>
        </right>
        <top/>
        <bottom/>
        <vertical/>
        <horizontal/>
      </border>
    </dxf>
    <dxf>
      <font>
        <b val="0"/>
        <i val="0"/>
        <strike val="0"/>
        <condense val="0"/>
        <extend val="0"/>
        <outline val="0"/>
        <shadow val="0"/>
        <u val="none"/>
        <vertAlign val="baseline"/>
        <sz val="11"/>
        <color rgb="FF0000FF"/>
        <name val="Calibri"/>
        <scheme val="none"/>
      </font>
      <numFmt numFmtId="188" formatCode="#,##0.000&quot; t&quot;;\-#,##0.000&quot; t&quot;;\-;@"/>
      <fill>
        <patternFill patternType="none">
          <fgColor indexed="64"/>
          <bgColor indexed="65"/>
        </patternFill>
      </fill>
      <alignment horizontal="center" vertical="center"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11"/>
        <color rgb="FF0000FF"/>
        <name val="Calibri"/>
        <scheme val="none"/>
      </font>
      <numFmt numFmtId="173" formatCode="00"/>
      <fill>
        <patternFill patternType="none">
          <fgColor indexed="64"/>
          <bgColor indexed="65"/>
        </patternFill>
      </fill>
      <alignment horizontal="center" vertical="center" textRotation="0" wrapText="0" indent="0" justifyLastLine="0" shrinkToFit="0" readingOrder="0"/>
      <border diagonalUp="0" diagonalDown="0">
        <left style="hair">
          <color indexed="64"/>
        </left>
        <right style="hair">
          <color indexed="64"/>
        </right>
        <top/>
        <bottom/>
        <vertical/>
        <horizontal/>
      </border>
    </dxf>
    <dxf>
      <font>
        <b val="0"/>
        <i/>
        <strike val="0"/>
        <condense val="0"/>
        <extend val="0"/>
        <outline val="0"/>
        <shadow val="0"/>
        <u val="none"/>
        <vertAlign val="baseline"/>
        <sz val="11"/>
        <color theme="0" tint="-0.499984740745262"/>
        <name val="Calibri"/>
        <scheme val="none"/>
      </font>
      <numFmt numFmtId="173" formatCode="00"/>
      <fill>
        <patternFill patternType="none">
          <fgColor indexed="64"/>
          <bgColor indexed="65"/>
        </patternFill>
      </fill>
      <alignment horizontal="center" vertical="center" textRotation="0" wrapText="0" indent="0" justifyLastLine="0" shrinkToFit="0" readingOrder="0"/>
    </dxf>
    <dxf>
      <border outline="0">
        <left style="thin">
          <color indexed="64"/>
        </left>
        <right style="thin">
          <color indexed="64"/>
        </right>
        <top style="thin">
          <color rgb="FFC0504D"/>
        </top>
      </border>
    </dxf>
    <dxf>
      <border outline="0">
        <bottom style="thin">
          <color theme="5"/>
        </bottom>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font>
      <fill>
        <patternFill>
          <bgColor rgb="FF00B0F0"/>
        </patternFill>
      </fill>
    </dxf>
    <dxf>
      <fill>
        <patternFill>
          <bgColor theme="0" tint="-0.24994659260841701"/>
        </patternFill>
      </fill>
    </dxf>
    <dxf>
      <fill>
        <patternFill>
          <bgColor theme="0" tint="-0.24994659260841701"/>
        </patternFill>
      </fill>
    </dxf>
    <dxf>
      <font>
        <b/>
        <i val="0"/>
      </font>
      <fill>
        <patternFill>
          <bgColor rgb="FF00B0F0"/>
        </patternFill>
      </fill>
    </dxf>
    <dxf>
      <font>
        <color rgb="FF006100"/>
      </font>
      <fill>
        <patternFill>
          <bgColor rgb="FFC6EFCE"/>
        </patternFill>
      </fill>
    </dxf>
    <dxf>
      <fill>
        <patternFill>
          <bgColor theme="0" tint="-0.24994659260841701"/>
        </patternFill>
      </fill>
    </dxf>
    <dxf>
      <font>
        <b val="0"/>
        <i val="0"/>
        <strike val="0"/>
        <condense val="0"/>
        <extend val="0"/>
        <outline val="0"/>
        <shadow val="0"/>
        <u val="none"/>
        <vertAlign val="baseline"/>
        <sz val="11"/>
        <color rgb="FF9C0006"/>
        <name val="Calibri"/>
        <scheme val="none"/>
      </font>
      <numFmt numFmtId="165" formatCode="#,##0.000"/>
      <fill>
        <patternFill patternType="solid">
          <fgColor indexed="64"/>
          <bgColor rgb="FFFFC7CE"/>
        </patternFill>
      </fill>
      <alignment horizontal="center" vertical="center" textRotation="0" wrapText="0" indent="0" justifyLastLine="0" shrinkToFit="0" readingOrder="0"/>
      <border diagonalUp="0" diagonalDown="0">
        <left style="hair">
          <color indexed="64"/>
        </left>
        <right style="thin">
          <color indexed="64"/>
        </right>
        <top/>
        <bottom/>
        <vertical/>
        <horizontal/>
      </border>
    </dxf>
    <dxf>
      <font>
        <b val="0"/>
        <i val="0"/>
        <strike val="0"/>
        <outline val="0"/>
        <shadow val="0"/>
        <u val="none"/>
        <vertAlign val="baseline"/>
        <sz val="11"/>
        <color auto="1"/>
        <name val="Calibri"/>
        <scheme val="minor"/>
      </font>
      <numFmt numFmtId="189" formatCode="#,##0.0&quot; t*m&quot;;\-#,##0.0&quot; t*m&quot;;0.0&quot; t*m&quot;;@"/>
      <alignment horizontal="center" vertical="bottom" textRotation="0" wrapText="0" indent="0" justifyLastLine="0" shrinkToFit="0" readingOrder="0"/>
      <border diagonalUp="0" diagonalDown="0">
        <left style="thin">
          <color indexed="64"/>
        </left>
        <right style="thin">
          <color indexed="64"/>
        </right>
        <top/>
        <bottom/>
        <vertical/>
        <horizontal/>
      </border>
    </dxf>
    <dxf>
      <font>
        <b val="0"/>
        <i/>
        <strike val="0"/>
        <outline val="0"/>
        <shadow val="0"/>
        <u val="none"/>
        <vertAlign val="baseline"/>
        <sz val="11"/>
        <color rgb="FF7030A0"/>
        <name val="Calibri"/>
        <scheme val="minor"/>
      </font>
      <numFmt numFmtId="192" formatCode="#,##0.000_ ;\-#,##0.000\ "/>
      <alignment horizontal="center" vertical="bottom" textRotation="0" wrapText="0" indent="0" justifyLastLine="0" shrinkToFit="0" readingOrder="0"/>
      <border diagonalUp="0" diagonalDown="0">
        <left style="thin">
          <color indexed="64"/>
        </left>
        <right style="thin">
          <color indexed="64"/>
        </right>
        <top/>
        <bottom/>
        <vertical/>
        <horizontal/>
      </border>
    </dxf>
    <dxf>
      <font>
        <b val="0"/>
        <i/>
        <strike val="0"/>
        <outline val="0"/>
        <shadow val="0"/>
        <u val="none"/>
        <vertAlign val="baseline"/>
        <sz val="11"/>
        <color rgb="FF7030A0"/>
        <name val="Calibri"/>
        <scheme val="minor"/>
      </font>
      <numFmt numFmtId="191" formatCode="#,##0.000&quot; t/m&quot;;\-#,##0.000&quot; t/m&quot;;0.000&quot; t/m&quot;;@"/>
      <alignment horizontal="center" vertical="bottom" textRotation="0" wrapText="0" indent="0" justifyLastLine="0" shrinkToFit="0" readingOrder="0"/>
      <border diagonalUp="0" diagonalDown="0">
        <left style="hair">
          <color indexed="64"/>
        </left>
        <right style="thin">
          <color indexed="64"/>
        </right>
        <top/>
        <bottom/>
        <vertical/>
        <horizontal/>
      </border>
    </dxf>
    <dxf>
      <font>
        <b val="0"/>
        <i/>
        <strike val="0"/>
        <outline val="0"/>
        <shadow val="0"/>
        <u val="none"/>
        <vertAlign val="baseline"/>
        <sz val="11"/>
        <color rgb="FF7030A0"/>
        <name val="Calibri"/>
        <scheme val="minor"/>
      </font>
      <numFmt numFmtId="191" formatCode="#,##0.000&quot; t/m&quot;;\-#,##0.000&quot; t/m&quot;;0.000&quot; t/m&quot;;@"/>
      <alignment horizontal="center" vertical="bottom" textRotation="0" wrapText="0" indent="0" justifyLastLine="0" shrinkToFit="0" readingOrder="0"/>
      <border diagonalUp="0" diagonalDown="0">
        <left style="thin">
          <color indexed="64"/>
        </left>
        <right style="hair">
          <color indexed="64"/>
        </right>
        <top/>
        <bottom/>
        <vertical/>
        <horizontal/>
      </border>
    </dxf>
    <dxf>
      <numFmt numFmtId="165" formatCode="#,##0.000"/>
      <alignment horizontal="center" vertical="bottom" textRotation="0" wrapText="0" indent="0" justifyLastLine="0" shrinkToFit="0" readingOrder="0"/>
      <border diagonalUp="0" diagonalDown="0">
        <left style="thin">
          <color indexed="64"/>
        </left>
        <right style="thin">
          <color indexed="64"/>
        </right>
        <top/>
        <bottom/>
        <vertical/>
        <horizontal/>
      </border>
    </dxf>
    <dxf>
      <font>
        <b val="0"/>
        <i val="0"/>
        <strike val="0"/>
        <outline val="0"/>
        <shadow val="0"/>
        <u val="none"/>
        <vertAlign val="baseline"/>
        <sz val="11"/>
        <color theme="1" tint="0.34998626667073579"/>
        <name val="Calibri"/>
        <scheme val="minor"/>
      </font>
      <numFmt numFmtId="198" formatCode="#,##0.0&quot; t*m&quot;;\-#,##0.0&quot; t*m&quot;;\-;@"/>
      <alignment horizontal="center" vertical="bottom" textRotation="0" wrapText="0" indent="0" justifyLastLine="0" shrinkToFit="0" readingOrder="0"/>
      <border diagonalUp="0" diagonalDown="0">
        <left style="hair">
          <color indexed="64"/>
        </left>
        <right style="thin">
          <color indexed="64"/>
        </right>
        <top/>
        <bottom/>
        <vertical/>
        <horizontal/>
      </border>
    </dxf>
    <dxf>
      <font>
        <b val="0"/>
        <i val="0"/>
        <strike val="0"/>
        <outline val="0"/>
        <shadow val="0"/>
        <u val="none"/>
        <vertAlign val="baseline"/>
        <sz val="11"/>
        <color theme="1" tint="0.499984740745262"/>
        <name val="Calibri"/>
        <scheme val="minor"/>
      </font>
      <numFmt numFmtId="198" formatCode="#,##0.0&quot; t*m&quot;;\-#,##0.0&quot; t*m&quot;;\-;@"/>
      <alignment horizontal="center" vertical="bottom" textRotation="0" wrapText="0" indent="0" justifyLastLine="0" shrinkToFit="0" readingOrder="0"/>
      <border diagonalUp="0" diagonalDown="0">
        <left style="thin">
          <color indexed="64"/>
        </left>
        <right style="hair">
          <color indexed="64"/>
        </right>
        <top/>
        <bottom/>
        <vertical/>
        <horizontal/>
      </border>
    </dxf>
    <dxf>
      <font>
        <b val="0"/>
        <i/>
        <strike val="0"/>
        <outline val="0"/>
        <shadow val="0"/>
        <u val="none"/>
        <vertAlign val="baseline"/>
        <sz val="11"/>
        <color theme="3"/>
        <name val="Calibri"/>
        <scheme val="minor"/>
      </font>
      <numFmt numFmtId="191" formatCode="#,##0.000&quot; t/m&quot;;\-#,##0.000&quot; t/m&quot;;0.000&quot; t/m&quot;;@"/>
      <alignment horizontal="center" vertical="bottom" textRotation="0" wrapText="0" indent="0" justifyLastLine="0" shrinkToFit="0" readingOrder="0"/>
      <border diagonalUp="0" diagonalDown="0">
        <left style="hair">
          <color indexed="64"/>
        </left>
        <right style="thin">
          <color indexed="64"/>
        </right>
        <top/>
        <bottom/>
        <vertical/>
        <horizontal/>
      </border>
    </dxf>
    <dxf>
      <font>
        <b val="0"/>
        <i/>
        <strike val="0"/>
        <outline val="0"/>
        <shadow val="0"/>
        <u val="none"/>
        <vertAlign val="baseline"/>
        <sz val="11"/>
        <color theme="3"/>
        <name val="Calibri"/>
        <scheme val="minor"/>
      </font>
      <numFmt numFmtId="191" formatCode="#,##0.000&quot; t/m&quot;;\-#,##0.000&quot; t/m&quot;;0.000&quot; t/m&quot;;@"/>
      <alignment horizontal="center" vertical="bottom" textRotation="0" wrapText="0" indent="0" justifyLastLine="0" shrinkToFit="0" readingOrder="0"/>
      <border diagonalUp="0" diagonalDown="0">
        <left style="thin">
          <color indexed="64"/>
        </left>
        <right style="hair">
          <color indexed="64"/>
        </right>
        <top/>
        <bottom/>
        <vertical/>
        <horizontal/>
      </border>
    </dxf>
    <dxf>
      <font>
        <b val="0"/>
        <i/>
        <strike val="0"/>
        <outline val="0"/>
        <shadow val="0"/>
        <u val="none"/>
        <vertAlign val="baseline"/>
        <sz val="11"/>
        <color theme="3"/>
        <name val="Calibri"/>
        <scheme val="minor"/>
      </font>
      <numFmt numFmtId="190" formatCode="#,##0.000&quot; m&quot;;\-#,##0.000&quot; m&quot;;0.000&quot; m&quot;;@"/>
      <alignment horizontal="center" vertical="bottom" textRotation="0" wrapText="0" indent="0" justifyLastLine="0" shrinkToFit="0" readingOrder="0"/>
      <border diagonalUp="0" diagonalDown="0">
        <left style="thin">
          <color indexed="64"/>
        </left>
        <right style="thin">
          <color indexed="64"/>
        </right>
        <top/>
        <bottom/>
        <vertical/>
        <horizontal/>
      </border>
    </dxf>
    <dxf>
      <font>
        <b val="0"/>
        <i/>
        <strike val="0"/>
        <outline val="0"/>
        <shadow val="0"/>
        <u val="none"/>
        <vertAlign val="baseline"/>
        <sz val="11"/>
        <color theme="1" tint="0.34998626667073579"/>
        <name val="Calibri"/>
        <scheme val="minor"/>
      </font>
      <numFmt numFmtId="190" formatCode="#,##0.000&quot; m&quot;;\-#,##0.000&quot; m&quot;;0.000&quot; m&quot;;@"/>
      <alignment horizontal="center" vertical="bottom" textRotation="0" wrapText="0" indent="0" justifyLastLine="0" shrinkToFit="0" readingOrder="0"/>
      <border diagonalUp="0" diagonalDown="0">
        <left style="hair">
          <color indexed="64"/>
        </left>
        <right style="thin">
          <color indexed="64"/>
        </right>
        <top/>
        <bottom/>
        <vertical/>
        <horizontal/>
      </border>
    </dxf>
    <dxf>
      <font>
        <b val="0"/>
        <i/>
        <strike val="0"/>
        <outline val="0"/>
        <shadow val="0"/>
        <u val="none"/>
        <vertAlign val="baseline"/>
        <sz val="11"/>
        <color theme="1" tint="0.34998626667073579"/>
        <name val="Calibri"/>
        <scheme val="minor"/>
      </font>
      <numFmt numFmtId="190" formatCode="#,##0.000&quot; m&quot;;\-#,##0.000&quot; m&quot;;0.000&quot; m&quot;;@"/>
      <alignment horizontal="center" vertical="bottom" textRotation="0" wrapText="0" indent="0" justifyLastLine="0" shrinkToFit="0" readingOrder="0"/>
      <border diagonalUp="0" diagonalDown="0">
        <left style="hair">
          <color indexed="64"/>
        </left>
        <right style="hair">
          <color indexed="64"/>
        </right>
        <top/>
        <bottom/>
        <vertical/>
        <horizontal/>
      </border>
    </dxf>
    <dxf>
      <font>
        <b val="0"/>
        <i/>
        <strike val="0"/>
        <outline val="0"/>
        <shadow val="0"/>
        <u val="none"/>
        <vertAlign val="baseline"/>
        <sz val="11"/>
        <color theme="1" tint="0.34998626667073579"/>
        <name val="Calibri"/>
        <scheme val="minor"/>
      </font>
      <numFmt numFmtId="190" formatCode="#,##0.000&quot; m&quot;;\-#,##0.000&quot; m&quot;;0.000&quot; m&quo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hair">
          <color indexed="64"/>
        </right>
        <top/>
        <bottom/>
        <vertical/>
        <horizontal/>
      </border>
    </dxf>
    <dxf>
      <font>
        <b val="0"/>
        <i/>
        <strike val="0"/>
        <outline val="0"/>
        <shadow val="0"/>
        <u val="none"/>
        <vertAlign val="baseline"/>
        <sz val="11"/>
        <color theme="1" tint="0.34998626667073579"/>
        <name val="Calibri"/>
        <scheme val="minor"/>
      </font>
      <numFmt numFmtId="188" formatCode="#,##0.000&quot; t&quot;;\-#,##0.000&quot; t&quo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bottom/>
        <vertical/>
        <horizontal/>
      </border>
    </dxf>
    <dxf>
      <font>
        <b val="0"/>
        <i/>
        <strike val="0"/>
        <outline val="0"/>
        <shadow val="0"/>
        <u val="none"/>
        <vertAlign val="baseline"/>
        <sz val="11"/>
        <color theme="1" tint="0.34998626667073579"/>
        <name val="Calibri"/>
        <scheme val="minor"/>
      </font>
      <numFmt numFmtId="198" formatCode="#,##0.0&quot; t*m&quot;;\-#,##0.0&quot; t*m&quot;;\-;@"/>
      <fill>
        <patternFill patternType="none">
          <fgColor indexed="64"/>
          <bgColor auto="1"/>
        </patternFill>
      </fill>
      <alignment horizontal="center" vertical="top" textRotation="0" wrapText="0" indent="0" justifyLastLine="0" shrinkToFit="0" readingOrder="0"/>
      <border diagonalUp="0" diagonalDown="0">
        <left style="thin">
          <color indexed="64"/>
        </left>
        <right style="thin">
          <color indexed="64"/>
        </right>
        <top/>
        <bottom/>
        <vertical/>
        <horizontal/>
      </border>
    </dxf>
    <dxf>
      <numFmt numFmtId="196" formatCode="0;\-0;\-;@"/>
      <alignment horizontal="center" vertical="top" textRotation="0" wrapText="0" indent="0" justifyLastLine="0" shrinkToFit="0" readingOrder="0"/>
      <border diagonalUp="0" diagonalDown="0">
        <left style="hair">
          <color indexed="64"/>
        </left>
        <right style="hair">
          <color indexed="64"/>
        </right>
        <top/>
        <bottom/>
        <vertical/>
        <horizontal/>
      </border>
    </dxf>
    <dxf>
      <font>
        <b val="0"/>
        <i/>
        <strike val="0"/>
        <condense val="0"/>
        <extend val="0"/>
        <outline val="0"/>
        <shadow val="0"/>
        <u val="none"/>
        <vertAlign val="baseline"/>
        <sz val="11"/>
        <color theme="1" tint="0.34998626667073579"/>
        <name val="Calibri"/>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hair">
          <color indexed="64"/>
        </left>
        <right style="thin">
          <color indexed="64"/>
        </right>
        <top/>
        <bottom/>
        <vertical/>
        <horizontal/>
      </border>
    </dxf>
    <dxf>
      <font>
        <b val="0"/>
        <i val="0"/>
        <strike val="0"/>
        <condense val="0"/>
        <extend val="0"/>
        <outline val="0"/>
        <shadow val="0"/>
        <u val="none"/>
        <vertAlign val="baseline"/>
        <sz val="11"/>
        <color rgb="FF0000FF"/>
        <name val="Calibri"/>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hair">
          <color indexed="64"/>
        </left>
        <right style="hair">
          <color indexed="64"/>
        </right>
        <top/>
        <bottom/>
        <vertical/>
        <horizontal/>
      </border>
    </dxf>
    <dxf>
      <font>
        <b val="0"/>
        <i val="0"/>
        <strike val="0"/>
        <condense val="0"/>
        <extend val="0"/>
        <outline val="0"/>
        <shadow val="0"/>
        <u val="none"/>
        <vertAlign val="baseline"/>
        <sz val="11"/>
        <color rgb="FF0000FF"/>
        <name val="Calibri"/>
        <scheme val="minor"/>
      </font>
      <numFmt numFmtId="0" formatCode="General"/>
      <fill>
        <patternFill patternType="none">
          <fgColor indexed="64"/>
          <bgColor indexed="65"/>
        </patternFill>
      </fill>
      <alignment horizontal="center" vertical="top" textRotation="0" wrapText="0" indent="0" justifyLastLine="0" shrinkToFit="0" readingOrder="0"/>
      <border diagonalUp="0" diagonalDown="0">
        <left/>
        <right style="hair">
          <color indexed="64"/>
        </right>
        <top/>
        <bottom/>
        <vertical/>
        <horizontal/>
      </border>
    </dxf>
    <dxf>
      <font>
        <b val="0"/>
        <i val="0"/>
        <strike val="0"/>
        <condense val="0"/>
        <extend val="0"/>
        <outline val="0"/>
        <shadow val="0"/>
        <u val="none"/>
        <vertAlign val="baseline"/>
        <sz val="11"/>
        <color rgb="FF9C0006"/>
        <name val="Calibri"/>
        <scheme val="none"/>
      </font>
      <numFmt numFmtId="165" formatCode="#,##0.000"/>
      <fill>
        <patternFill patternType="solid">
          <fgColor indexed="64"/>
          <bgColor rgb="FFFFC7CE"/>
        </patternFill>
      </fill>
      <alignment horizontal="center" vertical="center" textRotation="0" wrapText="0" indent="0" justifyLastLine="0" shrinkToFit="0" readingOrder="0"/>
      <border diagonalUp="0" diagonalDown="0">
        <left style="thin">
          <color indexed="64"/>
        </left>
        <right style="thin">
          <color indexed="64"/>
        </right>
        <top/>
        <bottom/>
        <vertical/>
        <horizontal/>
      </border>
      <protection locked="1" hidden="0"/>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hair">
          <color indexed="64"/>
        </left>
        <right style="hair">
          <color indexed="64"/>
        </right>
        <top/>
        <bottom/>
        <vertical/>
        <horizontal/>
      </border>
      <protection locked="1" hidden="0"/>
    </dxf>
    <dxf>
      <font>
        <b val="0"/>
        <i/>
        <strike val="0"/>
        <condense val="0"/>
        <extend val="0"/>
        <outline val="0"/>
        <shadow val="0"/>
        <u val="none"/>
        <vertAlign val="baseline"/>
        <sz val="11"/>
        <color theme="1" tint="0.499984740745262"/>
        <name val="Calibri"/>
        <scheme val="minor"/>
      </font>
      <numFmt numFmtId="0" formatCode="General"/>
      <alignment horizontal="center" vertical="bottom" textRotation="0" wrapText="0" indent="0" justifyLastLine="0" shrinkToFit="0" readingOrder="0"/>
    </dxf>
    <dxf>
      <font>
        <b/>
        <i val="0"/>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font>
      <fill>
        <patternFill>
          <bgColor rgb="FF00B0F0"/>
        </patternFill>
      </fill>
    </dxf>
    <dxf>
      <font>
        <color rgb="FF006100"/>
      </font>
      <fill>
        <patternFill>
          <bgColor rgb="FFC6EFCE"/>
        </patternFill>
      </fill>
    </dxf>
    <dxf>
      <font>
        <color rgb="FF006100"/>
      </font>
      <fill>
        <patternFill>
          <bgColor rgb="FFC6EFCE"/>
        </patternFill>
      </fill>
    </dxf>
    <dxf>
      <font>
        <color rgb="FF9C0006"/>
      </font>
      <numFmt numFmtId="165" formatCode="#,##0.000"/>
      <fill>
        <patternFill patternType="solid">
          <fgColor indexed="64"/>
          <bgColor rgb="FFFFC7CE"/>
        </patternFill>
      </fill>
      <alignment horizontal="center" vertical="center" textRotation="0" wrapText="0" indent="0" justifyLastLine="0" shrinkToFit="0" readingOrder="0"/>
      <border diagonalUp="0" diagonalDown="0">
        <left style="hair">
          <color indexed="64"/>
        </left>
        <right style="thin">
          <color indexed="64"/>
        </right>
        <top/>
        <bottom/>
        <vertical/>
        <horizontal/>
      </border>
    </dxf>
    <dxf>
      <font>
        <b val="0"/>
        <i val="0"/>
        <strike val="0"/>
        <outline val="0"/>
        <shadow val="0"/>
        <u val="none"/>
        <vertAlign val="baseline"/>
        <sz val="11"/>
        <color auto="1"/>
        <name val="Calibri"/>
        <scheme val="minor"/>
      </font>
      <numFmt numFmtId="189" formatCode="#,##0.0&quot; t*m&quot;;\-#,##0.0&quot; t*m&quot;;0.0&quot; t*m&quot;;@"/>
      <alignment horizontal="center" vertical="bottom" textRotation="0" wrapText="0" indent="0" justifyLastLine="0" shrinkToFit="0" readingOrder="0"/>
      <border diagonalUp="0" diagonalDown="0">
        <left style="thin">
          <color indexed="64"/>
        </left>
        <right style="thin">
          <color indexed="64"/>
        </right>
        <top/>
        <bottom/>
        <vertical/>
        <horizontal/>
      </border>
    </dxf>
    <dxf>
      <font>
        <b val="0"/>
        <i/>
        <strike val="0"/>
        <outline val="0"/>
        <shadow val="0"/>
        <u val="none"/>
        <vertAlign val="baseline"/>
        <sz val="11"/>
        <color rgb="FF7030A0"/>
        <name val="Calibri"/>
      </font>
      <numFmt numFmtId="192" formatCode="#,##0.000_ ;\-#,##0.000\ "/>
      <alignment horizontal="center" vertical="center" textRotation="0" indent="0" justifyLastLine="0" shrinkToFit="0" readingOrder="0"/>
      <border diagonalUp="0" diagonalDown="0">
        <left style="thin">
          <color indexed="64"/>
        </left>
        <right style="medium">
          <color indexed="64"/>
        </right>
        <top/>
        <bottom/>
        <vertical/>
        <horizontal/>
      </border>
    </dxf>
    <dxf>
      <font>
        <b val="0"/>
        <i/>
        <strike val="0"/>
        <outline val="0"/>
        <shadow val="0"/>
        <u val="none"/>
        <vertAlign val="baseline"/>
        <sz val="11"/>
        <color rgb="FF7030A0"/>
        <name val="Calibri"/>
      </font>
      <numFmt numFmtId="191" formatCode="#,##0.000&quot; t/m&quot;;\-#,##0.000&quot; t/m&quot;;0.000&quot; t/m&quot;;@"/>
      <alignment horizontal="center" vertical="center" textRotation="0" indent="0" justifyLastLine="0" shrinkToFit="0" readingOrder="0"/>
      <border diagonalUp="0" diagonalDown="0">
        <left style="hair">
          <color indexed="64"/>
        </left>
        <right style="thin">
          <color indexed="64"/>
        </right>
        <top/>
        <bottom/>
        <vertical/>
        <horizontal/>
      </border>
    </dxf>
    <dxf>
      <font>
        <b val="0"/>
        <i/>
        <strike val="0"/>
        <outline val="0"/>
        <shadow val="0"/>
        <u val="none"/>
        <vertAlign val="baseline"/>
        <sz val="11"/>
        <color rgb="FF7030A0"/>
        <name val="Calibri"/>
      </font>
      <numFmt numFmtId="191" formatCode="#,##0.000&quot; t/m&quot;;\-#,##0.000&quot; t/m&quot;;0.000&quot; t/m&quot;;@"/>
      <alignment horizontal="center" vertical="center" textRotation="0" indent="0" justifyLastLine="0" shrinkToFit="0" readingOrder="0"/>
      <border diagonalUp="0" diagonalDown="0">
        <left style="thin">
          <color indexed="64"/>
        </left>
        <right style="hair">
          <color indexed="64"/>
        </right>
        <top/>
        <bottom/>
        <vertical/>
        <horizontal/>
      </border>
    </dxf>
    <dxf>
      <font>
        <b val="0"/>
        <i val="0"/>
        <strike val="0"/>
        <condense val="0"/>
        <extend val="0"/>
        <outline val="0"/>
        <shadow val="0"/>
        <u val="none"/>
        <vertAlign val="baseline"/>
        <sz val="11"/>
        <color rgb="FF9C0006"/>
        <name val="Calibri"/>
        <scheme val="minor"/>
      </font>
      <numFmt numFmtId="165" formatCode="#,##0.000"/>
      <fill>
        <patternFill patternType="solid">
          <fgColor indexed="64"/>
          <bgColor rgb="FFFFC7CE"/>
        </patternFill>
      </fill>
      <alignment horizontal="center" vertical="center" textRotation="0" wrapText="0" indent="0" justifyLastLine="0" shrinkToFit="0" readingOrder="0"/>
      <border diagonalUp="0" diagonalDown="0">
        <left style="thin">
          <color indexed="64"/>
        </left>
        <right style="thin">
          <color indexed="64"/>
        </right>
        <top/>
        <bottom/>
        <vertical/>
        <horizontal/>
      </border>
    </dxf>
    <dxf>
      <font>
        <b val="0"/>
        <i val="0"/>
        <strike val="0"/>
        <outline val="0"/>
        <shadow val="0"/>
        <u val="none"/>
        <vertAlign val="baseline"/>
        <sz val="11"/>
        <color theme="1" tint="0.34998626667073579"/>
        <name val="Calibri"/>
      </font>
      <numFmt numFmtId="203" formatCode="#,##0.00&quot; t&quot;"/>
      <alignment horizontal="center" vertical="center" textRotation="0" wrapText="0" indent="0" justifyLastLine="0" shrinkToFit="0" readingOrder="0"/>
      <border diagonalUp="0" diagonalDown="0">
        <left style="hair">
          <color indexed="64"/>
        </left>
        <right style="thin">
          <color indexed="64"/>
        </right>
        <top/>
        <bottom/>
        <vertical/>
        <horizontal/>
      </border>
    </dxf>
    <dxf>
      <font>
        <b val="0"/>
        <i val="0"/>
        <strike val="0"/>
        <outline val="0"/>
        <shadow val="0"/>
        <u val="none"/>
        <vertAlign val="baseline"/>
        <sz val="11"/>
        <color theme="1" tint="0.34998626667073579"/>
        <name val="Calibri"/>
      </font>
      <numFmt numFmtId="203" formatCode="#,##0.00&quot; t&quot;"/>
      <alignment horizontal="center" vertical="center" textRotation="0" wrapText="0" indent="0" justifyLastLine="0" shrinkToFit="0" readingOrder="0"/>
      <border diagonalUp="0" diagonalDown="0">
        <left style="thin">
          <color indexed="64"/>
        </left>
        <right style="hair">
          <color indexed="64"/>
        </right>
        <top/>
        <bottom/>
        <vertical/>
        <horizontal/>
      </border>
    </dxf>
    <dxf>
      <font>
        <b val="0"/>
        <i/>
        <strike val="0"/>
        <condense val="0"/>
        <extend val="0"/>
        <outline val="0"/>
        <shadow val="0"/>
        <u val="none"/>
        <vertAlign val="baseline"/>
        <sz val="11"/>
        <color theme="3"/>
        <name val="Calibri"/>
        <scheme val="minor"/>
      </font>
      <numFmt numFmtId="191" formatCode="#,##0.000&quot; t/m&quot;;\-#,##0.000&quot; t/m&quot;;0.000&quot; t/m&quot;;@"/>
      <alignment horizontal="center" vertical="center" textRotation="0" wrapText="0" indent="0" justifyLastLine="0" shrinkToFit="0" readingOrder="0"/>
      <border diagonalUp="0" diagonalDown="0">
        <left style="hair">
          <color indexed="64"/>
        </left>
        <right style="thin">
          <color indexed="64"/>
        </right>
        <top/>
        <bottom/>
        <vertical/>
        <horizontal/>
      </border>
    </dxf>
    <dxf>
      <font>
        <b val="0"/>
        <i/>
        <strike val="0"/>
        <condense val="0"/>
        <extend val="0"/>
        <outline val="0"/>
        <shadow val="0"/>
        <u val="none"/>
        <vertAlign val="baseline"/>
        <sz val="11"/>
        <color theme="3"/>
        <name val="Calibri"/>
        <scheme val="minor"/>
      </font>
      <numFmt numFmtId="191" formatCode="#,##0.000&quot; t/m&quot;;\-#,##0.000&quot; t/m&quot;;0.000&quot; t/m&quot;;@"/>
      <alignment horizontal="center" vertical="center" textRotation="0" wrapText="0" indent="0" justifyLastLine="0" shrinkToFit="0" readingOrder="0"/>
      <border diagonalUp="0" diagonalDown="0">
        <left style="thin">
          <color indexed="64"/>
        </left>
        <right style="hair">
          <color indexed="64"/>
        </right>
        <top/>
        <bottom/>
        <vertical/>
        <horizontal/>
      </border>
    </dxf>
    <dxf>
      <font>
        <b val="0"/>
        <i/>
        <strike val="0"/>
        <condense val="0"/>
        <extend val="0"/>
        <outline val="0"/>
        <shadow val="0"/>
        <u val="none"/>
        <vertAlign val="baseline"/>
        <sz val="11"/>
        <color theme="3"/>
        <name val="Calibri"/>
        <scheme val="minor"/>
      </font>
      <numFmt numFmtId="191" formatCode="#,##0.000&quot; t/m&quot;;\-#,##0.000&quot; t/m&quot;;0.000&quot; t/m&quot;;@"/>
      <alignment horizontal="center" vertical="center" textRotation="0" wrapText="0" indent="0" justifyLastLine="0" shrinkToFit="0" readingOrder="0"/>
      <border diagonalUp="0" diagonalDown="0">
        <left style="thin">
          <color indexed="64"/>
        </left>
        <right style="thin">
          <color indexed="64"/>
        </right>
        <top/>
        <bottom/>
        <vertical/>
        <horizontal/>
      </border>
    </dxf>
    <dxf>
      <font>
        <b val="0"/>
        <i/>
        <strike val="0"/>
        <outline val="0"/>
        <shadow val="0"/>
        <u val="none"/>
        <vertAlign val="baseline"/>
        <sz val="11"/>
        <color theme="1" tint="0.34998626667073579"/>
        <name val="Calibri"/>
      </font>
      <numFmt numFmtId="191" formatCode="#,##0.000&quot; t/m&quot;;\-#,##0.000&quot; t/m&quot;;0.000&quot; t/m&quot;;@"/>
      <alignment horizontal="center" vertical="center" textRotation="0" indent="0" justifyLastLine="0" shrinkToFit="0" readingOrder="0"/>
      <border diagonalUp="0" diagonalDown="0">
        <left style="hair">
          <color indexed="64"/>
        </left>
        <right style="thin">
          <color indexed="64"/>
        </right>
        <top/>
        <bottom/>
        <vertical/>
        <horizontal/>
      </border>
    </dxf>
    <dxf>
      <font>
        <b val="0"/>
        <i/>
        <strike val="0"/>
        <outline val="0"/>
        <shadow val="0"/>
        <u val="none"/>
        <vertAlign val="baseline"/>
        <sz val="11"/>
        <color theme="1" tint="0.34998626667073579"/>
        <name val="Calibri"/>
      </font>
      <numFmt numFmtId="191" formatCode="#,##0.000&quot; t/m&quot;;\-#,##0.000&quot; t/m&quot;;0.000&quot; t/m&quot;;@"/>
      <alignment horizontal="center" vertical="center" textRotation="0" indent="0" justifyLastLine="0" shrinkToFit="0" readingOrder="0"/>
      <border diagonalUp="0" diagonalDown="0">
        <left style="hair">
          <color indexed="64"/>
        </left>
        <right style="hair">
          <color indexed="64"/>
        </right>
        <top/>
        <bottom/>
        <vertical/>
        <horizontal/>
      </border>
    </dxf>
    <dxf>
      <font>
        <b val="0"/>
        <i/>
        <strike val="0"/>
        <outline val="0"/>
        <shadow val="0"/>
        <u val="none"/>
        <vertAlign val="baseline"/>
        <sz val="11"/>
        <color theme="1" tint="0.34998626667073579"/>
        <name val="Calibri"/>
      </font>
      <numFmt numFmtId="191" formatCode="#,##0.000&quot; t/m&quot;;\-#,##0.000&quot; t/m&quot;;0.000&quot; t/m&quot;;@"/>
      <alignment horizontal="center" vertical="center" textRotation="0" indent="0" justifyLastLine="0" shrinkToFit="0" readingOrder="0"/>
      <border diagonalUp="0" diagonalDown="0">
        <left style="thin">
          <color indexed="64"/>
        </left>
        <right style="hair">
          <color indexed="64"/>
        </right>
        <top/>
        <bottom/>
        <vertical/>
        <horizontal/>
      </border>
    </dxf>
    <dxf>
      <font>
        <b val="0"/>
        <i/>
        <strike val="0"/>
        <outline val="0"/>
        <shadow val="0"/>
        <u val="none"/>
        <vertAlign val="baseline"/>
        <sz val="11"/>
        <color theme="1" tint="0.34998626667073579"/>
        <name val="Calibri"/>
      </font>
      <numFmt numFmtId="189" formatCode="#,##0.0&quot; t*m&quot;;\-#,##0.0&quot; t*m&quot;;0.0&quot; t*m&quot;;@"/>
      <alignment horizontal="center" vertical="center" textRotation="0" indent="0" justifyLastLine="0" shrinkToFit="0" readingOrder="0"/>
      <border diagonalUp="0" diagonalDown="0">
        <left style="thin">
          <color indexed="64"/>
        </left>
        <right style="thin">
          <color indexed="64"/>
        </right>
        <top/>
        <bottom/>
        <vertical/>
        <horizontal/>
      </border>
    </dxf>
    <dxf>
      <font>
        <b val="0"/>
        <i/>
        <strike val="0"/>
        <outline val="0"/>
        <shadow val="0"/>
        <u val="none"/>
        <vertAlign val="baseline"/>
        <sz val="11"/>
        <color theme="1" tint="0.34998626667073579"/>
        <name val="Calibri"/>
      </font>
      <numFmt numFmtId="190" formatCode="#,##0.000&quot; m&quot;;\-#,##0.000&quot; m&quot;;0.000&quot; m&quot;;@"/>
      <alignment horizontal="center" vertical="center" textRotation="0" indent="0" justifyLastLine="0" shrinkToFit="0" readingOrder="0"/>
      <border diagonalUp="0" diagonalDown="0">
        <left style="hair">
          <color indexed="64"/>
        </left>
        <right style="thin">
          <color indexed="64"/>
        </right>
        <top/>
        <bottom/>
        <vertical/>
        <horizontal/>
      </border>
    </dxf>
    <dxf>
      <font>
        <b val="0"/>
        <i/>
        <strike val="0"/>
        <outline val="0"/>
        <shadow val="0"/>
        <u val="none"/>
        <vertAlign val="baseline"/>
        <sz val="11"/>
        <color theme="1" tint="0.34998626667073579"/>
        <name val="Calibri"/>
      </font>
      <numFmt numFmtId="190" formatCode="#,##0.000&quot; m&quot;;\-#,##0.000&quot; m&quot;;0.000&quot; m&quot;;@"/>
      <alignment horizontal="center" vertical="center" textRotation="0" indent="0" justifyLastLine="0" shrinkToFit="0" readingOrder="0"/>
      <border diagonalUp="0" diagonalDown="0">
        <left style="hair">
          <color indexed="64"/>
        </left>
        <right style="hair">
          <color indexed="64"/>
        </right>
        <top/>
        <bottom/>
        <vertical/>
        <horizontal/>
      </border>
    </dxf>
    <dxf>
      <font>
        <b val="0"/>
        <i/>
        <strike val="0"/>
        <outline val="0"/>
        <shadow val="0"/>
        <u val="none"/>
        <vertAlign val="baseline"/>
        <sz val="11"/>
        <color theme="1" tint="0.34998626667073579"/>
        <name val="Calibri"/>
      </font>
      <numFmt numFmtId="190" formatCode="#,##0.000&quot; m&quot;;\-#,##0.000&quot; m&quot;;0.000&quot; m&quot;;@"/>
      <alignment horizontal="center" vertical="center" textRotation="0" indent="0" justifyLastLine="0" shrinkToFit="0" readingOrder="0"/>
      <border diagonalUp="0" diagonalDown="0">
        <left style="thin">
          <color indexed="64"/>
        </left>
        <right style="hair">
          <color indexed="64"/>
        </right>
        <top/>
        <bottom/>
        <vertical/>
        <horizontal/>
      </border>
    </dxf>
    <dxf>
      <font>
        <b val="0"/>
        <i val="0"/>
        <strike val="0"/>
        <outline val="0"/>
        <shadow val="0"/>
        <u val="none"/>
        <vertAlign val="baseline"/>
        <sz val="11"/>
        <color rgb="FF0000FF"/>
        <name val="Calibri"/>
      </font>
      <border diagonalUp="0" diagonalDown="0">
        <left style="thin">
          <color indexed="64"/>
        </left>
        <right style="medium">
          <color indexed="64"/>
        </right>
        <top/>
        <bottom/>
        <vertical/>
        <horizontal/>
      </border>
    </dxf>
    <dxf>
      <font>
        <b val="0"/>
        <i val="0"/>
        <strike val="0"/>
        <outline val="0"/>
        <shadow val="0"/>
        <u val="none"/>
        <vertAlign val="baseline"/>
        <sz val="11"/>
        <color rgb="FF0000FF"/>
        <name val="Calibri"/>
      </font>
      <border diagonalUp="0" diagonalDown="0">
        <left style="thin">
          <color indexed="64"/>
        </left>
        <right style="thin">
          <color indexed="64"/>
        </right>
        <top/>
        <bottom/>
        <vertical/>
        <horizontal/>
      </border>
    </dxf>
    <dxf>
      <font>
        <b val="0"/>
        <i val="0"/>
        <strike val="0"/>
        <outline val="0"/>
        <shadow val="0"/>
        <u val="none"/>
        <vertAlign val="baseline"/>
        <sz val="11"/>
        <color rgb="FF0000FF"/>
        <name val="Calibri"/>
      </font>
      <border diagonalUp="0" diagonalDown="0">
        <left style="thin">
          <color indexed="64"/>
        </left>
        <right style="thin">
          <color indexed="64"/>
        </right>
        <top/>
        <bottom/>
        <vertical/>
        <horizontal/>
      </border>
    </dxf>
    <dxf>
      <font>
        <b val="0"/>
        <i val="0"/>
        <strike val="0"/>
        <condense val="0"/>
        <extend val="0"/>
        <outline val="0"/>
        <shadow val="0"/>
        <u val="none"/>
        <vertAlign val="baseline"/>
        <sz val="11"/>
        <color rgb="FF0000FF"/>
        <name val="Calibri"/>
        <scheme val="none"/>
      </font>
      <numFmt numFmtId="175" formatCode="#,##0.000&quot; m&quot;;\-#,##0.000&quot; m&quo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vertical/>
        <horizontal/>
      </border>
    </dxf>
    <dxf>
      <font>
        <b val="0"/>
        <i val="0"/>
        <strike val="0"/>
        <outline val="0"/>
        <shadow val="0"/>
        <u val="none"/>
        <vertAlign val="baseline"/>
        <sz val="11"/>
        <color rgb="FF0000FF"/>
        <name val="Calibri"/>
      </font>
      <numFmt numFmtId="191" formatCode="#,##0.000&quot; t/m&quot;;\-#,##0.000&quot; t/m&quot;;0.000&quot; t/m&quot;;@"/>
      <alignment horizontal="center" vertical="center" textRotation="0" indent="0" justifyLastLine="0" shrinkToFit="0" readingOrder="0"/>
    </dxf>
    <dxf>
      <font>
        <b val="0"/>
        <i val="0"/>
        <strike val="0"/>
        <outline val="0"/>
        <shadow val="0"/>
        <u val="none"/>
        <vertAlign val="baseline"/>
        <sz val="11"/>
        <color rgb="FF0000FF"/>
        <name val="Calibri"/>
      </font>
      <numFmt numFmtId="191" formatCode="#,##0.000&quot; t/m&quot;;\-#,##0.000&quot; t/m&quot;;0.000&quot; t/m&quot;;@"/>
      <alignment horizontal="center" vertical="center" textRotation="0" indent="0" justifyLastLine="0" shrinkToFit="0" readingOrder="0"/>
      <border diagonalUp="0" diagonalDown="0">
        <left style="hair">
          <color indexed="64"/>
        </left>
        <right style="hair">
          <color indexed="64"/>
        </right>
        <top/>
        <bottom/>
        <vertical/>
        <horizontal/>
      </border>
    </dxf>
    <dxf>
      <font>
        <b val="0"/>
        <i val="0"/>
        <strike val="0"/>
        <outline val="0"/>
        <shadow val="0"/>
        <u val="none"/>
        <vertAlign val="baseline"/>
        <sz val="11"/>
        <color rgb="FF0000FF"/>
        <name val="Calibri"/>
      </font>
      <numFmt numFmtId="191" formatCode="#,##0.000&quot; t/m&quot;;\-#,##0.000&quot; t/m&quot;;0.000&quot; t/m&quot;;@"/>
      <border diagonalUp="0" diagonalDown="0">
        <left style="thin">
          <color indexed="64"/>
        </left>
        <right style="hair">
          <color indexed="64"/>
        </right>
        <top/>
        <bottom/>
        <vertical/>
        <horizontal/>
      </border>
    </dxf>
    <dxf>
      <font>
        <b val="0"/>
        <i/>
        <strike val="0"/>
        <outline val="0"/>
        <shadow val="0"/>
        <u val="none"/>
        <vertAlign val="baseline"/>
        <sz val="11"/>
        <color theme="1" tint="0.34998626667073579"/>
        <name val="Calibri"/>
      </font>
      <numFmt numFmtId="189" formatCode="#,##0.0&quot; t*m&quot;;\-#,##0.0&quot; t*m&quot;;0.0&quot; t*m&quot;;@"/>
      <border diagonalUp="0" diagonalDown="0">
        <left style="hair">
          <color indexed="64"/>
        </left>
        <right style="hair">
          <color indexed="64"/>
        </right>
        <top/>
        <bottom/>
        <vertical/>
        <horizontal/>
      </border>
    </dxf>
    <dxf>
      <font>
        <b val="0"/>
        <i val="0"/>
        <strike val="0"/>
        <condense val="0"/>
        <extend val="0"/>
        <outline val="0"/>
        <shadow val="0"/>
        <u val="none"/>
        <vertAlign val="baseline"/>
        <sz val="11"/>
        <color rgb="FF0000FF"/>
        <name val="Calibri"/>
        <scheme val="none"/>
      </font>
      <numFmt numFmtId="167" formatCode="0.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hair">
          <color indexed="64"/>
        </right>
        <top/>
        <bottom/>
        <vertical/>
        <horizontal/>
      </border>
    </dxf>
    <dxf>
      <font>
        <b val="0"/>
        <i/>
        <strike val="0"/>
        <condense val="0"/>
        <extend val="0"/>
        <outline val="0"/>
        <shadow val="0"/>
        <u val="none"/>
        <vertAlign val="baseline"/>
        <sz val="11"/>
        <color theme="1" tint="0.34998626667073579"/>
        <name val="Calibri"/>
        <scheme val="none"/>
      </font>
      <numFmt numFmtId="189" formatCode="#,##0.0&quot; t*m&quot;;\-#,##0.0&quot; t*m&quot;;0.0&quot; t*m&quot;;@"/>
      <fill>
        <patternFill patternType="none">
          <fgColor indexed="64"/>
          <bgColor indexed="65"/>
        </patternFill>
      </fill>
      <alignment horizontal="general" vertical="center" textRotation="0" wrapText="0" indent="0" justifyLastLine="0" shrinkToFit="0" readingOrder="0"/>
      <border diagonalUp="0" diagonalDown="0">
        <left style="hair">
          <color indexed="64"/>
        </left>
        <right/>
        <top/>
        <bottom/>
        <vertical/>
        <horizontal/>
      </border>
    </dxf>
    <dxf>
      <font>
        <b val="0"/>
        <i val="0"/>
        <strike val="0"/>
        <condense val="0"/>
        <extend val="0"/>
        <outline val="0"/>
        <shadow val="0"/>
        <u val="none"/>
        <vertAlign val="baseline"/>
        <sz val="11"/>
        <color rgb="FF0000FF"/>
        <name val="Calibri"/>
        <scheme val="none"/>
      </font>
      <numFmt numFmtId="189" formatCode="#,##0.0&quot; t*m&quot;;\-#,##0.0&quot; t*m&quot;;0.0&quot; t*m&quot;;@"/>
      <fill>
        <patternFill patternType="none">
          <fgColor indexed="64"/>
          <bgColor indexed="65"/>
        </patternFill>
      </fill>
      <alignment horizontal="general" vertical="center" textRotation="0" wrapText="0" indent="0" justifyLastLine="0" shrinkToFit="0" readingOrder="0"/>
      <border diagonalUp="0" diagonalDown="0">
        <left style="hair">
          <color indexed="64"/>
        </left>
        <right/>
        <top/>
        <bottom/>
        <vertical/>
        <horizontal/>
      </border>
    </dxf>
    <dxf>
      <font>
        <b val="0"/>
        <i val="0"/>
        <strike val="0"/>
        <condense val="0"/>
        <extend val="0"/>
        <outline val="0"/>
        <shadow val="0"/>
        <u val="none"/>
        <vertAlign val="baseline"/>
        <sz val="11"/>
        <color rgb="FF0000FF"/>
        <name val="Calibri"/>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1"/>
        <color rgb="FF0000FF"/>
        <name val="Calibri"/>
        <scheme val="none"/>
      </font>
      <fill>
        <patternFill patternType="none">
          <fgColor indexed="64"/>
          <bgColor indexed="65"/>
        </patternFill>
      </fill>
      <alignment horizontal="left" vertical="center" textRotation="0" wrapText="1" indent="0" justifyLastLine="0" shrinkToFit="0" readingOrder="0"/>
      <border diagonalUp="0" diagonalDown="0">
        <left style="hair">
          <color indexed="64"/>
        </left>
        <right/>
        <top/>
        <bottom/>
        <vertical/>
        <horizontal/>
      </border>
    </dxf>
    <dxf>
      <font>
        <b val="0"/>
        <i/>
        <strike val="0"/>
        <outline val="0"/>
        <shadow val="0"/>
        <u val="none"/>
        <vertAlign val="baseline"/>
        <sz val="11"/>
        <color theme="1" tint="0.34998626667073579"/>
        <name val="Calibri"/>
      </font>
      <numFmt numFmtId="0" formatCode="General"/>
      <alignment horizontal="center" vertical="center" textRotation="0" indent="0" justifyLastLine="0" shrinkToFit="0" readingOrder="0"/>
      <border diagonalUp="0" diagonalDown="0">
        <left style="thin">
          <color indexed="64"/>
        </left>
        <right style="hair">
          <color indexed="64"/>
        </right>
        <top/>
        <bottom/>
        <vertical/>
        <horizontal/>
      </border>
    </dxf>
    <dxf>
      <font>
        <b val="0"/>
        <i val="0"/>
        <strike val="0"/>
        <outline val="0"/>
        <shadow val="0"/>
        <u val="none"/>
        <vertAlign val="baseline"/>
        <sz val="11"/>
        <color rgb="FF0000FF"/>
        <name val="Calibri"/>
      </font>
      <numFmt numFmtId="188" formatCode="#,##0.000&quot; t&quot;;\-#,##0.000&quot; t&quot;;\-;@"/>
      <alignment horizontal="center" vertical="center" textRotation="0" wrapText="0" indent="0" justifyLastLine="0" shrinkToFit="0" readingOrder="0"/>
      <border diagonalUp="0" diagonalDown="0">
        <left style="hair">
          <color indexed="64"/>
        </left>
        <right style="thin">
          <color indexed="64"/>
        </right>
        <top/>
        <bottom/>
        <vertical/>
        <horizontal/>
      </border>
    </dxf>
    <dxf>
      <font>
        <b val="0"/>
        <i val="0"/>
        <strike val="0"/>
        <condense val="0"/>
        <extend val="0"/>
        <outline val="0"/>
        <shadow val="0"/>
        <u val="none"/>
        <vertAlign val="baseline"/>
        <sz val="11"/>
        <color rgb="FF0000FF"/>
        <name val="Calibri"/>
        <scheme val="none"/>
      </font>
      <numFmt numFmtId="173" formatCode="00"/>
      <fill>
        <patternFill patternType="none">
          <fgColor indexed="64"/>
          <bgColor indexed="65"/>
        </patternFill>
      </fill>
      <alignment horizontal="center" vertical="center" textRotation="0" wrapText="0" indent="0" justifyLastLine="0" shrinkToFit="0" readingOrder="0"/>
      <border diagonalUp="0" diagonalDown="0">
        <left style="hair">
          <color indexed="64"/>
        </left>
        <right/>
        <top/>
        <bottom/>
        <vertical/>
        <horizontal/>
      </border>
    </dxf>
    <dxf>
      <font>
        <b val="0"/>
        <i/>
        <strike val="0"/>
        <condense val="0"/>
        <extend val="0"/>
        <outline val="0"/>
        <shadow val="0"/>
        <u val="none"/>
        <vertAlign val="baseline"/>
        <sz val="11"/>
        <color theme="0" tint="-0.499984740745262"/>
        <name val="Calibri"/>
        <scheme val="none"/>
      </font>
      <numFmt numFmtId="173" formatCode="00"/>
      <fill>
        <patternFill patternType="none">
          <fgColor indexed="64"/>
          <bgColor indexed="65"/>
        </patternFill>
      </fill>
      <alignment horizontal="center" vertical="center" textRotation="0" wrapText="0" indent="0" justifyLastLine="0" shrinkToFit="0" readingOrder="0"/>
    </dxf>
    <dxf>
      <border outline="0">
        <left style="medium">
          <color rgb="FF000000"/>
        </left>
        <right style="medium">
          <color rgb="FF000000"/>
        </right>
        <top style="thin">
          <color rgb="FFC0504D"/>
        </top>
      </border>
    </dxf>
    <dxf>
      <font>
        <b/>
        <i val="0"/>
        <strike val="0"/>
        <condense val="0"/>
        <extend val="0"/>
        <outline val="0"/>
        <shadow val="0"/>
        <u val="none"/>
        <vertAlign val="baseline"/>
        <sz val="11"/>
        <color auto="1"/>
        <name val="Calibri"/>
        <scheme val="none"/>
      </font>
      <numFmt numFmtId="165" formatCode="#,##0.000"/>
      <fill>
        <patternFill patternType="solid">
          <fgColor indexed="64"/>
          <bgColor indexed="42"/>
        </patternFill>
      </fill>
      <alignment horizontal="center" vertical="center" textRotation="0" wrapText="0" indent="0" justifyLastLine="0" shrinkToFit="0" readingOrder="0"/>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font>
      <fill>
        <patternFill>
          <bgColor rgb="FF00B0F0"/>
        </patternFill>
      </fill>
    </dxf>
    <dxf>
      <font>
        <b/>
        <i val="0"/>
      </font>
      <fill>
        <patternFill>
          <bgColor rgb="FF00B0F0"/>
        </patternFill>
      </fill>
    </dxf>
    <dxf>
      <font>
        <color rgb="FF006100"/>
      </font>
      <fill>
        <patternFill>
          <bgColor rgb="FFC6EFCE"/>
        </patternFill>
      </fill>
    </dxf>
    <dxf>
      <font>
        <b/>
        <i val="0"/>
      </font>
      <fill>
        <patternFill>
          <bgColor rgb="FF00B0F0"/>
        </patternFill>
      </fill>
    </dxf>
    <dxf>
      <font>
        <b/>
        <i val="0"/>
      </font>
      <fill>
        <patternFill>
          <bgColor rgb="FF00B0F0"/>
        </patternFill>
      </fill>
    </dxf>
    <dxf>
      <font>
        <b/>
        <i val="0"/>
      </font>
      <fill>
        <patternFill>
          <bgColor rgb="FF00B0F0"/>
        </patternFill>
      </fill>
    </dxf>
    <dxf>
      <font>
        <b/>
        <i val="0"/>
      </font>
      <fill>
        <patternFill>
          <bgColor rgb="FF00B0F0"/>
        </patternFill>
      </fill>
    </dxf>
    <dxf>
      <font>
        <color rgb="FF006100"/>
      </font>
      <fill>
        <patternFill>
          <bgColor rgb="FFC6EFCE"/>
        </patternFill>
      </fill>
    </dxf>
    <dxf>
      <numFmt numFmtId="195" formatCode="#,##0.000&quot; m&quot;;\-#,##0.000&quot; m&quot;;\-;@"/>
      <fill>
        <patternFill patternType="none">
          <fgColor indexed="64"/>
          <bgColor auto="1"/>
        </patternFill>
      </fill>
      <border diagonalUp="0" diagonalDown="0">
        <left style="hair">
          <color indexed="64"/>
        </left>
        <right style="medium">
          <color indexed="64"/>
        </right>
        <top/>
        <bottom/>
        <vertical style="hair">
          <color indexed="64"/>
        </vertical>
        <horizontal/>
      </border>
    </dxf>
    <dxf>
      <numFmt numFmtId="195" formatCode="#,##0.000&quot; m&quot;;\-#,##0.000&quot; m&quot;;\-;@"/>
      <fill>
        <patternFill patternType="none">
          <fgColor indexed="64"/>
          <bgColor auto="1"/>
        </patternFill>
      </fill>
      <border diagonalUp="0" diagonalDown="0">
        <left style="hair">
          <color indexed="64"/>
        </left>
        <right style="hair">
          <color indexed="64"/>
        </right>
        <top/>
        <bottom/>
        <vertical style="hair">
          <color indexed="64"/>
        </vertical>
        <horizontal/>
      </border>
    </dxf>
    <dxf>
      <numFmt numFmtId="195" formatCode="#,##0.000&quot; m&quot;;\-#,##0.000&quot; m&quot;;\-;@"/>
      <fill>
        <patternFill patternType="none">
          <fgColor indexed="64"/>
          <bgColor auto="1"/>
        </patternFill>
      </fill>
      <border diagonalUp="0" diagonalDown="0">
        <left style="hair">
          <color indexed="64"/>
        </left>
        <right style="hair">
          <color indexed="64"/>
        </right>
        <top/>
        <bottom/>
        <vertical style="hair">
          <color indexed="64"/>
        </vertical>
        <horizontal/>
      </border>
    </dxf>
    <dxf>
      <numFmt numFmtId="195" formatCode="#,##0.000&quot; m&quot;;\-#,##0.000&quot; m&quot;;\-;@"/>
      <fill>
        <patternFill patternType="none">
          <fgColor indexed="64"/>
          <bgColor auto="1"/>
        </patternFill>
      </fill>
      <border diagonalUp="0" diagonalDown="0">
        <left style="hair">
          <color indexed="64"/>
        </left>
        <right style="hair">
          <color indexed="64"/>
        </right>
        <top/>
        <bottom/>
        <vertical style="hair">
          <color indexed="64"/>
        </vertical>
        <horizontal/>
      </border>
    </dxf>
    <dxf>
      <numFmt numFmtId="200" formatCode="#,##0.0&quot; t*m/cm&quot;;\-#,##0.0&quot; t*m/cm&quot;;\-;@"/>
      <fill>
        <patternFill patternType="none">
          <fgColor indexed="64"/>
          <bgColor auto="1"/>
        </patternFill>
      </fill>
      <border diagonalUp="0" diagonalDown="0">
        <left style="hair">
          <color indexed="64"/>
        </left>
        <right style="hair">
          <color indexed="64"/>
        </right>
        <top/>
        <bottom/>
        <vertical style="hair">
          <color indexed="64"/>
        </vertical>
        <horizontal/>
      </border>
    </dxf>
    <dxf>
      <numFmt numFmtId="202" formatCode="#,##0.000&quot; t/cm&quot;;\-#,##0.000&quot; t/cm&quot;;\-;@"/>
      <fill>
        <patternFill patternType="none">
          <fgColor indexed="64"/>
          <bgColor auto="1"/>
        </patternFill>
      </fill>
      <border diagonalUp="0" diagonalDown="0">
        <left style="hair">
          <color indexed="64"/>
        </left>
        <right style="hair">
          <color indexed="64"/>
        </right>
        <top/>
        <bottom/>
        <vertical style="hair">
          <color indexed="64"/>
        </vertical>
        <horizontal/>
      </border>
    </dxf>
    <dxf>
      <numFmt numFmtId="188" formatCode="#,##0.000&quot; t&quot;;\-#,##0.000&quot; t&quot;;\-;@"/>
      <fill>
        <patternFill patternType="none">
          <fgColor indexed="64"/>
          <bgColor auto="1"/>
        </patternFill>
      </fill>
      <border diagonalUp="0" diagonalDown="0">
        <left style="hair">
          <color indexed="64"/>
        </left>
        <right style="hair">
          <color indexed="64"/>
        </right>
        <top/>
        <bottom/>
        <vertical style="hair">
          <color indexed="64"/>
        </vertical>
        <horizontal/>
      </border>
    </dxf>
    <dxf>
      <numFmt numFmtId="199" formatCode="#,##0.00&quot; m3&quot;;\-#,##0.00&quot; m3&quot;;\-;@"/>
      <fill>
        <patternFill patternType="none">
          <fgColor indexed="64"/>
          <bgColor auto="1"/>
        </patternFill>
      </fill>
      <border diagonalUp="0" diagonalDown="0">
        <left style="hair">
          <color indexed="64"/>
        </left>
        <right style="hair">
          <color indexed="64"/>
        </right>
        <top/>
        <bottom/>
        <vertical style="hair">
          <color indexed="64"/>
        </vertical>
        <horizontal/>
      </border>
    </dxf>
    <dxf>
      <numFmt numFmtId="195" formatCode="#,##0.000&quot; m&quot;;\-#,##0.000&quot; m&quot;;\-;@"/>
      <fill>
        <patternFill patternType="none">
          <fgColor indexed="64"/>
          <bgColor auto="1"/>
        </patternFill>
      </fill>
      <border diagonalUp="0" diagonalDown="0">
        <left style="medium">
          <color indexed="64"/>
        </left>
        <right style="hair">
          <color indexed="64"/>
        </right>
        <top/>
        <bottom/>
        <vertical style="hair">
          <color indexed="64"/>
        </vertical>
        <horizontal/>
      </border>
    </dxf>
    <dxf>
      <numFmt numFmtId="200" formatCode="#,##0.0&quot; t*m/cm&quot;;\-#,##0.0&quot; t*m/cm&quot;;\-;@"/>
      <fill>
        <patternFill patternType="none">
          <fgColor indexed="64"/>
          <bgColor auto="1"/>
        </patternFill>
      </fill>
    </dxf>
    <dxf>
      <numFmt numFmtId="195" formatCode="#,##0.000&quot; m&quot;;\-#,##0.000&quot; m&quot;;\-;@"/>
      <fill>
        <patternFill patternType="none">
          <fgColor indexed="64"/>
          <bgColor auto="1"/>
        </patternFill>
      </fill>
      <alignment horizontal="center" vertical="center" textRotation="0" wrapText="0" indent="0" justifyLastLine="0" shrinkToFit="0" readingOrder="0"/>
      <border diagonalUp="0" diagonalDown="0">
        <left style="thin">
          <color auto="1"/>
        </left>
        <right style="hair">
          <color auto="1"/>
        </right>
        <top/>
        <bottom/>
        <vertical/>
        <horizontal/>
      </border>
    </dxf>
    <dxf>
      <numFmt numFmtId="195" formatCode="#,##0.000&quot; m&quot;;\-#,##0.000&quot; m&quot;;\-;@"/>
      <fill>
        <patternFill patternType="none">
          <fgColor indexed="64"/>
          <bgColor auto="1"/>
        </patternFill>
      </fill>
      <alignment horizontal="center" vertical="bottom" textRotation="0" wrapText="0" indent="0" justifyLastLine="0" shrinkToFit="0" readingOrder="0"/>
    </dxf>
    <dxf>
      <numFmt numFmtId="190" formatCode="#,##0.000&quot; m&quot;;\-#,##0.000&quot; m&quot;;0.000&quot; m&quot;;@"/>
      <fill>
        <patternFill patternType="none">
          <fgColor indexed="64"/>
          <bgColor auto="1"/>
        </patternFill>
      </fill>
      <alignment horizontal="center" vertical="bottom" textRotation="0" wrapText="0" indent="0" justifyLastLine="0" shrinkToFit="0" readingOrder="0"/>
      <border diagonalUp="0" diagonalDown="0">
        <left style="hair">
          <color auto="1"/>
        </left>
        <right style="hair">
          <color auto="1"/>
        </right>
        <top/>
        <bottom/>
        <vertical/>
        <horizontal/>
      </border>
    </dxf>
    <dxf>
      <numFmt numFmtId="195" formatCode="#,##0.000&quot; m&quot;;\-#,##0.000&quot; m&quot;;\-;@"/>
      <fill>
        <patternFill patternType="none">
          <fgColor indexed="64"/>
          <bgColor auto="1"/>
        </patternFill>
      </fill>
      <alignment horizontal="center" vertical="bottom" textRotation="0" wrapText="0" indent="0" justifyLastLine="0" shrinkToFit="0" readingOrder="0"/>
      <border diagonalUp="0" diagonalDown="0">
        <left style="hair">
          <color auto="1"/>
        </left>
        <right/>
        <top/>
        <bottom/>
        <vertical/>
        <horizontal/>
      </border>
    </dxf>
    <dxf>
      <numFmt numFmtId="195" formatCode="#,##0.000&quot; m&quot;;\-#,##0.000&quot; m&quot;;\-;@"/>
      <fill>
        <patternFill patternType="none">
          <fgColor indexed="64"/>
          <bgColor auto="1"/>
        </patternFill>
      </fill>
      <alignment horizontal="center" vertical="center" textRotation="0" wrapText="0" indent="0" justifyLastLine="0" shrinkToFit="0" readingOrder="0"/>
      <border diagonalUp="0" diagonalDown="0">
        <left style="hair">
          <color auto="1"/>
        </left>
        <right/>
        <top/>
        <bottom/>
        <vertical/>
        <horizontal/>
      </border>
    </dxf>
    <dxf>
      <numFmt numFmtId="195" formatCode="#,##0.000&quot; m&quot;;\-#,##0.000&quot; m&quot;;\-;@"/>
      <fill>
        <patternFill patternType="none">
          <fgColor indexed="64"/>
          <bgColor indexed="65"/>
        </patternFill>
      </fill>
      <alignment horizontal="center" vertical="center" textRotation="0" wrapText="0" indent="0" justifyLastLine="0" shrinkToFit="0" readingOrder="0"/>
      <border diagonalUp="0" diagonalDown="0">
        <left style="hair">
          <color indexed="64"/>
        </left>
        <right style="thin">
          <color indexed="64"/>
        </right>
        <top/>
        <bottom/>
        <vertical/>
        <horizontal/>
      </border>
    </dxf>
    <dxf>
      <numFmt numFmtId="195" formatCode="#,##0.000&quot; m&quot;;\-#,##0.000&quot; m&quot;;\-;@"/>
      <fill>
        <patternFill patternType="none">
          <fgColor indexed="64"/>
          <bgColor auto="1"/>
        </patternFill>
      </fill>
      <alignment horizontal="center" vertical="center" textRotation="0" wrapText="0" indent="0" justifyLastLine="0" shrinkToFit="0" readingOrder="0"/>
    </dxf>
    <dxf>
      <numFmt numFmtId="188" formatCode="#,##0.000&quot; t&quot;;\-#,##0.000&quot; t&quot;;\-;@"/>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thin">
          <color indexed="64"/>
        </right>
        <top/>
        <bottom/>
        <vertical style="hair">
          <color indexed="64"/>
        </vertical>
        <horizontal/>
      </border>
    </dxf>
    <dxf>
      <numFmt numFmtId="199" formatCode="#,##0.00&quot; m3&quot;;\-#,##0.00&quot; m3&quot;;\-;@"/>
      <fill>
        <patternFill patternType="none">
          <fgColor indexed="64"/>
          <bgColor auto="1"/>
        </patternFill>
      </fill>
      <alignment horizontal="center" vertical="bottom" textRotation="0" wrapText="0" indent="0" justifyLastLine="0" shrinkToFit="0" readingOrder="0"/>
      <border diagonalUp="0" diagonalDown="0">
        <left style="thin">
          <color indexed="64"/>
        </left>
        <right style="hair">
          <color indexed="64"/>
        </right>
        <top/>
        <bottom/>
        <vertical style="hair">
          <color indexed="64"/>
        </vertical>
        <horizontal/>
      </border>
    </dxf>
    <dxf>
      <numFmt numFmtId="195" formatCode="#,##0.000&quot; m&quot;;\-#,##0.000&quot; m&quot;;\-;@"/>
      <fill>
        <patternFill patternType="none">
          <fgColor indexed="64"/>
          <bgColor indexed="65"/>
        </patternFill>
      </fill>
      <alignment horizontal="center" vertical="bottom" textRotation="0" wrapText="0" indent="0" justifyLastLine="0" shrinkToFit="0" readingOrder="0"/>
    </dxf>
    <dxf>
      <numFmt numFmtId="195" formatCode="#,##0.000&quot; m&quot;;\-#,##0.000&quot; m&quo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hair">
          <color indexed="64"/>
        </right>
        <top/>
        <bottom/>
        <vertical/>
        <horizontal/>
      </border>
    </dxf>
    <dxf>
      <numFmt numFmtId="199" formatCode="#,##0.00&quot; m3&quot;;\-#,##0.00&quot; m3&quot;;\-;@"/>
      <fill>
        <patternFill patternType="none">
          <fgColor indexed="64"/>
          <bgColor indexed="65"/>
        </patternFill>
      </fill>
      <alignment horizontal="center" vertical="bottom" textRotation="0" wrapText="0" indent="0" justifyLastLine="0" shrinkToFit="0" readingOrder="0"/>
      <border diagonalUp="0" diagonalDown="0">
        <left style="hair">
          <color indexed="64"/>
        </left>
        <right style="thin">
          <color indexed="64"/>
        </right>
        <top/>
        <bottom/>
        <vertical/>
        <horizontal/>
      </border>
    </dxf>
    <dxf>
      <numFmt numFmtId="194" formatCode="#,##0.000&quot; m²&quot;;\-#,##0.000\²&quot; m&quot;;\-;@"/>
      <fill>
        <patternFill patternType="none">
          <fgColor indexed="64"/>
          <bgColor auto="1"/>
        </patternFill>
      </fill>
      <alignment horizontal="center" vertical="bottom" textRotation="0" wrapText="0" indent="0" justifyLastLine="0" shrinkToFit="0" readingOrder="0"/>
      <border diagonalUp="0" diagonalDown="0">
        <left style="hair">
          <color indexed="64"/>
        </left>
        <right/>
        <top/>
        <bottom/>
      </border>
    </dxf>
    <dxf>
      <font>
        <b val="0"/>
        <i/>
        <strike val="0"/>
        <condense val="0"/>
        <extend val="0"/>
        <outline val="0"/>
        <shadow val="0"/>
        <u val="none"/>
        <vertAlign val="baseline"/>
        <sz val="11"/>
        <color theme="1" tint="0.24994659260841701"/>
        <name val="Calibri"/>
        <scheme val="minor"/>
      </font>
      <numFmt numFmtId="195" formatCode="#,##0.000&quot; m&quot;;\-#,##0.000&quot; m&quo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bottom/>
        <vertical/>
        <horizontal/>
      </border>
    </dxf>
    <dxf>
      <font>
        <b val="0"/>
        <i/>
        <strike val="0"/>
        <outline val="0"/>
        <shadow val="0"/>
        <u val="none"/>
        <vertAlign val="baseline"/>
        <sz val="11"/>
        <color theme="1" tint="0.24994659260841701"/>
        <name val="Calibri"/>
        <scheme val="minor"/>
      </font>
      <numFmt numFmtId="195" formatCode="#,##0.000&quot; m&quot;;\-#,##0.000&quot; m&quot;;\-;@"/>
      <fill>
        <patternFill patternType="none">
          <fgColor indexed="64"/>
          <bgColor indexed="65"/>
        </patternFill>
      </fill>
      <alignment horizontal="center" vertical="bottom" textRotation="0" wrapText="0" indent="0" justifyLastLine="0" shrinkToFit="0" readingOrder="0"/>
      <border diagonalUp="0" diagonalDown="0">
        <left style="hair">
          <color indexed="64"/>
        </left>
        <right style="thin">
          <color indexed="64"/>
        </right>
        <top/>
        <bottom/>
        <vertical/>
        <horizontal/>
      </border>
    </dxf>
    <dxf>
      <font>
        <b val="0"/>
        <i/>
        <strike val="0"/>
        <outline val="0"/>
        <shadow val="0"/>
        <u val="none"/>
        <vertAlign val="baseline"/>
        <sz val="11"/>
        <color theme="1" tint="0.24994659260841701"/>
        <name val="Calibri"/>
        <scheme val="minor"/>
      </font>
      <numFmt numFmtId="190" formatCode="#,##0.000&quot; m&quot;;\-#,##0.000&quot; m&quot;;0.000&quot; m&quot;;@"/>
      <fill>
        <patternFill patternType="none">
          <fgColor indexed="64"/>
          <bgColor indexed="65"/>
        </patternFill>
      </fill>
      <alignment horizontal="center" vertical="bottom" textRotation="0" wrapText="0" indent="0" justifyLastLine="0" shrinkToFit="0" readingOrder="0"/>
      <border diagonalUp="0" diagonalDown="0">
        <left style="hair">
          <color indexed="64"/>
        </left>
        <right/>
        <top/>
        <bottom/>
        <vertical/>
        <horizontal/>
      </border>
    </dxf>
    <dxf>
      <font>
        <b val="0"/>
        <i/>
        <strike val="0"/>
        <outline val="0"/>
        <shadow val="0"/>
        <u val="none"/>
        <vertAlign val="baseline"/>
        <sz val="11"/>
        <color theme="1" tint="0.24994659260841701"/>
        <name val="Calibri"/>
        <scheme val="minor"/>
      </font>
      <numFmt numFmtId="195" formatCode="#,##0.000&quot; m&quot;;\-#,##0.000&quot; m&quot;;\-;@"/>
      <fill>
        <patternFill patternType="none">
          <fgColor indexed="64"/>
          <bgColor indexed="65"/>
        </patternFill>
      </fill>
      <alignment horizontal="center" vertical="bottom" textRotation="0" wrapText="0" indent="0" justifyLastLine="0" shrinkToFit="0" readingOrder="0"/>
      <border diagonalUp="0" diagonalDown="0">
        <left style="hair">
          <color indexed="64"/>
        </left>
        <right style="thin">
          <color indexed="64"/>
        </right>
        <top/>
        <bottom/>
        <vertical/>
        <horizontal/>
      </border>
    </dxf>
    <dxf>
      <font>
        <b val="0"/>
        <i/>
        <strike val="0"/>
        <outline val="0"/>
        <shadow val="0"/>
        <u val="none"/>
        <vertAlign val="baseline"/>
        <sz val="11"/>
        <color theme="1" tint="0.24994659260841701"/>
        <name val="Calibri"/>
        <scheme val="minor"/>
      </font>
      <numFmt numFmtId="195" formatCode="#,##0.000&quot; m&quot;;\-#,##0.000&quot; m&quot;;\-;@"/>
      <fill>
        <patternFill patternType="none">
          <fgColor indexed="64"/>
          <bgColor indexed="65"/>
        </patternFill>
      </fill>
      <alignment horizontal="center" vertical="bottom" textRotation="0" wrapText="0" indent="0" justifyLastLine="0" shrinkToFit="0" readingOrder="0"/>
      <border diagonalUp="0" diagonalDown="0">
        <left style="hair">
          <color indexed="64"/>
        </left>
        <right/>
        <top/>
        <bottom/>
        <vertical/>
        <horizontal/>
      </border>
    </dxf>
    <dxf>
      <font>
        <b val="0"/>
        <i/>
        <strike val="0"/>
        <outline val="0"/>
        <shadow val="0"/>
        <u val="none"/>
        <vertAlign val="baseline"/>
        <sz val="11"/>
        <color theme="1" tint="0.24994659260841701"/>
        <name val="Calibri"/>
        <scheme val="minor"/>
      </font>
      <numFmt numFmtId="195" formatCode="#,##0.000&quot; m&quot;;\-#,##0.000&quot; m&quot;;\-;@"/>
      <fill>
        <patternFill patternType="none">
          <fgColor indexed="64"/>
          <bgColor indexed="65"/>
        </patternFill>
      </fill>
      <alignment horizontal="center" vertical="bottom" textRotation="0" wrapText="0" indent="0" justifyLastLine="0" shrinkToFit="0" readingOrder="0"/>
      <border diagonalUp="0" diagonalDown="0">
        <left style="hair">
          <color indexed="64"/>
        </left>
        <right/>
        <top/>
        <bottom/>
        <vertical/>
        <horizontal/>
      </border>
    </dxf>
    <dxf>
      <font>
        <b val="0"/>
        <i/>
        <strike val="0"/>
        <outline val="0"/>
        <shadow val="0"/>
        <u val="none"/>
        <vertAlign val="baseline"/>
        <sz val="11"/>
        <color theme="1" tint="0.24994659260841701"/>
        <name val="Calibri"/>
        <scheme val="minor"/>
      </font>
      <numFmt numFmtId="195" formatCode="#,##0.000&quot; m&quot;;\-#,##0.000&quot; m&quo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hair">
          <color indexed="64"/>
        </right>
        <top/>
        <bottom/>
        <vertical/>
        <horizontal/>
      </border>
    </dxf>
    <dxf>
      <font>
        <b val="0"/>
        <i/>
        <strike val="0"/>
        <outline val="0"/>
        <shadow val="0"/>
        <u val="none"/>
        <vertAlign val="baseline"/>
        <sz val="11"/>
        <color theme="1" tint="0.24994659260841701"/>
        <name val="Calibri"/>
        <scheme val="minor"/>
      </font>
      <numFmt numFmtId="195" formatCode="#,##0.000&quot; m&quot;;\-#,##0.000&quot; m&quot;;\-;@"/>
      <fill>
        <patternFill patternType="none">
          <fgColor indexed="64"/>
          <bgColor indexed="65"/>
        </patternFill>
      </fill>
      <alignment horizontal="center" vertical="bottom" textRotation="0" wrapText="0" indent="0" justifyLastLine="0" shrinkToFit="0" readingOrder="0"/>
      <border diagonalUp="0" diagonalDown="0">
        <left style="hair">
          <color indexed="64"/>
        </left>
        <right/>
        <top/>
        <bottom/>
        <vertical/>
        <horizontal/>
      </border>
    </dxf>
    <dxf>
      <font>
        <b val="0"/>
        <i/>
        <strike val="0"/>
        <outline val="0"/>
        <shadow val="0"/>
        <u val="none"/>
        <vertAlign val="baseline"/>
        <sz val="11"/>
        <color theme="1" tint="0.24994659260841701"/>
        <name val="Calibri"/>
        <scheme val="minor"/>
      </font>
      <numFmt numFmtId="195" formatCode="#,##0.000&quot; m&quot;;\-#,##0.000&quot; m&quot;;\-;@"/>
      <fill>
        <patternFill patternType="none">
          <fgColor indexed="64"/>
          <bgColor indexed="65"/>
        </patternFill>
      </fill>
      <alignment horizontal="center" vertical="bottom" textRotation="0" wrapText="0" indent="0" justifyLastLine="0" shrinkToFit="0" readingOrder="0"/>
      <border diagonalUp="0" diagonalDown="0">
        <left style="hair">
          <color indexed="64"/>
        </left>
        <right/>
        <top/>
        <bottom/>
        <vertical/>
        <horizontal/>
      </border>
    </dxf>
    <dxf>
      <font>
        <b val="0"/>
        <i/>
        <strike val="0"/>
        <outline val="0"/>
        <shadow val="0"/>
        <u val="none"/>
        <vertAlign val="baseline"/>
        <sz val="11"/>
        <color theme="1" tint="0.24994659260841701"/>
        <name val="Calibri"/>
        <scheme val="minor"/>
      </font>
      <numFmt numFmtId="195" formatCode="#,##0.000&quot; m&quot;;\-#,##0.000&quot; m&quot;;\-;@"/>
      <fill>
        <patternFill patternType="none">
          <fgColor indexed="64"/>
          <bgColor indexed="65"/>
        </patternFill>
      </fill>
      <alignment horizontal="center" vertical="bottom" textRotation="0" wrapText="0" indent="0" justifyLastLine="0" shrinkToFit="0" readingOrder="0"/>
      <border diagonalUp="0" diagonalDown="0">
        <left style="hair">
          <color indexed="64"/>
        </left>
        <right/>
        <top/>
        <bottom/>
        <vertical/>
        <horizontal/>
      </border>
    </dxf>
    <dxf>
      <font>
        <b val="0"/>
        <i/>
        <strike val="0"/>
        <outline val="0"/>
        <shadow val="0"/>
        <u val="none"/>
        <vertAlign val="baseline"/>
        <sz val="11"/>
        <color theme="1" tint="0.24994659260841701"/>
        <name val="Calibri"/>
        <scheme val="minor"/>
      </font>
      <numFmt numFmtId="195" formatCode="#,##0.000&quot; m&quot;;\-#,##0.000&quot; m&quo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hair">
          <color indexed="64"/>
        </right>
        <top/>
        <bottom/>
        <vertical/>
        <horizontal/>
      </border>
    </dxf>
    <dxf>
      <font>
        <b val="0"/>
        <i/>
        <strike val="0"/>
        <outline val="0"/>
        <shadow val="0"/>
        <u val="none"/>
        <vertAlign val="baseline"/>
        <sz val="11"/>
        <color theme="1" tint="0.24994659260841701"/>
        <name val="Calibri"/>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hair">
          <color indexed="64"/>
        </left>
        <right style="hair">
          <color indexed="64"/>
        </right>
        <top/>
        <bottom/>
        <vertical/>
        <horizontal/>
      </border>
    </dxf>
    <dxf>
      <font>
        <b val="0"/>
        <i/>
        <strike val="0"/>
        <outline val="0"/>
        <shadow val="0"/>
        <u val="none"/>
        <vertAlign val="baseline"/>
        <sz val="11"/>
        <color theme="1" tint="0.24994659260841701"/>
        <name val="Calibri"/>
        <scheme val="minor"/>
      </font>
      <numFmt numFmtId="0" formatCode="General"/>
      <fill>
        <patternFill patternType="none">
          <fgColor indexed="64"/>
          <bgColor indexed="65"/>
        </patternFill>
      </fill>
      <alignment horizontal="center" vertical="bottom" textRotation="0" wrapText="0" indent="0" justifyLastLine="0" shrinkToFit="0" readingOrder="0"/>
    </dxf>
    <dxf>
      <font>
        <b val="0"/>
        <i/>
        <strike val="0"/>
        <outline val="0"/>
        <shadow val="0"/>
        <u val="none"/>
        <vertAlign val="baseline"/>
        <sz val="11"/>
        <color theme="1" tint="0.24994659260841701"/>
        <name val="Calibri"/>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hair">
          <color indexed="64"/>
        </left>
        <right style="hair">
          <color indexed="64"/>
        </right>
        <top/>
        <bottom/>
        <vertical/>
        <horizontal/>
      </border>
    </dxf>
    <dxf>
      <font>
        <b val="0"/>
        <i/>
        <strike val="0"/>
        <outline val="0"/>
        <shadow val="0"/>
        <u val="none"/>
        <vertAlign val="baseline"/>
        <sz val="11"/>
        <color theme="1" tint="0.24994659260841701"/>
        <name val="Calibri"/>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hair">
          <color indexed="64"/>
        </left>
        <right style="hair">
          <color indexed="64"/>
        </right>
        <top/>
        <bottom/>
        <vertical/>
        <horizontal/>
      </border>
    </dxf>
    <dxf>
      <numFmt numFmtId="195" formatCode="#,##0.000&quot; m&quot;;\-#,##0.000&quot; m&quot;;\-;@"/>
      <fill>
        <patternFill patternType="none">
          <fgColor indexed="64"/>
          <bgColor auto="1"/>
        </patternFill>
      </fill>
      <alignment horizontal="center" vertical="bottom" textRotation="0" wrapText="0" indent="0" justifyLastLine="0" shrinkToFit="0" readingOrder="0"/>
      <border diagonalUp="0" diagonalDown="0">
        <left/>
        <right style="hair">
          <color indexed="64"/>
        </right>
        <top/>
        <bottom/>
      </border>
    </dxf>
    <dxf>
      <border outline="0">
        <left style="thin">
          <color indexed="64"/>
        </left>
        <right style="hair">
          <color indexed="64"/>
        </right>
      </border>
    </dxf>
    <dxf>
      <fill>
        <patternFill patternType="none">
          <fgColor indexed="64"/>
          <bgColor auto="1"/>
        </patternFill>
      </fill>
    </dxf>
    <dxf>
      <font>
        <b/>
        <i val="0"/>
        <strike val="0"/>
        <condense val="0"/>
        <extend val="0"/>
        <outline val="0"/>
        <shadow val="0"/>
        <u val="none"/>
        <vertAlign val="baseline"/>
        <sz val="11"/>
        <color theme="0"/>
        <name val="Calibri"/>
        <scheme val="minor"/>
      </font>
      <fill>
        <patternFill patternType="solid">
          <fgColor indexed="64"/>
          <bgColor rgb="FFC00000"/>
        </patternFill>
      </fill>
      <alignment horizontal="center" vertical="center" textRotation="0" wrapText="1" indent="0" justifyLastLine="0" shrinkToFit="0" readingOrder="0"/>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scheme val="minor"/>
      </font>
      <numFmt numFmtId="195" formatCode="#,##0.000&quot; m&quot;;\-#,##0.000&quot; m&quot;;\-;@"/>
      <fill>
        <patternFill patternType="none">
          <fgColor indexed="64"/>
          <bgColor auto="1"/>
        </patternFill>
      </fill>
      <alignment horizontal="center" vertical="center" textRotation="0" wrapText="0" indent="0" justifyLastLine="0" shrinkToFit="0" readingOrder="0"/>
      <border diagonalUp="0" diagonalDown="0">
        <left style="hair">
          <color indexed="64"/>
        </left>
        <right/>
        <top/>
        <bottom/>
      </border>
    </dxf>
    <dxf>
      <font>
        <b val="0"/>
        <i val="0"/>
        <strike val="0"/>
        <condense val="0"/>
        <extend val="0"/>
        <outline val="0"/>
        <shadow val="0"/>
        <u val="none"/>
        <vertAlign val="baseline"/>
        <sz val="11"/>
        <color auto="1"/>
        <name val="Calibri"/>
        <scheme val="minor"/>
      </font>
      <numFmt numFmtId="191" formatCode="#,##0.000&quot; t/m&quot;;\-#,##0.000&quot; t/m&quot;;0.000&quot; t/m&quot;;@"/>
      <fill>
        <patternFill patternType="none">
          <fgColor indexed="64"/>
          <bgColor auto="1"/>
        </patternFill>
      </fill>
      <alignment horizontal="center" vertical="center" textRotation="0" wrapText="0" indent="0" justifyLastLine="0" shrinkToFit="0" readingOrder="0"/>
      <border diagonalUp="0" diagonalDown="0">
        <left style="hair">
          <color indexed="64"/>
        </left>
        <right style="thin">
          <color indexed="64"/>
        </right>
        <top/>
        <bottom/>
        <vertical/>
        <horizontal/>
      </border>
    </dxf>
    <dxf>
      <font>
        <b val="0"/>
        <i val="0"/>
        <strike val="0"/>
        <condense val="0"/>
        <extend val="0"/>
        <outline val="0"/>
        <shadow val="0"/>
        <u val="none"/>
        <vertAlign val="baseline"/>
        <sz val="11"/>
        <color auto="1"/>
        <name val="Calibri"/>
        <scheme val="minor"/>
      </font>
      <numFmt numFmtId="191" formatCode="#,##0.000&quot; t/m&quot;;\-#,##0.000&quot; t/m&quot;;0.000&quot; t/m&quo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hair">
          <color indexed="64"/>
        </right>
        <top/>
        <bottom/>
        <vertical/>
        <horizontal/>
      </border>
    </dxf>
    <dxf>
      <font>
        <b val="0"/>
        <i val="0"/>
        <strike val="0"/>
        <condense val="0"/>
        <extend val="0"/>
        <outline val="0"/>
        <shadow val="0"/>
        <u val="none"/>
        <vertAlign val="baseline"/>
        <sz val="11"/>
        <color auto="1"/>
        <name val="Calibri"/>
        <scheme val="minor"/>
      </font>
      <numFmt numFmtId="191" formatCode="#,##0.000&quot; t/m&quot;;\-#,##0.000&quot; t/m&quot;;0.000&quot; t/m&quot;;@"/>
      <fill>
        <patternFill patternType="none">
          <fgColor indexed="64"/>
          <bgColor auto="1"/>
        </patternFill>
      </fill>
      <alignment horizontal="center" vertical="center" textRotation="0" wrapText="0" indent="0" justifyLastLine="0" shrinkToFit="0" readingOrder="0"/>
      <border diagonalUp="0" diagonalDown="0">
        <left style="hair">
          <color indexed="64"/>
        </left>
        <right style="hair">
          <color indexed="64"/>
        </right>
        <top/>
        <bottom/>
      </border>
    </dxf>
    <dxf>
      <font>
        <b val="0"/>
        <i val="0"/>
        <strike val="0"/>
        <condense val="0"/>
        <extend val="0"/>
        <outline val="0"/>
        <shadow val="0"/>
        <u val="none"/>
        <vertAlign val="baseline"/>
        <sz val="11"/>
        <color auto="1"/>
        <name val="Calibri"/>
        <scheme val="minor"/>
      </font>
      <numFmt numFmtId="193" formatCode="#,##0.00&quot; m&quot;;\-#,##0.00&quot; m&quot;;0.00&quot; m&quo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hair">
          <color indexed="64"/>
        </right>
        <top/>
        <bottom/>
        <vertical/>
        <horizontal/>
      </border>
    </dxf>
    <dxf>
      <font>
        <b val="0"/>
        <i val="0"/>
        <strike val="0"/>
        <condense val="0"/>
        <extend val="0"/>
        <outline val="0"/>
        <shadow val="0"/>
        <u val="none"/>
        <vertAlign val="baseline"/>
        <sz val="11"/>
        <color auto="1"/>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style="hair">
          <color indexed="64"/>
        </left>
        <right style="hair">
          <color indexed="64"/>
        </right>
        <top/>
        <bottom/>
      </border>
    </dxf>
    <dxf>
      <font>
        <b val="0"/>
        <i val="0"/>
        <strike val="0"/>
        <condense val="0"/>
        <extend val="0"/>
        <outline val="0"/>
        <shadow val="0"/>
        <u val="none"/>
        <vertAlign val="baseline"/>
        <sz val="11"/>
        <color auto="1"/>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style="hair">
          <color indexed="64"/>
        </left>
        <right style="hair">
          <color indexed="64"/>
        </right>
        <top/>
        <bottom/>
      </border>
    </dxf>
    <dxf>
      <font>
        <b val="0"/>
        <i/>
        <strike val="0"/>
        <condense val="0"/>
        <extend val="0"/>
        <outline val="0"/>
        <shadow val="0"/>
        <u val="none"/>
        <vertAlign val="baseline"/>
        <sz val="11"/>
        <color auto="1"/>
        <name val="Calibri"/>
        <scheme val="minor"/>
      </font>
      <numFmt numFmtId="191" formatCode="#,##0.000&quot; t/m&quot;;\-#,##0.000&quot; t/m&quot;;0.000&quot; t/m&quot;;@"/>
      <fill>
        <patternFill patternType="none">
          <fgColor indexed="64"/>
          <bgColor auto="1"/>
        </patternFill>
      </fill>
      <alignment horizontal="center" vertical="center" textRotation="0" wrapText="0" indent="0" justifyLastLine="0" shrinkToFit="0" readingOrder="0"/>
      <border diagonalUp="0" diagonalDown="0">
        <left style="hair">
          <color indexed="64"/>
        </left>
        <right style="thin">
          <color indexed="64"/>
        </right>
        <top/>
        <bottom/>
        <vertical/>
        <horizontal/>
      </border>
    </dxf>
    <dxf>
      <font>
        <b val="0"/>
        <i/>
        <strike val="0"/>
        <condense val="0"/>
        <extend val="0"/>
        <outline val="0"/>
        <shadow val="0"/>
        <u val="none"/>
        <vertAlign val="baseline"/>
        <sz val="11"/>
        <color theme="1" tint="0.499984740745262"/>
        <name val="Calibri"/>
        <scheme val="minor"/>
      </font>
      <numFmt numFmtId="0" formatCode="General"/>
      <fill>
        <patternFill patternType="none">
          <fgColor indexed="64"/>
          <bgColor auto="1"/>
        </patternFill>
      </fill>
      <alignment horizontal="center" vertical="center" textRotation="0" wrapText="0" indent="0" justifyLastLine="0" shrinkToFit="0" readingOrder="0"/>
    </dxf>
    <dxf>
      <border outline="0">
        <left style="medium">
          <color indexed="64"/>
        </left>
        <right style="medium">
          <color indexed="64"/>
        </right>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center"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Calibri"/>
        <scheme val="minor"/>
      </font>
      <fill>
        <patternFill patternType="solid">
          <fgColor indexed="64"/>
          <bgColor theme="3" tint="0.59999389629810485"/>
        </patternFill>
      </fill>
      <alignment horizontal="center" vertical="center" textRotation="0" wrapText="0" indent="0" justifyLastLine="0" shrinkToFit="0" readingOrder="0"/>
      <border diagonalUp="0" diagonalDown="0">
        <left/>
        <right/>
        <top/>
        <bottom/>
        <vertical/>
        <horizontal/>
      </border>
    </dxf>
    <dxf>
      <font>
        <b val="0"/>
        <i/>
        <strike val="0"/>
        <condense val="0"/>
        <extend val="0"/>
        <outline val="0"/>
        <shadow val="0"/>
        <u val="none"/>
        <vertAlign val="baseline"/>
        <sz val="11"/>
        <color theme="1" tint="0.34998626667073579"/>
        <name val="Calibri"/>
        <scheme val="minor"/>
      </font>
      <numFmt numFmtId="171" formatCode="#,##0.000&quot; m&quot;"/>
      <fill>
        <patternFill patternType="solid">
          <fgColor indexed="64"/>
          <bgColor theme="0"/>
        </patternFill>
      </fill>
      <alignment horizontal="center" vertical="bottom" textRotation="0" wrapText="0" indent="0" justifyLastLine="0" shrinkToFit="0" readingOrder="0"/>
      <border diagonalUp="0" diagonalDown="0">
        <left style="hair">
          <color indexed="64"/>
        </left>
        <right/>
        <top/>
        <bottom/>
        <vertical/>
        <horizontal/>
      </border>
    </dxf>
    <dxf>
      <font>
        <b val="0"/>
        <i/>
        <strike val="0"/>
        <outline val="0"/>
        <shadow val="0"/>
        <u val="none"/>
        <vertAlign val="baseline"/>
        <sz val="11"/>
        <color theme="1" tint="0.34998626667073579"/>
        <name val="Calibri"/>
        <scheme val="minor"/>
      </font>
      <numFmt numFmtId="171" formatCode="#,##0.000&quot; m&quot;"/>
      <fill>
        <patternFill patternType="solid">
          <fgColor indexed="64"/>
          <bgColor theme="0"/>
        </patternFill>
      </fill>
      <alignment horizontal="center" vertical="bottom" textRotation="0" wrapText="0" indent="0" justifyLastLine="0" shrinkToFit="0" readingOrder="0"/>
      <border diagonalUp="0" diagonalDown="0">
        <left style="hair">
          <color auto="1"/>
        </left>
        <right/>
        <top/>
        <bottom/>
        <horizontal/>
      </border>
    </dxf>
    <dxf>
      <font>
        <strike val="0"/>
        <outline val="0"/>
        <shadow val="0"/>
        <u val="none"/>
        <vertAlign val="baseline"/>
        <sz val="11"/>
        <color rgb="FF0000CC"/>
        <name val="Calibri"/>
        <scheme val="minor"/>
      </font>
      <numFmt numFmtId="171" formatCode="#,##0.000&quot; m&quo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rgb="FF0000CC"/>
        <name val="Calibri"/>
        <scheme val="minor"/>
      </font>
      <numFmt numFmtId="171" formatCode="#,##0.000&quot; m&quot;"/>
      <fill>
        <patternFill patternType="solid">
          <fgColor indexed="64"/>
          <bgColor theme="0"/>
        </patternFill>
      </fill>
      <alignment horizontal="center" vertical="bottom" textRotation="0" wrapText="0" indent="0" justifyLastLine="0" shrinkToFit="0" readingOrder="0"/>
      <border diagonalUp="0" diagonalDown="0">
        <left style="thin">
          <color indexed="64"/>
        </left>
        <right style="hair">
          <color indexed="64"/>
        </right>
        <top/>
        <bottom/>
        <vertical/>
        <horizontal/>
      </border>
    </dxf>
    <dxf>
      <border diagonalUp="0" diagonalDown="0">
        <left style="thin">
          <color indexed="64"/>
        </left>
        <right style="thin">
          <color indexed="64"/>
        </right>
        <top style="thin">
          <color indexed="64"/>
        </top>
        <bottom/>
      </border>
    </dxf>
    <dxf>
      <font>
        <b/>
        <i val="0"/>
        <strike val="0"/>
        <condense val="0"/>
        <extend val="0"/>
        <outline val="0"/>
        <shadow val="0"/>
        <u val="none"/>
        <vertAlign val="baseline"/>
        <sz val="11"/>
        <color theme="0"/>
        <name val="Calibri"/>
        <scheme val="minor"/>
      </font>
      <fill>
        <patternFill patternType="solid">
          <fgColor indexed="64"/>
          <bgColor rgb="FFC00000"/>
        </patternFill>
      </fill>
      <alignment horizontal="center" vertical="center" textRotation="0" wrapText="0" indent="0" justifyLastLine="0" shrinkToFit="0" readingOrder="0"/>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theme="0" tint="-0.24994659260841701"/>
        </patternFill>
      </fill>
    </dxf>
    <dxf>
      <numFmt numFmtId="197" formatCode="0.0_ ;\-0.0\ "/>
      <fill>
        <patternFill patternType="none">
          <fgColor indexed="64"/>
          <bgColor indexed="65"/>
        </patternFill>
      </fill>
      <border diagonalUp="0" diagonalDown="0">
        <left style="hair">
          <color auto="1"/>
        </left>
        <right style="thin">
          <color auto="1"/>
        </right>
        <top/>
        <bottom/>
        <vertical/>
        <horizontal/>
      </border>
    </dxf>
    <dxf>
      <font>
        <b val="0"/>
        <i/>
        <strike val="0"/>
        <outline val="0"/>
        <shadow val="0"/>
        <u val="none"/>
        <vertAlign val="baseline"/>
        <sz val="11"/>
        <color theme="1" tint="0.34998626667073579"/>
        <name val="Calibri"/>
        <scheme val="minor"/>
      </font>
      <numFmt numFmtId="180" formatCode="0.000&quot; m.rad&quot;"/>
      <fill>
        <patternFill patternType="none">
          <fgColor indexed="64"/>
          <bgColor indexed="65"/>
        </patternFill>
      </fill>
      <alignment horizontal="center" vertical="center" textRotation="0" wrapText="0" indent="0" justifyLastLine="0" shrinkToFit="0" readingOrder="0"/>
      <border diagonalUp="0" diagonalDown="0">
        <left style="hair">
          <color indexed="64"/>
        </left>
        <right/>
        <top/>
        <bottom/>
        <vertical/>
        <horizontal/>
      </border>
    </dxf>
    <dxf>
      <font>
        <b val="0"/>
        <i/>
        <strike val="0"/>
        <outline val="0"/>
        <shadow val="0"/>
        <u val="none"/>
        <vertAlign val="baseline"/>
        <sz val="11"/>
        <color theme="1" tint="0.34998626667073579"/>
        <name val="Calibri"/>
        <scheme val="minor"/>
      </font>
      <numFmt numFmtId="180" formatCode="0.000&quot; m.rad&quot;"/>
      <fill>
        <patternFill patternType="none">
          <fgColor indexed="64"/>
          <bgColor indexed="65"/>
        </patternFill>
      </fill>
      <alignment horizontal="center" vertical="center" textRotation="0" wrapText="0" indent="0" justifyLastLine="0" shrinkToFit="0" readingOrder="0"/>
      <border diagonalUp="0" diagonalDown="0">
        <left style="hair">
          <color indexed="64"/>
        </left>
        <right style="hair">
          <color indexed="64"/>
        </right>
        <top/>
        <bottom/>
        <vertical/>
        <horizontal/>
      </border>
    </dxf>
    <dxf>
      <font>
        <b/>
        <i val="0"/>
        <strike val="0"/>
        <outline val="0"/>
        <shadow val="0"/>
        <u val="none"/>
        <vertAlign val="baseline"/>
        <sz val="11"/>
        <color theme="9" tint="-0.24994659260841701"/>
        <name val="Calibri"/>
        <scheme val="minor"/>
      </font>
      <numFmt numFmtId="190" formatCode="#,##0.000&quot; m&quot;;\-#,##0.000&quot; m&quot;;0.000&quot; m&quot;;@"/>
      <fill>
        <patternFill patternType="none">
          <fgColor indexed="64"/>
          <bgColor indexed="65"/>
        </patternFill>
      </fill>
      <alignment horizontal="center" vertical="center" textRotation="0" wrapText="0" indent="0" justifyLastLine="0" shrinkToFit="0" readingOrder="0"/>
      <border diagonalUp="0" diagonalDown="0">
        <left style="hair">
          <color indexed="64"/>
        </left>
        <right style="hair">
          <color indexed="64"/>
        </right>
        <top/>
        <bottom/>
      </border>
    </dxf>
    <dxf>
      <font>
        <b val="0"/>
        <i val="0"/>
        <strike val="0"/>
        <condense val="0"/>
        <extend val="0"/>
        <outline val="0"/>
        <shadow val="0"/>
        <u val="none"/>
        <vertAlign val="baseline"/>
        <sz val="11"/>
        <color auto="1"/>
        <name val="Calibri"/>
        <scheme val="minor"/>
      </font>
      <numFmt numFmtId="191" formatCode="#,##0.000&quot; t/m&quot;;\-#,##0.000&quot; t/m&quot;;0.000&quot; t/m&quot;;@"/>
      <fill>
        <patternFill patternType="none">
          <fgColor indexed="64"/>
          <bgColor indexed="65"/>
        </patternFill>
      </fill>
      <alignment horizontal="center" vertical="center" textRotation="0" wrapText="0" indent="0" justifyLastLine="0" shrinkToFit="0" readingOrder="0"/>
      <border diagonalUp="0" diagonalDown="0">
        <left style="hair">
          <color indexed="64"/>
        </left>
        <right style="hair">
          <color indexed="64"/>
        </right>
        <top/>
        <bottom/>
        <vertical/>
        <horizontal/>
      </border>
    </dxf>
    <dxf>
      <font>
        <b/>
        <i val="0"/>
        <strike val="0"/>
        <outline val="0"/>
        <shadow val="0"/>
        <u val="none"/>
        <vertAlign val="baseline"/>
        <sz val="11"/>
        <color theme="9" tint="-0.24994659260841701"/>
        <name val="Calibri"/>
        <scheme val="minor"/>
      </font>
      <numFmt numFmtId="176" formatCode="#,##0.0&quot; °&quot;"/>
      <fill>
        <patternFill patternType="none">
          <fgColor indexed="64"/>
          <bgColor indexed="65"/>
        </patternFill>
      </fill>
      <alignment horizontal="center" vertical="center" textRotation="0" wrapText="0" indent="0" justifyLastLine="0" shrinkToFit="0" readingOrder="0"/>
      <border diagonalUp="0" diagonalDown="0">
        <left style="hair">
          <color indexed="64"/>
        </left>
        <right style="hair">
          <color indexed="64"/>
        </right>
        <top/>
        <bottom/>
      </border>
    </dxf>
    <dxf>
      <font>
        <b val="0"/>
        <i/>
        <strike val="0"/>
        <condense val="0"/>
        <extend val="0"/>
        <outline val="0"/>
        <shadow val="0"/>
        <u val="none"/>
        <vertAlign val="baseline"/>
        <sz val="11"/>
        <color theme="1" tint="0.34998626667073579"/>
        <name val="Calibri"/>
        <scheme val="minor"/>
      </font>
      <numFmt numFmtId="0" formatCode="General"/>
      <fill>
        <patternFill patternType="none">
          <fgColor indexed="64"/>
          <bgColor indexed="65"/>
        </patternFill>
      </fill>
      <alignment horizontal="center" vertical="top" textRotation="0" wrapText="0" indent="0" justifyLastLine="0" shrinkToFit="0" readingOrder="0"/>
      <border diagonalUp="0" diagonalDown="0" outline="0">
        <left/>
        <right style="hair">
          <color indexed="64"/>
        </right>
        <top/>
        <bottom/>
      </border>
    </dxf>
    <dxf>
      <border outline="0">
        <left style="thin">
          <color indexed="64"/>
        </left>
        <right style="thin">
          <color indexed="64"/>
        </right>
      </border>
    </dxf>
    <dxf>
      <fill>
        <patternFill patternType="none">
          <fgColor indexed="64"/>
          <bgColor indexed="65"/>
        </patternFill>
      </fill>
    </dxf>
    <dxf>
      <font>
        <b val="0"/>
        <i val="0"/>
        <strike val="0"/>
        <condense val="0"/>
        <extend val="0"/>
        <outline val="0"/>
        <shadow val="0"/>
        <u val="none"/>
        <vertAlign val="baseline"/>
        <sz val="11"/>
        <color theme="0"/>
        <name val="Calibri"/>
        <scheme val="minor"/>
      </font>
      <fill>
        <patternFill patternType="solid">
          <fgColor indexed="64"/>
          <bgColor rgb="FFC00000"/>
        </patternFill>
      </fill>
      <alignment horizontal="center" vertical="center" textRotation="0" wrapText="0"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0"/>
        <color rgb="FF0000FF"/>
        <name val="Courier New"/>
        <scheme val="none"/>
      </font>
      <numFmt numFmtId="178" formatCode="###0.000;###0.000"/>
      <fill>
        <patternFill patternType="none">
          <fgColor indexed="64"/>
          <bgColor indexed="65"/>
        </patternFill>
      </fill>
      <alignment horizontal="center" vertical="top" textRotation="0" wrapText="1" indent="0" justifyLastLine="0" shrinkToFit="0" readingOrder="0"/>
      <border diagonalUp="0" diagonalDown="0">
        <left style="hair">
          <color indexed="64"/>
        </left>
        <right style="hair">
          <color indexed="64"/>
        </right>
        <top/>
        <bottom/>
      </border>
    </dxf>
    <dxf>
      <font>
        <b val="0"/>
        <i val="0"/>
        <strike val="0"/>
        <condense val="0"/>
        <extend val="0"/>
        <outline val="0"/>
        <shadow val="0"/>
        <u val="none"/>
        <vertAlign val="baseline"/>
        <sz val="10"/>
        <color rgb="FF0000FF"/>
        <name val="Courier New"/>
        <scheme val="none"/>
      </font>
      <numFmt numFmtId="178" formatCode="###0.000;###0.000"/>
      <fill>
        <patternFill patternType="none">
          <fgColor indexed="64"/>
          <bgColor indexed="65"/>
        </patternFill>
      </fill>
      <alignment horizontal="center" vertical="top" textRotation="0" wrapText="1" indent="0" justifyLastLine="0" shrinkToFit="0" readingOrder="0"/>
      <border diagonalUp="0" diagonalDown="0">
        <left style="hair">
          <color indexed="64"/>
        </left>
        <right style="hair">
          <color indexed="64"/>
        </right>
        <top/>
        <bottom/>
      </border>
    </dxf>
    <dxf>
      <font>
        <b val="0"/>
        <i val="0"/>
        <strike val="0"/>
        <condense val="0"/>
        <extend val="0"/>
        <outline val="0"/>
        <shadow val="0"/>
        <u val="none"/>
        <vertAlign val="baseline"/>
        <sz val="10"/>
        <color rgb="FF0000FF"/>
        <name val="Courier New"/>
        <scheme val="none"/>
      </font>
      <numFmt numFmtId="178" formatCode="###0.000;###0.000"/>
      <fill>
        <patternFill patternType="none">
          <fgColor indexed="64"/>
          <bgColor indexed="65"/>
        </patternFill>
      </fill>
      <alignment horizontal="center" vertical="top" textRotation="0" wrapText="1" indent="0" justifyLastLine="0" shrinkToFit="0" readingOrder="0"/>
      <border diagonalUp="0" diagonalDown="0">
        <left style="hair">
          <color indexed="64"/>
        </left>
        <right style="hair">
          <color indexed="64"/>
        </right>
        <top/>
        <bottom/>
      </border>
    </dxf>
    <dxf>
      <font>
        <b val="0"/>
        <i val="0"/>
        <strike val="0"/>
        <condense val="0"/>
        <extend val="0"/>
        <outline val="0"/>
        <shadow val="0"/>
        <u val="none"/>
        <vertAlign val="baseline"/>
        <sz val="10"/>
        <color rgb="FF0000FF"/>
        <name val="Courier New"/>
        <scheme val="none"/>
      </font>
      <numFmt numFmtId="178" formatCode="###0.000;###0.000"/>
      <fill>
        <patternFill patternType="none">
          <fgColor indexed="64"/>
          <bgColor indexed="65"/>
        </patternFill>
      </fill>
      <alignment horizontal="center" vertical="top" textRotation="0" wrapText="1" indent="0" justifyLastLine="0" shrinkToFit="0" readingOrder="0"/>
      <border diagonalUp="0" diagonalDown="0">
        <left style="hair">
          <color indexed="64"/>
        </left>
        <right style="hair">
          <color indexed="64"/>
        </right>
        <top/>
        <bottom/>
      </border>
    </dxf>
    <dxf>
      <font>
        <b val="0"/>
        <i val="0"/>
        <strike val="0"/>
        <condense val="0"/>
        <extend val="0"/>
        <outline val="0"/>
        <shadow val="0"/>
        <u val="none"/>
        <vertAlign val="baseline"/>
        <sz val="10"/>
        <color rgb="FF0000FF"/>
        <name val="Courier New"/>
        <scheme val="none"/>
      </font>
      <numFmt numFmtId="178" formatCode="###0.000;###0.000"/>
      <fill>
        <patternFill patternType="none">
          <fgColor indexed="64"/>
          <bgColor indexed="65"/>
        </patternFill>
      </fill>
      <alignment horizontal="center" vertical="top" textRotation="0" wrapText="1" indent="0" justifyLastLine="0" shrinkToFit="0" readingOrder="0"/>
      <border diagonalUp="0" diagonalDown="0">
        <left style="hair">
          <color indexed="64"/>
        </left>
        <right style="hair">
          <color indexed="64"/>
        </right>
        <top/>
        <bottom/>
      </border>
    </dxf>
    <dxf>
      <font>
        <b val="0"/>
        <i val="0"/>
        <strike val="0"/>
        <condense val="0"/>
        <extend val="0"/>
        <outline val="0"/>
        <shadow val="0"/>
        <u val="none"/>
        <vertAlign val="baseline"/>
        <sz val="10"/>
        <color rgb="FF0000FF"/>
        <name val="Courier New"/>
        <scheme val="none"/>
      </font>
      <numFmt numFmtId="178" formatCode="###0.000;###0.000"/>
      <fill>
        <patternFill patternType="none">
          <fgColor indexed="64"/>
          <bgColor indexed="65"/>
        </patternFill>
      </fill>
      <alignment horizontal="center" vertical="top" textRotation="0" wrapText="1" indent="0" justifyLastLine="0" shrinkToFit="0" readingOrder="0"/>
      <border diagonalUp="0" diagonalDown="0">
        <left style="hair">
          <color indexed="64"/>
        </left>
        <right style="hair">
          <color indexed="64"/>
        </right>
        <top/>
        <bottom/>
      </border>
    </dxf>
    <dxf>
      <font>
        <b val="0"/>
        <i val="0"/>
        <strike val="0"/>
        <condense val="0"/>
        <extend val="0"/>
        <outline val="0"/>
        <shadow val="0"/>
        <u val="none"/>
        <vertAlign val="baseline"/>
        <sz val="10"/>
        <color rgb="FF0000FF"/>
        <name val="Courier New"/>
        <scheme val="none"/>
      </font>
      <numFmt numFmtId="178" formatCode="###0.000;###0.000"/>
      <fill>
        <patternFill patternType="none">
          <fgColor indexed="64"/>
          <bgColor indexed="65"/>
        </patternFill>
      </fill>
      <alignment horizontal="center" vertical="top" textRotation="0" wrapText="1" indent="0" justifyLastLine="0" shrinkToFit="0" readingOrder="0"/>
      <border diagonalUp="0" diagonalDown="0">
        <left style="hair">
          <color indexed="64"/>
        </left>
        <right style="hair">
          <color indexed="64"/>
        </right>
        <top/>
        <bottom/>
      </border>
    </dxf>
    <dxf>
      <font>
        <b val="0"/>
        <i val="0"/>
        <strike val="0"/>
        <condense val="0"/>
        <extend val="0"/>
        <outline val="0"/>
        <shadow val="0"/>
        <u val="none"/>
        <vertAlign val="baseline"/>
        <sz val="10"/>
        <color rgb="FF0000FF"/>
        <name val="Courier New"/>
        <scheme val="none"/>
      </font>
      <numFmt numFmtId="178" formatCode="###0.000;###0.000"/>
      <fill>
        <patternFill patternType="none">
          <fgColor indexed="64"/>
          <bgColor indexed="65"/>
        </patternFill>
      </fill>
      <alignment horizontal="center" vertical="top" textRotation="0" wrapText="1" indent="0" justifyLastLine="0" shrinkToFit="0" readingOrder="0"/>
      <border diagonalUp="0" diagonalDown="0">
        <left style="hair">
          <color indexed="64"/>
        </left>
        <right style="hair">
          <color indexed="64"/>
        </right>
        <top/>
        <bottom/>
      </border>
    </dxf>
    <dxf>
      <font>
        <b val="0"/>
        <i val="0"/>
        <strike val="0"/>
        <condense val="0"/>
        <extend val="0"/>
        <outline val="0"/>
        <shadow val="0"/>
        <u val="none"/>
        <vertAlign val="baseline"/>
        <sz val="10"/>
        <color rgb="FF0000FF"/>
        <name val="Courier New"/>
        <scheme val="none"/>
      </font>
      <numFmt numFmtId="178" formatCode="###0.000;###0.000"/>
      <fill>
        <patternFill patternType="none">
          <fgColor indexed="64"/>
          <bgColor indexed="65"/>
        </patternFill>
      </fill>
      <alignment horizontal="center" vertical="top" textRotation="0" wrapText="1" indent="0" justifyLastLine="0" shrinkToFit="0" readingOrder="0"/>
      <border diagonalUp="0" diagonalDown="0">
        <left style="hair">
          <color indexed="64"/>
        </left>
        <right style="hair">
          <color indexed="64"/>
        </right>
        <top/>
        <bottom/>
      </border>
    </dxf>
    <dxf>
      <font>
        <b val="0"/>
        <i val="0"/>
        <strike val="0"/>
        <condense val="0"/>
        <extend val="0"/>
        <outline val="0"/>
        <shadow val="0"/>
        <u val="none"/>
        <vertAlign val="baseline"/>
        <sz val="10"/>
        <color rgb="FF0000FF"/>
        <name val="Courier New"/>
        <scheme val="none"/>
      </font>
      <numFmt numFmtId="0" formatCode="General"/>
      <fill>
        <patternFill patternType="none">
          <fgColor indexed="64"/>
          <bgColor indexed="65"/>
        </patternFill>
      </fill>
      <alignment horizontal="center" vertical="top" textRotation="0" wrapText="1" indent="0" justifyLastLine="0" shrinkToFit="0" readingOrder="0"/>
      <border diagonalUp="0" diagonalDown="0">
        <left/>
        <right style="hair">
          <color indexed="64"/>
        </right>
        <top/>
        <bottom/>
      </border>
    </dxf>
    <dxf>
      <border outline="0">
        <left style="thin">
          <color indexed="64"/>
        </left>
        <right style="thin">
          <color indexed="64"/>
        </right>
      </border>
    </dxf>
    <dxf>
      <font>
        <b val="0"/>
        <i val="0"/>
        <strike val="0"/>
        <condense val="0"/>
        <extend val="0"/>
        <outline val="0"/>
        <shadow val="0"/>
        <u val="none"/>
        <vertAlign val="baseline"/>
        <sz val="10"/>
        <color rgb="FF0000FF"/>
        <name val="Courier New"/>
        <scheme val="none"/>
      </font>
      <numFmt numFmtId="2" formatCode="0.00"/>
      <fill>
        <patternFill patternType="none">
          <fgColor indexed="64"/>
          <bgColor indexed="65"/>
        </patternFill>
      </fill>
      <alignment horizontal="center" vertical="top" textRotation="0" wrapText="1" indent="0" justifyLastLine="0" shrinkToFit="0" readingOrder="0"/>
    </dxf>
    <dxf>
      <font>
        <b/>
        <i val="0"/>
        <strike val="0"/>
        <condense val="0"/>
        <extend val="0"/>
        <outline val="0"/>
        <shadow val="0"/>
        <u val="none"/>
        <vertAlign val="baseline"/>
        <sz val="10"/>
        <color theme="0"/>
        <name val="Courier New"/>
        <scheme val="none"/>
      </font>
      <numFmt numFmtId="2" formatCode="0.00"/>
      <fill>
        <patternFill patternType="solid">
          <fgColor indexed="64"/>
          <bgColor rgb="FFC00000"/>
        </patternFill>
      </fill>
      <alignment horizontal="center" vertical="top" textRotation="0" wrapText="1" indent="0" justifyLastLine="0" shrinkToFit="0" readingOrder="0"/>
      <border diagonalUp="0" diagonalDown="0" outline="0">
        <left style="hair">
          <color indexed="64"/>
        </left>
        <right style="hair">
          <color indexed="64"/>
        </right>
        <top/>
        <bottom/>
      </border>
    </dxf>
    <dxf>
      <font>
        <color rgb="FF006100"/>
      </font>
      <fill>
        <patternFill>
          <bgColor rgb="FFC6EFCE"/>
        </patternFill>
      </fill>
    </dxf>
    <dxf>
      <font>
        <b val="0"/>
        <i val="0"/>
        <strike val="0"/>
        <condense val="0"/>
        <extend val="0"/>
        <outline val="0"/>
        <shadow val="0"/>
        <u val="none"/>
        <vertAlign val="baseline"/>
        <sz val="11"/>
        <color rgb="FF0000FF"/>
        <name val="Courier New"/>
        <scheme val="none"/>
      </font>
      <numFmt numFmtId="165" formatCode="#,##0.000"/>
      <fill>
        <patternFill patternType="none">
          <fgColor indexed="64"/>
          <bgColor indexed="65"/>
        </patternFill>
      </fill>
      <alignment horizontal="center" vertical="top" textRotation="0" wrapText="1" indent="0" justifyLastLine="0" shrinkToFit="0" readingOrder="0"/>
      <border diagonalUp="0" diagonalDown="0">
        <left style="hair">
          <color indexed="64"/>
        </left>
        <right/>
        <top/>
        <bottom/>
        <vertical style="hair">
          <color indexed="64"/>
        </vertical>
        <horizontal/>
      </border>
    </dxf>
    <dxf>
      <font>
        <b val="0"/>
        <i val="0"/>
        <strike val="0"/>
        <condense val="0"/>
        <extend val="0"/>
        <outline val="0"/>
        <shadow val="0"/>
        <u val="none"/>
        <vertAlign val="baseline"/>
        <sz val="11"/>
        <color rgb="FF0000FF"/>
        <name val="Courier New"/>
        <scheme val="none"/>
      </font>
      <numFmt numFmtId="178" formatCode="###0.000;###0.000"/>
      <fill>
        <patternFill patternType="none">
          <fgColor indexed="64"/>
          <bgColor indexed="65"/>
        </patternFill>
      </fill>
      <alignment horizontal="center" vertical="top" textRotation="0" wrapText="1" indent="0" justifyLastLine="0" shrinkToFit="0" readingOrder="0"/>
      <border diagonalUp="0" diagonalDown="0">
        <left style="hair">
          <color indexed="64"/>
        </left>
        <right style="hair">
          <color indexed="64"/>
        </right>
        <top/>
        <bottom/>
        <vertical style="hair">
          <color indexed="64"/>
        </vertical>
        <horizontal/>
      </border>
    </dxf>
    <dxf>
      <font>
        <b val="0"/>
        <i val="0"/>
        <strike val="0"/>
        <condense val="0"/>
        <extend val="0"/>
        <outline val="0"/>
        <shadow val="0"/>
        <u val="none"/>
        <vertAlign val="baseline"/>
        <sz val="11"/>
        <color rgb="FF0000FF"/>
        <name val="Courier New"/>
        <scheme val="none"/>
      </font>
      <numFmt numFmtId="167" formatCode="0.000"/>
      <alignment horizontal="center" vertical="center" textRotation="0" wrapText="1" indent="0" justifyLastLine="0" shrinkToFit="0" readingOrder="0"/>
      <border diagonalUp="0" diagonalDown="0">
        <left style="hair">
          <color indexed="64"/>
        </left>
        <right style="hair">
          <color indexed="64"/>
        </right>
        <top/>
        <bottom/>
        <vertical/>
        <horizontal/>
      </border>
    </dxf>
    <dxf>
      <font>
        <b val="0"/>
        <i val="0"/>
        <strike val="0"/>
        <condense val="0"/>
        <extend val="0"/>
        <outline val="0"/>
        <shadow val="0"/>
        <u val="none"/>
        <vertAlign val="baseline"/>
        <sz val="11"/>
        <color rgb="FF0000FF"/>
        <name val="Courier New"/>
        <scheme val="none"/>
      </font>
      <numFmt numFmtId="178" formatCode="###0.000;###0.000"/>
      <fill>
        <patternFill patternType="none">
          <fgColor indexed="64"/>
          <bgColor indexed="65"/>
        </patternFill>
      </fill>
      <alignment horizontal="center" vertical="top" textRotation="0" wrapText="1" indent="0" justifyLastLine="0" shrinkToFit="0" readingOrder="0"/>
      <border diagonalUp="0" diagonalDown="0">
        <left style="hair">
          <color indexed="64"/>
        </left>
        <right style="hair">
          <color indexed="64"/>
        </right>
        <top/>
        <bottom/>
        <vertical style="hair">
          <color indexed="64"/>
        </vertical>
        <horizontal/>
      </border>
    </dxf>
    <dxf>
      <font>
        <b val="0"/>
        <i val="0"/>
        <strike val="0"/>
        <condense val="0"/>
        <extend val="0"/>
        <outline val="0"/>
        <shadow val="0"/>
        <u val="none"/>
        <vertAlign val="baseline"/>
        <sz val="11"/>
        <color rgb="FF0000FF"/>
        <name val="Courier New"/>
        <scheme val="none"/>
      </font>
      <numFmt numFmtId="167" formatCode="0.000"/>
      <fill>
        <patternFill patternType="none">
          <fgColor indexed="64"/>
          <bgColor indexed="65"/>
        </patternFill>
      </fill>
      <alignment horizontal="center" vertical="top" textRotation="0" wrapText="1" indent="0" justifyLastLine="0" shrinkToFit="0" readingOrder="0"/>
      <border diagonalUp="0" diagonalDown="0">
        <left style="hair">
          <color indexed="64"/>
        </left>
        <right style="hair">
          <color indexed="64"/>
        </right>
        <top/>
        <bottom/>
        <vertical style="hair">
          <color indexed="64"/>
        </vertical>
        <horizontal/>
      </border>
    </dxf>
    <dxf>
      <font>
        <b val="0"/>
        <i val="0"/>
        <strike val="0"/>
        <condense val="0"/>
        <extend val="0"/>
        <outline val="0"/>
        <shadow val="0"/>
        <u val="none"/>
        <vertAlign val="baseline"/>
        <sz val="11"/>
        <color rgb="FF0000FF"/>
        <name val="Courier New"/>
        <scheme val="none"/>
      </font>
      <numFmt numFmtId="179" formatCode="###0.00;###0.00"/>
      <fill>
        <patternFill patternType="none">
          <fgColor indexed="64"/>
          <bgColor indexed="65"/>
        </patternFill>
      </fill>
      <alignment horizontal="center" vertical="top" textRotation="0" wrapText="1" indent="0" justifyLastLine="0" shrinkToFit="0" readingOrder="0"/>
      <border diagonalUp="0" diagonalDown="0">
        <left style="hair">
          <color indexed="64"/>
        </left>
        <right style="hair">
          <color indexed="64"/>
        </right>
        <top/>
        <bottom/>
        <vertical style="hair">
          <color indexed="64"/>
        </vertical>
        <horizontal/>
      </border>
    </dxf>
    <dxf>
      <font>
        <b val="0"/>
        <i val="0"/>
        <strike val="0"/>
        <condense val="0"/>
        <extend val="0"/>
        <outline val="0"/>
        <shadow val="0"/>
        <u val="none"/>
        <vertAlign val="baseline"/>
        <sz val="11"/>
        <color rgb="FF0000FF"/>
        <name val="Courier New"/>
        <scheme val="none"/>
      </font>
      <numFmt numFmtId="165" formatCode="#,##0.000"/>
      <fill>
        <patternFill patternType="none">
          <fgColor indexed="64"/>
          <bgColor indexed="65"/>
        </patternFill>
      </fill>
      <alignment horizontal="center" vertical="top" textRotation="0" wrapText="1" indent="0" justifyLastLine="0" shrinkToFit="0" readingOrder="0"/>
      <border diagonalUp="0" diagonalDown="0">
        <left style="hair">
          <color indexed="64"/>
        </left>
        <right style="hair">
          <color indexed="64"/>
        </right>
        <top/>
        <bottom/>
        <vertical style="hair">
          <color indexed="64"/>
        </vertical>
        <horizontal/>
      </border>
    </dxf>
    <dxf>
      <font>
        <b val="0"/>
        <i val="0"/>
        <strike val="0"/>
        <condense val="0"/>
        <extend val="0"/>
        <outline val="0"/>
        <shadow val="0"/>
        <u val="none"/>
        <vertAlign val="baseline"/>
        <sz val="11"/>
        <color rgb="FF0000FF"/>
        <name val="Courier New"/>
        <scheme val="none"/>
      </font>
      <numFmt numFmtId="2" formatCode="0.00"/>
      <fill>
        <patternFill patternType="none">
          <fgColor indexed="64"/>
          <bgColor indexed="65"/>
        </patternFill>
      </fill>
      <alignment horizontal="center" vertical="top" textRotation="0" wrapText="1" indent="0" justifyLastLine="0" shrinkToFit="0" readingOrder="0"/>
      <border diagonalUp="0" diagonalDown="0">
        <left style="hair">
          <color indexed="64"/>
        </left>
        <right style="hair">
          <color indexed="64"/>
        </right>
        <top/>
        <bottom/>
        <vertical style="hair">
          <color indexed="64"/>
        </vertical>
        <horizontal/>
      </border>
    </dxf>
    <dxf>
      <font>
        <b val="0"/>
        <i val="0"/>
        <strike val="0"/>
        <condense val="0"/>
        <extend val="0"/>
        <outline val="0"/>
        <shadow val="0"/>
        <u val="none"/>
        <vertAlign val="baseline"/>
        <sz val="11"/>
        <color rgb="FF0000FF"/>
        <name val="Courier New"/>
        <scheme val="none"/>
      </font>
      <numFmt numFmtId="178" formatCode="###0.000;###0.000"/>
      <fill>
        <patternFill patternType="none">
          <fgColor indexed="64"/>
          <bgColor indexed="65"/>
        </patternFill>
      </fill>
      <alignment horizontal="center" vertical="top" textRotation="0" wrapText="1" indent="0" justifyLastLine="0" shrinkToFit="0" readingOrder="0"/>
      <border diagonalUp="0" diagonalDown="0">
        <left/>
        <right style="hair">
          <color indexed="64"/>
        </right>
        <top/>
        <bottom/>
        <vertical style="hair">
          <color indexed="64"/>
        </vertical>
        <horizontal/>
      </border>
    </dxf>
    <dxf>
      <border diagonalUp="0" diagonalDown="0">
        <left style="thin">
          <color indexed="64"/>
        </left>
        <right style="thin">
          <color indexed="64"/>
        </right>
        <top style="thin">
          <color indexed="64"/>
        </top>
        <bottom/>
      </border>
    </dxf>
    <dxf>
      <font>
        <b val="0"/>
        <i val="0"/>
        <strike val="0"/>
        <condense val="0"/>
        <extend val="0"/>
        <outline val="0"/>
        <shadow val="0"/>
        <u val="none"/>
        <vertAlign val="baseline"/>
        <sz val="11"/>
        <color rgb="FF0000FF"/>
        <name val="Courier New"/>
        <scheme val="none"/>
      </font>
      <fill>
        <patternFill patternType="none">
          <fgColor indexed="64"/>
          <bgColor indexed="65"/>
        </patternFill>
      </fill>
      <alignment horizontal="center" vertical="top" textRotation="0" wrapText="1" indent="0" justifyLastLine="0" shrinkToFit="0" readingOrder="0"/>
    </dxf>
    <dxf>
      <font>
        <b/>
        <i val="0"/>
        <strike val="0"/>
        <condense val="0"/>
        <extend val="0"/>
        <outline val="0"/>
        <shadow val="0"/>
        <u val="none"/>
        <vertAlign val="baseline"/>
        <sz val="11"/>
        <color theme="0"/>
        <name val="Courier New"/>
        <scheme val="none"/>
      </font>
      <fill>
        <patternFill patternType="solid">
          <fgColor indexed="64"/>
          <bgColor rgb="FFC00000"/>
        </patternFill>
      </fill>
      <alignment horizontal="center" vertical="center" textRotation="0" wrapText="1" indent="0" justifyLastLine="0" shrinkToFit="0" readingOrder="0"/>
      <border diagonalUp="0" diagonalDown="0" outline="0">
        <left style="hair">
          <color indexed="64"/>
        </left>
        <right style="hair">
          <color indexed="64"/>
        </right>
        <top/>
        <bottom/>
      </border>
    </dxf>
    <dxf>
      <fill>
        <patternFill>
          <bgColor theme="0" tint="-0.24994659260841701"/>
        </patternFill>
      </fill>
    </dxf>
    <dxf>
      <fill>
        <patternFill>
          <bgColor theme="0" tint="-0.24994659260841701"/>
        </patternFill>
      </fill>
    </dxf>
    <dxf>
      <fill>
        <patternFill>
          <bgColor theme="0" tint="-0.24994659260841701"/>
        </patternFill>
      </fill>
    </dxf>
    <dxf>
      <font>
        <b val="0"/>
        <i val="0"/>
        <strike val="0"/>
        <condense val="0"/>
        <extend val="0"/>
        <outline val="0"/>
        <shadow val="0"/>
        <u val="none"/>
        <vertAlign val="baseline"/>
        <sz val="11"/>
        <color theme="1"/>
        <name val="Calibri"/>
        <scheme val="minor"/>
      </font>
      <numFmt numFmtId="189" formatCode="#,##0.0&quot; t*m&quot;;\-#,##0.0&quot; t*m&quot;;0.0&quot; t*m&quot;;@"/>
      <fill>
        <patternFill patternType="none">
          <fgColor indexed="64"/>
          <bgColor indexed="65"/>
        </patternFill>
      </fill>
      <alignment horizontal="center" vertical="center" textRotation="0" wrapText="1" indent="0" justifyLastLine="0" shrinkToFit="0" readingOrder="0"/>
      <border diagonalUp="0" diagonalDown="0">
        <left style="hair">
          <color indexed="64"/>
        </left>
        <right/>
        <top/>
        <bottom/>
        <vertical style="hair">
          <color indexed="64"/>
        </vertical>
        <horizontal/>
      </border>
    </dxf>
    <dxf>
      <font>
        <b val="0"/>
        <i val="0"/>
        <strike val="0"/>
        <condense val="0"/>
        <extend val="0"/>
        <outline val="0"/>
        <shadow val="0"/>
        <u val="none"/>
        <vertAlign val="baseline"/>
        <sz val="11"/>
        <color theme="1"/>
        <name val="Calibri"/>
        <scheme val="minor"/>
      </font>
      <numFmt numFmtId="188" formatCode="#,##0.000&quot; t&quot;;\-#,##0.000&quot; t&quo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hair">
          <color indexed="64"/>
        </right>
        <top/>
        <bottom/>
        <vertical style="hair">
          <color indexed="64"/>
        </vertical>
        <horizontal/>
      </border>
    </dxf>
    <dxf>
      <font>
        <b val="0"/>
        <i/>
        <strike val="0"/>
        <condense val="0"/>
        <extend val="0"/>
        <outline val="0"/>
        <shadow val="0"/>
        <u val="none"/>
        <vertAlign val="baseline"/>
        <sz val="11"/>
        <color theme="1" tint="0.34998626667073579"/>
        <name val="Calibri"/>
        <scheme val="minor"/>
      </font>
      <numFmt numFmtId="189" formatCode="#,##0.0&quot; t*m&quot;;\-#,##0.0&quot; t*m&quot;;0.0&quot; t*m&quot;;@"/>
      <fill>
        <patternFill patternType="none">
          <fgColor indexed="64"/>
          <bgColor indexed="65"/>
        </patternFill>
      </fill>
      <alignment horizontal="center" vertical="center" textRotation="0" wrapText="1" indent="0" justifyLastLine="0" shrinkToFit="0" readingOrder="0"/>
      <border diagonalUp="0" diagonalDown="0">
        <left style="hair">
          <color indexed="64"/>
        </left>
        <right style="hair">
          <color indexed="64"/>
        </right>
        <top/>
        <bottom/>
        <vertical/>
        <horizontal/>
      </border>
    </dxf>
    <dxf>
      <font>
        <b val="0"/>
        <i/>
        <strike val="0"/>
        <condense val="0"/>
        <extend val="0"/>
        <outline val="0"/>
        <shadow val="0"/>
        <u val="none"/>
        <vertAlign val="baseline"/>
        <sz val="11"/>
        <color theme="1" tint="0.34998626667073579"/>
        <name val="Calibri"/>
        <scheme val="minor"/>
      </font>
      <numFmt numFmtId="188" formatCode="#,##0.000&quot; t&quot;;\-#,##0.000&quot; t&quot;;\-;@"/>
      <fill>
        <patternFill patternType="none">
          <fgColor indexed="64"/>
          <bgColor indexed="65"/>
        </patternFill>
      </fill>
      <alignment horizontal="center" vertical="center" textRotation="0" wrapText="1" indent="0" justifyLastLine="0" shrinkToFit="0" readingOrder="0"/>
      <border diagonalUp="0" diagonalDown="0">
        <left style="hair">
          <color indexed="64"/>
        </left>
        <right style="hair">
          <color indexed="64"/>
        </right>
        <top/>
        <bottom/>
        <vertical/>
        <horizontal/>
      </border>
    </dxf>
    <dxf>
      <font>
        <b val="0"/>
        <i/>
        <strike val="0"/>
        <condense val="0"/>
        <extend val="0"/>
        <outline val="0"/>
        <shadow val="0"/>
        <u val="none"/>
        <vertAlign val="baseline"/>
        <sz val="11"/>
        <color theme="1" tint="0.34998626667073579"/>
        <name val="Calibri"/>
        <scheme val="minor"/>
      </font>
      <numFmt numFmtId="194" formatCode="#,##0.000&quot; m²&quot;;\-#,##0.000\²&quot; m&quot;;\-;@"/>
      <fill>
        <patternFill patternType="none">
          <fgColor indexed="64"/>
          <bgColor indexed="65"/>
        </patternFill>
      </fill>
      <alignment horizontal="center" vertical="center" textRotation="0" wrapText="1" indent="0" justifyLastLine="0" shrinkToFit="0" readingOrder="0"/>
      <border diagonalUp="0" diagonalDown="0">
        <left style="hair">
          <color indexed="64"/>
        </left>
        <right style="hair">
          <color indexed="64"/>
        </right>
        <top/>
        <bottom/>
      </border>
    </dxf>
    <dxf>
      <font>
        <b val="0"/>
        <i/>
        <strike val="0"/>
        <condense val="0"/>
        <extend val="0"/>
        <outline val="0"/>
        <shadow val="0"/>
        <u val="none"/>
        <vertAlign val="baseline"/>
        <sz val="11"/>
        <color theme="1" tint="0.34998626667073579"/>
        <name val="Calibri"/>
        <scheme val="minor"/>
      </font>
      <numFmt numFmtId="195" formatCode="#,##0.000&quot; m&quot;;\-#,##0.000&quot; m&quot;;\-;@"/>
      <fill>
        <patternFill patternType="none">
          <fgColor indexed="64"/>
          <bgColor indexed="65"/>
        </patternFill>
      </fill>
      <alignment horizontal="center" vertical="center" textRotation="0" wrapText="1" indent="0" justifyLastLine="0" shrinkToFit="0" readingOrder="0"/>
      <border diagonalUp="0" diagonalDown="0">
        <left/>
        <right style="hair">
          <color indexed="64"/>
        </right>
        <top/>
        <bottom/>
        <vertical/>
        <horizontal/>
      </border>
    </dxf>
    <dxf>
      <font>
        <b val="0"/>
        <i/>
        <strike val="0"/>
        <condense val="0"/>
        <extend val="0"/>
        <outline val="0"/>
        <shadow val="0"/>
        <u val="none"/>
        <vertAlign val="baseline"/>
        <sz val="11"/>
        <color theme="1" tint="0.34998626667073579"/>
        <name val="Calibri"/>
        <scheme val="minor"/>
      </font>
      <numFmt numFmtId="194" formatCode="#,##0.000&quot; m²&quot;;\-#,##0.000\²&quot; m&quot;;\-;@"/>
      <fill>
        <patternFill patternType="none">
          <fgColor indexed="64"/>
          <bgColor indexed="65"/>
        </patternFill>
      </fill>
      <alignment horizontal="center" vertical="center" textRotation="0" wrapText="1" indent="0" justifyLastLine="0" shrinkToFit="0" readingOrder="0"/>
      <border diagonalUp="0" diagonalDown="0">
        <left style="hair">
          <color indexed="64"/>
        </left>
        <right style="hair">
          <color indexed="64"/>
        </right>
        <top/>
        <bottom/>
      </border>
    </dxf>
    <dxf>
      <font>
        <b val="0"/>
        <i/>
        <strike val="0"/>
        <condense val="0"/>
        <extend val="0"/>
        <outline val="0"/>
        <shadow val="0"/>
        <u val="none"/>
        <vertAlign val="baseline"/>
        <sz val="11"/>
        <color theme="1" tint="0.34998626667073579"/>
        <name val="Calibri"/>
        <scheme val="minor"/>
      </font>
      <numFmt numFmtId="195" formatCode="#,##0.000&quot; m&quot;;\-#,##0.000&quot; m&quot;;\-;@"/>
      <fill>
        <patternFill patternType="none">
          <fgColor indexed="64"/>
          <bgColor indexed="65"/>
        </patternFill>
      </fill>
      <alignment horizontal="center" vertical="center" textRotation="0" wrapText="1" indent="0" justifyLastLine="0" shrinkToFit="0" readingOrder="0"/>
      <border diagonalUp="0" diagonalDown="0">
        <left/>
        <right style="hair">
          <color indexed="64"/>
        </right>
        <top/>
        <bottom/>
      </border>
    </dxf>
    <dxf>
      <font>
        <b val="0"/>
        <i/>
        <strike val="0"/>
        <condense val="0"/>
        <extend val="0"/>
        <outline val="0"/>
        <shadow val="0"/>
        <u val="none"/>
        <vertAlign val="baseline"/>
        <sz val="11"/>
        <color theme="1" tint="0.34998626667073579"/>
        <name val="Calibri"/>
        <scheme val="minor"/>
      </font>
      <numFmt numFmtId="195" formatCode="#,##0.000&quot; m&quot;;\-#,##0.000&quot; m&quot;;\-;@"/>
      <fill>
        <patternFill patternType="none">
          <fgColor indexed="64"/>
          <bgColor indexed="65"/>
        </patternFill>
      </fill>
      <alignment horizontal="center" vertical="center" textRotation="0" wrapText="1" indent="0" justifyLastLine="0" shrinkToFit="0" readingOrder="0"/>
      <border diagonalUp="0" diagonalDown="0">
        <left/>
        <right style="hair">
          <color indexed="64"/>
        </right>
        <top/>
        <bottom/>
        <vertical/>
        <horizontal/>
      </border>
    </dxf>
    <dxf>
      <font>
        <b val="0"/>
        <i/>
        <strike val="0"/>
        <condense val="0"/>
        <extend val="0"/>
        <outline val="0"/>
        <shadow val="0"/>
        <u val="none"/>
        <vertAlign val="baseline"/>
        <sz val="11"/>
        <color theme="1" tint="0.34998626667073579"/>
        <name val="Calibri"/>
        <scheme val="minor"/>
      </font>
      <numFmt numFmtId="190" formatCode="#,##0.000&quot; m&quot;;\-#,##0.000&quot; m&quot;;0.000&quot; m&quot;;@"/>
      <fill>
        <patternFill patternType="none">
          <fgColor indexed="64"/>
          <bgColor indexed="65"/>
        </patternFill>
      </fill>
      <alignment horizontal="center" vertical="center" textRotation="0" wrapText="1" indent="0" justifyLastLine="0" shrinkToFit="0" readingOrder="0"/>
      <border diagonalUp="0" diagonalDown="0">
        <left/>
        <right style="hair">
          <color indexed="64"/>
        </right>
        <top/>
        <bottom/>
        <vertical/>
        <horizontal/>
      </border>
    </dxf>
    <dxf>
      <font>
        <b val="0"/>
        <i/>
        <strike val="0"/>
        <condense val="0"/>
        <extend val="0"/>
        <outline val="0"/>
        <shadow val="0"/>
        <u val="none"/>
        <vertAlign val="baseline"/>
        <sz val="11"/>
        <color theme="1" tint="0.34998626667073579"/>
        <name val="Calibri"/>
        <scheme val="minor"/>
      </font>
      <numFmt numFmtId="191" formatCode="#,##0.000&quot; t/m&quot;;\-#,##0.000&quot; t/m&quot;;0.000&quot; t/m&quot;;@"/>
      <fill>
        <patternFill patternType="none">
          <fgColor indexed="64"/>
          <bgColor indexed="65"/>
        </patternFill>
      </fill>
      <alignment horizontal="center" vertical="center" textRotation="0" wrapText="1" indent="0" justifyLastLine="0" shrinkToFit="0" readingOrder="0"/>
      <border diagonalUp="0" diagonalDown="0">
        <left style="medium">
          <color indexed="64"/>
        </left>
        <right style="hair">
          <color indexed="64"/>
        </right>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hair">
          <color indexed="64"/>
        </left>
        <right/>
        <top/>
        <bottom/>
        <vertical/>
        <horizontal/>
      </border>
    </dxf>
    <dxf>
      <font>
        <b val="0"/>
        <i val="0"/>
        <strike val="0"/>
        <condense val="0"/>
        <extend val="0"/>
        <outline val="0"/>
        <shadow val="0"/>
        <u val="none"/>
        <vertAlign val="baseline"/>
        <sz val="11"/>
        <color theme="1"/>
        <name val="Calibri"/>
        <scheme val="minor"/>
      </font>
      <numFmt numFmtId="188" formatCode="#,##0.000&quot; t&quot;;\-#,##0.000&quot; t&quot;;\-;@"/>
      <fill>
        <patternFill patternType="none">
          <fgColor indexed="64"/>
          <bgColor indexed="65"/>
        </patternFill>
      </fill>
      <alignment horizontal="center" vertical="center" textRotation="0" wrapText="1" indent="0" justifyLastLine="0" shrinkToFit="0" readingOrder="0"/>
      <border diagonalUp="0" diagonalDown="0">
        <left style="hair">
          <color indexed="64"/>
        </left>
        <right style="hair">
          <color indexed="64"/>
        </right>
        <top/>
        <bottom/>
        <vertical/>
        <horizontal/>
      </border>
    </dxf>
    <dxf>
      <font>
        <b val="0"/>
        <i val="0"/>
        <strike val="0"/>
        <condense val="0"/>
        <extend val="0"/>
        <outline val="0"/>
        <shadow val="0"/>
        <u val="none"/>
        <vertAlign val="baseline"/>
        <sz val="11"/>
        <color theme="1"/>
        <name val="Calibri"/>
        <scheme val="minor"/>
      </font>
      <numFmt numFmtId="188" formatCode="#,##0.000&quot; t&quot;;\-#,##0.000&quot; t&quot;;\-;@"/>
      <fill>
        <patternFill patternType="none">
          <fgColor indexed="64"/>
          <bgColor indexed="65"/>
        </patternFill>
      </fill>
      <alignment horizontal="center" vertical="center" textRotation="0" wrapText="1" indent="0" justifyLastLine="0" shrinkToFit="0" readingOrder="0"/>
      <border diagonalUp="0" diagonalDown="0">
        <left style="hair">
          <color indexed="64"/>
        </left>
        <right style="hair">
          <color indexed="64"/>
        </right>
        <top/>
        <bottom/>
        <vertical/>
        <horizontal/>
      </border>
    </dxf>
    <dxf>
      <font>
        <b val="0"/>
        <i val="0"/>
        <strike val="0"/>
        <condense val="0"/>
        <extend val="0"/>
        <outline val="0"/>
        <shadow val="0"/>
        <u val="none"/>
        <vertAlign val="baseline"/>
        <sz val="11"/>
        <color theme="1"/>
        <name val="Calibri"/>
        <scheme val="minor"/>
      </font>
      <numFmt numFmtId="188" formatCode="#,##0.000&quot; t&quot;;\-#,##0.000&quot; t&quot;;\-;@"/>
      <fill>
        <patternFill patternType="none">
          <fgColor indexed="64"/>
          <bgColor indexed="65"/>
        </patternFill>
      </fill>
      <alignment horizontal="center" vertical="center" textRotation="0" wrapText="1" indent="0" justifyLastLine="0" shrinkToFit="0" readingOrder="0"/>
      <border diagonalUp="0" diagonalDown="0">
        <left style="hair">
          <color indexed="64"/>
        </left>
        <right style="hair">
          <color indexed="64"/>
        </right>
        <top/>
        <bottom/>
        <vertical/>
        <horizontal/>
      </border>
    </dxf>
    <dxf>
      <font>
        <b val="0"/>
        <i val="0"/>
        <strike val="0"/>
        <condense val="0"/>
        <extend val="0"/>
        <outline val="0"/>
        <shadow val="0"/>
        <u val="none"/>
        <vertAlign val="baseline"/>
        <sz val="11"/>
        <color theme="1"/>
        <name val="Calibri"/>
        <scheme val="minor"/>
      </font>
      <numFmt numFmtId="188" formatCode="#,##0.000&quot; t&quot;;\-#,##0.000&quot; t&quot;;\-;@"/>
      <fill>
        <patternFill patternType="none">
          <fgColor indexed="64"/>
          <bgColor indexed="65"/>
        </patternFill>
      </fill>
      <alignment horizontal="center" vertical="center" textRotation="0" wrapText="1" indent="0" justifyLastLine="0" shrinkToFit="0" readingOrder="0"/>
      <border diagonalUp="0" diagonalDown="0">
        <left style="hair">
          <color indexed="64"/>
        </left>
        <right style="hair">
          <color indexed="64"/>
        </right>
        <top/>
        <bottom/>
        <vertical/>
        <horizontal/>
      </border>
    </dxf>
    <dxf>
      <font>
        <b val="0"/>
        <i val="0"/>
        <strike val="0"/>
        <condense val="0"/>
        <extend val="0"/>
        <outline val="0"/>
        <shadow val="0"/>
        <u val="none"/>
        <vertAlign val="baseline"/>
        <sz val="11"/>
        <color theme="1"/>
        <name val="Calibri"/>
        <scheme val="minor"/>
      </font>
      <numFmt numFmtId="188" formatCode="#,##0.000&quot; t&quot;;\-#,##0.000&quot; t&quot;;\-;@"/>
      <fill>
        <patternFill patternType="none">
          <fgColor indexed="64"/>
          <bgColor indexed="65"/>
        </patternFill>
      </fill>
      <alignment horizontal="center" vertical="center" textRotation="0" wrapText="1" indent="0" justifyLastLine="0" shrinkToFit="0" readingOrder="0"/>
      <border diagonalUp="0" diagonalDown="0">
        <left style="hair">
          <color indexed="64"/>
        </left>
        <right style="hair">
          <color indexed="64"/>
        </right>
        <top/>
        <bottom/>
        <vertical/>
        <horizontal/>
      </border>
    </dxf>
    <dxf>
      <font>
        <b val="0"/>
        <i val="0"/>
        <strike val="0"/>
        <condense val="0"/>
        <extend val="0"/>
        <outline val="0"/>
        <shadow val="0"/>
        <u val="none"/>
        <vertAlign val="baseline"/>
        <sz val="11"/>
        <color theme="1"/>
        <name val="Calibri"/>
        <scheme val="minor"/>
      </font>
      <numFmt numFmtId="189" formatCode="#,##0.0&quot; t*m&quot;;\-#,##0.0&quot; t*m&quot;;0.0&quot; t*m&quo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1"/>
        <color theme="1"/>
        <name val="Calibri"/>
        <scheme val="minor"/>
      </font>
      <numFmt numFmtId="194" formatCode="#,##0.000&quot; m²&quot;;\-#,##0.000\²&quot; m&quot;;\-;@"/>
      <fill>
        <patternFill patternType="none">
          <fgColor indexed="64"/>
          <bgColor indexed="65"/>
        </patternFill>
      </fill>
      <alignment horizontal="center" vertical="center" textRotation="0" wrapText="0" indent="0" justifyLastLine="0" shrinkToFit="0" readingOrder="0"/>
      <border diagonalUp="0" diagonalDown="0">
        <left style="hair">
          <color indexed="64"/>
        </left>
        <right style="hair">
          <color indexed="64"/>
        </right>
        <top/>
        <bottom/>
        <vertical/>
        <horizontal/>
      </border>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right style="hair">
          <color indexed="64"/>
        </right>
        <top/>
        <bottom/>
        <vertical/>
        <horizontal/>
      </border>
    </dxf>
    <dxf>
      <border outline="0">
        <left style="thin">
          <color rgb="FF000000"/>
        </left>
        <right style="thin">
          <color rgb="FF000000"/>
        </right>
        <top style="thin">
          <color rgb="FF000000"/>
        </top>
      </border>
    </dxf>
    <dxf>
      <font>
        <b val="0"/>
        <i val="0"/>
        <strike val="0"/>
        <condense val="0"/>
        <extend val="0"/>
        <outline val="0"/>
        <shadow val="0"/>
        <u val="none"/>
        <vertAlign val="baseline"/>
        <sz val="11"/>
        <color rgb="FF000000"/>
        <name val="Calibri"/>
        <scheme val="none"/>
      </font>
      <fill>
        <patternFill patternType="none">
          <fgColor rgb="FF000000"/>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scheme val="minor"/>
      </font>
      <fill>
        <patternFill patternType="solid">
          <fgColor indexed="64"/>
          <bgColor rgb="FFC6EFCE"/>
        </patternFill>
      </fill>
      <alignment horizontal="center" vertical="center" textRotation="0" wrapText="1" indent="0" justifyLastLine="0" shrinkToFit="0" readingOrder="0"/>
      <border diagonalUp="0" diagonalDown="0" outline="0">
        <left style="hair">
          <color indexed="64"/>
        </left>
        <right style="hair">
          <color indexed="64"/>
        </right>
        <top/>
        <bottom/>
      </border>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theme="0" tint="-0.14996795556505021"/>
        </patternFill>
      </fill>
    </dxf>
    <dxf>
      <font>
        <b/>
        <i val="0"/>
      </font>
      <fill>
        <patternFill>
          <bgColor theme="5" tint="0.39994506668294322"/>
        </patternFill>
      </fill>
      <border>
        <top style="thin">
          <color auto="1"/>
        </top>
        <bottom style="thin">
          <color auto="1"/>
        </bottom>
        <vertical/>
        <horizontal/>
      </border>
    </dxf>
    <dxf>
      <fill>
        <patternFill>
          <bgColor theme="0" tint="-0.14996795556505021"/>
        </patternFill>
      </fill>
    </dxf>
    <dxf>
      <font>
        <b/>
        <i val="0"/>
      </font>
      <fill>
        <patternFill>
          <bgColor theme="5" tint="0.39994506668294322"/>
        </patternFill>
      </fill>
      <border>
        <top style="thin">
          <color auto="1"/>
        </top>
        <bottom style="thin">
          <color auto="1"/>
        </bottom>
        <vertical/>
        <horizontal/>
      </border>
    </dxf>
    <dxf>
      <fill>
        <patternFill>
          <bgColor theme="0" tint="-0.14996795556505021"/>
        </patternFill>
      </fill>
    </dxf>
    <dxf>
      <font>
        <b/>
        <i val="0"/>
      </font>
      <fill>
        <patternFill>
          <bgColor theme="5" tint="0.39994506668294322"/>
        </patternFill>
      </fill>
      <border>
        <top style="thin">
          <color auto="1"/>
        </top>
        <bottom style="thin">
          <color auto="1"/>
        </bottom>
        <vertical/>
        <horizontal/>
      </border>
    </dxf>
    <dxf>
      <font>
        <color rgb="FF006100"/>
      </font>
      <fill>
        <patternFill>
          <bgColor rgb="FFC6EFCE"/>
        </patternFill>
      </fill>
    </dxf>
    <dxf>
      <fill>
        <patternFill>
          <bgColor theme="0" tint="-0.14996795556505021"/>
        </patternFill>
      </fill>
    </dxf>
    <dxf>
      <font>
        <b/>
        <i val="0"/>
      </font>
      <fill>
        <patternFill>
          <bgColor theme="5" tint="0.39994506668294322"/>
        </patternFill>
      </fill>
      <border>
        <top style="thin">
          <color auto="1"/>
        </top>
        <bottom style="thin">
          <color auto="1"/>
        </bottom>
        <vertical/>
        <horizontal/>
      </border>
    </dxf>
    <dxf>
      <fill>
        <patternFill>
          <bgColor rgb="FFFF0000"/>
        </patternFill>
      </fill>
    </dxf>
  </dxfs>
  <tableStyles count="0" defaultTableStyle="TableStyleMedium2" defaultPivotStyle="PivotStyleMedium9"/>
  <colors>
    <mruColors>
      <color rgb="FF0000FF"/>
      <color rgb="FF006100"/>
      <color rgb="FF008AEF"/>
      <color rgb="FF7171FF"/>
      <color rgb="FFCCFFCC"/>
      <color rgb="FFFEC7CE"/>
      <color rgb="FF9C0006"/>
      <color rgb="FF9C0005"/>
      <color rgb="FFFFC7CE"/>
      <color rgb="FFC6EF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80651744045789187"/>
          <c:y val="7.3179932101093928E-2"/>
        </c:manualLayout>
      </c:layout>
      <c:overlay val="0"/>
    </c:title>
    <c:autoTitleDeleted val="0"/>
    <c:plotArea>
      <c:layout>
        <c:manualLayout>
          <c:layoutTarget val="inner"/>
          <c:xMode val="edge"/>
          <c:yMode val="edge"/>
          <c:x val="6.7053642583616374E-2"/>
          <c:y val="5.3609605956725266E-2"/>
          <c:w val="0.90864915682796144"/>
          <c:h val="0.88732830349274006"/>
        </c:manualLayout>
      </c:layout>
      <c:scatterChart>
        <c:scatterStyle val="smoothMarker"/>
        <c:varyColors val="0"/>
        <c:ser>
          <c:idx val="0"/>
          <c:order val="0"/>
          <c:tx>
            <c:v>Gz</c:v>
          </c:tx>
          <c:marker>
            <c:symbol val="none"/>
          </c:marker>
          <c:xVal>
            <c:numRef>
              <c:f>'03.Cross Curves'!$C$12:$C$33</c:f>
              <c:numCache>
                <c:formatCode>#\ ##0.0" °"</c:formatCode>
                <c:ptCount val="22"/>
                <c:pt idx="0">
                  <c:v>0</c:v>
                </c:pt>
                <c:pt idx="1">
                  <c:v>2</c:v>
                </c:pt>
                <c:pt idx="2">
                  <c:v>5</c:v>
                </c:pt>
                <c:pt idx="3">
                  <c:v>10</c:v>
                </c:pt>
                <c:pt idx="4">
                  <c:v>15</c:v>
                </c:pt>
                <c:pt idx="5">
                  <c:v>20</c:v>
                </c:pt>
                <c:pt idx="6">
                  <c:v>30</c:v>
                </c:pt>
                <c:pt idx="7">
                  <c:v>40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numCache>
            </c:numRef>
          </c:xVal>
          <c:yVal>
            <c:numRef>
              <c:f>'03.Cross Curves'!$E$12:$E$33</c:f>
              <c:numCache>
                <c:formatCode>#\ ##0.000" m";\-#\ ##0.000" m";0.000" m";@</c:formatCode>
                <c:ptCount val="22"/>
                <c:pt idx="0">
                  <c:v>-1.0999999999999999E-2</c:v>
                </c:pt>
                <c:pt idx="1">
                  <c:v>1.0734020131899962</c:v>
                </c:pt>
                <c:pt idx="2">
                  <c:v>2.7073770290093675</c:v>
                </c:pt>
                <c:pt idx="3">
                  <c:v>4.4944072893322788</c:v>
                </c:pt>
                <c:pt idx="4">
                  <c:v>5.1127238195899167</c:v>
                </c:pt>
                <c:pt idx="5">
                  <c:v>5.3209194266973254</c:v>
                </c:pt>
                <c:pt idx="6">
                  <c:v>5.0819999999999999</c:v>
                </c:pt>
                <c:pt idx="7">
                  <c:v>4.2808495612538433</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numCache>
            </c:numRef>
          </c:yVal>
          <c:smooth val="1"/>
          <c:extLst>
            <c:ext xmlns:c16="http://schemas.microsoft.com/office/drawing/2014/chart" uri="{C3380CC4-5D6E-409C-BE32-E72D297353CC}">
              <c16:uniqueId val="{00000000-D6E5-4912-B9A3-41A66B289DE3}"/>
            </c:ext>
          </c:extLst>
        </c:ser>
        <c:dLbls>
          <c:showLegendKey val="0"/>
          <c:showVal val="0"/>
          <c:showCatName val="0"/>
          <c:showSerName val="0"/>
          <c:showPercent val="0"/>
          <c:showBubbleSize val="0"/>
        </c:dLbls>
        <c:axId val="485781224"/>
        <c:axId val="485781616"/>
      </c:scatterChart>
      <c:valAx>
        <c:axId val="485781224"/>
        <c:scaling>
          <c:orientation val="minMax"/>
        </c:scaling>
        <c:delete val="0"/>
        <c:axPos val="b"/>
        <c:numFmt formatCode="0&quot; °&quot;" sourceLinked="0"/>
        <c:majorTickMark val="out"/>
        <c:minorTickMark val="none"/>
        <c:tickLblPos val="nextTo"/>
        <c:crossAx val="485781616"/>
        <c:crosses val="autoZero"/>
        <c:crossBetween val="midCat"/>
      </c:valAx>
      <c:valAx>
        <c:axId val="485781616"/>
        <c:scaling>
          <c:orientation val="minMax"/>
        </c:scaling>
        <c:delete val="0"/>
        <c:axPos val="l"/>
        <c:majorGridlines/>
        <c:numFmt formatCode="#\ ##0&quot; m&quot;;\-#\ ##0&quot; m&quot;;0&quot; m&quot;;@" sourceLinked="0"/>
        <c:majorTickMark val="out"/>
        <c:minorTickMark val="none"/>
        <c:tickLblPos val="nextTo"/>
        <c:crossAx val="485781224"/>
        <c:crosses val="autoZero"/>
        <c:crossBetween val="midCat"/>
      </c:valAx>
    </c:plotArea>
    <c:plotVisOnly val="1"/>
    <c:dispBlanksAs val="gap"/>
    <c:showDLblsOverMax val="0"/>
  </c:chart>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Elmt</a:t>
            </a:r>
            <a:r>
              <a:rPr lang="en-US" baseline="0"/>
              <a:t> Weight [t] - </a:t>
            </a:r>
            <a:r>
              <a:rPr lang="en-US"/>
              <a:t>Bending Moment [t*m</a:t>
            </a:r>
            <a:r>
              <a:rPr lang="en-US" baseline="0"/>
              <a:t>]</a:t>
            </a:r>
            <a:endParaRPr lang="en-US"/>
          </a:p>
        </c:rich>
      </c:tx>
      <c:layout>
        <c:manualLayout>
          <c:xMode val="edge"/>
          <c:yMode val="edge"/>
          <c:x val="0.13844091737170056"/>
          <c:y val="2.86178773851986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4.4643782652233253E-2"/>
          <c:y val="9.649427929245627E-2"/>
          <c:w val="0.90421017702258455"/>
          <c:h val="0.79987397481626787"/>
        </c:manualLayout>
      </c:layout>
      <c:barChart>
        <c:barDir val="col"/>
        <c:grouping val="stacked"/>
        <c:varyColors val="0"/>
        <c:ser>
          <c:idx val="0"/>
          <c:order val="0"/>
          <c:tx>
            <c:strRef>
              <c:f>'Load Distrib'!$E$5</c:f>
              <c:strCache>
                <c:ptCount val="1"/>
                <c:pt idx="0">
                  <c:v>Hull &amp; Structure</c:v>
                </c:pt>
              </c:strCache>
            </c:strRef>
          </c:tx>
          <c:spPr>
            <a:solidFill>
              <a:schemeClr val="accent1"/>
            </a:solidFill>
            <a:ln>
              <a:solidFill>
                <a:schemeClr val="bg1">
                  <a:lumMod val="50000"/>
                </a:schemeClr>
              </a:solidFill>
            </a:ln>
            <a:effectLst/>
          </c:spPr>
          <c:invertIfNegative val="0"/>
          <c:cat>
            <c:numRef>
              <c:f>'Load Distrib'!FEM_x</c:f>
              <c:numCache>
                <c:formatCode>#\ ##0.00" m";\-#\ ##0.00" m";0.00" m";@</c:formatCode>
                <c:ptCount val="121"/>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pt idx="15">
                  <c:v>7.5</c:v>
                </c:pt>
                <c:pt idx="16">
                  <c:v>8</c:v>
                </c:pt>
                <c:pt idx="17">
                  <c:v>8.5</c:v>
                </c:pt>
                <c:pt idx="18">
                  <c:v>9</c:v>
                </c:pt>
                <c:pt idx="19">
                  <c:v>9.5</c:v>
                </c:pt>
                <c:pt idx="20">
                  <c:v>10</c:v>
                </c:pt>
                <c:pt idx="21">
                  <c:v>10.5</c:v>
                </c:pt>
                <c:pt idx="22">
                  <c:v>11</c:v>
                </c:pt>
                <c:pt idx="23">
                  <c:v>11.5</c:v>
                </c:pt>
                <c:pt idx="24">
                  <c:v>12</c:v>
                </c:pt>
                <c:pt idx="25">
                  <c:v>12.5</c:v>
                </c:pt>
                <c:pt idx="26">
                  <c:v>13</c:v>
                </c:pt>
                <c:pt idx="27">
                  <c:v>13.5</c:v>
                </c:pt>
                <c:pt idx="28">
                  <c:v>14</c:v>
                </c:pt>
                <c:pt idx="29">
                  <c:v>14.5</c:v>
                </c:pt>
                <c:pt idx="30">
                  <c:v>15</c:v>
                </c:pt>
                <c:pt idx="31">
                  <c:v>15.5</c:v>
                </c:pt>
                <c:pt idx="32">
                  <c:v>16</c:v>
                </c:pt>
                <c:pt idx="33">
                  <c:v>16.5</c:v>
                </c:pt>
                <c:pt idx="34">
                  <c:v>17</c:v>
                </c:pt>
                <c:pt idx="35">
                  <c:v>17.5</c:v>
                </c:pt>
                <c:pt idx="36">
                  <c:v>18</c:v>
                </c:pt>
                <c:pt idx="37">
                  <c:v>18.5</c:v>
                </c:pt>
                <c:pt idx="38">
                  <c:v>19</c:v>
                </c:pt>
                <c:pt idx="39">
                  <c:v>19.5</c:v>
                </c:pt>
                <c:pt idx="40">
                  <c:v>20</c:v>
                </c:pt>
                <c:pt idx="41">
                  <c:v>20.5</c:v>
                </c:pt>
                <c:pt idx="42">
                  <c:v>21</c:v>
                </c:pt>
                <c:pt idx="43">
                  <c:v>21.5</c:v>
                </c:pt>
                <c:pt idx="44">
                  <c:v>22</c:v>
                </c:pt>
                <c:pt idx="45">
                  <c:v>22.5</c:v>
                </c:pt>
                <c:pt idx="46">
                  <c:v>23</c:v>
                </c:pt>
                <c:pt idx="47">
                  <c:v>23.5</c:v>
                </c:pt>
                <c:pt idx="48">
                  <c:v>24</c:v>
                </c:pt>
                <c:pt idx="49">
                  <c:v>24.5</c:v>
                </c:pt>
                <c:pt idx="50">
                  <c:v>25</c:v>
                </c:pt>
                <c:pt idx="51">
                  <c:v>25.5</c:v>
                </c:pt>
                <c:pt idx="52">
                  <c:v>26</c:v>
                </c:pt>
                <c:pt idx="53">
                  <c:v>26.5</c:v>
                </c:pt>
                <c:pt idx="54">
                  <c:v>27</c:v>
                </c:pt>
                <c:pt idx="55">
                  <c:v>27.5</c:v>
                </c:pt>
                <c:pt idx="56">
                  <c:v>28</c:v>
                </c:pt>
                <c:pt idx="57">
                  <c:v>28.5</c:v>
                </c:pt>
                <c:pt idx="58">
                  <c:v>29</c:v>
                </c:pt>
                <c:pt idx="59">
                  <c:v>29.5</c:v>
                </c:pt>
                <c:pt idx="60">
                  <c:v>30</c:v>
                </c:pt>
                <c:pt idx="61">
                  <c:v>30.5</c:v>
                </c:pt>
                <c:pt idx="62">
                  <c:v>31</c:v>
                </c:pt>
                <c:pt idx="63">
                  <c:v>31.5</c:v>
                </c:pt>
                <c:pt idx="64">
                  <c:v>32</c:v>
                </c:pt>
                <c:pt idx="65">
                  <c:v>32.5</c:v>
                </c:pt>
                <c:pt idx="66">
                  <c:v>33</c:v>
                </c:pt>
                <c:pt idx="67">
                  <c:v>33.5</c:v>
                </c:pt>
                <c:pt idx="68">
                  <c:v>34</c:v>
                </c:pt>
                <c:pt idx="69">
                  <c:v>34.5</c:v>
                </c:pt>
                <c:pt idx="70">
                  <c:v>35</c:v>
                </c:pt>
                <c:pt idx="71">
                  <c:v>35.5</c:v>
                </c:pt>
                <c:pt idx="72">
                  <c:v>36</c:v>
                </c:pt>
                <c:pt idx="73">
                  <c:v>36.5</c:v>
                </c:pt>
                <c:pt idx="74">
                  <c:v>37</c:v>
                </c:pt>
                <c:pt idx="75">
                  <c:v>37.5</c:v>
                </c:pt>
                <c:pt idx="76">
                  <c:v>38</c:v>
                </c:pt>
                <c:pt idx="77">
                  <c:v>38.5</c:v>
                </c:pt>
                <c:pt idx="78">
                  <c:v>39</c:v>
                </c:pt>
                <c:pt idx="79">
                  <c:v>39.5</c:v>
                </c:pt>
                <c:pt idx="80">
                  <c:v>40</c:v>
                </c:pt>
                <c:pt idx="81">
                  <c:v>40.5</c:v>
                </c:pt>
                <c:pt idx="82">
                  <c:v>41</c:v>
                </c:pt>
                <c:pt idx="83">
                  <c:v>41.5</c:v>
                </c:pt>
                <c:pt idx="84">
                  <c:v>42</c:v>
                </c:pt>
                <c:pt idx="85">
                  <c:v>42.5</c:v>
                </c:pt>
                <c:pt idx="86">
                  <c:v>43</c:v>
                </c:pt>
                <c:pt idx="87">
                  <c:v>43.5</c:v>
                </c:pt>
                <c:pt idx="88">
                  <c:v>44</c:v>
                </c:pt>
                <c:pt idx="89">
                  <c:v>44.5</c:v>
                </c:pt>
                <c:pt idx="90">
                  <c:v>45</c:v>
                </c:pt>
                <c:pt idx="91">
                  <c:v>45.5</c:v>
                </c:pt>
                <c:pt idx="92">
                  <c:v>46</c:v>
                </c:pt>
                <c:pt idx="93">
                  <c:v>46.5</c:v>
                </c:pt>
                <c:pt idx="94">
                  <c:v>47</c:v>
                </c:pt>
                <c:pt idx="95">
                  <c:v>47.5</c:v>
                </c:pt>
                <c:pt idx="96">
                  <c:v>48</c:v>
                </c:pt>
                <c:pt idx="97">
                  <c:v>48.5</c:v>
                </c:pt>
                <c:pt idx="98">
                  <c:v>49</c:v>
                </c:pt>
                <c:pt idx="99">
                  <c:v>49.5</c:v>
                </c:pt>
                <c:pt idx="100">
                  <c:v>50</c:v>
                </c:pt>
                <c:pt idx="101">
                  <c:v>50.5</c:v>
                </c:pt>
                <c:pt idx="102">
                  <c:v>51</c:v>
                </c:pt>
                <c:pt idx="103">
                  <c:v>51.5</c:v>
                </c:pt>
                <c:pt idx="104">
                  <c:v>52</c:v>
                </c:pt>
                <c:pt idx="105">
                  <c:v>52.5</c:v>
                </c:pt>
                <c:pt idx="106">
                  <c:v>53</c:v>
                </c:pt>
                <c:pt idx="107">
                  <c:v>53.5</c:v>
                </c:pt>
                <c:pt idx="108">
                  <c:v>54</c:v>
                </c:pt>
                <c:pt idx="109">
                  <c:v>54.5</c:v>
                </c:pt>
                <c:pt idx="110">
                  <c:v>55</c:v>
                </c:pt>
                <c:pt idx="111">
                  <c:v>55.5</c:v>
                </c:pt>
                <c:pt idx="112">
                  <c:v>56</c:v>
                </c:pt>
                <c:pt idx="113">
                  <c:v>56.5</c:v>
                </c:pt>
                <c:pt idx="114">
                  <c:v>57</c:v>
                </c:pt>
                <c:pt idx="115">
                  <c:v>57.5</c:v>
                </c:pt>
                <c:pt idx="116">
                  <c:v>58</c:v>
                </c:pt>
                <c:pt idx="117">
                  <c:v>58.5</c:v>
                </c:pt>
                <c:pt idx="118">
                  <c:v>59</c:v>
                </c:pt>
                <c:pt idx="119">
                  <c:v>59.5</c:v>
                </c:pt>
                <c:pt idx="120">
                  <c:v>60</c:v>
                </c:pt>
              </c:numCache>
            </c:numRef>
          </c:cat>
          <c:val>
            <c:numRef>
              <c:f>'Load Distrib'!FEM_Hull_Structure</c:f>
              <c:numCache>
                <c:formatCode>#\ ##0.000" t";\-#\ ##0.000" t";\-;@</c:formatCode>
                <c:ptCount val="121"/>
                <c:pt idx="0">
                  <c:v>0</c:v>
                </c:pt>
                <c:pt idx="1">
                  <c:v>4.666666666666667</c:v>
                </c:pt>
                <c:pt idx="2">
                  <c:v>4.666666666666667</c:v>
                </c:pt>
                <c:pt idx="3">
                  <c:v>4.666666666666667</c:v>
                </c:pt>
                <c:pt idx="4">
                  <c:v>4.666666666666667</c:v>
                </c:pt>
                <c:pt idx="5">
                  <c:v>4.666666666666667</c:v>
                </c:pt>
                <c:pt idx="6">
                  <c:v>4.666666666666667</c:v>
                </c:pt>
                <c:pt idx="7">
                  <c:v>4.666666666666667</c:v>
                </c:pt>
                <c:pt idx="8">
                  <c:v>4.666666666666667</c:v>
                </c:pt>
                <c:pt idx="9">
                  <c:v>4.666666666666667</c:v>
                </c:pt>
                <c:pt idx="10">
                  <c:v>4.666666666666667</c:v>
                </c:pt>
                <c:pt idx="11">
                  <c:v>4.666666666666667</c:v>
                </c:pt>
                <c:pt idx="12">
                  <c:v>4.666666666666667</c:v>
                </c:pt>
                <c:pt idx="13">
                  <c:v>4.666666666666667</c:v>
                </c:pt>
                <c:pt idx="14">
                  <c:v>4.666666666666667</c:v>
                </c:pt>
                <c:pt idx="15">
                  <c:v>4.666666666666667</c:v>
                </c:pt>
                <c:pt idx="16">
                  <c:v>4.666666666666667</c:v>
                </c:pt>
                <c:pt idx="17">
                  <c:v>4.666666666666667</c:v>
                </c:pt>
                <c:pt idx="18">
                  <c:v>4.666666666666667</c:v>
                </c:pt>
                <c:pt idx="19">
                  <c:v>4.666666666666667</c:v>
                </c:pt>
                <c:pt idx="20">
                  <c:v>4.666666666666667</c:v>
                </c:pt>
                <c:pt idx="21">
                  <c:v>4.666666666666667</c:v>
                </c:pt>
                <c:pt idx="22">
                  <c:v>4.666666666666667</c:v>
                </c:pt>
                <c:pt idx="23">
                  <c:v>4.666666666666667</c:v>
                </c:pt>
                <c:pt idx="24">
                  <c:v>4.666666666666667</c:v>
                </c:pt>
                <c:pt idx="25">
                  <c:v>4.666666666666667</c:v>
                </c:pt>
                <c:pt idx="26">
                  <c:v>4.666666666666667</c:v>
                </c:pt>
                <c:pt idx="27">
                  <c:v>4.666666666666667</c:v>
                </c:pt>
                <c:pt idx="28">
                  <c:v>4.666666666666667</c:v>
                </c:pt>
                <c:pt idx="29">
                  <c:v>4.666666666666667</c:v>
                </c:pt>
                <c:pt idx="30">
                  <c:v>4.666666666666667</c:v>
                </c:pt>
                <c:pt idx="31">
                  <c:v>4.666666666666667</c:v>
                </c:pt>
                <c:pt idx="32">
                  <c:v>4.666666666666667</c:v>
                </c:pt>
                <c:pt idx="33">
                  <c:v>4.666666666666667</c:v>
                </c:pt>
                <c:pt idx="34">
                  <c:v>4.666666666666667</c:v>
                </c:pt>
                <c:pt idx="35">
                  <c:v>4.666666666666667</c:v>
                </c:pt>
                <c:pt idx="36">
                  <c:v>4.666666666666667</c:v>
                </c:pt>
                <c:pt idx="37">
                  <c:v>4.666666666666667</c:v>
                </c:pt>
                <c:pt idx="38">
                  <c:v>4.666666666666667</c:v>
                </c:pt>
                <c:pt idx="39">
                  <c:v>4.666666666666667</c:v>
                </c:pt>
                <c:pt idx="40">
                  <c:v>4.666666666666667</c:v>
                </c:pt>
                <c:pt idx="41">
                  <c:v>4.666666666666667</c:v>
                </c:pt>
                <c:pt idx="42">
                  <c:v>4.666666666666667</c:v>
                </c:pt>
                <c:pt idx="43">
                  <c:v>4.666666666666667</c:v>
                </c:pt>
                <c:pt idx="44">
                  <c:v>4.666666666666667</c:v>
                </c:pt>
                <c:pt idx="45">
                  <c:v>4.666666666666667</c:v>
                </c:pt>
                <c:pt idx="46">
                  <c:v>4.666666666666667</c:v>
                </c:pt>
                <c:pt idx="47">
                  <c:v>4.666666666666667</c:v>
                </c:pt>
                <c:pt idx="48">
                  <c:v>4.666666666666667</c:v>
                </c:pt>
                <c:pt idx="49">
                  <c:v>4.666666666666667</c:v>
                </c:pt>
                <c:pt idx="50">
                  <c:v>4.666666666666667</c:v>
                </c:pt>
                <c:pt idx="51">
                  <c:v>4.666666666666667</c:v>
                </c:pt>
                <c:pt idx="52">
                  <c:v>4.666666666666667</c:v>
                </c:pt>
                <c:pt idx="53">
                  <c:v>4.666666666666667</c:v>
                </c:pt>
                <c:pt idx="54">
                  <c:v>4.666666666666667</c:v>
                </c:pt>
                <c:pt idx="55">
                  <c:v>4.666666666666667</c:v>
                </c:pt>
                <c:pt idx="56">
                  <c:v>4.666666666666667</c:v>
                </c:pt>
                <c:pt idx="57">
                  <c:v>4.666666666666667</c:v>
                </c:pt>
                <c:pt idx="58">
                  <c:v>4.666666666666667</c:v>
                </c:pt>
                <c:pt idx="59">
                  <c:v>4.666666666666667</c:v>
                </c:pt>
                <c:pt idx="60">
                  <c:v>4.666666666666667</c:v>
                </c:pt>
                <c:pt idx="61">
                  <c:v>4.666666666666667</c:v>
                </c:pt>
                <c:pt idx="62">
                  <c:v>4.666666666666667</c:v>
                </c:pt>
                <c:pt idx="63">
                  <c:v>4.666666666666667</c:v>
                </c:pt>
                <c:pt idx="64">
                  <c:v>4.666666666666667</c:v>
                </c:pt>
                <c:pt idx="65">
                  <c:v>4.666666666666667</c:v>
                </c:pt>
                <c:pt idx="66">
                  <c:v>4.666666666666667</c:v>
                </c:pt>
                <c:pt idx="67">
                  <c:v>4.666666666666667</c:v>
                </c:pt>
                <c:pt idx="68">
                  <c:v>4.666666666666667</c:v>
                </c:pt>
                <c:pt idx="69">
                  <c:v>4.666666666666667</c:v>
                </c:pt>
                <c:pt idx="70">
                  <c:v>4.666666666666667</c:v>
                </c:pt>
                <c:pt idx="71">
                  <c:v>4.666666666666667</c:v>
                </c:pt>
                <c:pt idx="72">
                  <c:v>4.666666666666667</c:v>
                </c:pt>
                <c:pt idx="73">
                  <c:v>4.666666666666667</c:v>
                </c:pt>
                <c:pt idx="74">
                  <c:v>4.666666666666667</c:v>
                </c:pt>
                <c:pt idx="75">
                  <c:v>4.666666666666667</c:v>
                </c:pt>
                <c:pt idx="76">
                  <c:v>4.666666666666667</c:v>
                </c:pt>
                <c:pt idx="77">
                  <c:v>4.666666666666667</c:v>
                </c:pt>
                <c:pt idx="78">
                  <c:v>4.666666666666667</c:v>
                </c:pt>
                <c:pt idx="79">
                  <c:v>4.666666666666667</c:v>
                </c:pt>
                <c:pt idx="80">
                  <c:v>4.666666666666667</c:v>
                </c:pt>
                <c:pt idx="81">
                  <c:v>4.666666666666667</c:v>
                </c:pt>
                <c:pt idx="82">
                  <c:v>4.666666666666667</c:v>
                </c:pt>
                <c:pt idx="83">
                  <c:v>4.666666666666667</c:v>
                </c:pt>
                <c:pt idx="84">
                  <c:v>4.666666666666667</c:v>
                </c:pt>
                <c:pt idx="85">
                  <c:v>4.666666666666667</c:v>
                </c:pt>
                <c:pt idx="86">
                  <c:v>4.666666666666667</c:v>
                </c:pt>
                <c:pt idx="87">
                  <c:v>4.666666666666667</c:v>
                </c:pt>
                <c:pt idx="88">
                  <c:v>4.666666666666667</c:v>
                </c:pt>
                <c:pt idx="89">
                  <c:v>4.666666666666667</c:v>
                </c:pt>
                <c:pt idx="90">
                  <c:v>4.666666666666667</c:v>
                </c:pt>
                <c:pt idx="91">
                  <c:v>4.666666666666667</c:v>
                </c:pt>
                <c:pt idx="92">
                  <c:v>4.666666666666667</c:v>
                </c:pt>
                <c:pt idx="93">
                  <c:v>4.666666666666667</c:v>
                </c:pt>
                <c:pt idx="94">
                  <c:v>4.666666666666667</c:v>
                </c:pt>
                <c:pt idx="95">
                  <c:v>4.666666666666667</c:v>
                </c:pt>
                <c:pt idx="96">
                  <c:v>4.666666666666667</c:v>
                </c:pt>
                <c:pt idx="97">
                  <c:v>4.666666666666667</c:v>
                </c:pt>
                <c:pt idx="98">
                  <c:v>4.666666666666667</c:v>
                </c:pt>
                <c:pt idx="99">
                  <c:v>4.666666666666667</c:v>
                </c:pt>
                <c:pt idx="100">
                  <c:v>4.666666666666667</c:v>
                </c:pt>
                <c:pt idx="101">
                  <c:v>4.666666666666667</c:v>
                </c:pt>
                <c:pt idx="102">
                  <c:v>4.666666666666667</c:v>
                </c:pt>
                <c:pt idx="103">
                  <c:v>4.666666666666667</c:v>
                </c:pt>
                <c:pt idx="104">
                  <c:v>4.666666666666667</c:v>
                </c:pt>
                <c:pt idx="105">
                  <c:v>4.666666666666667</c:v>
                </c:pt>
                <c:pt idx="106">
                  <c:v>4.666666666666667</c:v>
                </c:pt>
                <c:pt idx="107">
                  <c:v>4.666666666666667</c:v>
                </c:pt>
                <c:pt idx="108">
                  <c:v>4.666666666666667</c:v>
                </c:pt>
                <c:pt idx="109">
                  <c:v>4.666666666666667</c:v>
                </c:pt>
                <c:pt idx="110">
                  <c:v>4.666666666666667</c:v>
                </c:pt>
                <c:pt idx="111">
                  <c:v>4.666666666666667</c:v>
                </c:pt>
                <c:pt idx="112">
                  <c:v>4.666666666666667</c:v>
                </c:pt>
                <c:pt idx="113">
                  <c:v>4.666666666666667</c:v>
                </c:pt>
                <c:pt idx="114">
                  <c:v>4.666666666666667</c:v>
                </c:pt>
                <c:pt idx="115">
                  <c:v>4.666666666666667</c:v>
                </c:pt>
                <c:pt idx="116">
                  <c:v>4.666666666666667</c:v>
                </c:pt>
                <c:pt idx="117">
                  <c:v>4.666666666666667</c:v>
                </c:pt>
                <c:pt idx="118">
                  <c:v>4.666666666666667</c:v>
                </c:pt>
                <c:pt idx="119">
                  <c:v>4.666666666666667</c:v>
                </c:pt>
                <c:pt idx="120">
                  <c:v>4.666666666666667</c:v>
                </c:pt>
              </c:numCache>
            </c:numRef>
          </c:val>
          <c:extLst>
            <c:ext xmlns:c16="http://schemas.microsoft.com/office/drawing/2014/chart" uri="{C3380CC4-5D6E-409C-BE32-E72D297353CC}">
              <c16:uniqueId val="{00000000-A902-456F-9354-C98DA9533DB3}"/>
            </c:ext>
          </c:extLst>
        </c:ser>
        <c:ser>
          <c:idx val="2"/>
          <c:order val="2"/>
          <c:tx>
            <c:strRef>
              <c:f>'Load Distrib'!$F$5</c:f>
              <c:strCache>
                <c:ptCount val="1"/>
                <c:pt idx="0">
                  <c:v>Ballast</c:v>
                </c:pt>
              </c:strCache>
            </c:strRef>
          </c:tx>
          <c:spPr>
            <a:solidFill>
              <a:schemeClr val="accent3"/>
            </a:solidFill>
            <a:ln>
              <a:solidFill>
                <a:schemeClr val="bg1">
                  <a:lumMod val="50000"/>
                </a:schemeClr>
              </a:solidFill>
            </a:ln>
            <a:effectLst/>
          </c:spPr>
          <c:invertIfNegative val="0"/>
          <c:cat>
            <c:numRef>
              <c:f>'Load Distrib'!FEM_x</c:f>
              <c:numCache>
                <c:formatCode>#\ ##0.00" m";\-#\ ##0.00" m";0.00" m";@</c:formatCode>
                <c:ptCount val="121"/>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pt idx="15">
                  <c:v>7.5</c:v>
                </c:pt>
                <c:pt idx="16">
                  <c:v>8</c:v>
                </c:pt>
                <c:pt idx="17">
                  <c:v>8.5</c:v>
                </c:pt>
                <c:pt idx="18">
                  <c:v>9</c:v>
                </c:pt>
                <c:pt idx="19">
                  <c:v>9.5</c:v>
                </c:pt>
                <c:pt idx="20">
                  <c:v>10</c:v>
                </c:pt>
                <c:pt idx="21">
                  <c:v>10.5</c:v>
                </c:pt>
                <c:pt idx="22">
                  <c:v>11</c:v>
                </c:pt>
                <c:pt idx="23">
                  <c:v>11.5</c:v>
                </c:pt>
                <c:pt idx="24">
                  <c:v>12</c:v>
                </c:pt>
                <c:pt idx="25">
                  <c:v>12.5</c:v>
                </c:pt>
                <c:pt idx="26">
                  <c:v>13</c:v>
                </c:pt>
                <c:pt idx="27">
                  <c:v>13.5</c:v>
                </c:pt>
                <c:pt idx="28">
                  <c:v>14</c:v>
                </c:pt>
                <c:pt idx="29">
                  <c:v>14.5</c:v>
                </c:pt>
                <c:pt idx="30">
                  <c:v>15</c:v>
                </c:pt>
                <c:pt idx="31">
                  <c:v>15.5</c:v>
                </c:pt>
                <c:pt idx="32">
                  <c:v>16</c:v>
                </c:pt>
                <c:pt idx="33">
                  <c:v>16.5</c:v>
                </c:pt>
                <c:pt idx="34">
                  <c:v>17</c:v>
                </c:pt>
                <c:pt idx="35">
                  <c:v>17.5</c:v>
                </c:pt>
                <c:pt idx="36">
                  <c:v>18</c:v>
                </c:pt>
                <c:pt idx="37">
                  <c:v>18.5</c:v>
                </c:pt>
                <c:pt idx="38">
                  <c:v>19</c:v>
                </c:pt>
                <c:pt idx="39">
                  <c:v>19.5</c:v>
                </c:pt>
                <c:pt idx="40">
                  <c:v>20</c:v>
                </c:pt>
                <c:pt idx="41">
                  <c:v>20.5</c:v>
                </c:pt>
                <c:pt idx="42">
                  <c:v>21</c:v>
                </c:pt>
                <c:pt idx="43">
                  <c:v>21.5</c:v>
                </c:pt>
                <c:pt idx="44">
                  <c:v>22</c:v>
                </c:pt>
                <c:pt idx="45">
                  <c:v>22.5</c:v>
                </c:pt>
                <c:pt idx="46">
                  <c:v>23</c:v>
                </c:pt>
                <c:pt idx="47">
                  <c:v>23.5</c:v>
                </c:pt>
                <c:pt idx="48">
                  <c:v>24</c:v>
                </c:pt>
                <c:pt idx="49">
                  <c:v>24.5</c:v>
                </c:pt>
                <c:pt idx="50">
                  <c:v>25</c:v>
                </c:pt>
                <c:pt idx="51">
                  <c:v>25.5</c:v>
                </c:pt>
                <c:pt idx="52">
                  <c:v>26</c:v>
                </c:pt>
                <c:pt idx="53">
                  <c:v>26.5</c:v>
                </c:pt>
                <c:pt idx="54">
                  <c:v>27</c:v>
                </c:pt>
                <c:pt idx="55">
                  <c:v>27.5</c:v>
                </c:pt>
                <c:pt idx="56">
                  <c:v>28</c:v>
                </c:pt>
                <c:pt idx="57">
                  <c:v>28.5</c:v>
                </c:pt>
                <c:pt idx="58">
                  <c:v>29</c:v>
                </c:pt>
                <c:pt idx="59">
                  <c:v>29.5</c:v>
                </c:pt>
                <c:pt idx="60">
                  <c:v>30</c:v>
                </c:pt>
                <c:pt idx="61">
                  <c:v>30.5</c:v>
                </c:pt>
                <c:pt idx="62">
                  <c:v>31</c:v>
                </c:pt>
                <c:pt idx="63">
                  <c:v>31.5</c:v>
                </c:pt>
                <c:pt idx="64">
                  <c:v>32</c:v>
                </c:pt>
                <c:pt idx="65">
                  <c:v>32.5</c:v>
                </c:pt>
                <c:pt idx="66">
                  <c:v>33</c:v>
                </c:pt>
                <c:pt idx="67">
                  <c:v>33.5</c:v>
                </c:pt>
                <c:pt idx="68">
                  <c:v>34</c:v>
                </c:pt>
                <c:pt idx="69">
                  <c:v>34.5</c:v>
                </c:pt>
                <c:pt idx="70">
                  <c:v>35</c:v>
                </c:pt>
                <c:pt idx="71">
                  <c:v>35.5</c:v>
                </c:pt>
                <c:pt idx="72">
                  <c:v>36</c:v>
                </c:pt>
                <c:pt idx="73">
                  <c:v>36.5</c:v>
                </c:pt>
                <c:pt idx="74">
                  <c:v>37</c:v>
                </c:pt>
                <c:pt idx="75">
                  <c:v>37.5</c:v>
                </c:pt>
                <c:pt idx="76">
                  <c:v>38</c:v>
                </c:pt>
                <c:pt idx="77">
                  <c:v>38.5</c:v>
                </c:pt>
                <c:pt idx="78">
                  <c:v>39</c:v>
                </c:pt>
                <c:pt idx="79">
                  <c:v>39.5</c:v>
                </c:pt>
                <c:pt idx="80">
                  <c:v>40</c:v>
                </c:pt>
                <c:pt idx="81">
                  <c:v>40.5</c:v>
                </c:pt>
                <c:pt idx="82">
                  <c:v>41</c:v>
                </c:pt>
                <c:pt idx="83">
                  <c:v>41.5</c:v>
                </c:pt>
                <c:pt idx="84">
                  <c:v>42</c:v>
                </c:pt>
                <c:pt idx="85">
                  <c:v>42.5</c:v>
                </c:pt>
                <c:pt idx="86">
                  <c:v>43</c:v>
                </c:pt>
                <c:pt idx="87">
                  <c:v>43.5</c:v>
                </c:pt>
                <c:pt idx="88">
                  <c:v>44</c:v>
                </c:pt>
                <c:pt idx="89">
                  <c:v>44.5</c:v>
                </c:pt>
                <c:pt idx="90">
                  <c:v>45</c:v>
                </c:pt>
                <c:pt idx="91">
                  <c:v>45.5</c:v>
                </c:pt>
                <c:pt idx="92">
                  <c:v>46</c:v>
                </c:pt>
                <c:pt idx="93">
                  <c:v>46.5</c:v>
                </c:pt>
                <c:pt idx="94">
                  <c:v>47</c:v>
                </c:pt>
                <c:pt idx="95">
                  <c:v>47.5</c:v>
                </c:pt>
                <c:pt idx="96">
                  <c:v>48</c:v>
                </c:pt>
                <c:pt idx="97">
                  <c:v>48.5</c:v>
                </c:pt>
                <c:pt idx="98">
                  <c:v>49</c:v>
                </c:pt>
                <c:pt idx="99">
                  <c:v>49.5</c:v>
                </c:pt>
                <c:pt idx="100">
                  <c:v>50</c:v>
                </c:pt>
                <c:pt idx="101">
                  <c:v>50.5</c:v>
                </c:pt>
                <c:pt idx="102">
                  <c:v>51</c:v>
                </c:pt>
                <c:pt idx="103">
                  <c:v>51.5</c:v>
                </c:pt>
                <c:pt idx="104">
                  <c:v>52</c:v>
                </c:pt>
                <c:pt idx="105">
                  <c:v>52.5</c:v>
                </c:pt>
                <c:pt idx="106">
                  <c:v>53</c:v>
                </c:pt>
                <c:pt idx="107">
                  <c:v>53.5</c:v>
                </c:pt>
                <c:pt idx="108">
                  <c:v>54</c:v>
                </c:pt>
                <c:pt idx="109">
                  <c:v>54.5</c:v>
                </c:pt>
                <c:pt idx="110">
                  <c:v>55</c:v>
                </c:pt>
                <c:pt idx="111">
                  <c:v>55.5</c:v>
                </c:pt>
                <c:pt idx="112">
                  <c:v>56</c:v>
                </c:pt>
                <c:pt idx="113">
                  <c:v>56.5</c:v>
                </c:pt>
                <c:pt idx="114">
                  <c:v>57</c:v>
                </c:pt>
                <c:pt idx="115">
                  <c:v>57.5</c:v>
                </c:pt>
                <c:pt idx="116">
                  <c:v>58</c:v>
                </c:pt>
                <c:pt idx="117">
                  <c:v>58.5</c:v>
                </c:pt>
                <c:pt idx="118">
                  <c:v>59</c:v>
                </c:pt>
                <c:pt idx="119">
                  <c:v>59.5</c:v>
                </c:pt>
                <c:pt idx="120">
                  <c:v>60</c:v>
                </c:pt>
              </c:numCache>
            </c:numRef>
          </c:cat>
          <c:val>
            <c:numRef>
              <c:f>'Load Distrib'!FEM_Ballast</c:f>
              <c:numCache>
                <c:formatCode>#\ ##0.000" t";\-#\ ##0.000" t";\-;@</c:formatCode>
                <c:ptCount val="1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numCache>
            </c:numRef>
          </c:val>
          <c:extLst>
            <c:ext xmlns:c16="http://schemas.microsoft.com/office/drawing/2014/chart" uri="{C3380CC4-5D6E-409C-BE32-E72D297353CC}">
              <c16:uniqueId val="{00000001-A902-456F-9354-C98DA9533DB3}"/>
            </c:ext>
          </c:extLst>
        </c:ser>
        <c:ser>
          <c:idx val="3"/>
          <c:order val="3"/>
          <c:tx>
            <c:strRef>
              <c:f>'Load Distrib'!$G$5</c:f>
              <c:strCache>
                <c:ptCount val="1"/>
                <c:pt idx="0">
                  <c:v>Lifting</c:v>
                </c:pt>
              </c:strCache>
            </c:strRef>
          </c:tx>
          <c:spPr>
            <a:solidFill>
              <a:schemeClr val="accent4"/>
            </a:solidFill>
            <a:ln>
              <a:solidFill>
                <a:schemeClr val="bg1">
                  <a:lumMod val="50000"/>
                </a:schemeClr>
              </a:solidFill>
            </a:ln>
            <a:effectLst/>
          </c:spPr>
          <c:invertIfNegative val="0"/>
          <c:cat>
            <c:numRef>
              <c:f>'Load Distrib'!FEM_x</c:f>
              <c:numCache>
                <c:formatCode>#\ ##0.00" m";\-#\ ##0.00" m";0.00" m";@</c:formatCode>
                <c:ptCount val="121"/>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pt idx="15">
                  <c:v>7.5</c:v>
                </c:pt>
                <c:pt idx="16">
                  <c:v>8</c:v>
                </c:pt>
                <c:pt idx="17">
                  <c:v>8.5</c:v>
                </c:pt>
                <c:pt idx="18">
                  <c:v>9</c:v>
                </c:pt>
                <c:pt idx="19">
                  <c:v>9.5</c:v>
                </c:pt>
                <c:pt idx="20">
                  <c:v>10</c:v>
                </c:pt>
                <c:pt idx="21">
                  <c:v>10.5</c:v>
                </c:pt>
                <c:pt idx="22">
                  <c:v>11</c:v>
                </c:pt>
                <c:pt idx="23">
                  <c:v>11.5</c:v>
                </c:pt>
                <c:pt idx="24">
                  <c:v>12</c:v>
                </c:pt>
                <c:pt idx="25">
                  <c:v>12.5</c:v>
                </c:pt>
                <c:pt idx="26">
                  <c:v>13</c:v>
                </c:pt>
                <c:pt idx="27">
                  <c:v>13.5</c:v>
                </c:pt>
                <c:pt idx="28">
                  <c:v>14</c:v>
                </c:pt>
                <c:pt idx="29">
                  <c:v>14.5</c:v>
                </c:pt>
                <c:pt idx="30">
                  <c:v>15</c:v>
                </c:pt>
                <c:pt idx="31">
                  <c:v>15.5</c:v>
                </c:pt>
                <c:pt idx="32">
                  <c:v>16</c:v>
                </c:pt>
                <c:pt idx="33">
                  <c:v>16.5</c:v>
                </c:pt>
                <c:pt idx="34">
                  <c:v>17</c:v>
                </c:pt>
                <c:pt idx="35">
                  <c:v>17.5</c:v>
                </c:pt>
                <c:pt idx="36">
                  <c:v>18</c:v>
                </c:pt>
                <c:pt idx="37">
                  <c:v>18.5</c:v>
                </c:pt>
                <c:pt idx="38">
                  <c:v>19</c:v>
                </c:pt>
                <c:pt idx="39">
                  <c:v>19.5</c:v>
                </c:pt>
                <c:pt idx="40">
                  <c:v>20</c:v>
                </c:pt>
                <c:pt idx="41">
                  <c:v>20.5</c:v>
                </c:pt>
                <c:pt idx="42">
                  <c:v>21</c:v>
                </c:pt>
                <c:pt idx="43">
                  <c:v>21.5</c:v>
                </c:pt>
                <c:pt idx="44">
                  <c:v>22</c:v>
                </c:pt>
                <c:pt idx="45">
                  <c:v>22.5</c:v>
                </c:pt>
                <c:pt idx="46">
                  <c:v>23</c:v>
                </c:pt>
                <c:pt idx="47">
                  <c:v>23.5</c:v>
                </c:pt>
                <c:pt idx="48">
                  <c:v>24</c:v>
                </c:pt>
                <c:pt idx="49">
                  <c:v>24.5</c:v>
                </c:pt>
                <c:pt idx="50">
                  <c:v>25</c:v>
                </c:pt>
                <c:pt idx="51">
                  <c:v>25.5</c:v>
                </c:pt>
                <c:pt idx="52">
                  <c:v>26</c:v>
                </c:pt>
                <c:pt idx="53">
                  <c:v>26.5</c:v>
                </c:pt>
                <c:pt idx="54">
                  <c:v>27</c:v>
                </c:pt>
                <c:pt idx="55">
                  <c:v>27.5</c:v>
                </c:pt>
                <c:pt idx="56">
                  <c:v>28</c:v>
                </c:pt>
                <c:pt idx="57">
                  <c:v>28.5</c:v>
                </c:pt>
                <c:pt idx="58">
                  <c:v>29</c:v>
                </c:pt>
                <c:pt idx="59">
                  <c:v>29.5</c:v>
                </c:pt>
                <c:pt idx="60">
                  <c:v>30</c:v>
                </c:pt>
                <c:pt idx="61">
                  <c:v>30.5</c:v>
                </c:pt>
                <c:pt idx="62">
                  <c:v>31</c:v>
                </c:pt>
                <c:pt idx="63">
                  <c:v>31.5</c:v>
                </c:pt>
                <c:pt idx="64">
                  <c:v>32</c:v>
                </c:pt>
                <c:pt idx="65">
                  <c:v>32.5</c:v>
                </c:pt>
                <c:pt idx="66">
                  <c:v>33</c:v>
                </c:pt>
                <c:pt idx="67">
                  <c:v>33.5</c:v>
                </c:pt>
                <c:pt idx="68">
                  <c:v>34</c:v>
                </c:pt>
                <c:pt idx="69">
                  <c:v>34.5</c:v>
                </c:pt>
                <c:pt idx="70">
                  <c:v>35</c:v>
                </c:pt>
                <c:pt idx="71">
                  <c:v>35.5</c:v>
                </c:pt>
                <c:pt idx="72">
                  <c:v>36</c:v>
                </c:pt>
                <c:pt idx="73">
                  <c:v>36.5</c:v>
                </c:pt>
                <c:pt idx="74">
                  <c:v>37</c:v>
                </c:pt>
                <c:pt idx="75">
                  <c:v>37.5</c:v>
                </c:pt>
                <c:pt idx="76">
                  <c:v>38</c:v>
                </c:pt>
                <c:pt idx="77">
                  <c:v>38.5</c:v>
                </c:pt>
                <c:pt idx="78">
                  <c:v>39</c:v>
                </c:pt>
                <c:pt idx="79">
                  <c:v>39.5</c:v>
                </c:pt>
                <c:pt idx="80">
                  <c:v>40</c:v>
                </c:pt>
                <c:pt idx="81">
                  <c:v>40.5</c:v>
                </c:pt>
                <c:pt idx="82">
                  <c:v>41</c:v>
                </c:pt>
                <c:pt idx="83">
                  <c:v>41.5</c:v>
                </c:pt>
                <c:pt idx="84">
                  <c:v>42</c:v>
                </c:pt>
                <c:pt idx="85">
                  <c:v>42.5</c:v>
                </c:pt>
                <c:pt idx="86">
                  <c:v>43</c:v>
                </c:pt>
                <c:pt idx="87">
                  <c:v>43.5</c:v>
                </c:pt>
                <c:pt idx="88">
                  <c:v>44</c:v>
                </c:pt>
                <c:pt idx="89">
                  <c:v>44.5</c:v>
                </c:pt>
                <c:pt idx="90">
                  <c:v>45</c:v>
                </c:pt>
                <c:pt idx="91">
                  <c:v>45.5</c:v>
                </c:pt>
                <c:pt idx="92">
                  <c:v>46</c:v>
                </c:pt>
                <c:pt idx="93">
                  <c:v>46.5</c:v>
                </c:pt>
                <c:pt idx="94">
                  <c:v>47</c:v>
                </c:pt>
                <c:pt idx="95">
                  <c:v>47.5</c:v>
                </c:pt>
                <c:pt idx="96">
                  <c:v>48</c:v>
                </c:pt>
                <c:pt idx="97">
                  <c:v>48.5</c:v>
                </c:pt>
                <c:pt idx="98">
                  <c:v>49</c:v>
                </c:pt>
                <c:pt idx="99">
                  <c:v>49.5</c:v>
                </c:pt>
                <c:pt idx="100">
                  <c:v>50</c:v>
                </c:pt>
                <c:pt idx="101">
                  <c:v>50.5</c:v>
                </c:pt>
                <c:pt idx="102">
                  <c:v>51</c:v>
                </c:pt>
                <c:pt idx="103">
                  <c:v>51.5</c:v>
                </c:pt>
                <c:pt idx="104">
                  <c:v>52</c:v>
                </c:pt>
                <c:pt idx="105">
                  <c:v>52.5</c:v>
                </c:pt>
                <c:pt idx="106">
                  <c:v>53</c:v>
                </c:pt>
                <c:pt idx="107">
                  <c:v>53.5</c:v>
                </c:pt>
                <c:pt idx="108">
                  <c:v>54</c:v>
                </c:pt>
                <c:pt idx="109">
                  <c:v>54.5</c:v>
                </c:pt>
                <c:pt idx="110">
                  <c:v>55</c:v>
                </c:pt>
                <c:pt idx="111">
                  <c:v>55.5</c:v>
                </c:pt>
                <c:pt idx="112">
                  <c:v>56</c:v>
                </c:pt>
                <c:pt idx="113">
                  <c:v>56.5</c:v>
                </c:pt>
                <c:pt idx="114">
                  <c:v>57</c:v>
                </c:pt>
                <c:pt idx="115">
                  <c:v>57.5</c:v>
                </c:pt>
                <c:pt idx="116">
                  <c:v>58</c:v>
                </c:pt>
                <c:pt idx="117">
                  <c:v>58.5</c:v>
                </c:pt>
                <c:pt idx="118">
                  <c:v>59</c:v>
                </c:pt>
                <c:pt idx="119">
                  <c:v>59.5</c:v>
                </c:pt>
                <c:pt idx="120">
                  <c:v>60</c:v>
                </c:pt>
              </c:numCache>
            </c:numRef>
          </c:cat>
          <c:val>
            <c:numRef>
              <c:f>'Load Distrib'!FEM_Lifting</c:f>
              <c:numCache>
                <c:formatCode>#\ ##0.000" t";\-#\ ##0.000" t";\-;@</c:formatCode>
                <c:ptCount val="1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numCache>
            </c:numRef>
          </c:val>
          <c:extLst>
            <c:ext xmlns:c16="http://schemas.microsoft.com/office/drawing/2014/chart" uri="{C3380CC4-5D6E-409C-BE32-E72D297353CC}">
              <c16:uniqueId val="{00000002-A902-456F-9354-C98DA9533DB3}"/>
            </c:ext>
          </c:extLst>
        </c:ser>
        <c:ser>
          <c:idx val="4"/>
          <c:order val="4"/>
          <c:tx>
            <c:strRef>
              <c:f>'Load Distrib'!$H$5</c:f>
              <c:strCache>
                <c:ptCount val="1"/>
                <c:pt idx="0">
                  <c:v>Additionals</c:v>
                </c:pt>
              </c:strCache>
            </c:strRef>
          </c:tx>
          <c:spPr>
            <a:solidFill>
              <a:schemeClr val="accent5"/>
            </a:solidFill>
            <a:ln>
              <a:solidFill>
                <a:schemeClr val="bg1">
                  <a:lumMod val="50000"/>
                </a:schemeClr>
              </a:solidFill>
            </a:ln>
            <a:effectLst/>
          </c:spPr>
          <c:invertIfNegative val="0"/>
          <c:cat>
            <c:numRef>
              <c:f>'Load Distrib'!FEM_x</c:f>
              <c:numCache>
                <c:formatCode>#\ ##0.00" m";\-#\ ##0.00" m";0.00" m";@</c:formatCode>
                <c:ptCount val="121"/>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pt idx="15">
                  <c:v>7.5</c:v>
                </c:pt>
                <c:pt idx="16">
                  <c:v>8</c:v>
                </c:pt>
                <c:pt idx="17">
                  <c:v>8.5</c:v>
                </c:pt>
                <c:pt idx="18">
                  <c:v>9</c:v>
                </c:pt>
                <c:pt idx="19">
                  <c:v>9.5</c:v>
                </c:pt>
                <c:pt idx="20">
                  <c:v>10</c:v>
                </c:pt>
                <c:pt idx="21">
                  <c:v>10.5</c:v>
                </c:pt>
                <c:pt idx="22">
                  <c:v>11</c:v>
                </c:pt>
                <c:pt idx="23">
                  <c:v>11.5</c:v>
                </c:pt>
                <c:pt idx="24">
                  <c:v>12</c:v>
                </c:pt>
                <c:pt idx="25">
                  <c:v>12.5</c:v>
                </c:pt>
                <c:pt idx="26">
                  <c:v>13</c:v>
                </c:pt>
                <c:pt idx="27">
                  <c:v>13.5</c:v>
                </c:pt>
                <c:pt idx="28">
                  <c:v>14</c:v>
                </c:pt>
                <c:pt idx="29">
                  <c:v>14.5</c:v>
                </c:pt>
                <c:pt idx="30">
                  <c:v>15</c:v>
                </c:pt>
                <c:pt idx="31">
                  <c:v>15.5</c:v>
                </c:pt>
                <c:pt idx="32">
                  <c:v>16</c:v>
                </c:pt>
                <c:pt idx="33">
                  <c:v>16.5</c:v>
                </c:pt>
                <c:pt idx="34">
                  <c:v>17</c:v>
                </c:pt>
                <c:pt idx="35">
                  <c:v>17.5</c:v>
                </c:pt>
                <c:pt idx="36">
                  <c:v>18</c:v>
                </c:pt>
                <c:pt idx="37">
                  <c:v>18.5</c:v>
                </c:pt>
                <c:pt idx="38">
                  <c:v>19</c:v>
                </c:pt>
                <c:pt idx="39">
                  <c:v>19.5</c:v>
                </c:pt>
                <c:pt idx="40">
                  <c:v>20</c:v>
                </c:pt>
                <c:pt idx="41">
                  <c:v>20.5</c:v>
                </c:pt>
                <c:pt idx="42">
                  <c:v>21</c:v>
                </c:pt>
                <c:pt idx="43">
                  <c:v>21.5</c:v>
                </c:pt>
                <c:pt idx="44">
                  <c:v>22</c:v>
                </c:pt>
                <c:pt idx="45">
                  <c:v>22.5</c:v>
                </c:pt>
                <c:pt idx="46">
                  <c:v>23</c:v>
                </c:pt>
                <c:pt idx="47">
                  <c:v>23.5</c:v>
                </c:pt>
                <c:pt idx="48">
                  <c:v>24</c:v>
                </c:pt>
                <c:pt idx="49">
                  <c:v>24.5</c:v>
                </c:pt>
                <c:pt idx="50">
                  <c:v>25</c:v>
                </c:pt>
                <c:pt idx="51">
                  <c:v>25.5</c:v>
                </c:pt>
                <c:pt idx="52">
                  <c:v>26</c:v>
                </c:pt>
                <c:pt idx="53">
                  <c:v>26.5</c:v>
                </c:pt>
                <c:pt idx="54">
                  <c:v>27</c:v>
                </c:pt>
                <c:pt idx="55">
                  <c:v>27.5</c:v>
                </c:pt>
                <c:pt idx="56">
                  <c:v>28</c:v>
                </c:pt>
                <c:pt idx="57">
                  <c:v>28.5</c:v>
                </c:pt>
                <c:pt idx="58">
                  <c:v>29</c:v>
                </c:pt>
                <c:pt idx="59">
                  <c:v>29.5</c:v>
                </c:pt>
                <c:pt idx="60">
                  <c:v>30</c:v>
                </c:pt>
                <c:pt idx="61">
                  <c:v>30.5</c:v>
                </c:pt>
                <c:pt idx="62">
                  <c:v>31</c:v>
                </c:pt>
                <c:pt idx="63">
                  <c:v>31.5</c:v>
                </c:pt>
                <c:pt idx="64">
                  <c:v>32</c:v>
                </c:pt>
                <c:pt idx="65">
                  <c:v>32.5</c:v>
                </c:pt>
                <c:pt idx="66">
                  <c:v>33</c:v>
                </c:pt>
                <c:pt idx="67">
                  <c:v>33.5</c:v>
                </c:pt>
                <c:pt idx="68">
                  <c:v>34</c:v>
                </c:pt>
                <c:pt idx="69">
                  <c:v>34.5</c:v>
                </c:pt>
                <c:pt idx="70">
                  <c:v>35</c:v>
                </c:pt>
                <c:pt idx="71">
                  <c:v>35.5</c:v>
                </c:pt>
                <c:pt idx="72">
                  <c:v>36</c:v>
                </c:pt>
                <c:pt idx="73">
                  <c:v>36.5</c:v>
                </c:pt>
                <c:pt idx="74">
                  <c:v>37</c:v>
                </c:pt>
                <c:pt idx="75">
                  <c:v>37.5</c:v>
                </c:pt>
                <c:pt idx="76">
                  <c:v>38</c:v>
                </c:pt>
                <c:pt idx="77">
                  <c:v>38.5</c:v>
                </c:pt>
                <c:pt idx="78">
                  <c:v>39</c:v>
                </c:pt>
                <c:pt idx="79">
                  <c:v>39.5</c:v>
                </c:pt>
                <c:pt idx="80">
                  <c:v>40</c:v>
                </c:pt>
                <c:pt idx="81">
                  <c:v>40.5</c:v>
                </c:pt>
                <c:pt idx="82">
                  <c:v>41</c:v>
                </c:pt>
                <c:pt idx="83">
                  <c:v>41.5</c:v>
                </c:pt>
                <c:pt idx="84">
                  <c:v>42</c:v>
                </c:pt>
                <c:pt idx="85">
                  <c:v>42.5</c:v>
                </c:pt>
                <c:pt idx="86">
                  <c:v>43</c:v>
                </c:pt>
                <c:pt idx="87">
                  <c:v>43.5</c:v>
                </c:pt>
                <c:pt idx="88">
                  <c:v>44</c:v>
                </c:pt>
                <c:pt idx="89">
                  <c:v>44.5</c:v>
                </c:pt>
                <c:pt idx="90">
                  <c:v>45</c:v>
                </c:pt>
                <c:pt idx="91">
                  <c:v>45.5</c:v>
                </c:pt>
                <c:pt idx="92">
                  <c:v>46</c:v>
                </c:pt>
                <c:pt idx="93">
                  <c:v>46.5</c:v>
                </c:pt>
                <c:pt idx="94">
                  <c:v>47</c:v>
                </c:pt>
                <c:pt idx="95">
                  <c:v>47.5</c:v>
                </c:pt>
                <c:pt idx="96">
                  <c:v>48</c:v>
                </c:pt>
                <c:pt idx="97">
                  <c:v>48.5</c:v>
                </c:pt>
                <c:pt idx="98">
                  <c:v>49</c:v>
                </c:pt>
                <c:pt idx="99">
                  <c:v>49.5</c:v>
                </c:pt>
                <c:pt idx="100">
                  <c:v>50</c:v>
                </c:pt>
                <c:pt idx="101">
                  <c:v>50.5</c:v>
                </c:pt>
                <c:pt idx="102">
                  <c:v>51</c:v>
                </c:pt>
                <c:pt idx="103">
                  <c:v>51.5</c:v>
                </c:pt>
                <c:pt idx="104">
                  <c:v>52</c:v>
                </c:pt>
                <c:pt idx="105">
                  <c:v>52.5</c:v>
                </c:pt>
                <c:pt idx="106">
                  <c:v>53</c:v>
                </c:pt>
                <c:pt idx="107">
                  <c:v>53.5</c:v>
                </c:pt>
                <c:pt idx="108">
                  <c:v>54</c:v>
                </c:pt>
                <c:pt idx="109">
                  <c:v>54.5</c:v>
                </c:pt>
                <c:pt idx="110">
                  <c:v>55</c:v>
                </c:pt>
                <c:pt idx="111">
                  <c:v>55.5</c:v>
                </c:pt>
                <c:pt idx="112">
                  <c:v>56</c:v>
                </c:pt>
                <c:pt idx="113">
                  <c:v>56.5</c:v>
                </c:pt>
                <c:pt idx="114">
                  <c:v>57</c:v>
                </c:pt>
                <c:pt idx="115">
                  <c:v>57.5</c:v>
                </c:pt>
                <c:pt idx="116">
                  <c:v>58</c:v>
                </c:pt>
                <c:pt idx="117">
                  <c:v>58.5</c:v>
                </c:pt>
                <c:pt idx="118">
                  <c:v>59</c:v>
                </c:pt>
                <c:pt idx="119">
                  <c:v>59.5</c:v>
                </c:pt>
                <c:pt idx="120">
                  <c:v>60</c:v>
                </c:pt>
              </c:numCache>
            </c:numRef>
          </c:cat>
          <c:val>
            <c:numRef>
              <c:f>'Load Distrib'!FEM_Additionals</c:f>
              <c:numCache>
                <c:formatCode>#\ ##0.000" t";\-#\ ##0.000" t";\-;@</c:formatCode>
                <c:ptCount val="121"/>
                <c:pt idx="0">
                  <c:v>0</c:v>
                </c:pt>
                <c:pt idx="1">
                  <c:v>4.166666666666667</c:v>
                </c:pt>
                <c:pt idx="2">
                  <c:v>4.166666666666667</c:v>
                </c:pt>
                <c:pt idx="3">
                  <c:v>4.166666666666667</c:v>
                </c:pt>
                <c:pt idx="4">
                  <c:v>4.166666666666667</c:v>
                </c:pt>
                <c:pt idx="5">
                  <c:v>4.166666666666667</c:v>
                </c:pt>
                <c:pt idx="6">
                  <c:v>4.166666666666667</c:v>
                </c:pt>
                <c:pt idx="7">
                  <c:v>4.166666666666667</c:v>
                </c:pt>
                <c:pt idx="8">
                  <c:v>4.166666666666667</c:v>
                </c:pt>
                <c:pt idx="9">
                  <c:v>4.166666666666667</c:v>
                </c:pt>
                <c:pt idx="10">
                  <c:v>4.166666666666667</c:v>
                </c:pt>
                <c:pt idx="11">
                  <c:v>4.166666666666667</c:v>
                </c:pt>
                <c:pt idx="12">
                  <c:v>4.166666666666667</c:v>
                </c:pt>
                <c:pt idx="13">
                  <c:v>4.166666666666667</c:v>
                </c:pt>
                <c:pt idx="14">
                  <c:v>4.166666666666667</c:v>
                </c:pt>
                <c:pt idx="15">
                  <c:v>4.166666666666667</c:v>
                </c:pt>
                <c:pt idx="16">
                  <c:v>4.166666666666667</c:v>
                </c:pt>
                <c:pt idx="17">
                  <c:v>4.166666666666667</c:v>
                </c:pt>
                <c:pt idx="18">
                  <c:v>4.166666666666667</c:v>
                </c:pt>
                <c:pt idx="19">
                  <c:v>4.166666666666667</c:v>
                </c:pt>
                <c:pt idx="20">
                  <c:v>4.166666666666667</c:v>
                </c:pt>
                <c:pt idx="21">
                  <c:v>4.166666666666667</c:v>
                </c:pt>
                <c:pt idx="22">
                  <c:v>4.166666666666667</c:v>
                </c:pt>
                <c:pt idx="23">
                  <c:v>4.166666666666667</c:v>
                </c:pt>
                <c:pt idx="24">
                  <c:v>4.166666666666667</c:v>
                </c:pt>
                <c:pt idx="25">
                  <c:v>4.166666666666667</c:v>
                </c:pt>
                <c:pt idx="26">
                  <c:v>4.166666666666667</c:v>
                </c:pt>
                <c:pt idx="27">
                  <c:v>4.166666666666667</c:v>
                </c:pt>
                <c:pt idx="28">
                  <c:v>4.166666666666667</c:v>
                </c:pt>
                <c:pt idx="29">
                  <c:v>4.166666666666667</c:v>
                </c:pt>
                <c:pt idx="30">
                  <c:v>4.166666666666667</c:v>
                </c:pt>
                <c:pt idx="31">
                  <c:v>4.166666666666667</c:v>
                </c:pt>
                <c:pt idx="32">
                  <c:v>4.166666666666667</c:v>
                </c:pt>
                <c:pt idx="33">
                  <c:v>4.166666666666667</c:v>
                </c:pt>
                <c:pt idx="34">
                  <c:v>4.166666666666667</c:v>
                </c:pt>
                <c:pt idx="35">
                  <c:v>4.166666666666667</c:v>
                </c:pt>
                <c:pt idx="36">
                  <c:v>4.166666666666667</c:v>
                </c:pt>
                <c:pt idx="37">
                  <c:v>4.166666666666667</c:v>
                </c:pt>
                <c:pt idx="38">
                  <c:v>4.166666666666667</c:v>
                </c:pt>
                <c:pt idx="39">
                  <c:v>4.166666666666667</c:v>
                </c:pt>
                <c:pt idx="40">
                  <c:v>4.166666666666667</c:v>
                </c:pt>
                <c:pt idx="41">
                  <c:v>4.166666666666667</c:v>
                </c:pt>
                <c:pt idx="42">
                  <c:v>4.166666666666667</c:v>
                </c:pt>
                <c:pt idx="43">
                  <c:v>4.166666666666667</c:v>
                </c:pt>
                <c:pt idx="44">
                  <c:v>4.166666666666667</c:v>
                </c:pt>
                <c:pt idx="45">
                  <c:v>4.166666666666667</c:v>
                </c:pt>
                <c:pt idx="46">
                  <c:v>4.166666666666667</c:v>
                </c:pt>
                <c:pt idx="47">
                  <c:v>4.166666666666667</c:v>
                </c:pt>
                <c:pt idx="48">
                  <c:v>4.166666666666667</c:v>
                </c:pt>
                <c:pt idx="49">
                  <c:v>4.166666666666667</c:v>
                </c:pt>
                <c:pt idx="50">
                  <c:v>4.166666666666667</c:v>
                </c:pt>
                <c:pt idx="51">
                  <c:v>4.166666666666667</c:v>
                </c:pt>
                <c:pt idx="52">
                  <c:v>4.166666666666667</c:v>
                </c:pt>
                <c:pt idx="53">
                  <c:v>4.166666666666667</c:v>
                </c:pt>
                <c:pt idx="54">
                  <c:v>4.166666666666667</c:v>
                </c:pt>
                <c:pt idx="55">
                  <c:v>4.166666666666667</c:v>
                </c:pt>
                <c:pt idx="56">
                  <c:v>4.166666666666667</c:v>
                </c:pt>
                <c:pt idx="57">
                  <c:v>4.166666666666667</c:v>
                </c:pt>
                <c:pt idx="58">
                  <c:v>4.166666666666667</c:v>
                </c:pt>
                <c:pt idx="59">
                  <c:v>4.166666666666667</c:v>
                </c:pt>
                <c:pt idx="60">
                  <c:v>4.166666666666667</c:v>
                </c:pt>
                <c:pt idx="61">
                  <c:v>4.166666666666667</c:v>
                </c:pt>
                <c:pt idx="62">
                  <c:v>4.166666666666667</c:v>
                </c:pt>
                <c:pt idx="63">
                  <c:v>4.166666666666667</c:v>
                </c:pt>
                <c:pt idx="64">
                  <c:v>4.166666666666667</c:v>
                </c:pt>
                <c:pt idx="65">
                  <c:v>4.166666666666667</c:v>
                </c:pt>
                <c:pt idx="66">
                  <c:v>4.166666666666667</c:v>
                </c:pt>
                <c:pt idx="67">
                  <c:v>4.166666666666667</c:v>
                </c:pt>
                <c:pt idx="68">
                  <c:v>4.166666666666667</c:v>
                </c:pt>
                <c:pt idx="69">
                  <c:v>4.166666666666667</c:v>
                </c:pt>
                <c:pt idx="70">
                  <c:v>4.166666666666667</c:v>
                </c:pt>
                <c:pt idx="71">
                  <c:v>4.166666666666667</c:v>
                </c:pt>
                <c:pt idx="72">
                  <c:v>4.166666666666667</c:v>
                </c:pt>
                <c:pt idx="73">
                  <c:v>4.166666666666667</c:v>
                </c:pt>
                <c:pt idx="74">
                  <c:v>4.166666666666667</c:v>
                </c:pt>
                <c:pt idx="75">
                  <c:v>4.166666666666667</c:v>
                </c:pt>
                <c:pt idx="76">
                  <c:v>4.166666666666667</c:v>
                </c:pt>
                <c:pt idx="77">
                  <c:v>4.166666666666667</c:v>
                </c:pt>
                <c:pt idx="78">
                  <c:v>4.166666666666667</c:v>
                </c:pt>
                <c:pt idx="79">
                  <c:v>4.166666666666667</c:v>
                </c:pt>
                <c:pt idx="80">
                  <c:v>4.166666666666667</c:v>
                </c:pt>
                <c:pt idx="81">
                  <c:v>4.166666666666667</c:v>
                </c:pt>
                <c:pt idx="82">
                  <c:v>4.166666666666667</c:v>
                </c:pt>
                <c:pt idx="83">
                  <c:v>4.166666666666667</c:v>
                </c:pt>
                <c:pt idx="84">
                  <c:v>4.166666666666667</c:v>
                </c:pt>
                <c:pt idx="85">
                  <c:v>4.166666666666667</c:v>
                </c:pt>
                <c:pt idx="86">
                  <c:v>4.166666666666667</c:v>
                </c:pt>
                <c:pt idx="87">
                  <c:v>4.166666666666667</c:v>
                </c:pt>
                <c:pt idx="88">
                  <c:v>4.166666666666667</c:v>
                </c:pt>
                <c:pt idx="89">
                  <c:v>4.166666666666667</c:v>
                </c:pt>
                <c:pt idx="90">
                  <c:v>4.166666666666667</c:v>
                </c:pt>
                <c:pt idx="91">
                  <c:v>4.166666666666667</c:v>
                </c:pt>
                <c:pt idx="92">
                  <c:v>4.166666666666667</c:v>
                </c:pt>
                <c:pt idx="93">
                  <c:v>4.166666666666667</c:v>
                </c:pt>
                <c:pt idx="94">
                  <c:v>4.166666666666667</c:v>
                </c:pt>
                <c:pt idx="95">
                  <c:v>4.166666666666667</c:v>
                </c:pt>
                <c:pt idx="96">
                  <c:v>4.166666666666667</c:v>
                </c:pt>
                <c:pt idx="97">
                  <c:v>4.166666666666667</c:v>
                </c:pt>
                <c:pt idx="98">
                  <c:v>4.166666666666667</c:v>
                </c:pt>
                <c:pt idx="99">
                  <c:v>4.166666666666667</c:v>
                </c:pt>
                <c:pt idx="100">
                  <c:v>4.166666666666667</c:v>
                </c:pt>
                <c:pt idx="101">
                  <c:v>4.166666666666667</c:v>
                </c:pt>
                <c:pt idx="102">
                  <c:v>4.166666666666667</c:v>
                </c:pt>
                <c:pt idx="103">
                  <c:v>4.166666666666667</c:v>
                </c:pt>
                <c:pt idx="104">
                  <c:v>4.166666666666667</c:v>
                </c:pt>
                <c:pt idx="105">
                  <c:v>4.166666666666667</c:v>
                </c:pt>
                <c:pt idx="106">
                  <c:v>4.166666666666667</c:v>
                </c:pt>
                <c:pt idx="107">
                  <c:v>4.166666666666667</c:v>
                </c:pt>
                <c:pt idx="108">
                  <c:v>4.166666666666667</c:v>
                </c:pt>
                <c:pt idx="109">
                  <c:v>4.166666666666667</c:v>
                </c:pt>
                <c:pt idx="110">
                  <c:v>4.166666666666667</c:v>
                </c:pt>
                <c:pt idx="111">
                  <c:v>4.166666666666667</c:v>
                </c:pt>
                <c:pt idx="112">
                  <c:v>4.166666666666667</c:v>
                </c:pt>
                <c:pt idx="113">
                  <c:v>4.166666666666667</c:v>
                </c:pt>
                <c:pt idx="114">
                  <c:v>4.166666666666667</c:v>
                </c:pt>
                <c:pt idx="115">
                  <c:v>4.166666666666667</c:v>
                </c:pt>
                <c:pt idx="116">
                  <c:v>4.166666666666667</c:v>
                </c:pt>
                <c:pt idx="117">
                  <c:v>4.166666666666667</c:v>
                </c:pt>
                <c:pt idx="118">
                  <c:v>4.166666666666667</c:v>
                </c:pt>
                <c:pt idx="119">
                  <c:v>4.166666666666667</c:v>
                </c:pt>
                <c:pt idx="120">
                  <c:v>4.166666666666667</c:v>
                </c:pt>
              </c:numCache>
            </c:numRef>
          </c:val>
          <c:extLst>
            <c:ext xmlns:c16="http://schemas.microsoft.com/office/drawing/2014/chart" uri="{C3380CC4-5D6E-409C-BE32-E72D297353CC}">
              <c16:uniqueId val="{00000003-A902-456F-9354-C98DA9533DB3}"/>
            </c:ext>
          </c:extLst>
        </c:ser>
        <c:ser>
          <c:idx val="5"/>
          <c:order val="5"/>
          <c:tx>
            <c:strRef>
              <c:f>'Load Distrib'!$I$5</c:f>
              <c:strCache>
                <c:ptCount val="1"/>
                <c:pt idx="0">
                  <c:v>Deck tanks</c:v>
                </c:pt>
              </c:strCache>
            </c:strRef>
          </c:tx>
          <c:spPr>
            <a:solidFill>
              <a:schemeClr val="accent6"/>
            </a:solidFill>
            <a:ln>
              <a:solidFill>
                <a:schemeClr val="bg1">
                  <a:lumMod val="50000"/>
                </a:schemeClr>
              </a:solidFill>
            </a:ln>
            <a:effectLst/>
          </c:spPr>
          <c:invertIfNegative val="0"/>
          <c:cat>
            <c:numRef>
              <c:f>'Load Distrib'!FEM_x</c:f>
              <c:numCache>
                <c:formatCode>#\ ##0.00" m";\-#\ ##0.00" m";0.00" m";@</c:formatCode>
                <c:ptCount val="121"/>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pt idx="15">
                  <c:v>7.5</c:v>
                </c:pt>
                <c:pt idx="16">
                  <c:v>8</c:v>
                </c:pt>
                <c:pt idx="17">
                  <c:v>8.5</c:v>
                </c:pt>
                <c:pt idx="18">
                  <c:v>9</c:v>
                </c:pt>
                <c:pt idx="19">
                  <c:v>9.5</c:v>
                </c:pt>
                <c:pt idx="20">
                  <c:v>10</c:v>
                </c:pt>
                <c:pt idx="21">
                  <c:v>10.5</c:v>
                </c:pt>
                <c:pt idx="22">
                  <c:v>11</c:v>
                </c:pt>
                <c:pt idx="23">
                  <c:v>11.5</c:v>
                </c:pt>
                <c:pt idx="24">
                  <c:v>12</c:v>
                </c:pt>
                <c:pt idx="25">
                  <c:v>12.5</c:v>
                </c:pt>
                <c:pt idx="26">
                  <c:v>13</c:v>
                </c:pt>
                <c:pt idx="27">
                  <c:v>13.5</c:v>
                </c:pt>
                <c:pt idx="28">
                  <c:v>14</c:v>
                </c:pt>
                <c:pt idx="29">
                  <c:v>14.5</c:v>
                </c:pt>
                <c:pt idx="30">
                  <c:v>15</c:v>
                </c:pt>
                <c:pt idx="31">
                  <c:v>15.5</c:v>
                </c:pt>
                <c:pt idx="32">
                  <c:v>16</c:v>
                </c:pt>
                <c:pt idx="33">
                  <c:v>16.5</c:v>
                </c:pt>
                <c:pt idx="34">
                  <c:v>17</c:v>
                </c:pt>
                <c:pt idx="35">
                  <c:v>17.5</c:v>
                </c:pt>
                <c:pt idx="36">
                  <c:v>18</c:v>
                </c:pt>
                <c:pt idx="37">
                  <c:v>18.5</c:v>
                </c:pt>
                <c:pt idx="38">
                  <c:v>19</c:v>
                </c:pt>
                <c:pt idx="39">
                  <c:v>19.5</c:v>
                </c:pt>
                <c:pt idx="40">
                  <c:v>20</c:v>
                </c:pt>
                <c:pt idx="41">
                  <c:v>20.5</c:v>
                </c:pt>
                <c:pt idx="42">
                  <c:v>21</c:v>
                </c:pt>
                <c:pt idx="43">
                  <c:v>21.5</c:v>
                </c:pt>
                <c:pt idx="44">
                  <c:v>22</c:v>
                </c:pt>
                <c:pt idx="45">
                  <c:v>22.5</c:v>
                </c:pt>
                <c:pt idx="46">
                  <c:v>23</c:v>
                </c:pt>
                <c:pt idx="47">
                  <c:v>23.5</c:v>
                </c:pt>
                <c:pt idx="48">
                  <c:v>24</c:v>
                </c:pt>
                <c:pt idx="49">
                  <c:v>24.5</c:v>
                </c:pt>
                <c:pt idx="50">
                  <c:v>25</c:v>
                </c:pt>
                <c:pt idx="51">
                  <c:v>25.5</c:v>
                </c:pt>
                <c:pt idx="52">
                  <c:v>26</c:v>
                </c:pt>
                <c:pt idx="53">
                  <c:v>26.5</c:v>
                </c:pt>
                <c:pt idx="54">
                  <c:v>27</c:v>
                </c:pt>
                <c:pt idx="55">
                  <c:v>27.5</c:v>
                </c:pt>
                <c:pt idx="56">
                  <c:v>28</c:v>
                </c:pt>
                <c:pt idx="57">
                  <c:v>28.5</c:v>
                </c:pt>
                <c:pt idx="58">
                  <c:v>29</c:v>
                </c:pt>
                <c:pt idx="59">
                  <c:v>29.5</c:v>
                </c:pt>
                <c:pt idx="60">
                  <c:v>30</c:v>
                </c:pt>
                <c:pt idx="61">
                  <c:v>30.5</c:v>
                </c:pt>
                <c:pt idx="62">
                  <c:v>31</c:v>
                </c:pt>
                <c:pt idx="63">
                  <c:v>31.5</c:v>
                </c:pt>
                <c:pt idx="64">
                  <c:v>32</c:v>
                </c:pt>
                <c:pt idx="65">
                  <c:v>32.5</c:v>
                </c:pt>
                <c:pt idx="66">
                  <c:v>33</c:v>
                </c:pt>
                <c:pt idx="67">
                  <c:v>33.5</c:v>
                </c:pt>
                <c:pt idx="68">
                  <c:v>34</c:v>
                </c:pt>
                <c:pt idx="69">
                  <c:v>34.5</c:v>
                </c:pt>
                <c:pt idx="70">
                  <c:v>35</c:v>
                </c:pt>
                <c:pt idx="71">
                  <c:v>35.5</c:v>
                </c:pt>
                <c:pt idx="72">
                  <c:v>36</c:v>
                </c:pt>
                <c:pt idx="73">
                  <c:v>36.5</c:v>
                </c:pt>
                <c:pt idx="74">
                  <c:v>37</c:v>
                </c:pt>
                <c:pt idx="75">
                  <c:v>37.5</c:v>
                </c:pt>
                <c:pt idx="76">
                  <c:v>38</c:v>
                </c:pt>
                <c:pt idx="77">
                  <c:v>38.5</c:v>
                </c:pt>
                <c:pt idx="78">
                  <c:v>39</c:v>
                </c:pt>
                <c:pt idx="79">
                  <c:v>39.5</c:v>
                </c:pt>
                <c:pt idx="80">
                  <c:v>40</c:v>
                </c:pt>
                <c:pt idx="81">
                  <c:v>40.5</c:v>
                </c:pt>
                <c:pt idx="82">
                  <c:v>41</c:v>
                </c:pt>
                <c:pt idx="83">
                  <c:v>41.5</c:v>
                </c:pt>
                <c:pt idx="84">
                  <c:v>42</c:v>
                </c:pt>
                <c:pt idx="85">
                  <c:v>42.5</c:v>
                </c:pt>
                <c:pt idx="86">
                  <c:v>43</c:v>
                </c:pt>
                <c:pt idx="87">
                  <c:v>43.5</c:v>
                </c:pt>
                <c:pt idx="88">
                  <c:v>44</c:v>
                </c:pt>
                <c:pt idx="89">
                  <c:v>44.5</c:v>
                </c:pt>
                <c:pt idx="90">
                  <c:v>45</c:v>
                </c:pt>
                <c:pt idx="91">
                  <c:v>45.5</c:v>
                </c:pt>
                <c:pt idx="92">
                  <c:v>46</c:v>
                </c:pt>
                <c:pt idx="93">
                  <c:v>46.5</c:v>
                </c:pt>
                <c:pt idx="94">
                  <c:v>47</c:v>
                </c:pt>
                <c:pt idx="95">
                  <c:v>47.5</c:v>
                </c:pt>
                <c:pt idx="96">
                  <c:v>48</c:v>
                </c:pt>
                <c:pt idx="97">
                  <c:v>48.5</c:v>
                </c:pt>
                <c:pt idx="98">
                  <c:v>49</c:v>
                </c:pt>
                <c:pt idx="99">
                  <c:v>49.5</c:v>
                </c:pt>
                <c:pt idx="100">
                  <c:v>50</c:v>
                </c:pt>
                <c:pt idx="101">
                  <c:v>50.5</c:v>
                </c:pt>
                <c:pt idx="102">
                  <c:v>51</c:v>
                </c:pt>
                <c:pt idx="103">
                  <c:v>51.5</c:v>
                </c:pt>
                <c:pt idx="104">
                  <c:v>52</c:v>
                </c:pt>
                <c:pt idx="105">
                  <c:v>52.5</c:v>
                </c:pt>
                <c:pt idx="106">
                  <c:v>53</c:v>
                </c:pt>
                <c:pt idx="107">
                  <c:v>53.5</c:v>
                </c:pt>
                <c:pt idx="108">
                  <c:v>54</c:v>
                </c:pt>
                <c:pt idx="109">
                  <c:v>54.5</c:v>
                </c:pt>
                <c:pt idx="110">
                  <c:v>55</c:v>
                </c:pt>
                <c:pt idx="111">
                  <c:v>55.5</c:v>
                </c:pt>
                <c:pt idx="112">
                  <c:v>56</c:v>
                </c:pt>
                <c:pt idx="113">
                  <c:v>56.5</c:v>
                </c:pt>
                <c:pt idx="114">
                  <c:v>57</c:v>
                </c:pt>
                <c:pt idx="115">
                  <c:v>57.5</c:v>
                </c:pt>
                <c:pt idx="116">
                  <c:v>58</c:v>
                </c:pt>
                <c:pt idx="117">
                  <c:v>58.5</c:v>
                </c:pt>
                <c:pt idx="118">
                  <c:v>59</c:v>
                </c:pt>
                <c:pt idx="119">
                  <c:v>59.5</c:v>
                </c:pt>
                <c:pt idx="120">
                  <c:v>60</c:v>
                </c:pt>
              </c:numCache>
            </c:numRef>
          </c:cat>
          <c:val>
            <c:numRef>
              <c:f>'Load Distrib'!FEM_Deck_tanks</c:f>
              <c:numCache>
                <c:formatCode>#\ ##0.000" t";\-#\ ##0.000" t";\-;@</c:formatCode>
                <c:ptCount val="1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numCache>
            </c:numRef>
          </c:val>
          <c:extLst>
            <c:ext xmlns:c16="http://schemas.microsoft.com/office/drawing/2014/chart" uri="{C3380CC4-5D6E-409C-BE32-E72D297353CC}">
              <c16:uniqueId val="{00000004-A902-456F-9354-C98DA9533DB3}"/>
            </c:ext>
          </c:extLst>
        </c:ser>
        <c:dLbls>
          <c:showLegendKey val="0"/>
          <c:showVal val="0"/>
          <c:showCatName val="0"/>
          <c:showSerName val="0"/>
          <c:showPercent val="0"/>
          <c:showBubbleSize val="0"/>
        </c:dLbls>
        <c:gapWidth val="0"/>
        <c:overlap val="100"/>
        <c:axId val="863428176"/>
        <c:axId val="863429160"/>
      </c:barChart>
      <c:lineChart>
        <c:grouping val="standard"/>
        <c:varyColors val="0"/>
        <c:ser>
          <c:idx val="1"/>
          <c:order val="1"/>
          <c:tx>
            <c:strRef>
              <c:f>'Load Distrib'!$U$5</c:f>
              <c:strCache>
                <c:ptCount val="1"/>
                <c:pt idx="0">
                  <c:v>Bending Moment</c:v>
                </c:pt>
              </c:strCache>
            </c:strRef>
          </c:tx>
          <c:spPr>
            <a:ln w="28575" cap="rnd">
              <a:solidFill>
                <a:srgbClr val="0000FF"/>
              </a:solidFill>
              <a:round/>
            </a:ln>
            <a:effectLst/>
          </c:spPr>
          <c:marker>
            <c:symbol val="none"/>
          </c:marker>
          <c:cat>
            <c:numRef>
              <c:f>'Load Distrib'!FEM_x</c:f>
              <c:numCache>
                <c:formatCode>#\ ##0.00" m";\-#\ ##0.00" m";0.00" m";@</c:formatCode>
                <c:ptCount val="121"/>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pt idx="15">
                  <c:v>7.5</c:v>
                </c:pt>
                <c:pt idx="16">
                  <c:v>8</c:v>
                </c:pt>
                <c:pt idx="17">
                  <c:v>8.5</c:v>
                </c:pt>
                <c:pt idx="18">
                  <c:v>9</c:v>
                </c:pt>
                <c:pt idx="19">
                  <c:v>9.5</c:v>
                </c:pt>
                <c:pt idx="20">
                  <c:v>10</c:v>
                </c:pt>
                <c:pt idx="21">
                  <c:v>10.5</c:v>
                </c:pt>
                <c:pt idx="22">
                  <c:v>11</c:v>
                </c:pt>
                <c:pt idx="23">
                  <c:v>11.5</c:v>
                </c:pt>
                <c:pt idx="24">
                  <c:v>12</c:v>
                </c:pt>
                <c:pt idx="25">
                  <c:v>12.5</c:v>
                </c:pt>
                <c:pt idx="26">
                  <c:v>13</c:v>
                </c:pt>
                <c:pt idx="27">
                  <c:v>13.5</c:v>
                </c:pt>
                <c:pt idx="28">
                  <c:v>14</c:v>
                </c:pt>
                <c:pt idx="29">
                  <c:v>14.5</c:v>
                </c:pt>
                <c:pt idx="30">
                  <c:v>15</c:v>
                </c:pt>
                <c:pt idx="31">
                  <c:v>15.5</c:v>
                </c:pt>
                <c:pt idx="32">
                  <c:v>16</c:v>
                </c:pt>
                <c:pt idx="33">
                  <c:v>16.5</c:v>
                </c:pt>
                <c:pt idx="34">
                  <c:v>17</c:v>
                </c:pt>
                <c:pt idx="35">
                  <c:v>17.5</c:v>
                </c:pt>
                <c:pt idx="36">
                  <c:v>18</c:v>
                </c:pt>
                <c:pt idx="37">
                  <c:v>18.5</c:v>
                </c:pt>
                <c:pt idx="38">
                  <c:v>19</c:v>
                </c:pt>
                <c:pt idx="39">
                  <c:v>19.5</c:v>
                </c:pt>
                <c:pt idx="40">
                  <c:v>20</c:v>
                </c:pt>
                <c:pt idx="41">
                  <c:v>20.5</c:v>
                </c:pt>
                <c:pt idx="42">
                  <c:v>21</c:v>
                </c:pt>
                <c:pt idx="43">
                  <c:v>21.5</c:v>
                </c:pt>
                <c:pt idx="44">
                  <c:v>22</c:v>
                </c:pt>
                <c:pt idx="45">
                  <c:v>22.5</c:v>
                </c:pt>
                <c:pt idx="46">
                  <c:v>23</c:v>
                </c:pt>
                <c:pt idx="47">
                  <c:v>23.5</c:v>
                </c:pt>
                <c:pt idx="48">
                  <c:v>24</c:v>
                </c:pt>
                <c:pt idx="49">
                  <c:v>24.5</c:v>
                </c:pt>
                <c:pt idx="50">
                  <c:v>25</c:v>
                </c:pt>
                <c:pt idx="51">
                  <c:v>25.5</c:v>
                </c:pt>
                <c:pt idx="52">
                  <c:v>26</c:v>
                </c:pt>
                <c:pt idx="53">
                  <c:v>26.5</c:v>
                </c:pt>
                <c:pt idx="54">
                  <c:v>27</c:v>
                </c:pt>
                <c:pt idx="55">
                  <c:v>27.5</c:v>
                </c:pt>
                <c:pt idx="56">
                  <c:v>28</c:v>
                </c:pt>
                <c:pt idx="57">
                  <c:v>28.5</c:v>
                </c:pt>
                <c:pt idx="58">
                  <c:v>29</c:v>
                </c:pt>
                <c:pt idx="59">
                  <c:v>29.5</c:v>
                </c:pt>
                <c:pt idx="60">
                  <c:v>30</c:v>
                </c:pt>
                <c:pt idx="61">
                  <c:v>30.5</c:v>
                </c:pt>
                <c:pt idx="62">
                  <c:v>31</c:v>
                </c:pt>
                <c:pt idx="63">
                  <c:v>31.5</c:v>
                </c:pt>
                <c:pt idx="64">
                  <c:v>32</c:v>
                </c:pt>
                <c:pt idx="65">
                  <c:v>32.5</c:v>
                </c:pt>
                <c:pt idx="66">
                  <c:v>33</c:v>
                </c:pt>
                <c:pt idx="67">
                  <c:v>33.5</c:v>
                </c:pt>
                <c:pt idx="68">
                  <c:v>34</c:v>
                </c:pt>
                <c:pt idx="69">
                  <c:v>34.5</c:v>
                </c:pt>
                <c:pt idx="70">
                  <c:v>35</c:v>
                </c:pt>
                <c:pt idx="71">
                  <c:v>35.5</c:v>
                </c:pt>
                <c:pt idx="72">
                  <c:v>36</c:v>
                </c:pt>
                <c:pt idx="73">
                  <c:v>36.5</c:v>
                </c:pt>
                <c:pt idx="74">
                  <c:v>37</c:v>
                </c:pt>
                <c:pt idx="75">
                  <c:v>37.5</c:v>
                </c:pt>
                <c:pt idx="76">
                  <c:v>38</c:v>
                </c:pt>
                <c:pt idx="77">
                  <c:v>38.5</c:v>
                </c:pt>
                <c:pt idx="78">
                  <c:v>39</c:v>
                </c:pt>
                <c:pt idx="79">
                  <c:v>39.5</c:v>
                </c:pt>
                <c:pt idx="80">
                  <c:v>40</c:v>
                </c:pt>
                <c:pt idx="81">
                  <c:v>40.5</c:v>
                </c:pt>
                <c:pt idx="82">
                  <c:v>41</c:v>
                </c:pt>
                <c:pt idx="83">
                  <c:v>41.5</c:v>
                </c:pt>
                <c:pt idx="84">
                  <c:v>42</c:v>
                </c:pt>
                <c:pt idx="85">
                  <c:v>42.5</c:v>
                </c:pt>
                <c:pt idx="86">
                  <c:v>43</c:v>
                </c:pt>
                <c:pt idx="87">
                  <c:v>43.5</c:v>
                </c:pt>
                <c:pt idx="88">
                  <c:v>44</c:v>
                </c:pt>
                <c:pt idx="89">
                  <c:v>44.5</c:v>
                </c:pt>
                <c:pt idx="90">
                  <c:v>45</c:v>
                </c:pt>
                <c:pt idx="91">
                  <c:v>45.5</c:v>
                </c:pt>
                <c:pt idx="92">
                  <c:v>46</c:v>
                </c:pt>
                <c:pt idx="93">
                  <c:v>46.5</c:v>
                </c:pt>
                <c:pt idx="94">
                  <c:v>47</c:v>
                </c:pt>
                <c:pt idx="95">
                  <c:v>47.5</c:v>
                </c:pt>
                <c:pt idx="96">
                  <c:v>48</c:v>
                </c:pt>
                <c:pt idx="97">
                  <c:v>48.5</c:v>
                </c:pt>
                <c:pt idx="98">
                  <c:v>49</c:v>
                </c:pt>
                <c:pt idx="99">
                  <c:v>49.5</c:v>
                </c:pt>
                <c:pt idx="100">
                  <c:v>50</c:v>
                </c:pt>
                <c:pt idx="101">
                  <c:v>50.5</c:v>
                </c:pt>
                <c:pt idx="102">
                  <c:v>51</c:v>
                </c:pt>
                <c:pt idx="103">
                  <c:v>51.5</c:v>
                </c:pt>
                <c:pt idx="104">
                  <c:v>52</c:v>
                </c:pt>
                <c:pt idx="105">
                  <c:v>52.5</c:v>
                </c:pt>
                <c:pt idx="106">
                  <c:v>53</c:v>
                </c:pt>
                <c:pt idx="107">
                  <c:v>53.5</c:v>
                </c:pt>
                <c:pt idx="108">
                  <c:v>54</c:v>
                </c:pt>
                <c:pt idx="109">
                  <c:v>54.5</c:v>
                </c:pt>
                <c:pt idx="110">
                  <c:v>55</c:v>
                </c:pt>
                <c:pt idx="111">
                  <c:v>55.5</c:v>
                </c:pt>
                <c:pt idx="112">
                  <c:v>56</c:v>
                </c:pt>
                <c:pt idx="113">
                  <c:v>56.5</c:v>
                </c:pt>
                <c:pt idx="114">
                  <c:v>57</c:v>
                </c:pt>
                <c:pt idx="115">
                  <c:v>57.5</c:v>
                </c:pt>
                <c:pt idx="116">
                  <c:v>58</c:v>
                </c:pt>
                <c:pt idx="117">
                  <c:v>58.5</c:v>
                </c:pt>
                <c:pt idx="118">
                  <c:v>59</c:v>
                </c:pt>
                <c:pt idx="119">
                  <c:v>59.5</c:v>
                </c:pt>
                <c:pt idx="120">
                  <c:v>60</c:v>
                </c:pt>
              </c:numCache>
            </c:numRef>
          </c:cat>
          <c:val>
            <c:numRef>
              <c:f>'Load Distrib'!FEM_Bending_Moment</c:f>
              <c:numCache>
                <c:formatCode>#\ ##0.0" t*m";\-#\ ##0.0" t*m";0.0" t*m";@</c:formatCode>
                <c:ptCount val="121"/>
                <c:pt idx="0">
                  <c:v>0</c:v>
                </c:pt>
                <c:pt idx="1">
                  <c:v>4.416666666666667</c:v>
                </c:pt>
                <c:pt idx="2">
                  <c:v>13.25</c:v>
                </c:pt>
                <c:pt idx="3">
                  <c:v>26.5</c:v>
                </c:pt>
                <c:pt idx="4">
                  <c:v>44.166666666666671</c:v>
                </c:pt>
                <c:pt idx="5">
                  <c:v>66.25</c:v>
                </c:pt>
                <c:pt idx="6">
                  <c:v>92.75</c:v>
                </c:pt>
                <c:pt idx="7">
                  <c:v>123.25939721833524</c:v>
                </c:pt>
                <c:pt idx="8">
                  <c:v>156.65392332403957</c:v>
                </c:pt>
                <c:pt idx="9">
                  <c:v>191.49958055184359</c:v>
                </c:pt>
                <c:pt idx="10">
                  <c:v>226.36237113647786</c:v>
                </c:pt>
                <c:pt idx="11">
                  <c:v>260.52532053057541</c:v>
                </c:pt>
                <c:pt idx="12">
                  <c:v>293.98847740467176</c:v>
                </c:pt>
                <c:pt idx="13">
                  <c:v>326.75189042930231</c:v>
                </c:pt>
                <c:pt idx="14">
                  <c:v>358.81560827500255</c:v>
                </c:pt>
                <c:pt idx="15">
                  <c:v>390.17967961230795</c:v>
                </c:pt>
                <c:pt idx="16">
                  <c:v>420.84415311175394</c:v>
                </c:pt>
                <c:pt idx="17">
                  <c:v>450.80907744387605</c:v>
                </c:pt>
                <c:pt idx="18">
                  <c:v>480.0745012792097</c:v>
                </c:pt>
                <c:pt idx="19">
                  <c:v>508.64047328829037</c:v>
                </c:pt>
                <c:pt idx="20">
                  <c:v>536.50704214165353</c:v>
                </c:pt>
                <c:pt idx="21">
                  <c:v>563.67425650983466</c:v>
                </c:pt>
                <c:pt idx="22">
                  <c:v>590.14216506336925</c:v>
                </c:pt>
                <c:pt idx="23">
                  <c:v>615.9108164727927</c:v>
                </c:pt>
                <c:pt idx="24">
                  <c:v>640.98025940864045</c:v>
                </c:pt>
                <c:pt idx="25">
                  <c:v>665.35054254144802</c:v>
                </c:pt>
                <c:pt idx="26">
                  <c:v>689.02171454175095</c:v>
                </c:pt>
                <c:pt idx="27">
                  <c:v>711.99382408008466</c:v>
                </c:pt>
                <c:pt idx="28">
                  <c:v>734.26691982698458</c:v>
                </c:pt>
                <c:pt idx="29">
                  <c:v>755.84105045298622</c:v>
                </c:pt>
                <c:pt idx="30">
                  <c:v>776.71626462862503</c:v>
                </c:pt>
                <c:pt idx="31">
                  <c:v>796.89261102443641</c:v>
                </c:pt>
                <c:pt idx="32">
                  <c:v>816.37013831095589</c:v>
                </c:pt>
                <c:pt idx="33">
                  <c:v>835.14889515871891</c:v>
                </c:pt>
                <c:pt idx="34">
                  <c:v>853.228930238261</c:v>
                </c:pt>
                <c:pt idx="35">
                  <c:v>870.61029222011757</c:v>
                </c:pt>
                <c:pt idx="36">
                  <c:v>887.29302977482416</c:v>
                </c:pt>
                <c:pt idx="37">
                  <c:v>903.27719157291619</c:v>
                </c:pt>
                <c:pt idx="38">
                  <c:v>918.56282628492909</c:v>
                </c:pt>
                <c:pt idx="39">
                  <c:v>933.14998258139838</c:v>
                </c:pt>
                <c:pt idx="40">
                  <c:v>947.03870913285948</c:v>
                </c:pt>
                <c:pt idx="41">
                  <c:v>960.22905460984794</c:v>
                </c:pt>
                <c:pt idx="42">
                  <c:v>972.72106768289916</c:v>
                </c:pt>
                <c:pt idx="43">
                  <c:v>984.51479702254858</c:v>
                </c:pt>
                <c:pt idx="44">
                  <c:v>995.61029129933172</c:v>
                </c:pt>
                <c:pt idx="45">
                  <c:v>1006.007599183784</c:v>
                </c:pt>
                <c:pt idx="46">
                  <c:v>1015.706769346441</c:v>
                </c:pt>
                <c:pt idx="47">
                  <c:v>1024.707850457838</c:v>
                </c:pt>
                <c:pt idx="48">
                  <c:v>1033.0108911885106</c:v>
                </c:pt>
                <c:pt idx="49">
                  <c:v>1040.6159402089943</c:v>
                </c:pt>
                <c:pt idx="50">
                  <c:v>1047.5230461898245</c:v>
                </c:pt>
                <c:pt idx="51">
                  <c:v>1053.7322578015367</c:v>
                </c:pt>
                <c:pt idx="52">
                  <c:v>1059.2436237146662</c:v>
                </c:pt>
                <c:pt idx="53">
                  <c:v>1064.0571925997488</c:v>
                </c:pt>
                <c:pt idx="54">
                  <c:v>1068.1730131273196</c:v>
                </c:pt>
                <c:pt idx="55">
                  <c:v>1071.5911339679144</c:v>
                </c:pt>
                <c:pt idx="56">
                  <c:v>1074.3116037920684</c:v>
                </c:pt>
                <c:pt idx="57">
                  <c:v>1076.3344712703172</c:v>
                </c:pt>
                <c:pt idx="58">
                  <c:v>1077.6597850731962</c:v>
                </c:pt>
                <c:pt idx="59">
                  <c:v>1078.2875938712409</c:v>
                </c:pt>
                <c:pt idx="60">
                  <c:v>1078.2179463349869</c:v>
                </c:pt>
                <c:pt idx="61">
                  <c:v>1077.4508911349694</c:v>
                </c:pt>
                <c:pt idx="62">
                  <c:v>1075.9864769417243</c:v>
                </c:pt>
                <c:pt idx="63">
                  <c:v>1073.8247524257865</c:v>
                </c:pt>
                <c:pt idx="64">
                  <c:v>1070.9657662576919</c:v>
                </c:pt>
                <c:pt idx="65">
                  <c:v>1067.4095671079758</c:v>
                </c:pt>
                <c:pt idx="66">
                  <c:v>1063.1562036471737</c:v>
                </c:pt>
                <c:pt idx="67">
                  <c:v>1058.2057245458211</c:v>
                </c:pt>
                <c:pt idx="68">
                  <c:v>1052.5581784744534</c:v>
                </c:pt>
                <c:pt idx="69">
                  <c:v>1046.213614103606</c:v>
                </c:pt>
                <c:pt idx="70">
                  <c:v>1039.1720801038146</c:v>
                </c:pt>
                <c:pt idx="71">
                  <c:v>1031.4336251456143</c:v>
                </c:pt>
                <c:pt idx="72">
                  <c:v>1022.9982978995409</c:v>
                </c:pt>
                <c:pt idx="73">
                  <c:v>1013.8661470361299</c:v>
                </c:pt>
                <c:pt idx="74">
                  <c:v>1004.0372212259165</c:v>
                </c:pt>
                <c:pt idx="75">
                  <c:v>993.51156913943623</c:v>
                </c:pt>
                <c:pt idx="76">
                  <c:v>982.28923944722465</c:v>
                </c:pt>
                <c:pt idx="77">
                  <c:v>970.37028081981725</c:v>
                </c:pt>
                <c:pt idx="78">
                  <c:v>957.75474192774948</c:v>
                </c:pt>
                <c:pt idx="79">
                  <c:v>944.44267144155674</c:v>
                </c:pt>
                <c:pt idx="80">
                  <c:v>930.43411803177457</c:v>
                </c:pt>
                <c:pt idx="81">
                  <c:v>915.7291303689384</c:v>
                </c:pt>
                <c:pt idx="82">
                  <c:v>900.32775712358364</c:v>
                </c:pt>
                <c:pt idx="83">
                  <c:v>884.23004696624582</c:v>
                </c:pt>
                <c:pt idx="84">
                  <c:v>867.43604856746038</c:v>
                </c:pt>
                <c:pt idx="85">
                  <c:v>849.94581059776283</c:v>
                </c:pt>
                <c:pt idx="86">
                  <c:v>831.75938172768861</c:v>
                </c:pt>
                <c:pt idx="87">
                  <c:v>812.87681062777312</c:v>
                </c:pt>
                <c:pt idx="88">
                  <c:v>793.29814596855192</c:v>
                </c:pt>
                <c:pt idx="89">
                  <c:v>773.02343642056053</c:v>
                </c:pt>
                <c:pt idx="90">
                  <c:v>752.05273065433425</c:v>
                </c:pt>
                <c:pt idx="91">
                  <c:v>730.38607734040875</c:v>
                </c:pt>
                <c:pt idx="92">
                  <c:v>708.02352514931931</c:v>
                </c:pt>
                <c:pt idx="93">
                  <c:v>684.96512275160148</c:v>
                </c:pt>
                <c:pt idx="94">
                  <c:v>661.2109188177908</c:v>
                </c:pt>
                <c:pt idx="95">
                  <c:v>636.76096201842256</c:v>
                </c:pt>
                <c:pt idx="96">
                  <c:v>611.61530102403242</c:v>
                </c:pt>
                <c:pt idx="97">
                  <c:v>585.77398450515568</c:v>
                </c:pt>
                <c:pt idx="98">
                  <c:v>559.23706113232788</c:v>
                </c:pt>
                <c:pt idx="99">
                  <c:v>532.00457957608455</c:v>
                </c:pt>
                <c:pt idx="100">
                  <c:v>504.07658850696106</c:v>
                </c:pt>
                <c:pt idx="101">
                  <c:v>475.45313659549294</c:v>
                </c:pt>
                <c:pt idx="102">
                  <c:v>446.1342725122156</c:v>
                </c:pt>
                <c:pt idx="103">
                  <c:v>416.12004492766454</c:v>
                </c:pt>
                <c:pt idx="104">
                  <c:v>385.41050251237522</c:v>
                </c:pt>
                <c:pt idx="105">
                  <c:v>354.00569393688312</c:v>
                </c:pt>
                <c:pt idx="106">
                  <c:v>321.90566787172372</c:v>
                </c:pt>
                <c:pt idx="107">
                  <c:v>289.11047298743244</c:v>
                </c:pt>
                <c:pt idx="108">
                  <c:v>255.62015795454477</c:v>
                </c:pt>
                <c:pt idx="109">
                  <c:v>221.43477144359619</c:v>
                </c:pt>
                <c:pt idx="110">
                  <c:v>186.55436212512217</c:v>
                </c:pt>
                <c:pt idx="111">
                  <c:v>151.69600188756058</c:v>
                </c:pt>
                <c:pt idx="112">
                  <c:v>118.29378583725182</c:v>
                </c:pt>
                <c:pt idx="113">
                  <c:v>87.78180908053622</c:v>
                </c:pt>
                <c:pt idx="114">
                  <c:v>61.281809080535631</c:v>
                </c:pt>
                <c:pt idx="115">
                  <c:v>39.198475747201712</c:v>
                </c:pt>
                <c:pt idx="116">
                  <c:v>21.531809080534458</c:v>
                </c:pt>
                <c:pt idx="117">
                  <c:v>8.281809080533872</c:v>
                </c:pt>
                <c:pt idx="118">
                  <c:v>-0.55152425280004636</c:v>
                </c:pt>
                <c:pt idx="119">
                  <c:v>-4.9681909194672977</c:v>
                </c:pt>
                <c:pt idx="120">
                  <c:v>-4.9681909194678822</c:v>
                </c:pt>
              </c:numCache>
            </c:numRef>
          </c:val>
          <c:smooth val="0"/>
          <c:extLst>
            <c:ext xmlns:c16="http://schemas.microsoft.com/office/drawing/2014/chart" uri="{C3380CC4-5D6E-409C-BE32-E72D297353CC}">
              <c16:uniqueId val="{00000005-A902-456F-9354-C98DA9533DB3}"/>
            </c:ext>
          </c:extLst>
        </c:ser>
        <c:dLbls>
          <c:showLegendKey val="0"/>
          <c:showVal val="0"/>
          <c:showCatName val="0"/>
          <c:showSerName val="0"/>
          <c:showPercent val="0"/>
          <c:showBubbleSize val="0"/>
        </c:dLbls>
        <c:marker val="1"/>
        <c:smooth val="0"/>
        <c:axId val="776734424"/>
        <c:axId val="776734752"/>
      </c:lineChart>
      <c:catAx>
        <c:axId val="863428176"/>
        <c:scaling>
          <c:orientation val="minMax"/>
        </c:scaling>
        <c:delete val="0"/>
        <c:axPos val="b"/>
        <c:numFmt formatCode="#\ ##0.00&quot; m&quot;;\-#\ ##0.00&quot; m&quot;;0.00&quot; m&quot;;@"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63429160"/>
        <c:crosses val="autoZero"/>
        <c:auto val="1"/>
        <c:lblAlgn val="ctr"/>
        <c:lblOffset val="100"/>
        <c:noMultiLvlLbl val="0"/>
      </c:catAx>
      <c:valAx>
        <c:axId val="863429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Elements Weight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quot; t&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63428176"/>
        <c:crosses val="autoZero"/>
        <c:crossBetween val="between"/>
      </c:valAx>
      <c:valAx>
        <c:axId val="7767347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Bending Moment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 ##0.0&quot; t*m&quot;;\-#\ ##0.0&quot; t*m&quot;;0.0&quot; t*m&quot;;@" sourceLinked="0"/>
        <c:majorTickMark val="out"/>
        <c:minorTickMark val="none"/>
        <c:tickLblPos val="nextTo"/>
        <c:spPr>
          <a:noFill/>
          <a:ln w="12700">
            <a:solidFill>
              <a:srgbClr val="0000FF"/>
            </a:solidFill>
          </a:ln>
          <a:effectLst/>
        </c:spPr>
        <c:txPr>
          <a:bodyPr rot="-60000000" spcFirstLastPara="1" vertOverflow="ellipsis" vert="horz" wrap="square" anchor="ctr" anchorCtr="1"/>
          <a:lstStyle/>
          <a:p>
            <a:pPr>
              <a:defRPr sz="900" b="0" i="0" u="none" strike="noStrike" kern="1200" baseline="0">
                <a:solidFill>
                  <a:srgbClr val="0000FF"/>
                </a:solidFill>
                <a:latin typeface="+mn-lt"/>
                <a:ea typeface="+mn-ea"/>
                <a:cs typeface="+mn-cs"/>
              </a:defRPr>
            </a:pPr>
            <a:endParaRPr lang="fr-FR"/>
          </a:p>
        </c:txPr>
        <c:crossAx val="776734424"/>
        <c:crosses val="max"/>
        <c:crossBetween val="between"/>
      </c:valAx>
      <c:catAx>
        <c:axId val="776734424"/>
        <c:scaling>
          <c:orientation val="minMax"/>
        </c:scaling>
        <c:delete val="0"/>
        <c:axPos val="b"/>
        <c:numFmt formatCode="#\ ##0.00&quot; m&quot;;\-#\ ##0.00&quot; m&quot;;0.00&quot; m&quot;;@" sourceLinked="1"/>
        <c:majorTickMark val="none"/>
        <c:minorTickMark val="none"/>
        <c:tickLblPos val="none"/>
        <c:spPr>
          <a:noFill/>
          <a:ln w="12700" cap="flat" cmpd="sng" algn="ctr">
            <a:solidFill>
              <a:srgbClr val="0000FF"/>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76734752"/>
        <c:crossesAt val="0"/>
        <c:auto val="1"/>
        <c:lblAlgn val="ctr"/>
        <c:lblOffset val="100"/>
        <c:noMultiLvlLbl val="0"/>
      </c:catAx>
      <c:spPr>
        <a:noFill/>
        <a:ln w="12700">
          <a:solidFill>
            <a:schemeClr val="tx1">
              <a:lumMod val="50000"/>
              <a:lumOff val="50000"/>
            </a:schemeClr>
          </a:solidFill>
        </a:ln>
        <a:effectLst/>
      </c:spPr>
    </c:plotArea>
    <c:legend>
      <c:legendPos val="b"/>
      <c:layout>
        <c:manualLayout>
          <c:xMode val="edge"/>
          <c:yMode val="edge"/>
          <c:x val="0.40085168159941781"/>
          <c:y val="2.9918689993616798E-2"/>
          <c:w val="0.42440923022802907"/>
          <c:h val="4.39027328126805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19050"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Elmt</a:t>
            </a:r>
            <a:r>
              <a:rPr lang="en-US" baseline="0"/>
              <a:t> Weight [t] - </a:t>
            </a:r>
            <a:r>
              <a:rPr lang="en-US"/>
              <a:t>Shear Force</a:t>
            </a:r>
            <a:r>
              <a:rPr lang="en-US" baseline="0"/>
              <a:t> [t]</a:t>
            </a:r>
            <a:endParaRPr lang="en-US"/>
          </a:p>
        </c:rich>
      </c:tx>
      <c:layout>
        <c:manualLayout>
          <c:xMode val="edge"/>
          <c:yMode val="edge"/>
          <c:x val="0.12320665779224202"/>
          <c:y val="3.12195026020349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4.4643782652233253E-2"/>
          <c:y val="9.649427929245627E-2"/>
          <c:w val="0.90421017702258455"/>
          <c:h val="0.80215070415956857"/>
        </c:manualLayout>
      </c:layout>
      <c:barChart>
        <c:barDir val="col"/>
        <c:grouping val="stacked"/>
        <c:varyColors val="0"/>
        <c:ser>
          <c:idx val="0"/>
          <c:order val="0"/>
          <c:tx>
            <c:strRef>
              <c:f>'Load Distrib'!$E$5</c:f>
              <c:strCache>
                <c:ptCount val="1"/>
                <c:pt idx="0">
                  <c:v>Hull &amp; Structure</c:v>
                </c:pt>
              </c:strCache>
            </c:strRef>
          </c:tx>
          <c:spPr>
            <a:solidFill>
              <a:schemeClr val="accent1"/>
            </a:solidFill>
            <a:ln>
              <a:solidFill>
                <a:schemeClr val="bg1">
                  <a:lumMod val="50000"/>
                </a:schemeClr>
              </a:solidFill>
            </a:ln>
            <a:effectLst/>
          </c:spPr>
          <c:invertIfNegative val="0"/>
          <c:cat>
            <c:numRef>
              <c:f>'Load Distrib'!FEM_x</c:f>
              <c:numCache>
                <c:formatCode>#\ ##0.00" m";\-#\ ##0.00" m";0.00" m";@</c:formatCode>
                <c:ptCount val="121"/>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pt idx="15">
                  <c:v>7.5</c:v>
                </c:pt>
                <c:pt idx="16">
                  <c:v>8</c:v>
                </c:pt>
                <c:pt idx="17">
                  <c:v>8.5</c:v>
                </c:pt>
                <c:pt idx="18">
                  <c:v>9</c:v>
                </c:pt>
                <c:pt idx="19">
                  <c:v>9.5</c:v>
                </c:pt>
                <c:pt idx="20">
                  <c:v>10</c:v>
                </c:pt>
                <c:pt idx="21">
                  <c:v>10.5</c:v>
                </c:pt>
                <c:pt idx="22">
                  <c:v>11</c:v>
                </c:pt>
                <c:pt idx="23">
                  <c:v>11.5</c:v>
                </c:pt>
                <c:pt idx="24">
                  <c:v>12</c:v>
                </c:pt>
                <c:pt idx="25">
                  <c:v>12.5</c:v>
                </c:pt>
                <c:pt idx="26">
                  <c:v>13</c:v>
                </c:pt>
                <c:pt idx="27">
                  <c:v>13.5</c:v>
                </c:pt>
                <c:pt idx="28">
                  <c:v>14</c:v>
                </c:pt>
                <c:pt idx="29">
                  <c:v>14.5</c:v>
                </c:pt>
                <c:pt idx="30">
                  <c:v>15</c:v>
                </c:pt>
                <c:pt idx="31">
                  <c:v>15.5</c:v>
                </c:pt>
                <c:pt idx="32">
                  <c:v>16</c:v>
                </c:pt>
                <c:pt idx="33">
                  <c:v>16.5</c:v>
                </c:pt>
                <c:pt idx="34">
                  <c:v>17</c:v>
                </c:pt>
                <c:pt idx="35">
                  <c:v>17.5</c:v>
                </c:pt>
                <c:pt idx="36">
                  <c:v>18</c:v>
                </c:pt>
                <c:pt idx="37">
                  <c:v>18.5</c:v>
                </c:pt>
                <c:pt idx="38">
                  <c:v>19</c:v>
                </c:pt>
                <c:pt idx="39">
                  <c:v>19.5</c:v>
                </c:pt>
                <c:pt idx="40">
                  <c:v>20</c:v>
                </c:pt>
                <c:pt idx="41">
                  <c:v>20.5</c:v>
                </c:pt>
                <c:pt idx="42">
                  <c:v>21</c:v>
                </c:pt>
                <c:pt idx="43">
                  <c:v>21.5</c:v>
                </c:pt>
                <c:pt idx="44">
                  <c:v>22</c:v>
                </c:pt>
                <c:pt idx="45">
                  <c:v>22.5</c:v>
                </c:pt>
                <c:pt idx="46">
                  <c:v>23</c:v>
                </c:pt>
                <c:pt idx="47">
                  <c:v>23.5</c:v>
                </c:pt>
                <c:pt idx="48">
                  <c:v>24</c:v>
                </c:pt>
                <c:pt idx="49">
                  <c:v>24.5</c:v>
                </c:pt>
                <c:pt idx="50">
                  <c:v>25</c:v>
                </c:pt>
                <c:pt idx="51">
                  <c:v>25.5</c:v>
                </c:pt>
                <c:pt idx="52">
                  <c:v>26</c:v>
                </c:pt>
                <c:pt idx="53">
                  <c:v>26.5</c:v>
                </c:pt>
                <c:pt idx="54">
                  <c:v>27</c:v>
                </c:pt>
                <c:pt idx="55">
                  <c:v>27.5</c:v>
                </c:pt>
                <c:pt idx="56">
                  <c:v>28</c:v>
                </c:pt>
                <c:pt idx="57">
                  <c:v>28.5</c:v>
                </c:pt>
                <c:pt idx="58">
                  <c:v>29</c:v>
                </c:pt>
                <c:pt idx="59">
                  <c:v>29.5</c:v>
                </c:pt>
                <c:pt idx="60">
                  <c:v>30</c:v>
                </c:pt>
                <c:pt idx="61">
                  <c:v>30.5</c:v>
                </c:pt>
                <c:pt idx="62">
                  <c:v>31</c:v>
                </c:pt>
                <c:pt idx="63">
                  <c:v>31.5</c:v>
                </c:pt>
                <c:pt idx="64">
                  <c:v>32</c:v>
                </c:pt>
                <c:pt idx="65">
                  <c:v>32.5</c:v>
                </c:pt>
                <c:pt idx="66">
                  <c:v>33</c:v>
                </c:pt>
                <c:pt idx="67">
                  <c:v>33.5</c:v>
                </c:pt>
                <c:pt idx="68">
                  <c:v>34</c:v>
                </c:pt>
                <c:pt idx="69">
                  <c:v>34.5</c:v>
                </c:pt>
                <c:pt idx="70">
                  <c:v>35</c:v>
                </c:pt>
                <c:pt idx="71">
                  <c:v>35.5</c:v>
                </c:pt>
                <c:pt idx="72">
                  <c:v>36</c:v>
                </c:pt>
                <c:pt idx="73">
                  <c:v>36.5</c:v>
                </c:pt>
                <c:pt idx="74">
                  <c:v>37</c:v>
                </c:pt>
                <c:pt idx="75">
                  <c:v>37.5</c:v>
                </c:pt>
                <c:pt idx="76">
                  <c:v>38</c:v>
                </c:pt>
                <c:pt idx="77">
                  <c:v>38.5</c:v>
                </c:pt>
                <c:pt idx="78">
                  <c:v>39</c:v>
                </c:pt>
                <c:pt idx="79">
                  <c:v>39.5</c:v>
                </c:pt>
                <c:pt idx="80">
                  <c:v>40</c:v>
                </c:pt>
                <c:pt idx="81">
                  <c:v>40.5</c:v>
                </c:pt>
                <c:pt idx="82">
                  <c:v>41</c:v>
                </c:pt>
                <c:pt idx="83">
                  <c:v>41.5</c:v>
                </c:pt>
                <c:pt idx="84">
                  <c:v>42</c:v>
                </c:pt>
                <c:pt idx="85">
                  <c:v>42.5</c:v>
                </c:pt>
                <c:pt idx="86">
                  <c:v>43</c:v>
                </c:pt>
                <c:pt idx="87">
                  <c:v>43.5</c:v>
                </c:pt>
                <c:pt idx="88">
                  <c:v>44</c:v>
                </c:pt>
                <c:pt idx="89">
                  <c:v>44.5</c:v>
                </c:pt>
                <c:pt idx="90">
                  <c:v>45</c:v>
                </c:pt>
                <c:pt idx="91">
                  <c:v>45.5</c:v>
                </c:pt>
                <c:pt idx="92">
                  <c:v>46</c:v>
                </c:pt>
                <c:pt idx="93">
                  <c:v>46.5</c:v>
                </c:pt>
                <c:pt idx="94">
                  <c:v>47</c:v>
                </c:pt>
                <c:pt idx="95">
                  <c:v>47.5</c:v>
                </c:pt>
                <c:pt idx="96">
                  <c:v>48</c:v>
                </c:pt>
                <c:pt idx="97">
                  <c:v>48.5</c:v>
                </c:pt>
                <c:pt idx="98">
                  <c:v>49</c:v>
                </c:pt>
                <c:pt idx="99">
                  <c:v>49.5</c:v>
                </c:pt>
                <c:pt idx="100">
                  <c:v>50</c:v>
                </c:pt>
                <c:pt idx="101">
                  <c:v>50.5</c:v>
                </c:pt>
                <c:pt idx="102">
                  <c:v>51</c:v>
                </c:pt>
                <c:pt idx="103">
                  <c:v>51.5</c:v>
                </c:pt>
                <c:pt idx="104">
                  <c:v>52</c:v>
                </c:pt>
                <c:pt idx="105">
                  <c:v>52.5</c:v>
                </c:pt>
                <c:pt idx="106">
                  <c:v>53</c:v>
                </c:pt>
                <c:pt idx="107">
                  <c:v>53.5</c:v>
                </c:pt>
                <c:pt idx="108">
                  <c:v>54</c:v>
                </c:pt>
                <c:pt idx="109">
                  <c:v>54.5</c:v>
                </c:pt>
                <c:pt idx="110">
                  <c:v>55</c:v>
                </c:pt>
                <c:pt idx="111">
                  <c:v>55.5</c:v>
                </c:pt>
                <c:pt idx="112">
                  <c:v>56</c:v>
                </c:pt>
                <c:pt idx="113">
                  <c:v>56.5</c:v>
                </c:pt>
                <c:pt idx="114">
                  <c:v>57</c:v>
                </c:pt>
                <c:pt idx="115">
                  <c:v>57.5</c:v>
                </c:pt>
                <c:pt idx="116">
                  <c:v>58</c:v>
                </c:pt>
                <c:pt idx="117">
                  <c:v>58.5</c:v>
                </c:pt>
                <c:pt idx="118">
                  <c:v>59</c:v>
                </c:pt>
                <c:pt idx="119">
                  <c:v>59.5</c:v>
                </c:pt>
                <c:pt idx="120">
                  <c:v>60</c:v>
                </c:pt>
              </c:numCache>
            </c:numRef>
          </c:cat>
          <c:val>
            <c:numRef>
              <c:f>'Load Distrib'!FEM_Hull_Structure</c:f>
              <c:numCache>
                <c:formatCode>#\ ##0.000" t";\-#\ ##0.000" t";\-;@</c:formatCode>
                <c:ptCount val="121"/>
                <c:pt idx="0">
                  <c:v>0</c:v>
                </c:pt>
                <c:pt idx="1">
                  <c:v>4.666666666666667</c:v>
                </c:pt>
                <c:pt idx="2">
                  <c:v>4.666666666666667</c:v>
                </c:pt>
                <c:pt idx="3">
                  <c:v>4.666666666666667</c:v>
                </c:pt>
                <c:pt idx="4">
                  <c:v>4.666666666666667</c:v>
                </c:pt>
                <c:pt idx="5">
                  <c:v>4.666666666666667</c:v>
                </c:pt>
                <c:pt idx="6">
                  <c:v>4.666666666666667</c:v>
                </c:pt>
                <c:pt idx="7">
                  <c:v>4.666666666666667</c:v>
                </c:pt>
                <c:pt idx="8">
                  <c:v>4.666666666666667</c:v>
                </c:pt>
                <c:pt idx="9">
                  <c:v>4.666666666666667</c:v>
                </c:pt>
                <c:pt idx="10">
                  <c:v>4.666666666666667</c:v>
                </c:pt>
                <c:pt idx="11">
                  <c:v>4.666666666666667</c:v>
                </c:pt>
                <c:pt idx="12">
                  <c:v>4.666666666666667</c:v>
                </c:pt>
                <c:pt idx="13">
                  <c:v>4.666666666666667</c:v>
                </c:pt>
                <c:pt idx="14">
                  <c:v>4.666666666666667</c:v>
                </c:pt>
                <c:pt idx="15">
                  <c:v>4.666666666666667</c:v>
                </c:pt>
                <c:pt idx="16">
                  <c:v>4.666666666666667</c:v>
                </c:pt>
                <c:pt idx="17">
                  <c:v>4.666666666666667</c:v>
                </c:pt>
                <c:pt idx="18">
                  <c:v>4.666666666666667</c:v>
                </c:pt>
                <c:pt idx="19">
                  <c:v>4.666666666666667</c:v>
                </c:pt>
                <c:pt idx="20">
                  <c:v>4.666666666666667</c:v>
                </c:pt>
                <c:pt idx="21">
                  <c:v>4.666666666666667</c:v>
                </c:pt>
                <c:pt idx="22">
                  <c:v>4.666666666666667</c:v>
                </c:pt>
                <c:pt idx="23">
                  <c:v>4.666666666666667</c:v>
                </c:pt>
                <c:pt idx="24">
                  <c:v>4.666666666666667</c:v>
                </c:pt>
                <c:pt idx="25">
                  <c:v>4.666666666666667</c:v>
                </c:pt>
                <c:pt idx="26">
                  <c:v>4.666666666666667</c:v>
                </c:pt>
                <c:pt idx="27">
                  <c:v>4.666666666666667</c:v>
                </c:pt>
                <c:pt idx="28">
                  <c:v>4.666666666666667</c:v>
                </c:pt>
                <c:pt idx="29">
                  <c:v>4.666666666666667</c:v>
                </c:pt>
                <c:pt idx="30">
                  <c:v>4.666666666666667</c:v>
                </c:pt>
                <c:pt idx="31">
                  <c:v>4.666666666666667</c:v>
                </c:pt>
                <c:pt idx="32">
                  <c:v>4.666666666666667</c:v>
                </c:pt>
                <c:pt idx="33">
                  <c:v>4.666666666666667</c:v>
                </c:pt>
                <c:pt idx="34">
                  <c:v>4.666666666666667</c:v>
                </c:pt>
                <c:pt idx="35">
                  <c:v>4.666666666666667</c:v>
                </c:pt>
                <c:pt idx="36">
                  <c:v>4.666666666666667</c:v>
                </c:pt>
                <c:pt idx="37">
                  <c:v>4.666666666666667</c:v>
                </c:pt>
                <c:pt idx="38">
                  <c:v>4.666666666666667</c:v>
                </c:pt>
                <c:pt idx="39">
                  <c:v>4.666666666666667</c:v>
                </c:pt>
                <c:pt idx="40">
                  <c:v>4.666666666666667</c:v>
                </c:pt>
                <c:pt idx="41">
                  <c:v>4.666666666666667</c:v>
                </c:pt>
                <c:pt idx="42">
                  <c:v>4.666666666666667</c:v>
                </c:pt>
                <c:pt idx="43">
                  <c:v>4.666666666666667</c:v>
                </c:pt>
                <c:pt idx="44">
                  <c:v>4.666666666666667</c:v>
                </c:pt>
                <c:pt idx="45">
                  <c:v>4.666666666666667</c:v>
                </c:pt>
                <c:pt idx="46">
                  <c:v>4.666666666666667</c:v>
                </c:pt>
                <c:pt idx="47">
                  <c:v>4.666666666666667</c:v>
                </c:pt>
                <c:pt idx="48">
                  <c:v>4.666666666666667</c:v>
                </c:pt>
                <c:pt idx="49">
                  <c:v>4.666666666666667</c:v>
                </c:pt>
                <c:pt idx="50">
                  <c:v>4.666666666666667</c:v>
                </c:pt>
                <c:pt idx="51">
                  <c:v>4.666666666666667</c:v>
                </c:pt>
                <c:pt idx="52">
                  <c:v>4.666666666666667</c:v>
                </c:pt>
                <c:pt idx="53">
                  <c:v>4.666666666666667</c:v>
                </c:pt>
                <c:pt idx="54">
                  <c:v>4.666666666666667</c:v>
                </c:pt>
                <c:pt idx="55">
                  <c:v>4.666666666666667</c:v>
                </c:pt>
                <c:pt idx="56">
                  <c:v>4.666666666666667</c:v>
                </c:pt>
                <c:pt idx="57">
                  <c:v>4.666666666666667</c:v>
                </c:pt>
                <c:pt idx="58">
                  <c:v>4.666666666666667</c:v>
                </c:pt>
                <c:pt idx="59">
                  <c:v>4.666666666666667</c:v>
                </c:pt>
                <c:pt idx="60">
                  <c:v>4.666666666666667</c:v>
                </c:pt>
                <c:pt idx="61">
                  <c:v>4.666666666666667</c:v>
                </c:pt>
                <c:pt idx="62">
                  <c:v>4.666666666666667</c:v>
                </c:pt>
                <c:pt idx="63">
                  <c:v>4.666666666666667</c:v>
                </c:pt>
                <c:pt idx="64">
                  <c:v>4.666666666666667</c:v>
                </c:pt>
                <c:pt idx="65">
                  <c:v>4.666666666666667</c:v>
                </c:pt>
                <c:pt idx="66">
                  <c:v>4.666666666666667</c:v>
                </c:pt>
                <c:pt idx="67">
                  <c:v>4.666666666666667</c:v>
                </c:pt>
                <c:pt idx="68">
                  <c:v>4.666666666666667</c:v>
                </c:pt>
                <c:pt idx="69">
                  <c:v>4.666666666666667</c:v>
                </c:pt>
                <c:pt idx="70">
                  <c:v>4.666666666666667</c:v>
                </c:pt>
                <c:pt idx="71">
                  <c:v>4.666666666666667</c:v>
                </c:pt>
                <c:pt idx="72">
                  <c:v>4.666666666666667</c:v>
                </c:pt>
                <c:pt idx="73">
                  <c:v>4.666666666666667</c:v>
                </c:pt>
                <c:pt idx="74">
                  <c:v>4.666666666666667</c:v>
                </c:pt>
                <c:pt idx="75">
                  <c:v>4.666666666666667</c:v>
                </c:pt>
                <c:pt idx="76">
                  <c:v>4.666666666666667</c:v>
                </c:pt>
                <c:pt idx="77">
                  <c:v>4.666666666666667</c:v>
                </c:pt>
                <c:pt idx="78">
                  <c:v>4.666666666666667</c:v>
                </c:pt>
                <c:pt idx="79">
                  <c:v>4.666666666666667</c:v>
                </c:pt>
                <c:pt idx="80">
                  <c:v>4.666666666666667</c:v>
                </c:pt>
                <c:pt idx="81">
                  <c:v>4.666666666666667</c:v>
                </c:pt>
                <c:pt idx="82">
                  <c:v>4.666666666666667</c:v>
                </c:pt>
                <c:pt idx="83">
                  <c:v>4.666666666666667</c:v>
                </c:pt>
                <c:pt idx="84">
                  <c:v>4.666666666666667</c:v>
                </c:pt>
                <c:pt idx="85">
                  <c:v>4.666666666666667</c:v>
                </c:pt>
                <c:pt idx="86">
                  <c:v>4.666666666666667</c:v>
                </c:pt>
                <c:pt idx="87">
                  <c:v>4.666666666666667</c:v>
                </c:pt>
                <c:pt idx="88">
                  <c:v>4.666666666666667</c:v>
                </c:pt>
                <c:pt idx="89">
                  <c:v>4.666666666666667</c:v>
                </c:pt>
                <c:pt idx="90">
                  <c:v>4.666666666666667</c:v>
                </c:pt>
                <c:pt idx="91">
                  <c:v>4.666666666666667</c:v>
                </c:pt>
                <c:pt idx="92">
                  <c:v>4.666666666666667</c:v>
                </c:pt>
                <c:pt idx="93">
                  <c:v>4.666666666666667</c:v>
                </c:pt>
                <c:pt idx="94">
                  <c:v>4.666666666666667</c:v>
                </c:pt>
                <c:pt idx="95">
                  <c:v>4.666666666666667</c:v>
                </c:pt>
                <c:pt idx="96">
                  <c:v>4.666666666666667</c:v>
                </c:pt>
                <c:pt idx="97">
                  <c:v>4.666666666666667</c:v>
                </c:pt>
                <c:pt idx="98">
                  <c:v>4.666666666666667</c:v>
                </c:pt>
                <c:pt idx="99">
                  <c:v>4.666666666666667</c:v>
                </c:pt>
                <c:pt idx="100">
                  <c:v>4.666666666666667</c:v>
                </c:pt>
                <c:pt idx="101">
                  <c:v>4.666666666666667</c:v>
                </c:pt>
                <c:pt idx="102">
                  <c:v>4.666666666666667</c:v>
                </c:pt>
                <c:pt idx="103">
                  <c:v>4.666666666666667</c:v>
                </c:pt>
                <c:pt idx="104">
                  <c:v>4.666666666666667</c:v>
                </c:pt>
                <c:pt idx="105">
                  <c:v>4.666666666666667</c:v>
                </c:pt>
                <c:pt idx="106">
                  <c:v>4.666666666666667</c:v>
                </c:pt>
                <c:pt idx="107">
                  <c:v>4.666666666666667</c:v>
                </c:pt>
                <c:pt idx="108">
                  <c:v>4.666666666666667</c:v>
                </c:pt>
                <c:pt idx="109">
                  <c:v>4.666666666666667</c:v>
                </c:pt>
                <c:pt idx="110">
                  <c:v>4.666666666666667</c:v>
                </c:pt>
                <c:pt idx="111">
                  <c:v>4.666666666666667</c:v>
                </c:pt>
                <c:pt idx="112">
                  <c:v>4.666666666666667</c:v>
                </c:pt>
                <c:pt idx="113">
                  <c:v>4.666666666666667</c:v>
                </c:pt>
                <c:pt idx="114">
                  <c:v>4.666666666666667</c:v>
                </c:pt>
                <c:pt idx="115">
                  <c:v>4.666666666666667</c:v>
                </c:pt>
                <c:pt idx="116">
                  <c:v>4.666666666666667</c:v>
                </c:pt>
                <c:pt idx="117">
                  <c:v>4.666666666666667</c:v>
                </c:pt>
                <c:pt idx="118">
                  <c:v>4.666666666666667</c:v>
                </c:pt>
                <c:pt idx="119">
                  <c:v>4.666666666666667</c:v>
                </c:pt>
                <c:pt idx="120">
                  <c:v>4.666666666666667</c:v>
                </c:pt>
              </c:numCache>
            </c:numRef>
          </c:val>
          <c:extLst>
            <c:ext xmlns:c16="http://schemas.microsoft.com/office/drawing/2014/chart" uri="{C3380CC4-5D6E-409C-BE32-E72D297353CC}">
              <c16:uniqueId val="{00000000-55AC-46D8-8267-056F49988FD7}"/>
            </c:ext>
          </c:extLst>
        </c:ser>
        <c:ser>
          <c:idx val="2"/>
          <c:order val="2"/>
          <c:tx>
            <c:strRef>
              <c:f>'Load Distrib'!$F$5</c:f>
              <c:strCache>
                <c:ptCount val="1"/>
                <c:pt idx="0">
                  <c:v>Ballast</c:v>
                </c:pt>
              </c:strCache>
            </c:strRef>
          </c:tx>
          <c:spPr>
            <a:solidFill>
              <a:schemeClr val="accent3"/>
            </a:solidFill>
            <a:ln>
              <a:solidFill>
                <a:schemeClr val="bg1">
                  <a:lumMod val="50000"/>
                </a:schemeClr>
              </a:solidFill>
            </a:ln>
            <a:effectLst/>
          </c:spPr>
          <c:invertIfNegative val="0"/>
          <c:cat>
            <c:numRef>
              <c:f>'Load Distrib'!FEM_x</c:f>
              <c:numCache>
                <c:formatCode>#\ ##0.00" m";\-#\ ##0.00" m";0.00" m";@</c:formatCode>
                <c:ptCount val="121"/>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pt idx="15">
                  <c:v>7.5</c:v>
                </c:pt>
                <c:pt idx="16">
                  <c:v>8</c:v>
                </c:pt>
                <c:pt idx="17">
                  <c:v>8.5</c:v>
                </c:pt>
                <c:pt idx="18">
                  <c:v>9</c:v>
                </c:pt>
                <c:pt idx="19">
                  <c:v>9.5</c:v>
                </c:pt>
                <c:pt idx="20">
                  <c:v>10</c:v>
                </c:pt>
                <c:pt idx="21">
                  <c:v>10.5</c:v>
                </c:pt>
                <c:pt idx="22">
                  <c:v>11</c:v>
                </c:pt>
                <c:pt idx="23">
                  <c:v>11.5</c:v>
                </c:pt>
                <c:pt idx="24">
                  <c:v>12</c:v>
                </c:pt>
                <c:pt idx="25">
                  <c:v>12.5</c:v>
                </c:pt>
                <c:pt idx="26">
                  <c:v>13</c:v>
                </c:pt>
                <c:pt idx="27">
                  <c:v>13.5</c:v>
                </c:pt>
                <c:pt idx="28">
                  <c:v>14</c:v>
                </c:pt>
                <c:pt idx="29">
                  <c:v>14.5</c:v>
                </c:pt>
                <c:pt idx="30">
                  <c:v>15</c:v>
                </c:pt>
                <c:pt idx="31">
                  <c:v>15.5</c:v>
                </c:pt>
                <c:pt idx="32">
                  <c:v>16</c:v>
                </c:pt>
                <c:pt idx="33">
                  <c:v>16.5</c:v>
                </c:pt>
                <c:pt idx="34">
                  <c:v>17</c:v>
                </c:pt>
                <c:pt idx="35">
                  <c:v>17.5</c:v>
                </c:pt>
                <c:pt idx="36">
                  <c:v>18</c:v>
                </c:pt>
                <c:pt idx="37">
                  <c:v>18.5</c:v>
                </c:pt>
                <c:pt idx="38">
                  <c:v>19</c:v>
                </c:pt>
                <c:pt idx="39">
                  <c:v>19.5</c:v>
                </c:pt>
                <c:pt idx="40">
                  <c:v>20</c:v>
                </c:pt>
                <c:pt idx="41">
                  <c:v>20.5</c:v>
                </c:pt>
                <c:pt idx="42">
                  <c:v>21</c:v>
                </c:pt>
                <c:pt idx="43">
                  <c:v>21.5</c:v>
                </c:pt>
                <c:pt idx="44">
                  <c:v>22</c:v>
                </c:pt>
                <c:pt idx="45">
                  <c:v>22.5</c:v>
                </c:pt>
                <c:pt idx="46">
                  <c:v>23</c:v>
                </c:pt>
                <c:pt idx="47">
                  <c:v>23.5</c:v>
                </c:pt>
                <c:pt idx="48">
                  <c:v>24</c:v>
                </c:pt>
                <c:pt idx="49">
                  <c:v>24.5</c:v>
                </c:pt>
                <c:pt idx="50">
                  <c:v>25</c:v>
                </c:pt>
                <c:pt idx="51">
                  <c:v>25.5</c:v>
                </c:pt>
                <c:pt idx="52">
                  <c:v>26</c:v>
                </c:pt>
                <c:pt idx="53">
                  <c:v>26.5</c:v>
                </c:pt>
                <c:pt idx="54">
                  <c:v>27</c:v>
                </c:pt>
                <c:pt idx="55">
                  <c:v>27.5</c:v>
                </c:pt>
                <c:pt idx="56">
                  <c:v>28</c:v>
                </c:pt>
                <c:pt idx="57">
                  <c:v>28.5</c:v>
                </c:pt>
                <c:pt idx="58">
                  <c:v>29</c:v>
                </c:pt>
                <c:pt idx="59">
                  <c:v>29.5</c:v>
                </c:pt>
                <c:pt idx="60">
                  <c:v>30</c:v>
                </c:pt>
                <c:pt idx="61">
                  <c:v>30.5</c:v>
                </c:pt>
                <c:pt idx="62">
                  <c:v>31</c:v>
                </c:pt>
                <c:pt idx="63">
                  <c:v>31.5</c:v>
                </c:pt>
                <c:pt idx="64">
                  <c:v>32</c:v>
                </c:pt>
                <c:pt idx="65">
                  <c:v>32.5</c:v>
                </c:pt>
                <c:pt idx="66">
                  <c:v>33</c:v>
                </c:pt>
                <c:pt idx="67">
                  <c:v>33.5</c:v>
                </c:pt>
                <c:pt idx="68">
                  <c:v>34</c:v>
                </c:pt>
                <c:pt idx="69">
                  <c:v>34.5</c:v>
                </c:pt>
                <c:pt idx="70">
                  <c:v>35</c:v>
                </c:pt>
                <c:pt idx="71">
                  <c:v>35.5</c:v>
                </c:pt>
                <c:pt idx="72">
                  <c:v>36</c:v>
                </c:pt>
                <c:pt idx="73">
                  <c:v>36.5</c:v>
                </c:pt>
                <c:pt idx="74">
                  <c:v>37</c:v>
                </c:pt>
                <c:pt idx="75">
                  <c:v>37.5</c:v>
                </c:pt>
                <c:pt idx="76">
                  <c:v>38</c:v>
                </c:pt>
                <c:pt idx="77">
                  <c:v>38.5</c:v>
                </c:pt>
                <c:pt idx="78">
                  <c:v>39</c:v>
                </c:pt>
                <c:pt idx="79">
                  <c:v>39.5</c:v>
                </c:pt>
                <c:pt idx="80">
                  <c:v>40</c:v>
                </c:pt>
                <c:pt idx="81">
                  <c:v>40.5</c:v>
                </c:pt>
                <c:pt idx="82">
                  <c:v>41</c:v>
                </c:pt>
                <c:pt idx="83">
                  <c:v>41.5</c:v>
                </c:pt>
                <c:pt idx="84">
                  <c:v>42</c:v>
                </c:pt>
                <c:pt idx="85">
                  <c:v>42.5</c:v>
                </c:pt>
                <c:pt idx="86">
                  <c:v>43</c:v>
                </c:pt>
                <c:pt idx="87">
                  <c:v>43.5</c:v>
                </c:pt>
                <c:pt idx="88">
                  <c:v>44</c:v>
                </c:pt>
                <c:pt idx="89">
                  <c:v>44.5</c:v>
                </c:pt>
                <c:pt idx="90">
                  <c:v>45</c:v>
                </c:pt>
                <c:pt idx="91">
                  <c:v>45.5</c:v>
                </c:pt>
                <c:pt idx="92">
                  <c:v>46</c:v>
                </c:pt>
                <c:pt idx="93">
                  <c:v>46.5</c:v>
                </c:pt>
                <c:pt idx="94">
                  <c:v>47</c:v>
                </c:pt>
                <c:pt idx="95">
                  <c:v>47.5</c:v>
                </c:pt>
                <c:pt idx="96">
                  <c:v>48</c:v>
                </c:pt>
                <c:pt idx="97">
                  <c:v>48.5</c:v>
                </c:pt>
                <c:pt idx="98">
                  <c:v>49</c:v>
                </c:pt>
                <c:pt idx="99">
                  <c:v>49.5</c:v>
                </c:pt>
                <c:pt idx="100">
                  <c:v>50</c:v>
                </c:pt>
                <c:pt idx="101">
                  <c:v>50.5</c:v>
                </c:pt>
                <c:pt idx="102">
                  <c:v>51</c:v>
                </c:pt>
                <c:pt idx="103">
                  <c:v>51.5</c:v>
                </c:pt>
                <c:pt idx="104">
                  <c:v>52</c:v>
                </c:pt>
                <c:pt idx="105">
                  <c:v>52.5</c:v>
                </c:pt>
                <c:pt idx="106">
                  <c:v>53</c:v>
                </c:pt>
                <c:pt idx="107">
                  <c:v>53.5</c:v>
                </c:pt>
                <c:pt idx="108">
                  <c:v>54</c:v>
                </c:pt>
                <c:pt idx="109">
                  <c:v>54.5</c:v>
                </c:pt>
                <c:pt idx="110">
                  <c:v>55</c:v>
                </c:pt>
                <c:pt idx="111">
                  <c:v>55.5</c:v>
                </c:pt>
                <c:pt idx="112">
                  <c:v>56</c:v>
                </c:pt>
                <c:pt idx="113">
                  <c:v>56.5</c:v>
                </c:pt>
                <c:pt idx="114">
                  <c:v>57</c:v>
                </c:pt>
                <c:pt idx="115">
                  <c:v>57.5</c:v>
                </c:pt>
                <c:pt idx="116">
                  <c:v>58</c:v>
                </c:pt>
                <c:pt idx="117">
                  <c:v>58.5</c:v>
                </c:pt>
                <c:pt idx="118">
                  <c:v>59</c:v>
                </c:pt>
                <c:pt idx="119">
                  <c:v>59.5</c:v>
                </c:pt>
                <c:pt idx="120">
                  <c:v>60</c:v>
                </c:pt>
              </c:numCache>
            </c:numRef>
          </c:cat>
          <c:val>
            <c:numRef>
              <c:f>'Load Distrib'!FEM_Ballast</c:f>
              <c:numCache>
                <c:formatCode>#\ ##0.000" t";\-#\ ##0.000" t";\-;@</c:formatCode>
                <c:ptCount val="1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numCache>
            </c:numRef>
          </c:val>
          <c:extLst>
            <c:ext xmlns:c16="http://schemas.microsoft.com/office/drawing/2014/chart" uri="{C3380CC4-5D6E-409C-BE32-E72D297353CC}">
              <c16:uniqueId val="{00000001-55AC-46D8-8267-056F49988FD7}"/>
            </c:ext>
          </c:extLst>
        </c:ser>
        <c:ser>
          <c:idx val="3"/>
          <c:order val="3"/>
          <c:tx>
            <c:strRef>
              <c:f>'Load Distrib'!$G$5</c:f>
              <c:strCache>
                <c:ptCount val="1"/>
                <c:pt idx="0">
                  <c:v>Lifting</c:v>
                </c:pt>
              </c:strCache>
            </c:strRef>
          </c:tx>
          <c:spPr>
            <a:solidFill>
              <a:schemeClr val="accent4"/>
            </a:solidFill>
            <a:ln>
              <a:solidFill>
                <a:schemeClr val="bg1">
                  <a:lumMod val="50000"/>
                </a:schemeClr>
              </a:solidFill>
            </a:ln>
            <a:effectLst/>
          </c:spPr>
          <c:invertIfNegative val="0"/>
          <c:cat>
            <c:numRef>
              <c:f>'Load Distrib'!FEM_x</c:f>
              <c:numCache>
                <c:formatCode>#\ ##0.00" m";\-#\ ##0.00" m";0.00" m";@</c:formatCode>
                <c:ptCount val="121"/>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pt idx="15">
                  <c:v>7.5</c:v>
                </c:pt>
                <c:pt idx="16">
                  <c:v>8</c:v>
                </c:pt>
                <c:pt idx="17">
                  <c:v>8.5</c:v>
                </c:pt>
                <c:pt idx="18">
                  <c:v>9</c:v>
                </c:pt>
                <c:pt idx="19">
                  <c:v>9.5</c:v>
                </c:pt>
                <c:pt idx="20">
                  <c:v>10</c:v>
                </c:pt>
                <c:pt idx="21">
                  <c:v>10.5</c:v>
                </c:pt>
                <c:pt idx="22">
                  <c:v>11</c:v>
                </c:pt>
                <c:pt idx="23">
                  <c:v>11.5</c:v>
                </c:pt>
                <c:pt idx="24">
                  <c:v>12</c:v>
                </c:pt>
                <c:pt idx="25">
                  <c:v>12.5</c:v>
                </c:pt>
                <c:pt idx="26">
                  <c:v>13</c:v>
                </c:pt>
                <c:pt idx="27">
                  <c:v>13.5</c:v>
                </c:pt>
                <c:pt idx="28">
                  <c:v>14</c:v>
                </c:pt>
                <c:pt idx="29">
                  <c:v>14.5</c:v>
                </c:pt>
                <c:pt idx="30">
                  <c:v>15</c:v>
                </c:pt>
                <c:pt idx="31">
                  <c:v>15.5</c:v>
                </c:pt>
                <c:pt idx="32">
                  <c:v>16</c:v>
                </c:pt>
                <c:pt idx="33">
                  <c:v>16.5</c:v>
                </c:pt>
                <c:pt idx="34">
                  <c:v>17</c:v>
                </c:pt>
                <c:pt idx="35">
                  <c:v>17.5</c:v>
                </c:pt>
                <c:pt idx="36">
                  <c:v>18</c:v>
                </c:pt>
                <c:pt idx="37">
                  <c:v>18.5</c:v>
                </c:pt>
                <c:pt idx="38">
                  <c:v>19</c:v>
                </c:pt>
                <c:pt idx="39">
                  <c:v>19.5</c:v>
                </c:pt>
                <c:pt idx="40">
                  <c:v>20</c:v>
                </c:pt>
                <c:pt idx="41">
                  <c:v>20.5</c:v>
                </c:pt>
                <c:pt idx="42">
                  <c:v>21</c:v>
                </c:pt>
                <c:pt idx="43">
                  <c:v>21.5</c:v>
                </c:pt>
                <c:pt idx="44">
                  <c:v>22</c:v>
                </c:pt>
                <c:pt idx="45">
                  <c:v>22.5</c:v>
                </c:pt>
                <c:pt idx="46">
                  <c:v>23</c:v>
                </c:pt>
                <c:pt idx="47">
                  <c:v>23.5</c:v>
                </c:pt>
                <c:pt idx="48">
                  <c:v>24</c:v>
                </c:pt>
                <c:pt idx="49">
                  <c:v>24.5</c:v>
                </c:pt>
                <c:pt idx="50">
                  <c:v>25</c:v>
                </c:pt>
                <c:pt idx="51">
                  <c:v>25.5</c:v>
                </c:pt>
                <c:pt idx="52">
                  <c:v>26</c:v>
                </c:pt>
                <c:pt idx="53">
                  <c:v>26.5</c:v>
                </c:pt>
                <c:pt idx="54">
                  <c:v>27</c:v>
                </c:pt>
                <c:pt idx="55">
                  <c:v>27.5</c:v>
                </c:pt>
                <c:pt idx="56">
                  <c:v>28</c:v>
                </c:pt>
                <c:pt idx="57">
                  <c:v>28.5</c:v>
                </c:pt>
                <c:pt idx="58">
                  <c:v>29</c:v>
                </c:pt>
                <c:pt idx="59">
                  <c:v>29.5</c:v>
                </c:pt>
                <c:pt idx="60">
                  <c:v>30</c:v>
                </c:pt>
                <c:pt idx="61">
                  <c:v>30.5</c:v>
                </c:pt>
                <c:pt idx="62">
                  <c:v>31</c:v>
                </c:pt>
                <c:pt idx="63">
                  <c:v>31.5</c:v>
                </c:pt>
                <c:pt idx="64">
                  <c:v>32</c:v>
                </c:pt>
                <c:pt idx="65">
                  <c:v>32.5</c:v>
                </c:pt>
                <c:pt idx="66">
                  <c:v>33</c:v>
                </c:pt>
                <c:pt idx="67">
                  <c:v>33.5</c:v>
                </c:pt>
                <c:pt idx="68">
                  <c:v>34</c:v>
                </c:pt>
                <c:pt idx="69">
                  <c:v>34.5</c:v>
                </c:pt>
                <c:pt idx="70">
                  <c:v>35</c:v>
                </c:pt>
                <c:pt idx="71">
                  <c:v>35.5</c:v>
                </c:pt>
                <c:pt idx="72">
                  <c:v>36</c:v>
                </c:pt>
                <c:pt idx="73">
                  <c:v>36.5</c:v>
                </c:pt>
                <c:pt idx="74">
                  <c:v>37</c:v>
                </c:pt>
                <c:pt idx="75">
                  <c:v>37.5</c:v>
                </c:pt>
                <c:pt idx="76">
                  <c:v>38</c:v>
                </c:pt>
                <c:pt idx="77">
                  <c:v>38.5</c:v>
                </c:pt>
                <c:pt idx="78">
                  <c:v>39</c:v>
                </c:pt>
                <c:pt idx="79">
                  <c:v>39.5</c:v>
                </c:pt>
                <c:pt idx="80">
                  <c:v>40</c:v>
                </c:pt>
                <c:pt idx="81">
                  <c:v>40.5</c:v>
                </c:pt>
                <c:pt idx="82">
                  <c:v>41</c:v>
                </c:pt>
                <c:pt idx="83">
                  <c:v>41.5</c:v>
                </c:pt>
                <c:pt idx="84">
                  <c:v>42</c:v>
                </c:pt>
                <c:pt idx="85">
                  <c:v>42.5</c:v>
                </c:pt>
                <c:pt idx="86">
                  <c:v>43</c:v>
                </c:pt>
                <c:pt idx="87">
                  <c:v>43.5</c:v>
                </c:pt>
                <c:pt idx="88">
                  <c:v>44</c:v>
                </c:pt>
                <c:pt idx="89">
                  <c:v>44.5</c:v>
                </c:pt>
                <c:pt idx="90">
                  <c:v>45</c:v>
                </c:pt>
                <c:pt idx="91">
                  <c:v>45.5</c:v>
                </c:pt>
                <c:pt idx="92">
                  <c:v>46</c:v>
                </c:pt>
                <c:pt idx="93">
                  <c:v>46.5</c:v>
                </c:pt>
                <c:pt idx="94">
                  <c:v>47</c:v>
                </c:pt>
                <c:pt idx="95">
                  <c:v>47.5</c:v>
                </c:pt>
                <c:pt idx="96">
                  <c:v>48</c:v>
                </c:pt>
                <c:pt idx="97">
                  <c:v>48.5</c:v>
                </c:pt>
                <c:pt idx="98">
                  <c:v>49</c:v>
                </c:pt>
                <c:pt idx="99">
                  <c:v>49.5</c:v>
                </c:pt>
                <c:pt idx="100">
                  <c:v>50</c:v>
                </c:pt>
                <c:pt idx="101">
                  <c:v>50.5</c:v>
                </c:pt>
                <c:pt idx="102">
                  <c:v>51</c:v>
                </c:pt>
                <c:pt idx="103">
                  <c:v>51.5</c:v>
                </c:pt>
                <c:pt idx="104">
                  <c:v>52</c:v>
                </c:pt>
                <c:pt idx="105">
                  <c:v>52.5</c:v>
                </c:pt>
                <c:pt idx="106">
                  <c:v>53</c:v>
                </c:pt>
                <c:pt idx="107">
                  <c:v>53.5</c:v>
                </c:pt>
                <c:pt idx="108">
                  <c:v>54</c:v>
                </c:pt>
                <c:pt idx="109">
                  <c:v>54.5</c:v>
                </c:pt>
                <c:pt idx="110">
                  <c:v>55</c:v>
                </c:pt>
                <c:pt idx="111">
                  <c:v>55.5</c:v>
                </c:pt>
                <c:pt idx="112">
                  <c:v>56</c:v>
                </c:pt>
                <c:pt idx="113">
                  <c:v>56.5</c:v>
                </c:pt>
                <c:pt idx="114">
                  <c:v>57</c:v>
                </c:pt>
                <c:pt idx="115">
                  <c:v>57.5</c:v>
                </c:pt>
                <c:pt idx="116">
                  <c:v>58</c:v>
                </c:pt>
                <c:pt idx="117">
                  <c:v>58.5</c:v>
                </c:pt>
                <c:pt idx="118">
                  <c:v>59</c:v>
                </c:pt>
                <c:pt idx="119">
                  <c:v>59.5</c:v>
                </c:pt>
                <c:pt idx="120">
                  <c:v>60</c:v>
                </c:pt>
              </c:numCache>
            </c:numRef>
          </c:cat>
          <c:val>
            <c:numRef>
              <c:f>'Load Distrib'!FEM_Lifting</c:f>
              <c:numCache>
                <c:formatCode>#\ ##0.000" t";\-#\ ##0.000" t";\-;@</c:formatCode>
                <c:ptCount val="1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numCache>
            </c:numRef>
          </c:val>
          <c:extLst>
            <c:ext xmlns:c16="http://schemas.microsoft.com/office/drawing/2014/chart" uri="{C3380CC4-5D6E-409C-BE32-E72D297353CC}">
              <c16:uniqueId val="{00000002-55AC-46D8-8267-056F49988FD7}"/>
            </c:ext>
          </c:extLst>
        </c:ser>
        <c:ser>
          <c:idx val="4"/>
          <c:order val="4"/>
          <c:tx>
            <c:strRef>
              <c:f>'Load Distrib'!$H$5</c:f>
              <c:strCache>
                <c:ptCount val="1"/>
                <c:pt idx="0">
                  <c:v>Additionals</c:v>
                </c:pt>
              </c:strCache>
            </c:strRef>
          </c:tx>
          <c:spPr>
            <a:solidFill>
              <a:schemeClr val="accent5"/>
            </a:solidFill>
            <a:ln>
              <a:solidFill>
                <a:schemeClr val="bg1">
                  <a:lumMod val="50000"/>
                </a:schemeClr>
              </a:solidFill>
            </a:ln>
            <a:effectLst/>
          </c:spPr>
          <c:invertIfNegative val="0"/>
          <c:cat>
            <c:numRef>
              <c:f>'Load Distrib'!FEM_x</c:f>
              <c:numCache>
                <c:formatCode>#\ ##0.00" m";\-#\ ##0.00" m";0.00" m";@</c:formatCode>
                <c:ptCount val="121"/>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pt idx="15">
                  <c:v>7.5</c:v>
                </c:pt>
                <c:pt idx="16">
                  <c:v>8</c:v>
                </c:pt>
                <c:pt idx="17">
                  <c:v>8.5</c:v>
                </c:pt>
                <c:pt idx="18">
                  <c:v>9</c:v>
                </c:pt>
                <c:pt idx="19">
                  <c:v>9.5</c:v>
                </c:pt>
                <c:pt idx="20">
                  <c:v>10</c:v>
                </c:pt>
                <c:pt idx="21">
                  <c:v>10.5</c:v>
                </c:pt>
                <c:pt idx="22">
                  <c:v>11</c:v>
                </c:pt>
                <c:pt idx="23">
                  <c:v>11.5</c:v>
                </c:pt>
                <c:pt idx="24">
                  <c:v>12</c:v>
                </c:pt>
                <c:pt idx="25">
                  <c:v>12.5</c:v>
                </c:pt>
                <c:pt idx="26">
                  <c:v>13</c:v>
                </c:pt>
                <c:pt idx="27">
                  <c:v>13.5</c:v>
                </c:pt>
                <c:pt idx="28">
                  <c:v>14</c:v>
                </c:pt>
                <c:pt idx="29">
                  <c:v>14.5</c:v>
                </c:pt>
                <c:pt idx="30">
                  <c:v>15</c:v>
                </c:pt>
                <c:pt idx="31">
                  <c:v>15.5</c:v>
                </c:pt>
                <c:pt idx="32">
                  <c:v>16</c:v>
                </c:pt>
                <c:pt idx="33">
                  <c:v>16.5</c:v>
                </c:pt>
                <c:pt idx="34">
                  <c:v>17</c:v>
                </c:pt>
                <c:pt idx="35">
                  <c:v>17.5</c:v>
                </c:pt>
                <c:pt idx="36">
                  <c:v>18</c:v>
                </c:pt>
                <c:pt idx="37">
                  <c:v>18.5</c:v>
                </c:pt>
                <c:pt idx="38">
                  <c:v>19</c:v>
                </c:pt>
                <c:pt idx="39">
                  <c:v>19.5</c:v>
                </c:pt>
                <c:pt idx="40">
                  <c:v>20</c:v>
                </c:pt>
                <c:pt idx="41">
                  <c:v>20.5</c:v>
                </c:pt>
                <c:pt idx="42">
                  <c:v>21</c:v>
                </c:pt>
                <c:pt idx="43">
                  <c:v>21.5</c:v>
                </c:pt>
                <c:pt idx="44">
                  <c:v>22</c:v>
                </c:pt>
                <c:pt idx="45">
                  <c:v>22.5</c:v>
                </c:pt>
                <c:pt idx="46">
                  <c:v>23</c:v>
                </c:pt>
                <c:pt idx="47">
                  <c:v>23.5</c:v>
                </c:pt>
                <c:pt idx="48">
                  <c:v>24</c:v>
                </c:pt>
                <c:pt idx="49">
                  <c:v>24.5</c:v>
                </c:pt>
                <c:pt idx="50">
                  <c:v>25</c:v>
                </c:pt>
                <c:pt idx="51">
                  <c:v>25.5</c:v>
                </c:pt>
                <c:pt idx="52">
                  <c:v>26</c:v>
                </c:pt>
                <c:pt idx="53">
                  <c:v>26.5</c:v>
                </c:pt>
                <c:pt idx="54">
                  <c:v>27</c:v>
                </c:pt>
                <c:pt idx="55">
                  <c:v>27.5</c:v>
                </c:pt>
                <c:pt idx="56">
                  <c:v>28</c:v>
                </c:pt>
                <c:pt idx="57">
                  <c:v>28.5</c:v>
                </c:pt>
                <c:pt idx="58">
                  <c:v>29</c:v>
                </c:pt>
                <c:pt idx="59">
                  <c:v>29.5</c:v>
                </c:pt>
                <c:pt idx="60">
                  <c:v>30</c:v>
                </c:pt>
                <c:pt idx="61">
                  <c:v>30.5</c:v>
                </c:pt>
                <c:pt idx="62">
                  <c:v>31</c:v>
                </c:pt>
                <c:pt idx="63">
                  <c:v>31.5</c:v>
                </c:pt>
                <c:pt idx="64">
                  <c:v>32</c:v>
                </c:pt>
                <c:pt idx="65">
                  <c:v>32.5</c:v>
                </c:pt>
                <c:pt idx="66">
                  <c:v>33</c:v>
                </c:pt>
                <c:pt idx="67">
                  <c:v>33.5</c:v>
                </c:pt>
                <c:pt idx="68">
                  <c:v>34</c:v>
                </c:pt>
                <c:pt idx="69">
                  <c:v>34.5</c:v>
                </c:pt>
                <c:pt idx="70">
                  <c:v>35</c:v>
                </c:pt>
                <c:pt idx="71">
                  <c:v>35.5</c:v>
                </c:pt>
                <c:pt idx="72">
                  <c:v>36</c:v>
                </c:pt>
                <c:pt idx="73">
                  <c:v>36.5</c:v>
                </c:pt>
                <c:pt idx="74">
                  <c:v>37</c:v>
                </c:pt>
                <c:pt idx="75">
                  <c:v>37.5</c:v>
                </c:pt>
                <c:pt idx="76">
                  <c:v>38</c:v>
                </c:pt>
                <c:pt idx="77">
                  <c:v>38.5</c:v>
                </c:pt>
                <c:pt idx="78">
                  <c:v>39</c:v>
                </c:pt>
                <c:pt idx="79">
                  <c:v>39.5</c:v>
                </c:pt>
                <c:pt idx="80">
                  <c:v>40</c:v>
                </c:pt>
                <c:pt idx="81">
                  <c:v>40.5</c:v>
                </c:pt>
                <c:pt idx="82">
                  <c:v>41</c:v>
                </c:pt>
                <c:pt idx="83">
                  <c:v>41.5</c:v>
                </c:pt>
                <c:pt idx="84">
                  <c:v>42</c:v>
                </c:pt>
                <c:pt idx="85">
                  <c:v>42.5</c:v>
                </c:pt>
                <c:pt idx="86">
                  <c:v>43</c:v>
                </c:pt>
                <c:pt idx="87">
                  <c:v>43.5</c:v>
                </c:pt>
                <c:pt idx="88">
                  <c:v>44</c:v>
                </c:pt>
                <c:pt idx="89">
                  <c:v>44.5</c:v>
                </c:pt>
                <c:pt idx="90">
                  <c:v>45</c:v>
                </c:pt>
                <c:pt idx="91">
                  <c:v>45.5</c:v>
                </c:pt>
                <c:pt idx="92">
                  <c:v>46</c:v>
                </c:pt>
                <c:pt idx="93">
                  <c:v>46.5</c:v>
                </c:pt>
                <c:pt idx="94">
                  <c:v>47</c:v>
                </c:pt>
                <c:pt idx="95">
                  <c:v>47.5</c:v>
                </c:pt>
                <c:pt idx="96">
                  <c:v>48</c:v>
                </c:pt>
                <c:pt idx="97">
                  <c:v>48.5</c:v>
                </c:pt>
                <c:pt idx="98">
                  <c:v>49</c:v>
                </c:pt>
                <c:pt idx="99">
                  <c:v>49.5</c:v>
                </c:pt>
                <c:pt idx="100">
                  <c:v>50</c:v>
                </c:pt>
                <c:pt idx="101">
                  <c:v>50.5</c:v>
                </c:pt>
                <c:pt idx="102">
                  <c:v>51</c:v>
                </c:pt>
                <c:pt idx="103">
                  <c:v>51.5</c:v>
                </c:pt>
                <c:pt idx="104">
                  <c:v>52</c:v>
                </c:pt>
                <c:pt idx="105">
                  <c:v>52.5</c:v>
                </c:pt>
                <c:pt idx="106">
                  <c:v>53</c:v>
                </c:pt>
                <c:pt idx="107">
                  <c:v>53.5</c:v>
                </c:pt>
                <c:pt idx="108">
                  <c:v>54</c:v>
                </c:pt>
                <c:pt idx="109">
                  <c:v>54.5</c:v>
                </c:pt>
                <c:pt idx="110">
                  <c:v>55</c:v>
                </c:pt>
                <c:pt idx="111">
                  <c:v>55.5</c:v>
                </c:pt>
                <c:pt idx="112">
                  <c:v>56</c:v>
                </c:pt>
                <c:pt idx="113">
                  <c:v>56.5</c:v>
                </c:pt>
                <c:pt idx="114">
                  <c:v>57</c:v>
                </c:pt>
                <c:pt idx="115">
                  <c:v>57.5</c:v>
                </c:pt>
                <c:pt idx="116">
                  <c:v>58</c:v>
                </c:pt>
                <c:pt idx="117">
                  <c:v>58.5</c:v>
                </c:pt>
                <c:pt idx="118">
                  <c:v>59</c:v>
                </c:pt>
                <c:pt idx="119">
                  <c:v>59.5</c:v>
                </c:pt>
                <c:pt idx="120">
                  <c:v>60</c:v>
                </c:pt>
              </c:numCache>
            </c:numRef>
          </c:cat>
          <c:val>
            <c:numRef>
              <c:f>'Load Distrib'!FEM_Additionals</c:f>
              <c:numCache>
                <c:formatCode>#\ ##0.000" t";\-#\ ##0.000" t";\-;@</c:formatCode>
                <c:ptCount val="121"/>
                <c:pt idx="0">
                  <c:v>0</c:v>
                </c:pt>
                <c:pt idx="1">
                  <c:v>4.166666666666667</c:v>
                </c:pt>
                <c:pt idx="2">
                  <c:v>4.166666666666667</c:v>
                </c:pt>
                <c:pt idx="3">
                  <c:v>4.166666666666667</c:v>
                </c:pt>
                <c:pt idx="4">
                  <c:v>4.166666666666667</c:v>
                </c:pt>
                <c:pt idx="5">
                  <c:v>4.166666666666667</c:v>
                </c:pt>
                <c:pt idx="6">
                  <c:v>4.166666666666667</c:v>
                </c:pt>
                <c:pt idx="7">
                  <c:v>4.166666666666667</c:v>
                </c:pt>
                <c:pt idx="8">
                  <c:v>4.166666666666667</c:v>
                </c:pt>
                <c:pt idx="9">
                  <c:v>4.166666666666667</c:v>
                </c:pt>
                <c:pt idx="10">
                  <c:v>4.166666666666667</c:v>
                </c:pt>
                <c:pt idx="11">
                  <c:v>4.166666666666667</c:v>
                </c:pt>
                <c:pt idx="12">
                  <c:v>4.166666666666667</c:v>
                </c:pt>
                <c:pt idx="13">
                  <c:v>4.166666666666667</c:v>
                </c:pt>
                <c:pt idx="14">
                  <c:v>4.166666666666667</c:v>
                </c:pt>
                <c:pt idx="15">
                  <c:v>4.166666666666667</c:v>
                </c:pt>
                <c:pt idx="16">
                  <c:v>4.166666666666667</c:v>
                </c:pt>
                <c:pt idx="17">
                  <c:v>4.166666666666667</c:v>
                </c:pt>
                <c:pt idx="18">
                  <c:v>4.166666666666667</c:v>
                </c:pt>
                <c:pt idx="19">
                  <c:v>4.166666666666667</c:v>
                </c:pt>
                <c:pt idx="20">
                  <c:v>4.166666666666667</c:v>
                </c:pt>
                <c:pt idx="21">
                  <c:v>4.166666666666667</c:v>
                </c:pt>
                <c:pt idx="22">
                  <c:v>4.166666666666667</c:v>
                </c:pt>
                <c:pt idx="23">
                  <c:v>4.166666666666667</c:v>
                </c:pt>
                <c:pt idx="24">
                  <c:v>4.166666666666667</c:v>
                </c:pt>
                <c:pt idx="25">
                  <c:v>4.166666666666667</c:v>
                </c:pt>
                <c:pt idx="26">
                  <c:v>4.166666666666667</c:v>
                </c:pt>
                <c:pt idx="27">
                  <c:v>4.166666666666667</c:v>
                </c:pt>
                <c:pt idx="28">
                  <c:v>4.166666666666667</c:v>
                </c:pt>
                <c:pt idx="29">
                  <c:v>4.166666666666667</c:v>
                </c:pt>
                <c:pt idx="30">
                  <c:v>4.166666666666667</c:v>
                </c:pt>
                <c:pt idx="31">
                  <c:v>4.166666666666667</c:v>
                </c:pt>
                <c:pt idx="32">
                  <c:v>4.166666666666667</c:v>
                </c:pt>
                <c:pt idx="33">
                  <c:v>4.166666666666667</c:v>
                </c:pt>
                <c:pt idx="34">
                  <c:v>4.166666666666667</c:v>
                </c:pt>
                <c:pt idx="35">
                  <c:v>4.166666666666667</c:v>
                </c:pt>
                <c:pt idx="36">
                  <c:v>4.166666666666667</c:v>
                </c:pt>
                <c:pt idx="37">
                  <c:v>4.166666666666667</c:v>
                </c:pt>
                <c:pt idx="38">
                  <c:v>4.166666666666667</c:v>
                </c:pt>
                <c:pt idx="39">
                  <c:v>4.166666666666667</c:v>
                </c:pt>
                <c:pt idx="40">
                  <c:v>4.166666666666667</c:v>
                </c:pt>
                <c:pt idx="41">
                  <c:v>4.166666666666667</c:v>
                </c:pt>
                <c:pt idx="42">
                  <c:v>4.166666666666667</c:v>
                </c:pt>
                <c:pt idx="43">
                  <c:v>4.166666666666667</c:v>
                </c:pt>
                <c:pt idx="44">
                  <c:v>4.166666666666667</c:v>
                </c:pt>
                <c:pt idx="45">
                  <c:v>4.166666666666667</c:v>
                </c:pt>
                <c:pt idx="46">
                  <c:v>4.166666666666667</c:v>
                </c:pt>
                <c:pt idx="47">
                  <c:v>4.166666666666667</c:v>
                </c:pt>
                <c:pt idx="48">
                  <c:v>4.166666666666667</c:v>
                </c:pt>
                <c:pt idx="49">
                  <c:v>4.166666666666667</c:v>
                </c:pt>
                <c:pt idx="50">
                  <c:v>4.166666666666667</c:v>
                </c:pt>
                <c:pt idx="51">
                  <c:v>4.166666666666667</c:v>
                </c:pt>
                <c:pt idx="52">
                  <c:v>4.166666666666667</c:v>
                </c:pt>
                <c:pt idx="53">
                  <c:v>4.166666666666667</c:v>
                </c:pt>
                <c:pt idx="54">
                  <c:v>4.166666666666667</c:v>
                </c:pt>
                <c:pt idx="55">
                  <c:v>4.166666666666667</c:v>
                </c:pt>
                <c:pt idx="56">
                  <c:v>4.166666666666667</c:v>
                </c:pt>
                <c:pt idx="57">
                  <c:v>4.166666666666667</c:v>
                </c:pt>
                <c:pt idx="58">
                  <c:v>4.166666666666667</c:v>
                </c:pt>
                <c:pt idx="59">
                  <c:v>4.166666666666667</c:v>
                </c:pt>
                <c:pt idx="60">
                  <c:v>4.166666666666667</c:v>
                </c:pt>
                <c:pt idx="61">
                  <c:v>4.166666666666667</c:v>
                </c:pt>
                <c:pt idx="62">
                  <c:v>4.166666666666667</c:v>
                </c:pt>
                <c:pt idx="63">
                  <c:v>4.166666666666667</c:v>
                </c:pt>
                <c:pt idx="64">
                  <c:v>4.166666666666667</c:v>
                </c:pt>
                <c:pt idx="65">
                  <c:v>4.166666666666667</c:v>
                </c:pt>
                <c:pt idx="66">
                  <c:v>4.166666666666667</c:v>
                </c:pt>
                <c:pt idx="67">
                  <c:v>4.166666666666667</c:v>
                </c:pt>
                <c:pt idx="68">
                  <c:v>4.166666666666667</c:v>
                </c:pt>
                <c:pt idx="69">
                  <c:v>4.166666666666667</c:v>
                </c:pt>
                <c:pt idx="70">
                  <c:v>4.166666666666667</c:v>
                </c:pt>
                <c:pt idx="71">
                  <c:v>4.166666666666667</c:v>
                </c:pt>
                <c:pt idx="72">
                  <c:v>4.166666666666667</c:v>
                </c:pt>
                <c:pt idx="73">
                  <c:v>4.166666666666667</c:v>
                </c:pt>
                <c:pt idx="74">
                  <c:v>4.166666666666667</c:v>
                </c:pt>
                <c:pt idx="75">
                  <c:v>4.166666666666667</c:v>
                </c:pt>
                <c:pt idx="76">
                  <c:v>4.166666666666667</c:v>
                </c:pt>
                <c:pt idx="77">
                  <c:v>4.166666666666667</c:v>
                </c:pt>
                <c:pt idx="78">
                  <c:v>4.166666666666667</c:v>
                </c:pt>
                <c:pt idx="79">
                  <c:v>4.166666666666667</c:v>
                </c:pt>
                <c:pt idx="80">
                  <c:v>4.166666666666667</c:v>
                </c:pt>
                <c:pt idx="81">
                  <c:v>4.166666666666667</c:v>
                </c:pt>
                <c:pt idx="82">
                  <c:v>4.166666666666667</c:v>
                </c:pt>
                <c:pt idx="83">
                  <c:v>4.166666666666667</c:v>
                </c:pt>
                <c:pt idx="84">
                  <c:v>4.166666666666667</c:v>
                </c:pt>
                <c:pt idx="85">
                  <c:v>4.166666666666667</c:v>
                </c:pt>
                <c:pt idx="86">
                  <c:v>4.166666666666667</c:v>
                </c:pt>
                <c:pt idx="87">
                  <c:v>4.166666666666667</c:v>
                </c:pt>
                <c:pt idx="88">
                  <c:v>4.166666666666667</c:v>
                </c:pt>
                <c:pt idx="89">
                  <c:v>4.166666666666667</c:v>
                </c:pt>
                <c:pt idx="90">
                  <c:v>4.166666666666667</c:v>
                </c:pt>
                <c:pt idx="91">
                  <c:v>4.166666666666667</c:v>
                </c:pt>
                <c:pt idx="92">
                  <c:v>4.166666666666667</c:v>
                </c:pt>
                <c:pt idx="93">
                  <c:v>4.166666666666667</c:v>
                </c:pt>
                <c:pt idx="94">
                  <c:v>4.166666666666667</c:v>
                </c:pt>
                <c:pt idx="95">
                  <c:v>4.166666666666667</c:v>
                </c:pt>
                <c:pt idx="96">
                  <c:v>4.166666666666667</c:v>
                </c:pt>
                <c:pt idx="97">
                  <c:v>4.166666666666667</c:v>
                </c:pt>
                <c:pt idx="98">
                  <c:v>4.166666666666667</c:v>
                </c:pt>
                <c:pt idx="99">
                  <c:v>4.166666666666667</c:v>
                </c:pt>
                <c:pt idx="100">
                  <c:v>4.166666666666667</c:v>
                </c:pt>
                <c:pt idx="101">
                  <c:v>4.166666666666667</c:v>
                </c:pt>
                <c:pt idx="102">
                  <c:v>4.166666666666667</c:v>
                </c:pt>
                <c:pt idx="103">
                  <c:v>4.166666666666667</c:v>
                </c:pt>
                <c:pt idx="104">
                  <c:v>4.166666666666667</c:v>
                </c:pt>
                <c:pt idx="105">
                  <c:v>4.166666666666667</c:v>
                </c:pt>
                <c:pt idx="106">
                  <c:v>4.166666666666667</c:v>
                </c:pt>
                <c:pt idx="107">
                  <c:v>4.166666666666667</c:v>
                </c:pt>
                <c:pt idx="108">
                  <c:v>4.166666666666667</c:v>
                </c:pt>
                <c:pt idx="109">
                  <c:v>4.166666666666667</c:v>
                </c:pt>
                <c:pt idx="110">
                  <c:v>4.166666666666667</c:v>
                </c:pt>
                <c:pt idx="111">
                  <c:v>4.166666666666667</c:v>
                </c:pt>
                <c:pt idx="112">
                  <c:v>4.166666666666667</c:v>
                </c:pt>
                <c:pt idx="113">
                  <c:v>4.166666666666667</c:v>
                </c:pt>
                <c:pt idx="114">
                  <c:v>4.166666666666667</c:v>
                </c:pt>
                <c:pt idx="115">
                  <c:v>4.166666666666667</c:v>
                </c:pt>
                <c:pt idx="116">
                  <c:v>4.166666666666667</c:v>
                </c:pt>
                <c:pt idx="117">
                  <c:v>4.166666666666667</c:v>
                </c:pt>
                <c:pt idx="118">
                  <c:v>4.166666666666667</c:v>
                </c:pt>
                <c:pt idx="119">
                  <c:v>4.166666666666667</c:v>
                </c:pt>
                <c:pt idx="120">
                  <c:v>4.166666666666667</c:v>
                </c:pt>
              </c:numCache>
            </c:numRef>
          </c:val>
          <c:extLst>
            <c:ext xmlns:c16="http://schemas.microsoft.com/office/drawing/2014/chart" uri="{C3380CC4-5D6E-409C-BE32-E72D297353CC}">
              <c16:uniqueId val="{00000003-55AC-46D8-8267-056F49988FD7}"/>
            </c:ext>
          </c:extLst>
        </c:ser>
        <c:ser>
          <c:idx val="5"/>
          <c:order val="5"/>
          <c:tx>
            <c:strRef>
              <c:f>'Load Distrib'!$I$5</c:f>
              <c:strCache>
                <c:ptCount val="1"/>
                <c:pt idx="0">
                  <c:v>Deck tanks</c:v>
                </c:pt>
              </c:strCache>
            </c:strRef>
          </c:tx>
          <c:spPr>
            <a:solidFill>
              <a:schemeClr val="accent6"/>
            </a:solidFill>
            <a:ln>
              <a:solidFill>
                <a:schemeClr val="bg1">
                  <a:lumMod val="50000"/>
                </a:schemeClr>
              </a:solidFill>
            </a:ln>
            <a:effectLst/>
          </c:spPr>
          <c:invertIfNegative val="0"/>
          <c:cat>
            <c:numRef>
              <c:f>'Load Distrib'!FEM_x</c:f>
              <c:numCache>
                <c:formatCode>#\ ##0.00" m";\-#\ ##0.00" m";0.00" m";@</c:formatCode>
                <c:ptCount val="121"/>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pt idx="15">
                  <c:v>7.5</c:v>
                </c:pt>
                <c:pt idx="16">
                  <c:v>8</c:v>
                </c:pt>
                <c:pt idx="17">
                  <c:v>8.5</c:v>
                </c:pt>
                <c:pt idx="18">
                  <c:v>9</c:v>
                </c:pt>
                <c:pt idx="19">
                  <c:v>9.5</c:v>
                </c:pt>
                <c:pt idx="20">
                  <c:v>10</c:v>
                </c:pt>
                <c:pt idx="21">
                  <c:v>10.5</c:v>
                </c:pt>
                <c:pt idx="22">
                  <c:v>11</c:v>
                </c:pt>
                <c:pt idx="23">
                  <c:v>11.5</c:v>
                </c:pt>
                <c:pt idx="24">
                  <c:v>12</c:v>
                </c:pt>
                <c:pt idx="25">
                  <c:v>12.5</c:v>
                </c:pt>
                <c:pt idx="26">
                  <c:v>13</c:v>
                </c:pt>
                <c:pt idx="27">
                  <c:v>13.5</c:v>
                </c:pt>
                <c:pt idx="28">
                  <c:v>14</c:v>
                </c:pt>
                <c:pt idx="29">
                  <c:v>14.5</c:v>
                </c:pt>
                <c:pt idx="30">
                  <c:v>15</c:v>
                </c:pt>
                <c:pt idx="31">
                  <c:v>15.5</c:v>
                </c:pt>
                <c:pt idx="32">
                  <c:v>16</c:v>
                </c:pt>
                <c:pt idx="33">
                  <c:v>16.5</c:v>
                </c:pt>
                <c:pt idx="34">
                  <c:v>17</c:v>
                </c:pt>
                <c:pt idx="35">
                  <c:v>17.5</c:v>
                </c:pt>
                <c:pt idx="36">
                  <c:v>18</c:v>
                </c:pt>
                <c:pt idx="37">
                  <c:v>18.5</c:v>
                </c:pt>
                <c:pt idx="38">
                  <c:v>19</c:v>
                </c:pt>
                <c:pt idx="39">
                  <c:v>19.5</c:v>
                </c:pt>
                <c:pt idx="40">
                  <c:v>20</c:v>
                </c:pt>
                <c:pt idx="41">
                  <c:v>20.5</c:v>
                </c:pt>
                <c:pt idx="42">
                  <c:v>21</c:v>
                </c:pt>
                <c:pt idx="43">
                  <c:v>21.5</c:v>
                </c:pt>
                <c:pt idx="44">
                  <c:v>22</c:v>
                </c:pt>
                <c:pt idx="45">
                  <c:v>22.5</c:v>
                </c:pt>
                <c:pt idx="46">
                  <c:v>23</c:v>
                </c:pt>
                <c:pt idx="47">
                  <c:v>23.5</c:v>
                </c:pt>
                <c:pt idx="48">
                  <c:v>24</c:v>
                </c:pt>
                <c:pt idx="49">
                  <c:v>24.5</c:v>
                </c:pt>
                <c:pt idx="50">
                  <c:v>25</c:v>
                </c:pt>
                <c:pt idx="51">
                  <c:v>25.5</c:v>
                </c:pt>
                <c:pt idx="52">
                  <c:v>26</c:v>
                </c:pt>
                <c:pt idx="53">
                  <c:v>26.5</c:v>
                </c:pt>
                <c:pt idx="54">
                  <c:v>27</c:v>
                </c:pt>
                <c:pt idx="55">
                  <c:v>27.5</c:v>
                </c:pt>
                <c:pt idx="56">
                  <c:v>28</c:v>
                </c:pt>
                <c:pt idx="57">
                  <c:v>28.5</c:v>
                </c:pt>
                <c:pt idx="58">
                  <c:v>29</c:v>
                </c:pt>
                <c:pt idx="59">
                  <c:v>29.5</c:v>
                </c:pt>
                <c:pt idx="60">
                  <c:v>30</c:v>
                </c:pt>
                <c:pt idx="61">
                  <c:v>30.5</c:v>
                </c:pt>
                <c:pt idx="62">
                  <c:v>31</c:v>
                </c:pt>
                <c:pt idx="63">
                  <c:v>31.5</c:v>
                </c:pt>
                <c:pt idx="64">
                  <c:v>32</c:v>
                </c:pt>
                <c:pt idx="65">
                  <c:v>32.5</c:v>
                </c:pt>
                <c:pt idx="66">
                  <c:v>33</c:v>
                </c:pt>
                <c:pt idx="67">
                  <c:v>33.5</c:v>
                </c:pt>
                <c:pt idx="68">
                  <c:v>34</c:v>
                </c:pt>
                <c:pt idx="69">
                  <c:v>34.5</c:v>
                </c:pt>
                <c:pt idx="70">
                  <c:v>35</c:v>
                </c:pt>
                <c:pt idx="71">
                  <c:v>35.5</c:v>
                </c:pt>
                <c:pt idx="72">
                  <c:v>36</c:v>
                </c:pt>
                <c:pt idx="73">
                  <c:v>36.5</c:v>
                </c:pt>
                <c:pt idx="74">
                  <c:v>37</c:v>
                </c:pt>
                <c:pt idx="75">
                  <c:v>37.5</c:v>
                </c:pt>
                <c:pt idx="76">
                  <c:v>38</c:v>
                </c:pt>
                <c:pt idx="77">
                  <c:v>38.5</c:v>
                </c:pt>
                <c:pt idx="78">
                  <c:v>39</c:v>
                </c:pt>
                <c:pt idx="79">
                  <c:v>39.5</c:v>
                </c:pt>
                <c:pt idx="80">
                  <c:v>40</c:v>
                </c:pt>
                <c:pt idx="81">
                  <c:v>40.5</c:v>
                </c:pt>
                <c:pt idx="82">
                  <c:v>41</c:v>
                </c:pt>
                <c:pt idx="83">
                  <c:v>41.5</c:v>
                </c:pt>
                <c:pt idx="84">
                  <c:v>42</c:v>
                </c:pt>
                <c:pt idx="85">
                  <c:v>42.5</c:v>
                </c:pt>
                <c:pt idx="86">
                  <c:v>43</c:v>
                </c:pt>
                <c:pt idx="87">
                  <c:v>43.5</c:v>
                </c:pt>
                <c:pt idx="88">
                  <c:v>44</c:v>
                </c:pt>
                <c:pt idx="89">
                  <c:v>44.5</c:v>
                </c:pt>
                <c:pt idx="90">
                  <c:v>45</c:v>
                </c:pt>
                <c:pt idx="91">
                  <c:v>45.5</c:v>
                </c:pt>
                <c:pt idx="92">
                  <c:v>46</c:v>
                </c:pt>
                <c:pt idx="93">
                  <c:v>46.5</c:v>
                </c:pt>
                <c:pt idx="94">
                  <c:v>47</c:v>
                </c:pt>
                <c:pt idx="95">
                  <c:v>47.5</c:v>
                </c:pt>
                <c:pt idx="96">
                  <c:v>48</c:v>
                </c:pt>
                <c:pt idx="97">
                  <c:v>48.5</c:v>
                </c:pt>
                <c:pt idx="98">
                  <c:v>49</c:v>
                </c:pt>
                <c:pt idx="99">
                  <c:v>49.5</c:v>
                </c:pt>
                <c:pt idx="100">
                  <c:v>50</c:v>
                </c:pt>
                <c:pt idx="101">
                  <c:v>50.5</c:v>
                </c:pt>
                <c:pt idx="102">
                  <c:v>51</c:v>
                </c:pt>
                <c:pt idx="103">
                  <c:v>51.5</c:v>
                </c:pt>
                <c:pt idx="104">
                  <c:v>52</c:v>
                </c:pt>
                <c:pt idx="105">
                  <c:v>52.5</c:v>
                </c:pt>
                <c:pt idx="106">
                  <c:v>53</c:v>
                </c:pt>
                <c:pt idx="107">
                  <c:v>53.5</c:v>
                </c:pt>
                <c:pt idx="108">
                  <c:v>54</c:v>
                </c:pt>
                <c:pt idx="109">
                  <c:v>54.5</c:v>
                </c:pt>
                <c:pt idx="110">
                  <c:v>55</c:v>
                </c:pt>
                <c:pt idx="111">
                  <c:v>55.5</c:v>
                </c:pt>
                <c:pt idx="112">
                  <c:v>56</c:v>
                </c:pt>
                <c:pt idx="113">
                  <c:v>56.5</c:v>
                </c:pt>
                <c:pt idx="114">
                  <c:v>57</c:v>
                </c:pt>
                <c:pt idx="115">
                  <c:v>57.5</c:v>
                </c:pt>
                <c:pt idx="116">
                  <c:v>58</c:v>
                </c:pt>
                <c:pt idx="117">
                  <c:v>58.5</c:v>
                </c:pt>
                <c:pt idx="118">
                  <c:v>59</c:v>
                </c:pt>
                <c:pt idx="119">
                  <c:v>59.5</c:v>
                </c:pt>
                <c:pt idx="120">
                  <c:v>60</c:v>
                </c:pt>
              </c:numCache>
            </c:numRef>
          </c:cat>
          <c:val>
            <c:numRef>
              <c:f>'Load Distrib'!FEM_Deck_tanks</c:f>
              <c:numCache>
                <c:formatCode>#\ ##0.000" t";\-#\ ##0.000" t";\-;@</c:formatCode>
                <c:ptCount val="1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numCache>
            </c:numRef>
          </c:val>
          <c:extLst>
            <c:ext xmlns:c16="http://schemas.microsoft.com/office/drawing/2014/chart" uri="{C3380CC4-5D6E-409C-BE32-E72D297353CC}">
              <c16:uniqueId val="{00000004-55AC-46D8-8267-056F49988FD7}"/>
            </c:ext>
          </c:extLst>
        </c:ser>
        <c:dLbls>
          <c:showLegendKey val="0"/>
          <c:showVal val="0"/>
          <c:showCatName val="0"/>
          <c:showSerName val="0"/>
          <c:showPercent val="0"/>
          <c:showBubbleSize val="0"/>
        </c:dLbls>
        <c:gapWidth val="0"/>
        <c:overlap val="100"/>
        <c:axId val="863428176"/>
        <c:axId val="863429160"/>
      </c:barChart>
      <c:lineChart>
        <c:grouping val="standard"/>
        <c:varyColors val="0"/>
        <c:ser>
          <c:idx val="1"/>
          <c:order val="1"/>
          <c:tx>
            <c:strRef>
              <c:f>'Load Distrib'!$T$5</c:f>
              <c:strCache>
                <c:ptCount val="1"/>
                <c:pt idx="0">
                  <c:v>Shearing Force</c:v>
                </c:pt>
              </c:strCache>
            </c:strRef>
          </c:tx>
          <c:spPr>
            <a:ln w="28575" cap="rnd">
              <a:solidFill>
                <a:schemeClr val="accent2"/>
              </a:solidFill>
              <a:round/>
            </a:ln>
            <a:effectLst/>
          </c:spPr>
          <c:marker>
            <c:symbol val="none"/>
          </c:marker>
          <c:cat>
            <c:numRef>
              <c:f>'Load Distrib'!FEM_x</c:f>
              <c:numCache>
                <c:formatCode>#\ ##0.00" m";\-#\ ##0.00" m";0.00" m";@</c:formatCode>
                <c:ptCount val="121"/>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pt idx="15">
                  <c:v>7.5</c:v>
                </c:pt>
                <c:pt idx="16">
                  <c:v>8</c:v>
                </c:pt>
                <c:pt idx="17">
                  <c:v>8.5</c:v>
                </c:pt>
                <c:pt idx="18">
                  <c:v>9</c:v>
                </c:pt>
                <c:pt idx="19">
                  <c:v>9.5</c:v>
                </c:pt>
                <c:pt idx="20">
                  <c:v>10</c:v>
                </c:pt>
                <c:pt idx="21">
                  <c:v>10.5</c:v>
                </c:pt>
                <c:pt idx="22">
                  <c:v>11</c:v>
                </c:pt>
                <c:pt idx="23">
                  <c:v>11.5</c:v>
                </c:pt>
                <c:pt idx="24">
                  <c:v>12</c:v>
                </c:pt>
                <c:pt idx="25">
                  <c:v>12.5</c:v>
                </c:pt>
                <c:pt idx="26">
                  <c:v>13</c:v>
                </c:pt>
                <c:pt idx="27">
                  <c:v>13.5</c:v>
                </c:pt>
                <c:pt idx="28">
                  <c:v>14</c:v>
                </c:pt>
                <c:pt idx="29">
                  <c:v>14.5</c:v>
                </c:pt>
                <c:pt idx="30">
                  <c:v>15</c:v>
                </c:pt>
                <c:pt idx="31">
                  <c:v>15.5</c:v>
                </c:pt>
                <c:pt idx="32">
                  <c:v>16</c:v>
                </c:pt>
                <c:pt idx="33">
                  <c:v>16.5</c:v>
                </c:pt>
                <c:pt idx="34">
                  <c:v>17</c:v>
                </c:pt>
                <c:pt idx="35">
                  <c:v>17.5</c:v>
                </c:pt>
                <c:pt idx="36">
                  <c:v>18</c:v>
                </c:pt>
                <c:pt idx="37">
                  <c:v>18.5</c:v>
                </c:pt>
                <c:pt idx="38">
                  <c:v>19</c:v>
                </c:pt>
                <c:pt idx="39">
                  <c:v>19.5</c:v>
                </c:pt>
                <c:pt idx="40">
                  <c:v>20</c:v>
                </c:pt>
                <c:pt idx="41">
                  <c:v>20.5</c:v>
                </c:pt>
                <c:pt idx="42">
                  <c:v>21</c:v>
                </c:pt>
                <c:pt idx="43">
                  <c:v>21.5</c:v>
                </c:pt>
                <c:pt idx="44">
                  <c:v>22</c:v>
                </c:pt>
                <c:pt idx="45">
                  <c:v>22.5</c:v>
                </c:pt>
                <c:pt idx="46">
                  <c:v>23</c:v>
                </c:pt>
                <c:pt idx="47">
                  <c:v>23.5</c:v>
                </c:pt>
                <c:pt idx="48">
                  <c:v>24</c:v>
                </c:pt>
                <c:pt idx="49">
                  <c:v>24.5</c:v>
                </c:pt>
                <c:pt idx="50">
                  <c:v>25</c:v>
                </c:pt>
                <c:pt idx="51">
                  <c:v>25.5</c:v>
                </c:pt>
                <c:pt idx="52">
                  <c:v>26</c:v>
                </c:pt>
                <c:pt idx="53">
                  <c:v>26.5</c:v>
                </c:pt>
                <c:pt idx="54">
                  <c:v>27</c:v>
                </c:pt>
                <c:pt idx="55">
                  <c:v>27.5</c:v>
                </c:pt>
                <c:pt idx="56">
                  <c:v>28</c:v>
                </c:pt>
                <c:pt idx="57">
                  <c:v>28.5</c:v>
                </c:pt>
                <c:pt idx="58">
                  <c:v>29</c:v>
                </c:pt>
                <c:pt idx="59">
                  <c:v>29.5</c:v>
                </c:pt>
                <c:pt idx="60">
                  <c:v>30</c:v>
                </c:pt>
                <c:pt idx="61">
                  <c:v>30.5</c:v>
                </c:pt>
                <c:pt idx="62">
                  <c:v>31</c:v>
                </c:pt>
                <c:pt idx="63">
                  <c:v>31.5</c:v>
                </c:pt>
                <c:pt idx="64">
                  <c:v>32</c:v>
                </c:pt>
                <c:pt idx="65">
                  <c:v>32.5</c:v>
                </c:pt>
                <c:pt idx="66">
                  <c:v>33</c:v>
                </c:pt>
                <c:pt idx="67">
                  <c:v>33.5</c:v>
                </c:pt>
                <c:pt idx="68">
                  <c:v>34</c:v>
                </c:pt>
                <c:pt idx="69">
                  <c:v>34.5</c:v>
                </c:pt>
                <c:pt idx="70">
                  <c:v>35</c:v>
                </c:pt>
                <c:pt idx="71">
                  <c:v>35.5</c:v>
                </c:pt>
                <c:pt idx="72">
                  <c:v>36</c:v>
                </c:pt>
                <c:pt idx="73">
                  <c:v>36.5</c:v>
                </c:pt>
                <c:pt idx="74">
                  <c:v>37</c:v>
                </c:pt>
                <c:pt idx="75">
                  <c:v>37.5</c:v>
                </c:pt>
                <c:pt idx="76">
                  <c:v>38</c:v>
                </c:pt>
                <c:pt idx="77">
                  <c:v>38.5</c:v>
                </c:pt>
                <c:pt idx="78">
                  <c:v>39</c:v>
                </c:pt>
                <c:pt idx="79">
                  <c:v>39.5</c:v>
                </c:pt>
                <c:pt idx="80">
                  <c:v>40</c:v>
                </c:pt>
                <c:pt idx="81">
                  <c:v>40.5</c:v>
                </c:pt>
                <c:pt idx="82">
                  <c:v>41</c:v>
                </c:pt>
                <c:pt idx="83">
                  <c:v>41.5</c:v>
                </c:pt>
                <c:pt idx="84">
                  <c:v>42</c:v>
                </c:pt>
                <c:pt idx="85">
                  <c:v>42.5</c:v>
                </c:pt>
                <c:pt idx="86">
                  <c:v>43</c:v>
                </c:pt>
                <c:pt idx="87">
                  <c:v>43.5</c:v>
                </c:pt>
                <c:pt idx="88">
                  <c:v>44</c:v>
                </c:pt>
                <c:pt idx="89">
                  <c:v>44.5</c:v>
                </c:pt>
                <c:pt idx="90">
                  <c:v>45</c:v>
                </c:pt>
                <c:pt idx="91">
                  <c:v>45.5</c:v>
                </c:pt>
                <c:pt idx="92">
                  <c:v>46</c:v>
                </c:pt>
                <c:pt idx="93">
                  <c:v>46.5</c:v>
                </c:pt>
                <c:pt idx="94">
                  <c:v>47</c:v>
                </c:pt>
                <c:pt idx="95">
                  <c:v>47.5</c:v>
                </c:pt>
                <c:pt idx="96">
                  <c:v>48</c:v>
                </c:pt>
                <c:pt idx="97">
                  <c:v>48.5</c:v>
                </c:pt>
                <c:pt idx="98">
                  <c:v>49</c:v>
                </c:pt>
                <c:pt idx="99">
                  <c:v>49.5</c:v>
                </c:pt>
                <c:pt idx="100">
                  <c:v>50</c:v>
                </c:pt>
                <c:pt idx="101">
                  <c:v>50.5</c:v>
                </c:pt>
                <c:pt idx="102">
                  <c:v>51</c:v>
                </c:pt>
                <c:pt idx="103">
                  <c:v>51.5</c:v>
                </c:pt>
                <c:pt idx="104">
                  <c:v>52</c:v>
                </c:pt>
                <c:pt idx="105">
                  <c:v>52.5</c:v>
                </c:pt>
                <c:pt idx="106">
                  <c:v>53</c:v>
                </c:pt>
                <c:pt idx="107">
                  <c:v>53.5</c:v>
                </c:pt>
                <c:pt idx="108">
                  <c:v>54</c:v>
                </c:pt>
                <c:pt idx="109">
                  <c:v>54.5</c:v>
                </c:pt>
                <c:pt idx="110">
                  <c:v>55</c:v>
                </c:pt>
                <c:pt idx="111">
                  <c:v>55.5</c:v>
                </c:pt>
                <c:pt idx="112">
                  <c:v>56</c:v>
                </c:pt>
                <c:pt idx="113">
                  <c:v>56.5</c:v>
                </c:pt>
                <c:pt idx="114">
                  <c:v>57</c:v>
                </c:pt>
                <c:pt idx="115">
                  <c:v>57.5</c:v>
                </c:pt>
                <c:pt idx="116">
                  <c:v>58</c:v>
                </c:pt>
                <c:pt idx="117">
                  <c:v>58.5</c:v>
                </c:pt>
                <c:pt idx="118">
                  <c:v>59</c:v>
                </c:pt>
                <c:pt idx="119">
                  <c:v>59.5</c:v>
                </c:pt>
                <c:pt idx="120">
                  <c:v>60</c:v>
                </c:pt>
              </c:numCache>
            </c:numRef>
          </c:cat>
          <c:val>
            <c:numRef>
              <c:f>'Load Distrib'!FEM_Shearing_Force</c:f>
              <c:numCache>
                <c:formatCode>#\ ##0.000" t";\-#\ ##0.000" t";\-;@</c:formatCode>
                <c:ptCount val="121"/>
                <c:pt idx="0">
                  <c:v>0</c:v>
                </c:pt>
                <c:pt idx="1">
                  <c:v>8.8333333333333339</c:v>
                </c:pt>
                <c:pt idx="2">
                  <c:v>17.666666666666668</c:v>
                </c:pt>
                <c:pt idx="3">
                  <c:v>26.5</c:v>
                </c:pt>
                <c:pt idx="4">
                  <c:v>35.333333333333336</c:v>
                </c:pt>
                <c:pt idx="5">
                  <c:v>44.166666666666671</c:v>
                </c:pt>
                <c:pt idx="6">
                  <c:v>53.000000000000007</c:v>
                </c:pt>
                <c:pt idx="7">
                  <c:v>61.01879443667049</c:v>
                </c:pt>
                <c:pt idx="8">
                  <c:v>66.789052211408688</c:v>
                </c:pt>
                <c:pt idx="9">
                  <c:v>69.691314455608051</c:v>
                </c:pt>
                <c:pt idx="10">
                  <c:v>69.725581169268565</c:v>
                </c:pt>
                <c:pt idx="11">
                  <c:v>68.325898788195133</c:v>
                </c:pt>
                <c:pt idx="12">
                  <c:v>66.926313748192641</c:v>
                </c:pt>
                <c:pt idx="13">
                  <c:v>65.526826049261075</c:v>
                </c:pt>
                <c:pt idx="14">
                  <c:v>64.12743569140045</c:v>
                </c:pt>
                <c:pt idx="15">
                  <c:v>62.728142674610758</c:v>
                </c:pt>
                <c:pt idx="16">
                  <c:v>61.328946998892</c:v>
                </c:pt>
                <c:pt idx="17">
                  <c:v>59.929848664244176</c:v>
                </c:pt>
                <c:pt idx="18">
                  <c:v>58.530847670667285</c:v>
                </c:pt>
                <c:pt idx="19">
                  <c:v>57.131944018161334</c:v>
                </c:pt>
                <c:pt idx="20">
                  <c:v>55.733137706726318</c:v>
                </c:pt>
                <c:pt idx="21">
                  <c:v>54.334428736362234</c:v>
                </c:pt>
                <c:pt idx="22">
                  <c:v>52.935817107069084</c:v>
                </c:pt>
                <c:pt idx="23">
                  <c:v>51.537302818846868</c:v>
                </c:pt>
                <c:pt idx="24">
                  <c:v>50.138885871695585</c:v>
                </c:pt>
                <c:pt idx="25">
                  <c:v>48.740566265615243</c:v>
                </c:pt>
                <c:pt idx="26">
                  <c:v>47.342344000605834</c:v>
                </c:pt>
                <c:pt idx="27">
                  <c:v>45.944219076667359</c:v>
                </c:pt>
                <c:pt idx="28">
                  <c:v>44.546191493799817</c:v>
                </c:pt>
                <c:pt idx="29">
                  <c:v>43.148261252003209</c:v>
                </c:pt>
                <c:pt idx="30">
                  <c:v>41.750428351277534</c:v>
                </c:pt>
                <c:pt idx="31">
                  <c:v>40.3526927916228</c:v>
                </c:pt>
                <c:pt idx="32">
                  <c:v>38.955054573039</c:v>
                </c:pt>
                <c:pt idx="33">
                  <c:v>37.557513695526133</c:v>
                </c:pt>
                <c:pt idx="34">
                  <c:v>36.160070159084199</c:v>
                </c:pt>
                <c:pt idx="35">
                  <c:v>34.762723963713199</c:v>
                </c:pt>
                <c:pt idx="36">
                  <c:v>33.365475109413133</c:v>
                </c:pt>
                <c:pt idx="37">
                  <c:v>31.968323596184</c:v>
                </c:pt>
                <c:pt idx="38">
                  <c:v>30.571269424025804</c:v>
                </c:pt>
                <c:pt idx="39">
                  <c:v>29.174312592938541</c:v>
                </c:pt>
                <c:pt idx="40">
                  <c:v>27.777453102922216</c:v>
                </c:pt>
                <c:pt idx="41">
                  <c:v>26.380690953976824</c:v>
                </c:pt>
                <c:pt idx="42">
                  <c:v>24.984026146102366</c:v>
                </c:pt>
                <c:pt idx="43">
                  <c:v>23.587458679298841</c:v>
                </c:pt>
                <c:pt idx="44">
                  <c:v>22.190988553566253</c:v>
                </c:pt>
                <c:pt idx="45">
                  <c:v>20.794615768904599</c:v>
                </c:pt>
                <c:pt idx="46">
                  <c:v>19.398340325313882</c:v>
                </c:pt>
                <c:pt idx="47">
                  <c:v>18.002162222794098</c:v>
                </c:pt>
                <c:pt idx="48">
                  <c:v>16.606081461345248</c:v>
                </c:pt>
                <c:pt idx="49">
                  <c:v>15.210098040967335</c:v>
                </c:pt>
                <c:pt idx="50">
                  <c:v>13.814211961660355</c:v>
                </c:pt>
                <c:pt idx="51">
                  <c:v>12.418423223424311</c:v>
                </c:pt>
                <c:pt idx="52">
                  <c:v>11.022731826259202</c:v>
                </c:pt>
                <c:pt idx="53">
                  <c:v>9.6271377701650245</c:v>
                </c:pt>
                <c:pt idx="54">
                  <c:v>8.2316410551417825</c:v>
                </c:pt>
                <c:pt idx="55">
                  <c:v>6.8362416811894775</c:v>
                </c:pt>
                <c:pt idx="56">
                  <c:v>5.4409396483081025</c:v>
                </c:pt>
                <c:pt idx="57">
                  <c:v>4.0457349564976646</c:v>
                </c:pt>
                <c:pt idx="58">
                  <c:v>2.6506276057581619</c:v>
                </c:pt>
                <c:pt idx="59">
                  <c:v>1.2556175960895928</c:v>
                </c:pt>
                <c:pt idx="60">
                  <c:v>-0.13929507250804107</c:v>
                </c:pt>
                <c:pt idx="61">
                  <c:v>-1.5341104000347379</c:v>
                </c:pt>
                <c:pt idx="62">
                  <c:v>-2.9288283864905011</c:v>
                </c:pt>
                <c:pt idx="63">
                  <c:v>-4.3234490318753309</c:v>
                </c:pt>
                <c:pt idx="64">
                  <c:v>-5.7179723361892254</c:v>
                </c:pt>
                <c:pt idx="65">
                  <c:v>-7.1123982994321846</c:v>
                </c:pt>
                <c:pt idx="66">
                  <c:v>-8.5067269216042121</c:v>
                </c:pt>
                <c:pt idx="67">
                  <c:v>-9.9009582027053025</c:v>
                </c:pt>
                <c:pt idx="68">
                  <c:v>-11.295092142735459</c:v>
                </c:pt>
                <c:pt idx="69">
                  <c:v>-12.689128741694681</c:v>
                </c:pt>
                <c:pt idx="70">
                  <c:v>-14.083067999582969</c:v>
                </c:pt>
                <c:pt idx="71">
                  <c:v>-15.47690991640032</c:v>
                </c:pt>
                <c:pt idx="72">
                  <c:v>-16.870654492146741</c:v>
                </c:pt>
                <c:pt idx="73">
                  <c:v>-18.264301726822225</c:v>
                </c:pt>
                <c:pt idx="74">
                  <c:v>-19.657851620426776</c:v>
                </c:pt>
                <c:pt idx="75">
                  <c:v>-21.051304172960389</c:v>
                </c:pt>
                <c:pt idx="76">
                  <c:v>-22.444659384423069</c:v>
                </c:pt>
                <c:pt idx="77">
                  <c:v>-23.837917254814812</c:v>
                </c:pt>
                <c:pt idx="78">
                  <c:v>-25.231077784135621</c:v>
                </c:pt>
                <c:pt idx="79">
                  <c:v>-26.624140972385497</c:v>
                </c:pt>
                <c:pt idx="80">
                  <c:v>-28.017106819564439</c:v>
                </c:pt>
                <c:pt idx="81">
                  <c:v>-29.409975325672441</c:v>
                </c:pt>
                <c:pt idx="82">
                  <c:v>-30.802746490709517</c:v>
                </c:pt>
                <c:pt idx="83">
                  <c:v>-32.195420314675651</c:v>
                </c:pt>
                <c:pt idx="84">
                  <c:v>-33.587996797570852</c:v>
                </c:pt>
                <c:pt idx="85">
                  <c:v>-34.98047593939512</c:v>
                </c:pt>
                <c:pt idx="86">
                  <c:v>-36.372857740148454</c:v>
                </c:pt>
                <c:pt idx="87">
                  <c:v>-37.765142199830855</c:v>
                </c:pt>
                <c:pt idx="88">
                  <c:v>-39.157329318442322</c:v>
                </c:pt>
                <c:pt idx="89">
                  <c:v>-40.549419095982849</c:v>
                </c:pt>
                <c:pt idx="90">
                  <c:v>-41.941411532452442</c:v>
                </c:pt>
                <c:pt idx="91">
                  <c:v>-43.333306627851101</c:v>
                </c:pt>
                <c:pt idx="92">
                  <c:v>-44.725104382178827</c:v>
                </c:pt>
                <c:pt idx="93">
                  <c:v>-46.11680479543562</c:v>
                </c:pt>
                <c:pt idx="94">
                  <c:v>-47.508407867621472</c:v>
                </c:pt>
                <c:pt idx="95">
                  <c:v>-48.89991359873639</c:v>
                </c:pt>
                <c:pt idx="96">
                  <c:v>-50.291321988780382</c:v>
                </c:pt>
                <c:pt idx="97">
                  <c:v>-51.682633037753433</c:v>
                </c:pt>
                <c:pt idx="98">
                  <c:v>-53.073846745655551</c:v>
                </c:pt>
                <c:pt idx="99">
                  <c:v>-54.464963112486735</c:v>
                </c:pt>
                <c:pt idx="100">
                  <c:v>-55.855982138246986</c:v>
                </c:pt>
                <c:pt idx="101">
                  <c:v>-57.246903822936297</c:v>
                </c:pt>
                <c:pt idx="102">
                  <c:v>-58.63772816655468</c:v>
                </c:pt>
                <c:pt idx="103">
                  <c:v>-60.028455169102124</c:v>
                </c:pt>
                <c:pt idx="104">
                  <c:v>-61.419084830578633</c:v>
                </c:pt>
                <c:pt idx="105">
                  <c:v>-62.809617150984209</c:v>
                </c:pt>
                <c:pt idx="106">
                  <c:v>-64.200052130318852</c:v>
                </c:pt>
                <c:pt idx="107">
                  <c:v>-65.590389768582554</c:v>
                </c:pt>
                <c:pt idx="108">
                  <c:v>-66.98063006577533</c:v>
                </c:pt>
                <c:pt idx="109">
                  <c:v>-68.370773021897165</c:v>
                </c:pt>
                <c:pt idx="110">
                  <c:v>-69.760818636948073</c:v>
                </c:pt>
                <c:pt idx="111">
                  <c:v>-69.716720475123154</c:v>
                </c:pt>
                <c:pt idx="112">
                  <c:v>-66.804432100617532</c:v>
                </c:pt>
                <c:pt idx="113">
                  <c:v>-61.023953513431195</c:v>
                </c:pt>
                <c:pt idx="114">
                  <c:v>-53.00000000000118</c:v>
                </c:pt>
                <c:pt idx="115">
                  <c:v>-44.166666666667844</c:v>
                </c:pt>
                <c:pt idx="116">
                  <c:v>-35.333333333334508</c:v>
                </c:pt>
                <c:pt idx="117">
                  <c:v>-26.500000000001172</c:v>
                </c:pt>
                <c:pt idx="118">
                  <c:v>-17.666666666667837</c:v>
                </c:pt>
                <c:pt idx="119">
                  <c:v>-8.8333333333345028</c:v>
                </c:pt>
                <c:pt idx="120">
                  <c:v>-1.1688428003253648E-12</c:v>
                </c:pt>
              </c:numCache>
            </c:numRef>
          </c:val>
          <c:smooth val="0"/>
          <c:extLst>
            <c:ext xmlns:c16="http://schemas.microsoft.com/office/drawing/2014/chart" uri="{C3380CC4-5D6E-409C-BE32-E72D297353CC}">
              <c16:uniqueId val="{00000005-55AC-46D8-8267-056F49988FD7}"/>
            </c:ext>
          </c:extLst>
        </c:ser>
        <c:dLbls>
          <c:showLegendKey val="0"/>
          <c:showVal val="0"/>
          <c:showCatName val="0"/>
          <c:showSerName val="0"/>
          <c:showPercent val="0"/>
          <c:showBubbleSize val="0"/>
        </c:dLbls>
        <c:marker val="1"/>
        <c:smooth val="0"/>
        <c:axId val="776734424"/>
        <c:axId val="776734752"/>
      </c:lineChart>
      <c:catAx>
        <c:axId val="863428176"/>
        <c:scaling>
          <c:orientation val="minMax"/>
        </c:scaling>
        <c:delete val="0"/>
        <c:axPos val="b"/>
        <c:numFmt formatCode="#\ ##0.00&quot; m&quot;;\-#\ ##0.00&quot; m&quot;;0.00&quot; m&quot;;@"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63429160"/>
        <c:crosses val="autoZero"/>
        <c:auto val="1"/>
        <c:lblAlgn val="ctr"/>
        <c:lblOffset val="100"/>
        <c:noMultiLvlLbl val="0"/>
      </c:catAx>
      <c:valAx>
        <c:axId val="863429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Elements Weight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quot; t&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63428176"/>
        <c:crosses val="autoZero"/>
        <c:crossBetween val="between"/>
      </c:valAx>
      <c:valAx>
        <c:axId val="7767347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Shearing</a:t>
                </a:r>
                <a:r>
                  <a:rPr lang="fr-FR" baseline="0"/>
                  <a:t> Force</a:t>
                </a:r>
                <a:endParaRPr lang="fr-F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quot; t&quot;" sourceLinked="0"/>
        <c:majorTickMark val="out"/>
        <c:minorTickMark val="none"/>
        <c:tickLblPos val="nextTo"/>
        <c:spPr>
          <a:noFill/>
          <a:ln w="12700">
            <a:solidFill>
              <a:srgbClr val="C00000"/>
            </a:solidFill>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fr-FR"/>
          </a:p>
        </c:txPr>
        <c:crossAx val="776734424"/>
        <c:crosses val="max"/>
        <c:crossBetween val="between"/>
      </c:valAx>
      <c:catAx>
        <c:axId val="776734424"/>
        <c:scaling>
          <c:orientation val="minMax"/>
        </c:scaling>
        <c:delete val="0"/>
        <c:axPos val="b"/>
        <c:numFmt formatCode="#\ ##0.00&quot; m&quot;;\-#\ ##0.00&quot; m&quot;;0.00&quot; m&quot;;@" sourceLinked="1"/>
        <c:majorTickMark val="none"/>
        <c:minorTickMark val="none"/>
        <c:tickLblPos val="none"/>
        <c:spPr>
          <a:noFill/>
          <a:ln w="12700" cap="flat" cmpd="sng" algn="ctr">
            <a:solidFill>
              <a:srgbClr val="C0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76734752"/>
        <c:crossesAt val="0"/>
        <c:auto val="1"/>
        <c:lblAlgn val="ctr"/>
        <c:lblOffset val="100"/>
        <c:noMultiLvlLbl val="0"/>
      </c:catAx>
      <c:spPr>
        <a:noFill/>
        <a:ln w="12700">
          <a:solidFill>
            <a:schemeClr val="tx1">
              <a:lumMod val="50000"/>
              <a:lumOff val="50000"/>
            </a:schemeClr>
          </a:solidFill>
        </a:ln>
        <a:effectLst/>
      </c:spPr>
    </c:plotArea>
    <c:legend>
      <c:legendPos val="b"/>
      <c:layout>
        <c:manualLayout>
          <c:xMode val="edge"/>
          <c:yMode val="edge"/>
          <c:x val="0.40774414052452418"/>
          <c:y val="3.5121940427289285E-2"/>
          <c:w val="0.41028944253994348"/>
          <c:h val="4.390273281268052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19050"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Aft -&gt;  Longitudinal</a:t>
            </a:r>
            <a:r>
              <a:rPr lang="fr-FR" baseline="0"/>
              <a:t> Section  -&gt; Fore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lineMarker"/>
        <c:varyColors val="0"/>
        <c:ser>
          <c:idx val="1"/>
          <c:order val="0"/>
          <c:spPr>
            <a:ln w="19050" cap="rnd">
              <a:solidFill>
                <a:srgbClr val="C00000"/>
              </a:solidFill>
              <a:round/>
            </a:ln>
            <a:effectLst/>
          </c:spPr>
          <c:marker>
            <c:symbol val="none"/>
          </c:marker>
          <c:xVal>
            <c:numRef>
              <c:f>'04.Long. Section'!LongSection_X</c:f>
              <c:numCache>
                <c:formatCode>#\ ##0.000" m"</c:formatCode>
                <c:ptCount val="4"/>
                <c:pt idx="0">
                  <c:v>0</c:v>
                </c:pt>
                <c:pt idx="1">
                  <c:v>5</c:v>
                </c:pt>
                <c:pt idx="2">
                  <c:v>55</c:v>
                </c:pt>
                <c:pt idx="3">
                  <c:v>60</c:v>
                </c:pt>
              </c:numCache>
            </c:numRef>
          </c:xVal>
          <c:yVal>
            <c:numRef>
              <c:f>'04.Long. Section'!LongSection_Y</c:f>
              <c:numCache>
                <c:formatCode>#\ ##0.000" m"</c:formatCode>
                <c:ptCount val="4"/>
                <c:pt idx="0">
                  <c:v>-1.2</c:v>
                </c:pt>
                <c:pt idx="1">
                  <c:v>-4</c:v>
                </c:pt>
                <c:pt idx="2">
                  <c:v>-4</c:v>
                </c:pt>
                <c:pt idx="3">
                  <c:v>-1.2</c:v>
                </c:pt>
              </c:numCache>
            </c:numRef>
          </c:yVal>
          <c:smooth val="0"/>
          <c:extLst>
            <c:ext xmlns:c16="http://schemas.microsoft.com/office/drawing/2014/chart" uri="{C3380CC4-5D6E-409C-BE32-E72D297353CC}">
              <c16:uniqueId val="{00000000-5720-4F30-9C0B-DC1924C08899}"/>
            </c:ext>
          </c:extLst>
        </c:ser>
        <c:ser>
          <c:idx val="0"/>
          <c:order val="1"/>
          <c:tx>
            <c:v>DeckAndBulk</c:v>
          </c:tx>
          <c:spPr>
            <a:ln w="19050" cap="rnd">
              <a:solidFill>
                <a:srgbClr val="C00000"/>
              </a:solidFill>
              <a:round/>
            </a:ln>
            <a:effectLst/>
          </c:spPr>
          <c:marker>
            <c:symbol val="none"/>
          </c:marker>
          <c:xVal>
            <c:numRef>
              <c:f>'04.Long. Section'!$H$6:$H$9</c:f>
              <c:numCache>
                <c:formatCode>General</c:formatCode>
                <c:ptCount val="4"/>
                <c:pt idx="0">
                  <c:v>0</c:v>
                </c:pt>
                <c:pt idx="1">
                  <c:v>0</c:v>
                </c:pt>
                <c:pt idx="2">
                  <c:v>60</c:v>
                </c:pt>
                <c:pt idx="3">
                  <c:v>60</c:v>
                </c:pt>
              </c:numCache>
            </c:numRef>
          </c:xVal>
          <c:yVal>
            <c:numRef>
              <c:f>'04.Long. Section'!$I$6:$I$9</c:f>
              <c:numCache>
                <c:formatCode>General</c:formatCode>
                <c:ptCount val="4"/>
                <c:pt idx="0">
                  <c:v>-1.2</c:v>
                </c:pt>
                <c:pt idx="1">
                  <c:v>0</c:v>
                </c:pt>
                <c:pt idx="2">
                  <c:v>0</c:v>
                </c:pt>
                <c:pt idx="3">
                  <c:v>-1.2</c:v>
                </c:pt>
              </c:numCache>
            </c:numRef>
          </c:yVal>
          <c:smooth val="0"/>
          <c:extLst>
            <c:ext xmlns:c16="http://schemas.microsoft.com/office/drawing/2014/chart" uri="{C3380CC4-5D6E-409C-BE32-E72D297353CC}">
              <c16:uniqueId val="{00000001-5720-4F30-9C0B-DC1924C08899}"/>
            </c:ext>
          </c:extLst>
        </c:ser>
        <c:ser>
          <c:idx val="2"/>
          <c:order val="2"/>
          <c:tx>
            <c:v>Waterplane</c:v>
          </c:tx>
          <c:spPr>
            <a:ln w="15875" cap="rnd">
              <a:solidFill>
                <a:srgbClr val="0000FF"/>
              </a:solidFill>
              <a:round/>
            </a:ln>
            <a:effectLst/>
          </c:spPr>
          <c:marker>
            <c:symbol val="none"/>
          </c:marker>
          <c:xVal>
            <c:numRef>
              <c:f>'04.Long. Section'!$H$14:$H$15</c:f>
              <c:numCache>
                <c:formatCode>General</c:formatCode>
                <c:ptCount val="2"/>
                <c:pt idx="0">
                  <c:v>0</c:v>
                </c:pt>
                <c:pt idx="1">
                  <c:v>60</c:v>
                </c:pt>
              </c:numCache>
            </c:numRef>
          </c:xVal>
          <c:yVal>
            <c:numRef>
              <c:f>'04.Long. Section'!$I$14:$I$15</c:f>
              <c:numCache>
                <c:formatCode>General</c:formatCode>
                <c:ptCount val="2"/>
                <c:pt idx="0">
                  <c:v>-3.0009028802214979</c:v>
                </c:pt>
                <c:pt idx="1">
                  <c:v>-3.002033737773445</c:v>
                </c:pt>
              </c:numCache>
            </c:numRef>
          </c:yVal>
          <c:smooth val="0"/>
          <c:extLst>
            <c:ext xmlns:c16="http://schemas.microsoft.com/office/drawing/2014/chart" uri="{C3380CC4-5D6E-409C-BE32-E72D297353CC}">
              <c16:uniqueId val="{00000000-8D15-4B1C-A74B-6D7A2DC6D104}"/>
            </c:ext>
          </c:extLst>
        </c:ser>
        <c:dLbls>
          <c:showLegendKey val="0"/>
          <c:showVal val="0"/>
          <c:showCatName val="0"/>
          <c:showSerName val="0"/>
          <c:showPercent val="0"/>
          <c:showBubbleSize val="0"/>
        </c:dLbls>
        <c:axId val="493358792"/>
        <c:axId val="493356048"/>
      </c:scatterChart>
      <c:valAx>
        <c:axId val="493358792"/>
        <c:scaling>
          <c:orientation val="minMax"/>
        </c:scaling>
        <c:delete val="0"/>
        <c:axPos val="b"/>
        <c:majorGridlines>
          <c:spPr>
            <a:ln w="9525" cap="flat" cmpd="sng" algn="ctr">
              <a:solidFill>
                <a:schemeClr val="tx1">
                  <a:lumMod val="15000"/>
                  <a:lumOff val="85000"/>
                </a:schemeClr>
              </a:solidFill>
              <a:round/>
            </a:ln>
            <a:effectLst/>
          </c:spPr>
        </c:majorGridlines>
        <c:numFmt formatCode="#\ ##0.00&quot; m&quot;;\-#\ ##0.00&quot; m&quot;;0.00&quot; m&quot;;@" sourceLinked="0"/>
        <c:majorTickMark val="none"/>
        <c:minorTickMark val="none"/>
        <c:tickLblPos val="nextTo"/>
        <c:spPr>
          <a:noFill/>
          <a:ln w="9525" cap="flat" cmpd="sng" algn="ctr">
            <a:solidFill>
              <a:schemeClr val="tx1">
                <a:lumMod val="25000"/>
                <a:lumOff val="7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93356048"/>
        <c:crosses val="autoZero"/>
        <c:crossBetween val="midCat"/>
        <c:majorUnit val="1"/>
        <c:minorUnit val="0.5"/>
      </c:valAx>
      <c:valAx>
        <c:axId val="493356048"/>
        <c:scaling>
          <c:orientation val="minMax"/>
        </c:scaling>
        <c:delete val="0"/>
        <c:axPos val="l"/>
        <c:majorGridlines>
          <c:spPr>
            <a:ln w="9525" cap="flat" cmpd="sng" algn="ctr">
              <a:solidFill>
                <a:schemeClr val="tx1">
                  <a:lumMod val="15000"/>
                  <a:lumOff val="85000"/>
                </a:schemeClr>
              </a:solidFill>
              <a:round/>
            </a:ln>
            <a:effectLst/>
          </c:spPr>
        </c:majorGridlines>
        <c:numFmt formatCode="#\ ##0.00&quot; m&quot;;\-#\ ##0.00&quot; m&quot;;0.00&quot; m&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933587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KMT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0"/>
          <c:order val="0"/>
          <c:tx>
            <c:v>ASH</c:v>
          </c:tx>
          <c:spPr>
            <a:ln w="19050" cap="rnd">
              <a:solidFill>
                <a:schemeClr val="accent1"/>
              </a:solidFill>
              <a:round/>
            </a:ln>
            <a:effectLst/>
          </c:spPr>
          <c:marker>
            <c:symbol val="none"/>
          </c:marker>
          <c:xVal>
            <c:numRef>
              <c:f>'04.Long. Section'!$V$11:$V$57</c:f>
              <c:numCache>
                <c:formatCode>#\ ##0.000" m";\-#\ ##0.000" m";\-;@</c:formatCode>
                <c:ptCount val="47"/>
                <c:pt idx="0">
                  <c:v>0.5</c:v>
                </c:pt>
                <c:pt idx="1">
                  <c:v>0.6</c:v>
                </c:pt>
                <c:pt idx="2">
                  <c:v>0.7</c:v>
                </c:pt>
                <c:pt idx="3">
                  <c:v>0.79999999999999993</c:v>
                </c:pt>
                <c:pt idx="4">
                  <c:v>0.89999999999999991</c:v>
                </c:pt>
                <c:pt idx="5">
                  <c:v>0.99999999999999989</c:v>
                </c:pt>
                <c:pt idx="6">
                  <c:v>1.0999999999999999</c:v>
                </c:pt>
                <c:pt idx="7">
                  <c:v>1.2</c:v>
                </c:pt>
                <c:pt idx="8">
                  <c:v>1.3</c:v>
                </c:pt>
                <c:pt idx="9">
                  <c:v>1.4000000000000001</c:v>
                </c:pt>
                <c:pt idx="10">
                  <c:v>1.5000000000000002</c:v>
                </c:pt>
                <c:pt idx="11">
                  <c:v>1.6000000000000003</c:v>
                </c:pt>
                <c:pt idx="12">
                  <c:v>1.7000000000000004</c:v>
                </c:pt>
                <c:pt idx="13">
                  <c:v>1.8000000000000005</c:v>
                </c:pt>
                <c:pt idx="14">
                  <c:v>1.9000000000000006</c:v>
                </c:pt>
                <c:pt idx="15">
                  <c:v>2.0000000000000004</c:v>
                </c:pt>
                <c:pt idx="16">
                  <c:v>2.1000000000000005</c:v>
                </c:pt>
                <c:pt idx="17">
                  <c:v>2.2000000000000006</c:v>
                </c:pt>
                <c:pt idx="18">
                  <c:v>2.3000000000000007</c:v>
                </c:pt>
                <c:pt idx="19">
                  <c:v>2.4000000000000008</c:v>
                </c:pt>
                <c:pt idx="20">
                  <c:v>2.5000000000000009</c:v>
                </c:pt>
                <c:pt idx="21">
                  <c:v>2.600000000000001</c:v>
                </c:pt>
                <c:pt idx="22">
                  <c:v>2.7000000000000011</c:v>
                </c:pt>
                <c:pt idx="23">
                  <c:v>2.8000000000000012</c:v>
                </c:pt>
                <c:pt idx="24">
                  <c:v>2.9000000000000012</c:v>
                </c:pt>
                <c:pt idx="25">
                  <c:v>3.0000000000000013</c:v>
                </c:pt>
                <c:pt idx="26">
                  <c:v>3.1000000000000014</c:v>
                </c:pt>
                <c:pt idx="27">
                  <c:v>3.2000000000000015</c:v>
                </c:pt>
                <c:pt idx="28">
                  <c:v>3.3000000000000016</c:v>
                </c:pt>
                <c:pt idx="29">
                  <c:v>3.4000000000000017</c:v>
                </c:pt>
                <c:pt idx="30">
                  <c:v>3.5000000000000018</c:v>
                </c:pt>
                <c:pt idx="31">
                  <c:v>3.6000000000000019</c:v>
                </c:pt>
                <c:pt idx="32">
                  <c:v>3.700000000000002</c:v>
                </c:pt>
                <c:pt idx="33">
                  <c:v>3.800000000000002</c:v>
                </c:pt>
                <c:pt idx="34">
                  <c:v>3.9000000000000021</c:v>
                </c:pt>
                <c:pt idx="35">
                  <c:v>4.0000000000000018</c:v>
                </c:pt>
                <c:pt idx="36">
                  <c:v>#N/A</c:v>
                </c:pt>
                <c:pt idx="37">
                  <c:v>#N/A</c:v>
                </c:pt>
                <c:pt idx="38">
                  <c:v>#N/A</c:v>
                </c:pt>
                <c:pt idx="39">
                  <c:v>#N/A</c:v>
                </c:pt>
                <c:pt idx="40">
                  <c:v>#N/A</c:v>
                </c:pt>
                <c:pt idx="41">
                  <c:v>#N/A</c:v>
                </c:pt>
                <c:pt idx="42">
                  <c:v>#N/A</c:v>
                </c:pt>
                <c:pt idx="43">
                  <c:v>#N/A</c:v>
                </c:pt>
                <c:pt idx="44">
                  <c:v>#N/A</c:v>
                </c:pt>
                <c:pt idx="45">
                  <c:v>#N/A</c:v>
                </c:pt>
                <c:pt idx="46">
                  <c:v>#N/A</c:v>
                </c:pt>
              </c:numCache>
            </c:numRef>
          </c:xVal>
          <c:yVal>
            <c:numRef>
              <c:f>'04.Long. Section'!$AX$11:$AX$57</c:f>
              <c:numCache>
                <c:formatCode>#\ ##0.000" m";\-#\ ##0.000" m";\-;@</c:formatCode>
                <c:ptCount val="47"/>
                <c:pt idx="0">
                  <c:v>68.087719298245617</c:v>
                </c:pt>
                <c:pt idx="1">
                  <c:v>57.02315462315461</c:v>
                </c:pt>
                <c:pt idx="2">
                  <c:v>49.133333333333319</c:v>
                </c:pt>
                <c:pt idx="3">
                  <c:v>43.227777777777781</c:v>
                </c:pt>
                <c:pt idx="4">
                  <c:v>38.645110854799441</c:v>
                </c:pt>
                <c:pt idx="5">
                  <c:v>34.988505747126439</c:v>
                </c:pt>
                <c:pt idx="6">
                  <c:v>32.005435801312089</c:v>
                </c:pt>
                <c:pt idx="7">
                  <c:v>29.527549467275492</c:v>
                </c:pt>
                <c:pt idx="8">
                  <c:v>27.438295265599013</c:v>
                </c:pt>
                <c:pt idx="9">
                  <c:v>25.654421768707476</c:v>
                </c:pt>
                <c:pt idx="10">
                  <c:v>24.114877589453855</c:v>
                </c:pt>
                <c:pt idx="11">
                  <c:v>22.773873873873871</c:v>
                </c:pt>
                <c:pt idx="12">
                  <c:v>21.596395325807084</c:v>
                </c:pt>
                <c:pt idx="13">
                  <c:v>20.555207556549831</c:v>
                </c:pt>
                <c:pt idx="14">
                  <c:v>19.62880948189872</c:v>
                </c:pt>
                <c:pt idx="15">
                  <c:v>18.799999999999994</c:v>
                </c:pt>
                <c:pt idx="16">
                  <c:v>18.054854189737906</c:v>
                </c:pt>
                <c:pt idx="17">
                  <c:v>17.381978727674085</c:v>
                </c:pt>
                <c:pt idx="18">
                  <c:v>16.771961543980478</c:v>
                </c:pt>
                <c:pt idx="19">
                  <c:v>16.216959064327476</c:v>
                </c:pt>
                <c:pt idx="20">
                  <c:v>15.710382513661196</c:v>
                </c:pt>
                <c:pt idx="21">
                  <c:v>15.246656611362488</c:v>
                </c:pt>
                <c:pt idx="22">
                  <c:v>14.821031889652946</c:v>
                </c:pt>
                <c:pt idx="23">
                  <c:v>14.429437229437223</c:v>
                </c:pt>
                <c:pt idx="24">
                  <c:v>13.995208333333327</c:v>
                </c:pt>
                <c:pt idx="25">
                  <c:v>13.595983935742966</c:v>
                </c:pt>
                <c:pt idx="26">
                  <c:v>13.228100775193793</c:v>
                </c:pt>
                <c:pt idx="27">
                  <c:v>12.88838951310861</c:v>
                </c:pt>
                <c:pt idx="28">
                  <c:v>12.574094202898547</c:v>
                </c:pt>
                <c:pt idx="29">
                  <c:v>12.282807017543856</c:v>
                </c:pt>
                <c:pt idx="30">
                  <c:v>12.012414965986391</c:v>
                </c:pt>
                <c:pt idx="31">
                  <c:v>11.761056105610558</c:v>
                </c:pt>
                <c:pt idx="32">
                  <c:v>11.527083333333332</c:v>
                </c:pt>
                <c:pt idx="33">
                  <c:v>11.309034267912772</c:v>
                </c:pt>
                <c:pt idx="34">
                  <c:v>11.105606060606057</c:v>
                </c:pt>
                <c:pt idx="35">
                  <c:v>10.915634218289084</c:v>
                </c:pt>
                <c:pt idx="36">
                  <c:v>#N/A</c:v>
                </c:pt>
                <c:pt idx="37">
                  <c:v>#N/A</c:v>
                </c:pt>
                <c:pt idx="38">
                  <c:v>#N/A</c:v>
                </c:pt>
                <c:pt idx="39">
                  <c:v>#N/A</c:v>
                </c:pt>
                <c:pt idx="40">
                  <c:v>#N/A</c:v>
                </c:pt>
                <c:pt idx="41">
                  <c:v>#N/A</c:v>
                </c:pt>
                <c:pt idx="42">
                  <c:v>#N/A</c:v>
                </c:pt>
                <c:pt idx="43">
                  <c:v>#N/A</c:v>
                </c:pt>
                <c:pt idx="44">
                  <c:v>#N/A</c:v>
                </c:pt>
                <c:pt idx="45">
                  <c:v>#N/A</c:v>
                </c:pt>
                <c:pt idx="46">
                  <c:v>#N/A</c:v>
                </c:pt>
              </c:numCache>
            </c:numRef>
          </c:yVal>
          <c:smooth val="1"/>
          <c:extLst>
            <c:ext xmlns:c16="http://schemas.microsoft.com/office/drawing/2014/chart" uri="{C3380CC4-5D6E-409C-BE32-E72D297353CC}">
              <c16:uniqueId val="{00000000-E85B-4ABA-9B91-FC7A79D9280D}"/>
            </c:ext>
          </c:extLst>
        </c:ser>
        <c:ser>
          <c:idx val="1"/>
          <c:order val="1"/>
          <c:tx>
            <c:v>Shipyard</c:v>
          </c:tx>
          <c:spPr>
            <a:ln w="19050" cap="rnd">
              <a:solidFill>
                <a:schemeClr val="accent2"/>
              </a:solidFill>
              <a:round/>
            </a:ln>
            <a:effectLst/>
          </c:spPr>
          <c:marker>
            <c:symbol val="none"/>
          </c:marker>
          <c:xVal>
            <c:numRef>
              <c:f>'02.Hydrostatic'!$B$10:$B$166</c:f>
              <c:numCache>
                <c:formatCode>0.000</c:formatCode>
                <c:ptCount val="157"/>
                <c:pt idx="0">
                  <c:v>0.3</c:v>
                </c:pt>
                <c:pt idx="1">
                  <c:v>0.32</c:v>
                </c:pt>
                <c:pt idx="2">
                  <c:v>0.34</c:v>
                </c:pt>
                <c:pt idx="3">
                  <c:v>0.36</c:v>
                </c:pt>
                <c:pt idx="4">
                  <c:v>0.38</c:v>
                </c:pt>
                <c:pt idx="5">
                  <c:v>0.4</c:v>
                </c:pt>
                <c:pt idx="6">
                  <c:v>0.42</c:v>
                </c:pt>
                <c:pt idx="7">
                  <c:v>0.44</c:v>
                </c:pt>
                <c:pt idx="8">
                  <c:v>0.46</c:v>
                </c:pt>
                <c:pt idx="9">
                  <c:v>0.48</c:v>
                </c:pt>
                <c:pt idx="10">
                  <c:v>0.5</c:v>
                </c:pt>
                <c:pt idx="11">
                  <c:v>0.52</c:v>
                </c:pt>
                <c:pt idx="12">
                  <c:v>0.54</c:v>
                </c:pt>
                <c:pt idx="13">
                  <c:v>0.56000000000000005</c:v>
                </c:pt>
                <c:pt idx="14">
                  <c:v>0.57999999999999996</c:v>
                </c:pt>
                <c:pt idx="15">
                  <c:v>0.6</c:v>
                </c:pt>
                <c:pt idx="16">
                  <c:v>0.62</c:v>
                </c:pt>
                <c:pt idx="17">
                  <c:v>0.64</c:v>
                </c:pt>
                <c:pt idx="18">
                  <c:v>0.66</c:v>
                </c:pt>
                <c:pt idx="19">
                  <c:v>0.68</c:v>
                </c:pt>
                <c:pt idx="20">
                  <c:v>0.7</c:v>
                </c:pt>
                <c:pt idx="21">
                  <c:v>0.72</c:v>
                </c:pt>
                <c:pt idx="22">
                  <c:v>0.74</c:v>
                </c:pt>
                <c:pt idx="23">
                  <c:v>0.76</c:v>
                </c:pt>
                <c:pt idx="24">
                  <c:v>0.78</c:v>
                </c:pt>
                <c:pt idx="25">
                  <c:v>0.8</c:v>
                </c:pt>
                <c:pt idx="26">
                  <c:v>0.82</c:v>
                </c:pt>
                <c:pt idx="27">
                  <c:v>0.84</c:v>
                </c:pt>
                <c:pt idx="28">
                  <c:v>0.86</c:v>
                </c:pt>
                <c:pt idx="29">
                  <c:v>0.88</c:v>
                </c:pt>
                <c:pt idx="30">
                  <c:v>0.9</c:v>
                </c:pt>
                <c:pt idx="31" formatCode="###0.000;###0.000">
                  <c:v>0.92</c:v>
                </c:pt>
                <c:pt idx="32" formatCode="###0.000;###0.000">
                  <c:v>0.94</c:v>
                </c:pt>
                <c:pt idx="33" formatCode="###0.000;###0.000">
                  <c:v>0.96</c:v>
                </c:pt>
                <c:pt idx="34" formatCode="###0.000;###0.000">
                  <c:v>0.98</c:v>
                </c:pt>
                <c:pt idx="35" formatCode="###0.000;###0.000">
                  <c:v>1</c:v>
                </c:pt>
                <c:pt idx="36" formatCode="###0.000;###0.000">
                  <c:v>1.02</c:v>
                </c:pt>
                <c:pt idx="37" formatCode="###0.000;###0.000">
                  <c:v>1.04</c:v>
                </c:pt>
                <c:pt idx="38" formatCode="###0.000;###0.000">
                  <c:v>1.06</c:v>
                </c:pt>
                <c:pt idx="39" formatCode="###0.000;###0.000">
                  <c:v>1.08</c:v>
                </c:pt>
                <c:pt idx="40" formatCode="###0.000;###0.000">
                  <c:v>1.1000000000000001</c:v>
                </c:pt>
                <c:pt idx="41" formatCode="###0.000;###0.000">
                  <c:v>1.1200000000000001</c:v>
                </c:pt>
                <c:pt idx="42" formatCode="###0.000;###0.000">
                  <c:v>1.1399999999999999</c:v>
                </c:pt>
                <c:pt idx="43" formatCode="###0.000;###0.000">
                  <c:v>1.1599999999999999</c:v>
                </c:pt>
                <c:pt idx="44" formatCode="###0.000;###0.000">
                  <c:v>1.18</c:v>
                </c:pt>
                <c:pt idx="45" formatCode="###0.000;###0.000">
                  <c:v>1.2</c:v>
                </c:pt>
                <c:pt idx="46" formatCode="###0.000;###0.000">
                  <c:v>1.22</c:v>
                </c:pt>
                <c:pt idx="47" formatCode="###0.000;###0.000">
                  <c:v>1.24</c:v>
                </c:pt>
                <c:pt idx="48" formatCode="###0.000;###0.000">
                  <c:v>1.26</c:v>
                </c:pt>
                <c:pt idx="49" formatCode="###0.000;###0.000">
                  <c:v>1.28</c:v>
                </c:pt>
                <c:pt idx="50" formatCode="###0.000;###0.000">
                  <c:v>1.3</c:v>
                </c:pt>
                <c:pt idx="51" formatCode="###0.000;###0.000">
                  <c:v>1.32</c:v>
                </c:pt>
                <c:pt idx="52" formatCode="###0.000;###0.000">
                  <c:v>1.34</c:v>
                </c:pt>
                <c:pt idx="53" formatCode="###0.000;###0.000">
                  <c:v>1.36</c:v>
                </c:pt>
                <c:pt idx="54" formatCode="###0.000;###0.000">
                  <c:v>1.38</c:v>
                </c:pt>
                <c:pt idx="55" formatCode="###0.000;###0.000">
                  <c:v>1.4</c:v>
                </c:pt>
                <c:pt idx="56" formatCode="###0.000;###0.000">
                  <c:v>1.42</c:v>
                </c:pt>
                <c:pt idx="57" formatCode="###0.000;###0.000">
                  <c:v>1.44</c:v>
                </c:pt>
                <c:pt idx="58" formatCode="###0.000;###0.000">
                  <c:v>1.46</c:v>
                </c:pt>
                <c:pt idx="59" formatCode="###0.000;###0.000">
                  <c:v>1.48</c:v>
                </c:pt>
                <c:pt idx="60" formatCode="###0.000;###0.000">
                  <c:v>1.5</c:v>
                </c:pt>
                <c:pt idx="61" formatCode="###0.000;###0.000">
                  <c:v>1.52</c:v>
                </c:pt>
                <c:pt idx="62" formatCode="###0.000;###0.000">
                  <c:v>1.54</c:v>
                </c:pt>
                <c:pt idx="63" formatCode="###0.000;###0.000">
                  <c:v>1.56</c:v>
                </c:pt>
                <c:pt idx="64" formatCode="###0.000;###0.000">
                  <c:v>1.58</c:v>
                </c:pt>
                <c:pt idx="65" formatCode="###0.000;###0.000">
                  <c:v>1.6</c:v>
                </c:pt>
                <c:pt idx="66" formatCode="###0.000;###0.000">
                  <c:v>1.62</c:v>
                </c:pt>
                <c:pt idx="67" formatCode="###0.000;###0.000">
                  <c:v>1.64</c:v>
                </c:pt>
                <c:pt idx="68" formatCode="###0.000;###0.000">
                  <c:v>1.66</c:v>
                </c:pt>
                <c:pt idx="69" formatCode="###0.000;###0.000">
                  <c:v>1.68</c:v>
                </c:pt>
                <c:pt idx="70" formatCode="###0.000;###0.000">
                  <c:v>1.7</c:v>
                </c:pt>
                <c:pt idx="71" formatCode="###0.000;###0.000">
                  <c:v>1.72</c:v>
                </c:pt>
                <c:pt idx="72" formatCode="###0.000;###0.000">
                  <c:v>1.74</c:v>
                </c:pt>
                <c:pt idx="73" formatCode="###0.000;###0.000">
                  <c:v>1.76</c:v>
                </c:pt>
                <c:pt idx="74" formatCode="###0.000;###0.000">
                  <c:v>1.78</c:v>
                </c:pt>
                <c:pt idx="75" formatCode="###0.000;###0.000">
                  <c:v>1.8</c:v>
                </c:pt>
                <c:pt idx="76" formatCode="###0.000;###0.000">
                  <c:v>1.82</c:v>
                </c:pt>
                <c:pt idx="77" formatCode="###0.000;###0.000">
                  <c:v>1.84</c:v>
                </c:pt>
                <c:pt idx="78" formatCode="###0.000;###0.000">
                  <c:v>1.86</c:v>
                </c:pt>
                <c:pt idx="79" formatCode="###0.000;###0.000">
                  <c:v>1.88</c:v>
                </c:pt>
                <c:pt idx="80" formatCode="###0.000;###0.000">
                  <c:v>1.9</c:v>
                </c:pt>
                <c:pt idx="81" formatCode="###0.000;###0.000">
                  <c:v>1.92</c:v>
                </c:pt>
                <c:pt idx="82" formatCode="###0.000;###0.000">
                  <c:v>1.94</c:v>
                </c:pt>
                <c:pt idx="83" formatCode="###0.000;###0.000">
                  <c:v>1.96</c:v>
                </c:pt>
                <c:pt idx="84" formatCode="###0.000;###0.000">
                  <c:v>1.98</c:v>
                </c:pt>
                <c:pt idx="85" formatCode="###0.000;###0.000">
                  <c:v>2</c:v>
                </c:pt>
                <c:pt idx="86" formatCode="###0.000;###0.000">
                  <c:v>2.02</c:v>
                </c:pt>
                <c:pt idx="87" formatCode="###0.000;###0.000">
                  <c:v>2.04</c:v>
                </c:pt>
                <c:pt idx="88" formatCode="###0.000;###0.000">
                  <c:v>2.06</c:v>
                </c:pt>
                <c:pt idx="89" formatCode="###0.000;###0.000">
                  <c:v>2.08</c:v>
                </c:pt>
                <c:pt idx="90" formatCode="###0.000;###0.000">
                  <c:v>2.1</c:v>
                </c:pt>
                <c:pt idx="91" formatCode="###0.000;###0.000">
                  <c:v>2.12</c:v>
                </c:pt>
                <c:pt idx="92" formatCode="###0.000;###0.000">
                  <c:v>2.14</c:v>
                </c:pt>
                <c:pt idx="93" formatCode="###0.000;###0.000">
                  <c:v>2.16</c:v>
                </c:pt>
                <c:pt idx="94" formatCode="###0.000;###0.000">
                  <c:v>2.1800000000000002</c:v>
                </c:pt>
                <c:pt idx="95" formatCode="###0.000;###0.000">
                  <c:v>2.2000000000000002</c:v>
                </c:pt>
                <c:pt idx="96" formatCode="###0.000;###0.000">
                  <c:v>2.2200000000000002</c:v>
                </c:pt>
                <c:pt idx="97" formatCode="###0.000;###0.000">
                  <c:v>2.2400000000000002</c:v>
                </c:pt>
                <c:pt idx="98" formatCode="###0.000;###0.000">
                  <c:v>2.2599999999999998</c:v>
                </c:pt>
                <c:pt idx="99" formatCode="###0.000;###0.000">
                  <c:v>2.2799999999999998</c:v>
                </c:pt>
                <c:pt idx="100" formatCode="###0.000;###0.000">
                  <c:v>2.2999999999999998</c:v>
                </c:pt>
                <c:pt idx="101" formatCode="###0.000;###0.000">
                  <c:v>2.3199999999999998</c:v>
                </c:pt>
                <c:pt idx="102" formatCode="###0.000;###0.000">
                  <c:v>2.34</c:v>
                </c:pt>
                <c:pt idx="103" formatCode="###0.000;###0.000">
                  <c:v>2.36</c:v>
                </c:pt>
                <c:pt idx="104" formatCode="###0.000;###0.000">
                  <c:v>2.38</c:v>
                </c:pt>
                <c:pt idx="105" formatCode="###0.000;###0.000">
                  <c:v>2.4</c:v>
                </c:pt>
                <c:pt idx="106" formatCode="###0.000;###0.000">
                  <c:v>2.42</c:v>
                </c:pt>
                <c:pt idx="107" formatCode="###0.000;###0.000">
                  <c:v>2.44</c:v>
                </c:pt>
                <c:pt idx="108" formatCode="###0.000;###0.000">
                  <c:v>2.46</c:v>
                </c:pt>
                <c:pt idx="109" formatCode="###0.000;###0.000">
                  <c:v>2.48</c:v>
                </c:pt>
                <c:pt idx="110" formatCode="###0.000;###0.000">
                  <c:v>2.5</c:v>
                </c:pt>
                <c:pt idx="111" formatCode="###0.000;###0.000">
                  <c:v>2.52</c:v>
                </c:pt>
                <c:pt idx="112" formatCode="###0.000;###0.000">
                  <c:v>2.54</c:v>
                </c:pt>
                <c:pt idx="113" formatCode="###0.000;###0.000">
                  <c:v>2.56</c:v>
                </c:pt>
                <c:pt idx="114" formatCode="###0.000;###0.000">
                  <c:v>2.58</c:v>
                </c:pt>
                <c:pt idx="115" formatCode="###0.000;###0.000">
                  <c:v>2.6</c:v>
                </c:pt>
                <c:pt idx="116" formatCode="###0.000;###0.000">
                  <c:v>2.62</c:v>
                </c:pt>
                <c:pt idx="117" formatCode="###0.000;###0.000">
                  <c:v>2.64</c:v>
                </c:pt>
                <c:pt idx="118" formatCode="###0.000;###0.000">
                  <c:v>2.66</c:v>
                </c:pt>
                <c:pt idx="119" formatCode="###0.000;###0.000">
                  <c:v>2.68</c:v>
                </c:pt>
                <c:pt idx="120" formatCode="###0.000;###0.000">
                  <c:v>2.7</c:v>
                </c:pt>
                <c:pt idx="121" formatCode="###0.000;###0.000">
                  <c:v>2.72</c:v>
                </c:pt>
                <c:pt idx="122" formatCode="###0.000;###0.000">
                  <c:v>2.74</c:v>
                </c:pt>
                <c:pt idx="123" formatCode="###0.000;###0.000">
                  <c:v>2.76</c:v>
                </c:pt>
                <c:pt idx="124" formatCode="###0.000;###0.000">
                  <c:v>2.78</c:v>
                </c:pt>
                <c:pt idx="125" formatCode="###0.000;###0.000">
                  <c:v>2.8</c:v>
                </c:pt>
                <c:pt idx="126" formatCode="###0.000;###0.000">
                  <c:v>2.82</c:v>
                </c:pt>
                <c:pt idx="127" formatCode="###0.000;###0.000">
                  <c:v>2.84</c:v>
                </c:pt>
                <c:pt idx="128" formatCode="###0.000;###0.000">
                  <c:v>2.86</c:v>
                </c:pt>
                <c:pt idx="129" formatCode="###0.000;###0.000">
                  <c:v>2.88</c:v>
                </c:pt>
                <c:pt idx="130" formatCode="###0.000;###0.000">
                  <c:v>2.9</c:v>
                </c:pt>
                <c:pt idx="131" formatCode="###0.000;###0.000">
                  <c:v>2.92</c:v>
                </c:pt>
                <c:pt idx="132" formatCode="###0.000;###0.000">
                  <c:v>2.94</c:v>
                </c:pt>
                <c:pt idx="133" formatCode="###0.000;###0.000">
                  <c:v>2.96</c:v>
                </c:pt>
                <c:pt idx="134" formatCode="###0.000;###0.000">
                  <c:v>2.98</c:v>
                </c:pt>
                <c:pt idx="135" formatCode="###0.000;###0.000">
                  <c:v>3</c:v>
                </c:pt>
                <c:pt idx="136" formatCode="###0.000;###0.000">
                  <c:v>3.02</c:v>
                </c:pt>
                <c:pt idx="137" formatCode="###0.000;###0.000">
                  <c:v>3.04</c:v>
                </c:pt>
                <c:pt idx="138" formatCode="###0.000;###0.000">
                  <c:v>3.06</c:v>
                </c:pt>
                <c:pt idx="139" formatCode="###0.000;###0.000">
                  <c:v>3.08</c:v>
                </c:pt>
                <c:pt idx="140" formatCode="###0.000;###0.000">
                  <c:v>3.1</c:v>
                </c:pt>
                <c:pt idx="141" formatCode="###0.000;###0.000">
                  <c:v>3.12</c:v>
                </c:pt>
                <c:pt idx="142" formatCode="###0.000;###0.000">
                  <c:v>3.14</c:v>
                </c:pt>
                <c:pt idx="143" formatCode="###0.000;###0.000">
                  <c:v>3.16</c:v>
                </c:pt>
                <c:pt idx="144" formatCode="###0.000;###0.000">
                  <c:v>3.18</c:v>
                </c:pt>
                <c:pt idx="145" formatCode="###0.000;###0.000">
                  <c:v>3.2</c:v>
                </c:pt>
                <c:pt idx="146" formatCode="###0.000;###0.000">
                  <c:v>3.206</c:v>
                </c:pt>
                <c:pt idx="147" formatCode="###0.000;###0.000">
                  <c:v>3.22</c:v>
                </c:pt>
                <c:pt idx="148" formatCode="###0.000;###0.000">
                  <c:v>3.24</c:v>
                </c:pt>
                <c:pt idx="149" formatCode="###0.000;###0.000">
                  <c:v>3.26</c:v>
                </c:pt>
                <c:pt idx="150" formatCode="###0.000;###0.000">
                  <c:v>3.28</c:v>
                </c:pt>
                <c:pt idx="151" formatCode="###0.000;###0.000">
                  <c:v>3.3</c:v>
                </c:pt>
                <c:pt idx="152" formatCode="###0.000;###0.000">
                  <c:v>3.32</c:v>
                </c:pt>
                <c:pt idx="153" formatCode="###0.000;###0.000">
                  <c:v>3.34</c:v>
                </c:pt>
                <c:pt idx="154" formatCode="###0.000;###0.000">
                  <c:v>3.36</c:v>
                </c:pt>
                <c:pt idx="155" formatCode="###0.000;###0.000">
                  <c:v>3.38</c:v>
                </c:pt>
                <c:pt idx="156" formatCode="###0.000;###0.000">
                  <c:v>3.4</c:v>
                </c:pt>
              </c:numCache>
            </c:numRef>
          </c:xVal>
          <c:yVal>
            <c:numRef>
              <c:f>'02.Hydrostatic'!$J$10:$J$166</c:f>
              <c:numCache>
                <c:formatCode>#\ ##0.000</c:formatCode>
                <c:ptCount val="157"/>
                <c:pt idx="0">
                  <c:v>116.806</c:v>
                </c:pt>
                <c:pt idx="1">
                  <c:v>109.181</c:v>
                </c:pt>
                <c:pt idx="2">
                  <c:v>102.488</c:v>
                </c:pt>
                <c:pt idx="3">
                  <c:v>96.570999999999998</c:v>
                </c:pt>
                <c:pt idx="4">
                  <c:v>91.304000000000002</c:v>
                </c:pt>
                <c:pt idx="5">
                  <c:v>86.584999999999994</c:v>
                </c:pt>
                <c:pt idx="6">
                  <c:v>82.331999999999994</c:v>
                </c:pt>
                <c:pt idx="7">
                  <c:v>78.48</c:v>
                </c:pt>
                <c:pt idx="8">
                  <c:v>75.028000000000006</c:v>
                </c:pt>
                <c:pt idx="9">
                  <c:v>71.819999999999993</c:v>
                </c:pt>
                <c:pt idx="10">
                  <c:v>68.878</c:v>
                </c:pt>
                <c:pt idx="11">
                  <c:v>66.17</c:v>
                </c:pt>
                <c:pt idx="12">
                  <c:v>64.054000000000002</c:v>
                </c:pt>
                <c:pt idx="13">
                  <c:v>62.192</c:v>
                </c:pt>
                <c:pt idx="14">
                  <c:v>60.243000000000002</c:v>
                </c:pt>
                <c:pt idx="15">
                  <c:v>58.171999999999997</c:v>
                </c:pt>
                <c:pt idx="16">
                  <c:v>56.237000000000002</c:v>
                </c:pt>
                <c:pt idx="17">
                  <c:v>54.429000000000002</c:v>
                </c:pt>
                <c:pt idx="18">
                  <c:v>52.734999999999999</c:v>
                </c:pt>
                <c:pt idx="19">
                  <c:v>51.146000000000001</c:v>
                </c:pt>
                <c:pt idx="20">
                  <c:v>49.651000000000003</c:v>
                </c:pt>
                <c:pt idx="21">
                  <c:v>48.243000000000002</c:v>
                </c:pt>
                <c:pt idx="22">
                  <c:v>46.953000000000003</c:v>
                </c:pt>
                <c:pt idx="23">
                  <c:v>45.695999999999998</c:v>
                </c:pt>
                <c:pt idx="24">
                  <c:v>44.505000000000003</c:v>
                </c:pt>
                <c:pt idx="25">
                  <c:v>43.381</c:v>
                </c:pt>
                <c:pt idx="26">
                  <c:v>42.5</c:v>
                </c:pt>
                <c:pt idx="27">
                  <c:v>41.793999999999997</c:v>
                </c:pt>
                <c:pt idx="28">
                  <c:v>41.009</c:v>
                </c:pt>
                <c:pt idx="29">
                  <c:v>40.064</c:v>
                </c:pt>
                <c:pt idx="30">
                  <c:v>39.152999999999999</c:v>
                </c:pt>
                <c:pt idx="31">
                  <c:v>38.283000000000001</c:v>
                </c:pt>
                <c:pt idx="32">
                  <c:v>37.453000000000003</c:v>
                </c:pt>
                <c:pt idx="33">
                  <c:v>36.658999999999999</c:v>
                </c:pt>
                <c:pt idx="34">
                  <c:v>35.9</c:v>
                </c:pt>
                <c:pt idx="35">
                  <c:v>35.173000000000002</c:v>
                </c:pt>
                <c:pt idx="36">
                  <c:v>34.500999999999998</c:v>
                </c:pt>
                <c:pt idx="37">
                  <c:v>33.832999999999998</c:v>
                </c:pt>
                <c:pt idx="38">
                  <c:v>33.19</c:v>
                </c:pt>
                <c:pt idx="39">
                  <c:v>32.567999999999998</c:v>
                </c:pt>
                <c:pt idx="40">
                  <c:v>32.090000000000003</c:v>
                </c:pt>
                <c:pt idx="41">
                  <c:v>31.751999999999999</c:v>
                </c:pt>
                <c:pt idx="42">
                  <c:v>31.364999999999998</c:v>
                </c:pt>
                <c:pt idx="43">
                  <c:v>30.824999999999999</c:v>
                </c:pt>
                <c:pt idx="44">
                  <c:v>30.305</c:v>
                </c:pt>
                <c:pt idx="45">
                  <c:v>29.794</c:v>
                </c:pt>
                <c:pt idx="46">
                  <c:v>29.300999999999998</c:v>
                </c:pt>
                <c:pt idx="47">
                  <c:v>28.812999999999999</c:v>
                </c:pt>
                <c:pt idx="48">
                  <c:v>28.364000000000001</c:v>
                </c:pt>
                <c:pt idx="49">
                  <c:v>27.922000000000001</c:v>
                </c:pt>
                <c:pt idx="50">
                  <c:v>27.510999999999999</c:v>
                </c:pt>
                <c:pt idx="51">
                  <c:v>27.097000000000001</c:v>
                </c:pt>
                <c:pt idx="52">
                  <c:v>26.693999999999999</c:v>
                </c:pt>
                <c:pt idx="53">
                  <c:v>26.3</c:v>
                </c:pt>
                <c:pt idx="54">
                  <c:v>25.992000000000001</c:v>
                </c:pt>
                <c:pt idx="55">
                  <c:v>25.808</c:v>
                </c:pt>
                <c:pt idx="56">
                  <c:v>25.6</c:v>
                </c:pt>
                <c:pt idx="57">
                  <c:v>25.266999999999999</c:v>
                </c:pt>
                <c:pt idx="58">
                  <c:v>24.923999999999999</c:v>
                </c:pt>
                <c:pt idx="59">
                  <c:v>24.588000000000001</c:v>
                </c:pt>
                <c:pt idx="60">
                  <c:v>24.24</c:v>
                </c:pt>
                <c:pt idx="61">
                  <c:v>23.934000000000001</c:v>
                </c:pt>
                <c:pt idx="62">
                  <c:v>23.635000000000002</c:v>
                </c:pt>
                <c:pt idx="63">
                  <c:v>23.338000000000001</c:v>
                </c:pt>
                <c:pt idx="64">
                  <c:v>23.062000000000001</c:v>
                </c:pt>
                <c:pt idx="65">
                  <c:v>22.780999999999999</c:v>
                </c:pt>
                <c:pt idx="66">
                  <c:v>22.504999999999999</c:v>
                </c:pt>
                <c:pt idx="67">
                  <c:v>22.234000000000002</c:v>
                </c:pt>
                <c:pt idx="68">
                  <c:v>22.007000000000001</c:v>
                </c:pt>
                <c:pt idx="69">
                  <c:v>21.896000000000001</c:v>
                </c:pt>
                <c:pt idx="70">
                  <c:v>21.785</c:v>
                </c:pt>
                <c:pt idx="71">
                  <c:v>21.573</c:v>
                </c:pt>
                <c:pt idx="72">
                  <c:v>21.33</c:v>
                </c:pt>
                <c:pt idx="73">
                  <c:v>21.065000000000001</c:v>
                </c:pt>
                <c:pt idx="74">
                  <c:v>20.861000000000001</c:v>
                </c:pt>
                <c:pt idx="75">
                  <c:v>20.623000000000001</c:v>
                </c:pt>
                <c:pt idx="76">
                  <c:v>20.41</c:v>
                </c:pt>
                <c:pt idx="77">
                  <c:v>20.202999999999999</c:v>
                </c:pt>
                <c:pt idx="78">
                  <c:v>20</c:v>
                </c:pt>
                <c:pt idx="79">
                  <c:v>19.797999999999998</c:v>
                </c:pt>
                <c:pt idx="80">
                  <c:v>19.597000000000001</c:v>
                </c:pt>
                <c:pt idx="81">
                  <c:v>19.401</c:v>
                </c:pt>
                <c:pt idx="82">
                  <c:v>19.227</c:v>
                </c:pt>
                <c:pt idx="83">
                  <c:v>19.154</c:v>
                </c:pt>
                <c:pt idx="84">
                  <c:v>19.094000000000001</c:v>
                </c:pt>
                <c:pt idx="85">
                  <c:v>18.956</c:v>
                </c:pt>
                <c:pt idx="86">
                  <c:v>18.774999999999999</c:v>
                </c:pt>
                <c:pt idx="87">
                  <c:v>18.576000000000001</c:v>
                </c:pt>
                <c:pt idx="88">
                  <c:v>18.407</c:v>
                </c:pt>
                <c:pt idx="89">
                  <c:v>18.257000000000001</c:v>
                </c:pt>
                <c:pt idx="90">
                  <c:v>18.087</c:v>
                </c:pt>
                <c:pt idx="91">
                  <c:v>17.931999999999999</c:v>
                </c:pt>
                <c:pt idx="92">
                  <c:v>17.78</c:v>
                </c:pt>
                <c:pt idx="93">
                  <c:v>17.628</c:v>
                </c:pt>
                <c:pt idx="94">
                  <c:v>17.475999999999999</c:v>
                </c:pt>
                <c:pt idx="95">
                  <c:v>17.327000000000002</c:v>
                </c:pt>
                <c:pt idx="96">
                  <c:v>17.186</c:v>
                </c:pt>
                <c:pt idx="97">
                  <c:v>17.135999999999999</c:v>
                </c:pt>
                <c:pt idx="98">
                  <c:v>17.106000000000002</c:v>
                </c:pt>
                <c:pt idx="99">
                  <c:v>17.018000000000001</c:v>
                </c:pt>
                <c:pt idx="100">
                  <c:v>16.879000000000001</c:v>
                </c:pt>
                <c:pt idx="101">
                  <c:v>16.724</c:v>
                </c:pt>
                <c:pt idx="102">
                  <c:v>16.591000000000001</c:v>
                </c:pt>
                <c:pt idx="103">
                  <c:v>16.468</c:v>
                </c:pt>
                <c:pt idx="104">
                  <c:v>16.350000000000001</c:v>
                </c:pt>
                <c:pt idx="105">
                  <c:v>16.225000000000001</c:v>
                </c:pt>
                <c:pt idx="106">
                  <c:v>16.108000000000001</c:v>
                </c:pt>
                <c:pt idx="107">
                  <c:v>15.99</c:v>
                </c:pt>
                <c:pt idx="108">
                  <c:v>15.871</c:v>
                </c:pt>
                <c:pt idx="109">
                  <c:v>15.754</c:v>
                </c:pt>
                <c:pt idx="110">
                  <c:v>15.643000000000001</c:v>
                </c:pt>
                <c:pt idx="111">
                  <c:v>15.568</c:v>
                </c:pt>
                <c:pt idx="112">
                  <c:v>15.516999999999999</c:v>
                </c:pt>
                <c:pt idx="113">
                  <c:v>15.444000000000001</c:v>
                </c:pt>
                <c:pt idx="114">
                  <c:v>15.352</c:v>
                </c:pt>
                <c:pt idx="115">
                  <c:v>15.263999999999999</c:v>
                </c:pt>
                <c:pt idx="116">
                  <c:v>15.172000000000001</c:v>
                </c:pt>
                <c:pt idx="117">
                  <c:v>15.087</c:v>
                </c:pt>
                <c:pt idx="118">
                  <c:v>15.003</c:v>
                </c:pt>
                <c:pt idx="119">
                  <c:v>14.914999999999999</c:v>
                </c:pt>
                <c:pt idx="120">
                  <c:v>14.834</c:v>
                </c:pt>
                <c:pt idx="121">
                  <c:v>14.750999999999999</c:v>
                </c:pt>
                <c:pt idx="122">
                  <c:v>14.669</c:v>
                </c:pt>
                <c:pt idx="123">
                  <c:v>14.590999999999999</c:v>
                </c:pt>
                <c:pt idx="124">
                  <c:v>14.512</c:v>
                </c:pt>
                <c:pt idx="125">
                  <c:v>14.427</c:v>
                </c:pt>
                <c:pt idx="126">
                  <c:v>14.345000000000001</c:v>
                </c:pt>
                <c:pt idx="127">
                  <c:v>14.260999999999999</c:v>
                </c:pt>
                <c:pt idx="128">
                  <c:v>14.173999999999999</c:v>
                </c:pt>
                <c:pt idx="129">
                  <c:v>14.087999999999999</c:v>
                </c:pt>
                <c:pt idx="130">
                  <c:v>14.004</c:v>
                </c:pt>
                <c:pt idx="131">
                  <c:v>13.920999999999999</c:v>
                </c:pt>
                <c:pt idx="132">
                  <c:v>13.84</c:v>
                </c:pt>
                <c:pt idx="133">
                  <c:v>13.76</c:v>
                </c:pt>
                <c:pt idx="134">
                  <c:v>13.680999999999999</c:v>
                </c:pt>
                <c:pt idx="135">
                  <c:v>13.603</c:v>
                </c:pt>
                <c:pt idx="136">
                  <c:v>13.526999999999999</c:v>
                </c:pt>
                <c:pt idx="137">
                  <c:v>13.452</c:v>
                </c:pt>
                <c:pt idx="138">
                  <c:v>13.378</c:v>
                </c:pt>
                <c:pt idx="139">
                  <c:v>13.305999999999999</c:v>
                </c:pt>
                <c:pt idx="140">
                  <c:v>13.234</c:v>
                </c:pt>
                <c:pt idx="141">
                  <c:v>13.164</c:v>
                </c:pt>
                <c:pt idx="142">
                  <c:v>13.093999999999999</c:v>
                </c:pt>
                <c:pt idx="143">
                  <c:v>13.026</c:v>
                </c:pt>
                <c:pt idx="144">
                  <c:v>12.959</c:v>
                </c:pt>
                <c:pt idx="145">
                  <c:v>12.893000000000001</c:v>
                </c:pt>
                <c:pt idx="146">
                  <c:v>12.872999999999999</c:v>
                </c:pt>
                <c:pt idx="147">
                  <c:v>12.827</c:v>
                </c:pt>
                <c:pt idx="148">
                  <c:v>12.763</c:v>
                </c:pt>
                <c:pt idx="149">
                  <c:v>12.7</c:v>
                </c:pt>
                <c:pt idx="150">
                  <c:v>12.638999999999999</c:v>
                </c:pt>
                <c:pt idx="151">
                  <c:v>12.577</c:v>
                </c:pt>
                <c:pt idx="152">
                  <c:v>12.516999999999999</c:v>
                </c:pt>
                <c:pt idx="153">
                  <c:v>12.457000000000001</c:v>
                </c:pt>
                <c:pt idx="154">
                  <c:v>12.4</c:v>
                </c:pt>
                <c:pt idx="155">
                  <c:v>12.340999999999999</c:v>
                </c:pt>
                <c:pt idx="156">
                  <c:v>12.285</c:v>
                </c:pt>
              </c:numCache>
            </c:numRef>
          </c:yVal>
          <c:smooth val="1"/>
          <c:extLst>
            <c:ext xmlns:c16="http://schemas.microsoft.com/office/drawing/2014/chart" uri="{C3380CC4-5D6E-409C-BE32-E72D297353CC}">
              <c16:uniqueId val="{00000001-E85B-4ABA-9B91-FC7A79D9280D}"/>
            </c:ext>
          </c:extLst>
        </c:ser>
        <c:dLbls>
          <c:showLegendKey val="0"/>
          <c:showVal val="0"/>
          <c:showCatName val="0"/>
          <c:showSerName val="0"/>
          <c:showPercent val="0"/>
          <c:showBubbleSize val="0"/>
        </c:dLbls>
        <c:axId val="691308936"/>
        <c:axId val="691309264"/>
      </c:scatterChart>
      <c:valAx>
        <c:axId val="691308936"/>
        <c:scaling>
          <c:orientation val="minMax"/>
        </c:scaling>
        <c:delete val="0"/>
        <c:axPos val="b"/>
        <c:majorGridlines>
          <c:spPr>
            <a:ln w="9525" cap="flat" cmpd="sng" algn="ctr">
              <a:solidFill>
                <a:schemeClr val="tx1">
                  <a:lumMod val="15000"/>
                  <a:lumOff val="85000"/>
                </a:schemeClr>
              </a:solidFill>
              <a:round/>
            </a:ln>
            <a:effectLst/>
          </c:spPr>
        </c:majorGridlines>
        <c:numFmt formatCode="#\ ##0.000&quot; m&quot;;\-#\ ##0.000&quot; m&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91309264"/>
        <c:crosses val="autoZero"/>
        <c:crossBetween val="midCat"/>
      </c:valAx>
      <c:valAx>
        <c:axId val="691309264"/>
        <c:scaling>
          <c:orientation val="minMax"/>
        </c:scaling>
        <c:delete val="0"/>
        <c:axPos val="l"/>
        <c:majorGridlines>
          <c:spPr>
            <a:ln w="9525" cap="flat" cmpd="sng" algn="ctr">
              <a:solidFill>
                <a:schemeClr val="tx1">
                  <a:lumMod val="15000"/>
                  <a:lumOff val="85000"/>
                </a:schemeClr>
              </a:solidFill>
              <a:round/>
            </a:ln>
            <a:effectLst/>
          </c:spPr>
        </c:majorGridlines>
        <c:numFmt formatCode="#\ ##0.000&quot; m&quot;;\-#\ ##0.000&quot; m&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91308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Displ</a:t>
            </a:r>
            <a:r>
              <a:rPr lang="fr-FR" baseline="0"/>
              <a:t> sw</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0"/>
          <c:order val="0"/>
          <c:tx>
            <c:v>ASH</c:v>
          </c:tx>
          <c:spPr>
            <a:ln w="19050" cap="rnd">
              <a:solidFill>
                <a:schemeClr val="accent1"/>
              </a:solidFill>
              <a:round/>
            </a:ln>
            <a:effectLst/>
          </c:spPr>
          <c:marker>
            <c:symbol val="none"/>
          </c:marker>
          <c:xVal>
            <c:numRef>
              <c:f>'04.Long. Section'!$V$11:$V$57</c:f>
              <c:numCache>
                <c:formatCode>#\ ##0.000" m";\-#\ ##0.000" m";\-;@</c:formatCode>
                <c:ptCount val="47"/>
                <c:pt idx="0">
                  <c:v>0.5</c:v>
                </c:pt>
                <c:pt idx="1">
                  <c:v>0.6</c:v>
                </c:pt>
                <c:pt idx="2">
                  <c:v>0.7</c:v>
                </c:pt>
                <c:pt idx="3">
                  <c:v>0.79999999999999993</c:v>
                </c:pt>
                <c:pt idx="4">
                  <c:v>0.89999999999999991</c:v>
                </c:pt>
                <c:pt idx="5">
                  <c:v>0.99999999999999989</c:v>
                </c:pt>
                <c:pt idx="6">
                  <c:v>1.0999999999999999</c:v>
                </c:pt>
                <c:pt idx="7">
                  <c:v>1.2</c:v>
                </c:pt>
                <c:pt idx="8">
                  <c:v>1.3</c:v>
                </c:pt>
                <c:pt idx="9">
                  <c:v>1.4000000000000001</c:v>
                </c:pt>
                <c:pt idx="10">
                  <c:v>1.5000000000000002</c:v>
                </c:pt>
                <c:pt idx="11">
                  <c:v>1.6000000000000003</c:v>
                </c:pt>
                <c:pt idx="12">
                  <c:v>1.7000000000000004</c:v>
                </c:pt>
                <c:pt idx="13">
                  <c:v>1.8000000000000005</c:v>
                </c:pt>
                <c:pt idx="14">
                  <c:v>1.9000000000000006</c:v>
                </c:pt>
                <c:pt idx="15">
                  <c:v>2.0000000000000004</c:v>
                </c:pt>
                <c:pt idx="16">
                  <c:v>2.1000000000000005</c:v>
                </c:pt>
                <c:pt idx="17">
                  <c:v>2.2000000000000006</c:v>
                </c:pt>
                <c:pt idx="18">
                  <c:v>2.3000000000000007</c:v>
                </c:pt>
                <c:pt idx="19">
                  <c:v>2.4000000000000008</c:v>
                </c:pt>
                <c:pt idx="20">
                  <c:v>2.5000000000000009</c:v>
                </c:pt>
                <c:pt idx="21">
                  <c:v>2.600000000000001</c:v>
                </c:pt>
                <c:pt idx="22">
                  <c:v>2.7000000000000011</c:v>
                </c:pt>
                <c:pt idx="23">
                  <c:v>2.8000000000000012</c:v>
                </c:pt>
                <c:pt idx="24">
                  <c:v>2.9000000000000012</c:v>
                </c:pt>
                <c:pt idx="25">
                  <c:v>3.0000000000000013</c:v>
                </c:pt>
                <c:pt idx="26">
                  <c:v>3.1000000000000014</c:v>
                </c:pt>
                <c:pt idx="27">
                  <c:v>3.2000000000000015</c:v>
                </c:pt>
                <c:pt idx="28">
                  <c:v>3.3000000000000016</c:v>
                </c:pt>
                <c:pt idx="29">
                  <c:v>3.4000000000000017</c:v>
                </c:pt>
                <c:pt idx="30">
                  <c:v>3.5000000000000018</c:v>
                </c:pt>
                <c:pt idx="31">
                  <c:v>3.6000000000000019</c:v>
                </c:pt>
                <c:pt idx="32">
                  <c:v>3.700000000000002</c:v>
                </c:pt>
                <c:pt idx="33">
                  <c:v>3.800000000000002</c:v>
                </c:pt>
                <c:pt idx="34">
                  <c:v>3.9000000000000021</c:v>
                </c:pt>
                <c:pt idx="35">
                  <c:v>4.0000000000000018</c:v>
                </c:pt>
                <c:pt idx="36">
                  <c:v>#N/A</c:v>
                </c:pt>
                <c:pt idx="37">
                  <c:v>#N/A</c:v>
                </c:pt>
                <c:pt idx="38">
                  <c:v>#N/A</c:v>
                </c:pt>
                <c:pt idx="39">
                  <c:v>#N/A</c:v>
                </c:pt>
                <c:pt idx="40">
                  <c:v>#N/A</c:v>
                </c:pt>
                <c:pt idx="41">
                  <c:v>#N/A</c:v>
                </c:pt>
                <c:pt idx="42">
                  <c:v>#N/A</c:v>
                </c:pt>
                <c:pt idx="43">
                  <c:v>#N/A</c:v>
                </c:pt>
                <c:pt idx="44">
                  <c:v>#N/A</c:v>
                </c:pt>
                <c:pt idx="45">
                  <c:v>#N/A</c:v>
                </c:pt>
                <c:pt idx="46">
                  <c:v>#N/A</c:v>
                </c:pt>
              </c:numCache>
            </c:numRef>
          </c:xVal>
          <c:yVal>
            <c:numRef>
              <c:f>'04.Long. Section'!$AQ$11:$AQ$57</c:f>
              <c:numCache>
                <c:formatCode>#\ ##0.000" t";\-#\ ##0.000" t";\-;@</c:formatCode>
                <c:ptCount val="47"/>
                <c:pt idx="0">
                  <c:v>521.65178571428567</c:v>
                </c:pt>
                <c:pt idx="1">
                  <c:v>628.17857142857144</c:v>
                </c:pt>
                <c:pt idx="2">
                  <c:v>735.43749999999989</c:v>
                </c:pt>
                <c:pt idx="3">
                  <c:v>843.42857142857144</c:v>
                </c:pt>
                <c:pt idx="4">
                  <c:v>952.15178571428567</c:v>
                </c:pt>
                <c:pt idx="5">
                  <c:v>1061.6071428571429</c:v>
                </c:pt>
                <c:pt idx="6">
                  <c:v>1171.7946428571429</c:v>
                </c:pt>
                <c:pt idx="7">
                  <c:v>1282.7142857142858</c:v>
                </c:pt>
                <c:pt idx="8">
                  <c:v>1394.3660714285716</c:v>
                </c:pt>
                <c:pt idx="9">
                  <c:v>1506.7500000000002</c:v>
                </c:pt>
                <c:pt idx="10">
                  <c:v>1619.8660714285718</c:v>
                </c:pt>
                <c:pt idx="11">
                  <c:v>1733.7142857142862</c:v>
                </c:pt>
                <c:pt idx="12">
                  <c:v>1848.2946428571436</c:v>
                </c:pt>
                <c:pt idx="13">
                  <c:v>1963.6071428571438</c:v>
                </c:pt>
                <c:pt idx="14">
                  <c:v>2079.6517857142867</c:v>
                </c:pt>
                <c:pt idx="15">
                  <c:v>2196.428571428572</c:v>
                </c:pt>
                <c:pt idx="16">
                  <c:v>2313.9375000000009</c:v>
                </c:pt>
                <c:pt idx="17">
                  <c:v>2432.1785714285725</c:v>
                </c:pt>
                <c:pt idx="18">
                  <c:v>2551.1517857142871</c:v>
                </c:pt>
                <c:pt idx="19">
                  <c:v>2670.857142857144</c:v>
                </c:pt>
                <c:pt idx="20">
                  <c:v>2791.294642857144</c:v>
                </c:pt>
                <c:pt idx="21">
                  <c:v>2912.4642857142871</c:v>
                </c:pt>
                <c:pt idx="22">
                  <c:v>3034.3660714285729</c:v>
                </c:pt>
                <c:pt idx="23">
                  <c:v>3157.0000000000014</c:v>
                </c:pt>
                <c:pt idx="24">
                  <c:v>3280.0000000000014</c:v>
                </c:pt>
                <c:pt idx="25">
                  <c:v>3403.0000000000014</c:v>
                </c:pt>
                <c:pt idx="26">
                  <c:v>3526.0000000000014</c:v>
                </c:pt>
                <c:pt idx="27">
                  <c:v>3649.0000000000014</c:v>
                </c:pt>
                <c:pt idx="28">
                  <c:v>3772.0000000000014</c:v>
                </c:pt>
                <c:pt idx="29">
                  <c:v>3895.0000000000014</c:v>
                </c:pt>
                <c:pt idx="30">
                  <c:v>4018.0000000000014</c:v>
                </c:pt>
                <c:pt idx="31">
                  <c:v>4141.0000000000018</c:v>
                </c:pt>
                <c:pt idx="32">
                  <c:v>4264.0000000000018</c:v>
                </c:pt>
                <c:pt idx="33">
                  <c:v>4387.0000000000018</c:v>
                </c:pt>
                <c:pt idx="34">
                  <c:v>4510.0000000000018</c:v>
                </c:pt>
                <c:pt idx="35">
                  <c:v>4633.0000000000018</c:v>
                </c:pt>
                <c:pt idx="36">
                  <c:v>#N/A</c:v>
                </c:pt>
                <c:pt idx="37">
                  <c:v>#N/A</c:v>
                </c:pt>
                <c:pt idx="38">
                  <c:v>#N/A</c:v>
                </c:pt>
                <c:pt idx="39">
                  <c:v>#N/A</c:v>
                </c:pt>
                <c:pt idx="40">
                  <c:v>#N/A</c:v>
                </c:pt>
                <c:pt idx="41">
                  <c:v>#N/A</c:v>
                </c:pt>
                <c:pt idx="42">
                  <c:v>#N/A</c:v>
                </c:pt>
                <c:pt idx="43">
                  <c:v>#N/A</c:v>
                </c:pt>
                <c:pt idx="44">
                  <c:v>#N/A</c:v>
                </c:pt>
                <c:pt idx="45">
                  <c:v>#N/A</c:v>
                </c:pt>
                <c:pt idx="46">
                  <c:v>#N/A</c:v>
                </c:pt>
              </c:numCache>
            </c:numRef>
          </c:yVal>
          <c:smooth val="1"/>
          <c:extLst>
            <c:ext xmlns:c16="http://schemas.microsoft.com/office/drawing/2014/chart" uri="{C3380CC4-5D6E-409C-BE32-E72D297353CC}">
              <c16:uniqueId val="{00000000-E329-43D0-BED6-B83D24ED389B}"/>
            </c:ext>
          </c:extLst>
        </c:ser>
        <c:ser>
          <c:idx val="1"/>
          <c:order val="1"/>
          <c:tx>
            <c:v>Shipyard</c:v>
          </c:tx>
          <c:spPr>
            <a:ln w="19050" cap="rnd">
              <a:solidFill>
                <a:schemeClr val="accent2"/>
              </a:solidFill>
              <a:round/>
            </a:ln>
            <a:effectLst/>
          </c:spPr>
          <c:marker>
            <c:symbol val="none"/>
          </c:marker>
          <c:xVal>
            <c:numRef>
              <c:f>'02.Hydrostatic'!$B$10:$B$166</c:f>
              <c:numCache>
                <c:formatCode>0.000</c:formatCode>
                <c:ptCount val="157"/>
                <c:pt idx="0">
                  <c:v>0.3</c:v>
                </c:pt>
                <c:pt idx="1">
                  <c:v>0.32</c:v>
                </c:pt>
                <c:pt idx="2">
                  <c:v>0.34</c:v>
                </c:pt>
                <c:pt idx="3">
                  <c:v>0.36</c:v>
                </c:pt>
                <c:pt idx="4">
                  <c:v>0.38</c:v>
                </c:pt>
                <c:pt idx="5">
                  <c:v>0.4</c:v>
                </c:pt>
                <c:pt idx="6">
                  <c:v>0.42</c:v>
                </c:pt>
                <c:pt idx="7">
                  <c:v>0.44</c:v>
                </c:pt>
                <c:pt idx="8">
                  <c:v>0.46</c:v>
                </c:pt>
                <c:pt idx="9">
                  <c:v>0.48</c:v>
                </c:pt>
                <c:pt idx="10">
                  <c:v>0.5</c:v>
                </c:pt>
                <c:pt idx="11">
                  <c:v>0.52</c:v>
                </c:pt>
                <c:pt idx="12">
                  <c:v>0.54</c:v>
                </c:pt>
                <c:pt idx="13">
                  <c:v>0.56000000000000005</c:v>
                </c:pt>
                <c:pt idx="14">
                  <c:v>0.57999999999999996</c:v>
                </c:pt>
                <c:pt idx="15">
                  <c:v>0.6</c:v>
                </c:pt>
                <c:pt idx="16">
                  <c:v>0.62</c:v>
                </c:pt>
                <c:pt idx="17">
                  <c:v>0.64</c:v>
                </c:pt>
                <c:pt idx="18">
                  <c:v>0.66</c:v>
                </c:pt>
                <c:pt idx="19">
                  <c:v>0.68</c:v>
                </c:pt>
                <c:pt idx="20">
                  <c:v>0.7</c:v>
                </c:pt>
                <c:pt idx="21">
                  <c:v>0.72</c:v>
                </c:pt>
                <c:pt idx="22">
                  <c:v>0.74</c:v>
                </c:pt>
                <c:pt idx="23">
                  <c:v>0.76</c:v>
                </c:pt>
                <c:pt idx="24">
                  <c:v>0.78</c:v>
                </c:pt>
                <c:pt idx="25">
                  <c:v>0.8</c:v>
                </c:pt>
                <c:pt idx="26">
                  <c:v>0.82</c:v>
                </c:pt>
                <c:pt idx="27">
                  <c:v>0.84</c:v>
                </c:pt>
                <c:pt idx="28">
                  <c:v>0.86</c:v>
                </c:pt>
                <c:pt idx="29">
                  <c:v>0.88</c:v>
                </c:pt>
                <c:pt idx="30">
                  <c:v>0.9</c:v>
                </c:pt>
                <c:pt idx="31" formatCode="###0.000;###0.000">
                  <c:v>0.92</c:v>
                </c:pt>
                <c:pt idx="32" formatCode="###0.000;###0.000">
                  <c:v>0.94</c:v>
                </c:pt>
                <c:pt idx="33" formatCode="###0.000;###0.000">
                  <c:v>0.96</c:v>
                </c:pt>
                <c:pt idx="34" formatCode="###0.000;###0.000">
                  <c:v>0.98</c:v>
                </c:pt>
                <c:pt idx="35" formatCode="###0.000;###0.000">
                  <c:v>1</c:v>
                </c:pt>
                <c:pt idx="36" formatCode="###0.000;###0.000">
                  <c:v>1.02</c:v>
                </c:pt>
                <c:pt idx="37" formatCode="###0.000;###0.000">
                  <c:v>1.04</c:v>
                </c:pt>
                <c:pt idx="38" formatCode="###0.000;###0.000">
                  <c:v>1.06</c:v>
                </c:pt>
                <c:pt idx="39" formatCode="###0.000;###0.000">
                  <c:v>1.08</c:v>
                </c:pt>
                <c:pt idx="40" formatCode="###0.000;###0.000">
                  <c:v>1.1000000000000001</c:v>
                </c:pt>
                <c:pt idx="41" formatCode="###0.000;###0.000">
                  <c:v>1.1200000000000001</c:v>
                </c:pt>
                <c:pt idx="42" formatCode="###0.000;###0.000">
                  <c:v>1.1399999999999999</c:v>
                </c:pt>
                <c:pt idx="43" formatCode="###0.000;###0.000">
                  <c:v>1.1599999999999999</c:v>
                </c:pt>
                <c:pt idx="44" formatCode="###0.000;###0.000">
                  <c:v>1.18</c:v>
                </c:pt>
                <c:pt idx="45" formatCode="###0.000;###0.000">
                  <c:v>1.2</c:v>
                </c:pt>
                <c:pt idx="46" formatCode="###0.000;###0.000">
                  <c:v>1.22</c:v>
                </c:pt>
                <c:pt idx="47" formatCode="###0.000;###0.000">
                  <c:v>1.24</c:v>
                </c:pt>
                <c:pt idx="48" formatCode="###0.000;###0.000">
                  <c:v>1.26</c:v>
                </c:pt>
                <c:pt idx="49" formatCode="###0.000;###0.000">
                  <c:v>1.28</c:v>
                </c:pt>
                <c:pt idx="50" formatCode="###0.000;###0.000">
                  <c:v>1.3</c:v>
                </c:pt>
                <c:pt idx="51" formatCode="###0.000;###0.000">
                  <c:v>1.32</c:v>
                </c:pt>
                <c:pt idx="52" formatCode="###0.000;###0.000">
                  <c:v>1.34</c:v>
                </c:pt>
                <c:pt idx="53" formatCode="###0.000;###0.000">
                  <c:v>1.36</c:v>
                </c:pt>
                <c:pt idx="54" formatCode="###0.000;###0.000">
                  <c:v>1.38</c:v>
                </c:pt>
                <c:pt idx="55" formatCode="###0.000;###0.000">
                  <c:v>1.4</c:v>
                </c:pt>
                <c:pt idx="56" formatCode="###0.000;###0.000">
                  <c:v>1.42</c:v>
                </c:pt>
                <c:pt idx="57" formatCode="###0.000;###0.000">
                  <c:v>1.44</c:v>
                </c:pt>
                <c:pt idx="58" formatCode="###0.000;###0.000">
                  <c:v>1.46</c:v>
                </c:pt>
                <c:pt idx="59" formatCode="###0.000;###0.000">
                  <c:v>1.48</c:v>
                </c:pt>
                <c:pt idx="60" formatCode="###0.000;###0.000">
                  <c:v>1.5</c:v>
                </c:pt>
                <c:pt idx="61" formatCode="###0.000;###0.000">
                  <c:v>1.52</c:v>
                </c:pt>
                <c:pt idx="62" formatCode="###0.000;###0.000">
                  <c:v>1.54</c:v>
                </c:pt>
                <c:pt idx="63" formatCode="###0.000;###0.000">
                  <c:v>1.56</c:v>
                </c:pt>
                <c:pt idx="64" formatCode="###0.000;###0.000">
                  <c:v>1.58</c:v>
                </c:pt>
                <c:pt idx="65" formatCode="###0.000;###0.000">
                  <c:v>1.6</c:v>
                </c:pt>
                <c:pt idx="66" formatCode="###0.000;###0.000">
                  <c:v>1.62</c:v>
                </c:pt>
                <c:pt idx="67" formatCode="###0.000;###0.000">
                  <c:v>1.64</c:v>
                </c:pt>
                <c:pt idx="68" formatCode="###0.000;###0.000">
                  <c:v>1.66</c:v>
                </c:pt>
                <c:pt idx="69" formatCode="###0.000;###0.000">
                  <c:v>1.68</c:v>
                </c:pt>
                <c:pt idx="70" formatCode="###0.000;###0.000">
                  <c:v>1.7</c:v>
                </c:pt>
                <c:pt idx="71" formatCode="###0.000;###0.000">
                  <c:v>1.72</c:v>
                </c:pt>
                <c:pt idx="72" formatCode="###0.000;###0.000">
                  <c:v>1.74</c:v>
                </c:pt>
                <c:pt idx="73" formatCode="###0.000;###0.000">
                  <c:v>1.76</c:v>
                </c:pt>
                <c:pt idx="74" formatCode="###0.000;###0.000">
                  <c:v>1.78</c:v>
                </c:pt>
                <c:pt idx="75" formatCode="###0.000;###0.000">
                  <c:v>1.8</c:v>
                </c:pt>
                <c:pt idx="76" formatCode="###0.000;###0.000">
                  <c:v>1.82</c:v>
                </c:pt>
                <c:pt idx="77" formatCode="###0.000;###0.000">
                  <c:v>1.84</c:v>
                </c:pt>
                <c:pt idx="78" formatCode="###0.000;###0.000">
                  <c:v>1.86</c:v>
                </c:pt>
                <c:pt idx="79" formatCode="###0.000;###0.000">
                  <c:v>1.88</c:v>
                </c:pt>
                <c:pt idx="80" formatCode="###0.000;###0.000">
                  <c:v>1.9</c:v>
                </c:pt>
                <c:pt idx="81" formatCode="###0.000;###0.000">
                  <c:v>1.92</c:v>
                </c:pt>
                <c:pt idx="82" formatCode="###0.000;###0.000">
                  <c:v>1.94</c:v>
                </c:pt>
                <c:pt idx="83" formatCode="###0.000;###0.000">
                  <c:v>1.96</c:v>
                </c:pt>
                <c:pt idx="84" formatCode="###0.000;###0.000">
                  <c:v>1.98</c:v>
                </c:pt>
                <c:pt idx="85" formatCode="###0.000;###0.000">
                  <c:v>2</c:v>
                </c:pt>
                <c:pt idx="86" formatCode="###0.000;###0.000">
                  <c:v>2.02</c:v>
                </c:pt>
                <c:pt idx="87" formatCode="###0.000;###0.000">
                  <c:v>2.04</c:v>
                </c:pt>
                <c:pt idx="88" formatCode="###0.000;###0.000">
                  <c:v>2.06</c:v>
                </c:pt>
                <c:pt idx="89" formatCode="###0.000;###0.000">
                  <c:v>2.08</c:v>
                </c:pt>
                <c:pt idx="90" formatCode="###0.000;###0.000">
                  <c:v>2.1</c:v>
                </c:pt>
                <c:pt idx="91" formatCode="###0.000;###0.000">
                  <c:v>2.12</c:v>
                </c:pt>
                <c:pt idx="92" formatCode="###0.000;###0.000">
                  <c:v>2.14</c:v>
                </c:pt>
                <c:pt idx="93" formatCode="###0.000;###0.000">
                  <c:v>2.16</c:v>
                </c:pt>
                <c:pt idx="94" formatCode="###0.000;###0.000">
                  <c:v>2.1800000000000002</c:v>
                </c:pt>
                <c:pt idx="95" formatCode="###0.000;###0.000">
                  <c:v>2.2000000000000002</c:v>
                </c:pt>
                <c:pt idx="96" formatCode="###0.000;###0.000">
                  <c:v>2.2200000000000002</c:v>
                </c:pt>
                <c:pt idx="97" formatCode="###0.000;###0.000">
                  <c:v>2.2400000000000002</c:v>
                </c:pt>
                <c:pt idx="98" formatCode="###0.000;###0.000">
                  <c:v>2.2599999999999998</c:v>
                </c:pt>
                <c:pt idx="99" formatCode="###0.000;###0.000">
                  <c:v>2.2799999999999998</c:v>
                </c:pt>
                <c:pt idx="100" formatCode="###0.000;###0.000">
                  <c:v>2.2999999999999998</c:v>
                </c:pt>
                <c:pt idx="101" formatCode="###0.000;###0.000">
                  <c:v>2.3199999999999998</c:v>
                </c:pt>
                <c:pt idx="102" formatCode="###0.000;###0.000">
                  <c:v>2.34</c:v>
                </c:pt>
                <c:pt idx="103" formatCode="###0.000;###0.000">
                  <c:v>2.36</c:v>
                </c:pt>
                <c:pt idx="104" formatCode="###0.000;###0.000">
                  <c:v>2.38</c:v>
                </c:pt>
                <c:pt idx="105" formatCode="###0.000;###0.000">
                  <c:v>2.4</c:v>
                </c:pt>
                <c:pt idx="106" formatCode="###0.000;###0.000">
                  <c:v>2.42</c:v>
                </c:pt>
                <c:pt idx="107" formatCode="###0.000;###0.000">
                  <c:v>2.44</c:v>
                </c:pt>
                <c:pt idx="108" formatCode="###0.000;###0.000">
                  <c:v>2.46</c:v>
                </c:pt>
                <c:pt idx="109" formatCode="###0.000;###0.000">
                  <c:v>2.48</c:v>
                </c:pt>
                <c:pt idx="110" formatCode="###0.000;###0.000">
                  <c:v>2.5</c:v>
                </c:pt>
                <c:pt idx="111" formatCode="###0.000;###0.000">
                  <c:v>2.52</c:v>
                </c:pt>
                <c:pt idx="112" formatCode="###0.000;###0.000">
                  <c:v>2.54</c:v>
                </c:pt>
                <c:pt idx="113" formatCode="###0.000;###0.000">
                  <c:v>2.56</c:v>
                </c:pt>
                <c:pt idx="114" formatCode="###0.000;###0.000">
                  <c:v>2.58</c:v>
                </c:pt>
                <c:pt idx="115" formatCode="###0.000;###0.000">
                  <c:v>2.6</c:v>
                </c:pt>
                <c:pt idx="116" formatCode="###0.000;###0.000">
                  <c:v>2.62</c:v>
                </c:pt>
                <c:pt idx="117" formatCode="###0.000;###0.000">
                  <c:v>2.64</c:v>
                </c:pt>
                <c:pt idx="118" formatCode="###0.000;###0.000">
                  <c:v>2.66</c:v>
                </c:pt>
                <c:pt idx="119" formatCode="###0.000;###0.000">
                  <c:v>2.68</c:v>
                </c:pt>
                <c:pt idx="120" formatCode="###0.000;###0.000">
                  <c:v>2.7</c:v>
                </c:pt>
                <c:pt idx="121" formatCode="###0.000;###0.000">
                  <c:v>2.72</c:v>
                </c:pt>
                <c:pt idx="122" formatCode="###0.000;###0.000">
                  <c:v>2.74</c:v>
                </c:pt>
                <c:pt idx="123" formatCode="###0.000;###0.000">
                  <c:v>2.76</c:v>
                </c:pt>
                <c:pt idx="124" formatCode="###0.000;###0.000">
                  <c:v>2.78</c:v>
                </c:pt>
                <c:pt idx="125" formatCode="###0.000;###0.000">
                  <c:v>2.8</c:v>
                </c:pt>
                <c:pt idx="126" formatCode="###0.000;###0.000">
                  <c:v>2.82</c:v>
                </c:pt>
                <c:pt idx="127" formatCode="###0.000;###0.000">
                  <c:v>2.84</c:v>
                </c:pt>
                <c:pt idx="128" formatCode="###0.000;###0.000">
                  <c:v>2.86</c:v>
                </c:pt>
                <c:pt idx="129" formatCode="###0.000;###0.000">
                  <c:v>2.88</c:v>
                </c:pt>
                <c:pt idx="130" formatCode="###0.000;###0.000">
                  <c:v>2.9</c:v>
                </c:pt>
                <c:pt idx="131" formatCode="###0.000;###0.000">
                  <c:v>2.92</c:v>
                </c:pt>
                <c:pt idx="132" formatCode="###0.000;###0.000">
                  <c:v>2.94</c:v>
                </c:pt>
                <c:pt idx="133" formatCode="###0.000;###0.000">
                  <c:v>2.96</c:v>
                </c:pt>
                <c:pt idx="134" formatCode="###0.000;###0.000">
                  <c:v>2.98</c:v>
                </c:pt>
                <c:pt idx="135" formatCode="###0.000;###0.000">
                  <c:v>3</c:v>
                </c:pt>
                <c:pt idx="136" formatCode="###0.000;###0.000">
                  <c:v>3.02</c:v>
                </c:pt>
                <c:pt idx="137" formatCode="###0.000;###0.000">
                  <c:v>3.04</c:v>
                </c:pt>
                <c:pt idx="138" formatCode="###0.000;###0.000">
                  <c:v>3.06</c:v>
                </c:pt>
                <c:pt idx="139" formatCode="###0.000;###0.000">
                  <c:v>3.08</c:v>
                </c:pt>
                <c:pt idx="140" formatCode="###0.000;###0.000">
                  <c:v>3.1</c:v>
                </c:pt>
                <c:pt idx="141" formatCode="###0.000;###0.000">
                  <c:v>3.12</c:v>
                </c:pt>
                <c:pt idx="142" formatCode="###0.000;###0.000">
                  <c:v>3.14</c:v>
                </c:pt>
                <c:pt idx="143" formatCode="###0.000;###0.000">
                  <c:v>3.16</c:v>
                </c:pt>
                <c:pt idx="144" formatCode="###0.000;###0.000">
                  <c:v>3.18</c:v>
                </c:pt>
                <c:pt idx="145" formatCode="###0.000;###0.000">
                  <c:v>3.2</c:v>
                </c:pt>
                <c:pt idx="146" formatCode="###0.000;###0.000">
                  <c:v>3.206</c:v>
                </c:pt>
                <c:pt idx="147" formatCode="###0.000;###0.000">
                  <c:v>3.22</c:v>
                </c:pt>
                <c:pt idx="148" formatCode="###0.000;###0.000">
                  <c:v>3.24</c:v>
                </c:pt>
                <c:pt idx="149" formatCode="###0.000;###0.000">
                  <c:v>3.26</c:v>
                </c:pt>
                <c:pt idx="150" formatCode="###0.000;###0.000">
                  <c:v>3.28</c:v>
                </c:pt>
                <c:pt idx="151" formatCode="###0.000;###0.000">
                  <c:v>3.3</c:v>
                </c:pt>
                <c:pt idx="152" formatCode="###0.000;###0.000">
                  <c:v>3.32</c:v>
                </c:pt>
                <c:pt idx="153" formatCode="###0.000;###0.000">
                  <c:v>3.34</c:v>
                </c:pt>
                <c:pt idx="154" formatCode="###0.000;###0.000">
                  <c:v>3.36</c:v>
                </c:pt>
                <c:pt idx="155" formatCode="###0.000;###0.000">
                  <c:v>3.38</c:v>
                </c:pt>
                <c:pt idx="156" formatCode="###0.000;###0.000">
                  <c:v>3.4</c:v>
                </c:pt>
              </c:numCache>
            </c:numRef>
          </c:xVal>
          <c:yVal>
            <c:numRef>
              <c:f>'02.Hydrostatic'!$D$10:$D$166</c:f>
              <c:numCache>
                <c:formatCode>#\ ##0.000</c:formatCode>
                <c:ptCount val="157"/>
                <c:pt idx="0">
                  <c:v>301.69</c:v>
                </c:pt>
                <c:pt idx="1">
                  <c:v>322.83999999999997</c:v>
                </c:pt>
                <c:pt idx="2">
                  <c:v>343.95</c:v>
                </c:pt>
                <c:pt idx="3">
                  <c:v>365.07</c:v>
                </c:pt>
                <c:pt idx="4">
                  <c:v>386.21</c:v>
                </c:pt>
                <c:pt idx="5">
                  <c:v>407.35</c:v>
                </c:pt>
                <c:pt idx="6">
                  <c:v>428.5</c:v>
                </c:pt>
                <c:pt idx="7">
                  <c:v>449.66</c:v>
                </c:pt>
                <c:pt idx="8">
                  <c:v>470.82</c:v>
                </c:pt>
                <c:pt idx="9">
                  <c:v>491.98</c:v>
                </c:pt>
                <c:pt idx="10">
                  <c:v>513.15</c:v>
                </c:pt>
                <c:pt idx="11">
                  <c:v>534.30999999999995</c:v>
                </c:pt>
                <c:pt idx="12">
                  <c:v>555.46</c:v>
                </c:pt>
                <c:pt idx="13">
                  <c:v>576.88</c:v>
                </c:pt>
                <c:pt idx="14">
                  <c:v>598.44000000000005</c:v>
                </c:pt>
                <c:pt idx="15">
                  <c:v>620</c:v>
                </c:pt>
                <c:pt idx="16">
                  <c:v>641.54</c:v>
                </c:pt>
                <c:pt idx="17">
                  <c:v>663.07</c:v>
                </c:pt>
                <c:pt idx="18">
                  <c:v>684.6</c:v>
                </c:pt>
                <c:pt idx="19">
                  <c:v>706.15</c:v>
                </c:pt>
                <c:pt idx="20">
                  <c:v>727.71</c:v>
                </c:pt>
                <c:pt idx="21">
                  <c:v>749.27</c:v>
                </c:pt>
                <c:pt idx="22">
                  <c:v>770.85</c:v>
                </c:pt>
                <c:pt idx="23">
                  <c:v>792.42</c:v>
                </c:pt>
                <c:pt idx="24">
                  <c:v>814</c:v>
                </c:pt>
                <c:pt idx="25">
                  <c:v>835.58</c:v>
                </c:pt>
                <c:pt idx="26">
                  <c:v>857.15</c:v>
                </c:pt>
                <c:pt idx="27">
                  <c:v>878.93</c:v>
                </c:pt>
                <c:pt idx="28">
                  <c:v>900.9</c:v>
                </c:pt>
                <c:pt idx="29">
                  <c:v>922.87</c:v>
                </c:pt>
                <c:pt idx="30">
                  <c:v>944.83</c:v>
                </c:pt>
                <c:pt idx="31">
                  <c:v>966.76</c:v>
                </c:pt>
                <c:pt idx="32">
                  <c:v>988.7</c:v>
                </c:pt>
                <c:pt idx="33">
                  <c:v>1010.66</c:v>
                </c:pt>
                <c:pt idx="34">
                  <c:v>1032.6300000000001</c:v>
                </c:pt>
                <c:pt idx="35">
                  <c:v>1054.5999999999999</c:v>
                </c:pt>
                <c:pt idx="36">
                  <c:v>1076.5899999999999</c:v>
                </c:pt>
                <c:pt idx="37">
                  <c:v>1098.58</c:v>
                </c:pt>
                <c:pt idx="38">
                  <c:v>1120.57</c:v>
                </c:pt>
                <c:pt idx="39">
                  <c:v>1142.56</c:v>
                </c:pt>
                <c:pt idx="40">
                  <c:v>1164.54</c:v>
                </c:pt>
                <c:pt idx="41">
                  <c:v>1186.67</c:v>
                </c:pt>
                <c:pt idx="42">
                  <c:v>1209.05</c:v>
                </c:pt>
                <c:pt idx="43">
                  <c:v>1231.44</c:v>
                </c:pt>
                <c:pt idx="44">
                  <c:v>1253.81</c:v>
                </c:pt>
                <c:pt idx="45">
                  <c:v>1276.1500000000001</c:v>
                </c:pt>
                <c:pt idx="46">
                  <c:v>1298.51</c:v>
                </c:pt>
                <c:pt idx="47">
                  <c:v>1320.87</c:v>
                </c:pt>
                <c:pt idx="48">
                  <c:v>1343.25</c:v>
                </c:pt>
                <c:pt idx="49">
                  <c:v>1365.63</c:v>
                </c:pt>
                <c:pt idx="50">
                  <c:v>1388.03</c:v>
                </c:pt>
                <c:pt idx="51">
                  <c:v>1410.43</c:v>
                </c:pt>
                <c:pt idx="52">
                  <c:v>1432.83</c:v>
                </c:pt>
                <c:pt idx="53">
                  <c:v>1455.23</c:v>
                </c:pt>
                <c:pt idx="54">
                  <c:v>1477.62</c:v>
                </c:pt>
                <c:pt idx="55">
                  <c:v>1500.11</c:v>
                </c:pt>
                <c:pt idx="56">
                  <c:v>1522.9</c:v>
                </c:pt>
                <c:pt idx="57">
                  <c:v>1545.7</c:v>
                </c:pt>
                <c:pt idx="58">
                  <c:v>1568.49</c:v>
                </c:pt>
                <c:pt idx="59">
                  <c:v>1591.24</c:v>
                </c:pt>
                <c:pt idx="60">
                  <c:v>1614.01</c:v>
                </c:pt>
                <c:pt idx="61">
                  <c:v>1636.78</c:v>
                </c:pt>
                <c:pt idx="62">
                  <c:v>1659.57</c:v>
                </c:pt>
                <c:pt idx="63">
                  <c:v>1682.37</c:v>
                </c:pt>
                <c:pt idx="64">
                  <c:v>1705.17</c:v>
                </c:pt>
                <c:pt idx="65">
                  <c:v>1727.98</c:v>
                </c:pt>
                <c:pt idx="66">
                  <c:v>1750.79</c:v>
                </c:pt>
                <c:pt idx="67">
                  <c:v>1773.61</c:v>
                </c:pt>
                <c:pt idx="68">
                  <c:v>1796.41</c:v>
                </c:pt>
                <c:pt idx="69">
                  <c:v>1819.24</c:v>
                </c:pt>
                <c:pt idx="70">
                  <c:v>1842.43</c:v>
                </c:pt>
                <c:pt idx="71">
                  <c:v>1865.63</c:v>
                </c:pt>
                <c:pt idx="72">
                  <c:v>1888.84</c:v>
                </c:pt>
                <c:pt idx="73">
                  <c:v>1912.01</c:v>
                </c:pt>
                <c:pt idx="74">
                  <c:v>1935.18</c:v>
                </c:pt>
                <c:pt idx="75">
                  <c:v>1958.37</c:v>
                </c:pt>
                <c:pt idx="76">
                  <c:v>1981.56</c:v>
                </c:pt>
                <c:pt idx="77">
                  <c:v>2004.77</c:v>
                </c:pt>
                <c:pt idx="78">
                  <c:v>2027.98</c:v>
                </c:pt>
                <c:pt idx="79">
                  <c:v>2051.1999999999998</c:v>
                </c:pt>
                <c:pt idx="80">
                  <c:v>2074.4299999999998</c:v>
                </c:pt>
                <c:pt idx="81">
                  <c:v>2097.65</c:v>
                </c:pt>
                <c:pt idx="82">
                  <c:v>2120.87</c:v>
                </c:pt>
                <c:pt idx="83">
                  <c:v>2144.09</c:v>
                </c:pt>
                <c:pt idx="84">
                  <c:v>2167.65</c:v>
                </c:pt>
                <c:pt idx="85">
                  <c:v>2191.27</c:v>
                </c:pt>
                <c:pt idx="86">
                  <c:v>2214.88</c:v>
                </c:pt>
                <c:pt idx="87">
                  <c:v>2238.4699999999998</c:v>
                </c:pt>
                <c:pt idx="88">
                  <c:v>2262.0500000000002</c:v>
                </c:pt>
                <c:pt idx="89">
                  <c:v>2285.65</c:v>
                </c:pt>
                <c:pt idx="90">
                  <c:v>2309.2600000000002</c:v>
                </c:pt>
                <c:pt idx="91">
                  <c:v>2332.87</c:v>
                </c:pt>
                <c:pt idx="92">
                  <c:v>2356.5</c:v>
                </c:pt>
                <c:pt idx="93">
                  <c:v>2380.13</c:v>
                </c:pt>
                <c:pt idx="94">
                  <c:v>2403.7600000000002</c:v>
                </c:pt>
                <c:pt idx="95">
                  <c:v>2427.39</c:v>
                </c:pt>
                <c:pt idx="96">
                  <c:v>2451.0300000000002</c:v>
                </c:pt>
                <c:pt idx="97">
                  <c:v>2474.66</c:v>
                </c:pt>
                <c:pt idx="98">
                  <c:v>2498.58</c:v>
                </c:pt>
                <c:pt idx="99">
                  <c:v>2522.61</c:v>
                </c:pt>
                <c:pt idx="100">
                  <c:v>2546.64</c:v>
                </c:pt>
                <c:pt idx="101">
                  <c:v>2570.64</c:v>
                </c:pt>
                <c:pt idx="102">
                  <c:v>2594.63</c:v>
                </c:pt>
                <c:pt idx="103">
                  <c:v>2618.63</c:v>
                </c:pt>
                <c:pt idx="104">
                  <c:v>2642.65</c:v>
                </c:pt>
                <c:pt idx="105">
                  <c:v>2666.68</c:v>
                </c:pt>
                <c:pt idx="106">
                  <c:v>2690.71</c:v>
                </c:pt>
                <c:pt idx="107">
                  <c:v>2714.76</c:v>
                </c:pt>
                <c:pt idx="108">
                  <c:v>2738.8</c:v>
                </c:pt>
                <c:pt idx="109">
                  <c:v>2762.84</c:v>
                </c:pt>
                <c:pt idx="110">
                  <c:v>2786.89</c:v>
                </c:pt>
                <c:pt idx="111">
                  <c:v>2810.93</c:v>
                </c:pt>
                <c:pt idx="112">
                  <c:v>2835.13</c:v>
                </c:pt>
                <c:pt idx="113">
                  <c:v>2859.4</c:v>
                </c:pt>
                <c:pt idx="114">
                  <c:v>2883.67</c:v>
                </c:pt>
                <c:pt idx="115">
                  <c:v>2908.01</c:v>
                </c:pt>
                <c:pt idx="116">
                  <c:v>2932.36</c:v>
                </c:pt>
                <c:pt idx="117">
                  <c:v>2956.72</c:v>
                </c:pt>
                <c:pt idx="118">
                  <c:v>2981.16</c:v>
                </c:pt>
                <c:pt idx="119">
                  <c:v>3005.59</c:v>
                </c:pt>
                <c:pt idx="120">
                  <c:v>3030.05</c:v>
                </c:pt>
                <c:pt idx="121">
                  <c:v>3054.57</c:v>
                </c:pt>
                <c:pt idx="122">
                  <c:v>3079.09</c:v>
                </c:pt>
                <c:pt idx="123">
                  <c:v>3103.63</c:v>
                </c:pt>
                <c:pt idx="124">
                  <c:v>3128.23</c:v>
                </c:pt>
                <c:pt idx="125">
                  <c:v>3152.83</c:v>
                </c:pt>
                <c:pt idx="126">
                  <c:v>3177.45</c:v>
                </c:pt>
                <c:pt idx="127">
                  <c:v>3202.1</c:v>
                </c:pt>
                <c:pt idx="128">
                  <c:v>3226.73</c:v>
                </c:pt>
                <c:pt idx="129">
                  <c:v>3251.37</c:v>
                </c:pt>
                <c:pt idx="130">
                  <c:v>3276.01</c:v>
                </c:pt>
                <c:pt idx="131">
                  <c:v>3300.65</c:v>
                </c:pt>
                <c:pt idx="132">
                  <c:v>3325.29</c:v>
                </c:pt>
                <c:pt idx="133">
                  <c:v>3349.93</c:v>
                </c:pt>
                <c:pt idx="134">
                  <c:v>3374.57</c:v>
                </c:pt>
                <c:pt idx="135">
                  <c:v>3399.21</c:v>
                </c:pt>
                <c:pt idx="136">
                  <c:v>3423.85</c:v>
                </c:pt>
                <c:pt idx="137">
                  <c:v>3448.49</c:v>
                </c:pt>
                <c:pt idx="138">
                  <c:v>3473.13</c:v>
                </c:pt>
                <c:pt idx="139">
                  <c:v>3497.76</c:v>
                </c:pt>
                <c:pt idx="140">
                  <c:v>3522.4</c:v>
                </c:pt>
                <c:pt idx="141">
                  <c:v>3547.05</c:v>
                </c:pt>
                <c:pt idx="142">
                  <c:v>3571.69</c:v>
                </c:pt>
                <c:pt idx="143">
                  <c:v>3596.33</c:v>
                </c:pt>
                <c:pt idx="144">
                  <c:v>3620.96</c:v>
                </c:pt>
                <c:pt idx="145">
                  <c:v>3645.6</c:v>
                </c:pt>
                <c:pt idx="146">
                  <c:v>3652.99</c:v>
                </c:pt>
                <c:pt idx="147">
                  <c:v>3670.25</c:v>
                </c:pt>
                <c:pt idx="148">
                  <c:v>3694.89</c:v>
                </c:pt>
                <c:pt idx="149">
                  <c:v>3719.52</c:v>
                </c:pt>
                <c:pt idx="150">
                  <c:v>3744.16</c:v>
                </c:pt>
                <c:pt idx="151">
                  <c:v>3768.8</c:v>
                </c:pt>
                <c:pt idx="152">
                  <c:v>3793.45</c:v>
                </c:pt>
                <c:pt idx="153">
                  <c:v>3818.09</c:v>
                </c:pt>
                <c:pt idx="154">
                  <c:v>3842.72</c:v>
                </c:pt>
                <c:pt idx="155">
                  <c:v>3867.36</c:v>
                </c:pt>
                <c:pt idx="156">
                  <c:v>3892</c:v>
                </c:pt>
              </c:numCache>
            </c:numRef>
          </c:yVal>
          <c:smooth val="1"/>
          <c:extLst>
            <c:ext xmlns:c16="http://schemas.microsoft.com/office/drawing/2014/chart" uri="{C3380CC4-5D6E-409C-BE32-E72D297353CC}">
              <c16:uniqueId val="{00000001-E329-43D0-BED6-B83D24ED389B}"/>
            </c:ext>
          </c:extLst>
        </c:ser>
        <c:dLbls>
          <c:showLegendKey val="0"/>
          <c:showVal val="0"/>
          <c:showCatName val="0"/>
          <c:showSerName val="0"/>
          <c:showPercent val="0"/>
          <c:showBubbleSize val="0"/>
        </c:dLbls>
        <c:axId val="691308936"/>
        <c:axId val="691309264"/>
      </c:scatterChart>
      <c:valAx>
        <c:axId val="691308936"/>
        <c:scaling>
          <c:orientation val="minMax"/>
        </c:scaling>
        <c:delete val="0"/>
        <c:axPos val="b"/>
        <c:majorGridlines>
          <c:spPr>
            <a:ln w="9525" cap="flat" cmpd="sng" algn="ctr">
              <a:solidFill>
                <a:schemeClr val="tx1">
                  <a:lumMod val="15000"/>
                  <a:lumOff val="85000"/>
                </a:schemeClr>
              </a:solidFill>
              <a:round/>
            </a:ln>
            <a:effectLst/>
          </c:spPr>
        </c:majorGridlines>
        <c:numFmt formatCode="#\ ##0.000&quot; m&quot;;\-#\ ##0.000&quot; m&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91309264"/>
        <c:crosses val="autoZero"/>
        <c:crossBetween val="midCat"/>
      </c:valAx>
      <c:valAx>
        <c:axId val="691309264"/>
        <c:scaling>
          <c:orientation val="minMax"/>
        </c:scaling>
        <c:delete val="0"/>
        <c:axPos val="l"/>
        <c:majorGridlines>
          <c:spPr>
            <a:ln w="9525" cap="flat" cmpd="sng" algn="ctr">
              <a:solidFill>
                <a:schemeClr val="tx1">
                  <a:lumMod val="15000"/>
                  <a:lumOff val="85000"/>
                </a:schemeClr>
              </a:solidFill>
              <a:round/>
            </a:ln>
            <a:effectLst/>
          </c:spPr>
        </c:majorGridlines>
        <c:numFmt formatCode="#\ ##0.000&quot; t&quot;;\-#\ ##0.000&quot; t&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91308936"/>
        <c:crosses val="autoZero"/>
        <c:crossBetween val="midCat"/>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MCT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0"/>
          <c:order val="0"/>
          <c:tx>
            <c:v>ASH</c:v>
          </c:tx>
          <c:spPr>
            <a:ln w="19050" cap="rnd">
              <a:solidFill>
                <a:schemeClr val="accent1"/>
              </a:solidFill>
              <a:round/>
            </a:ln>
            <a:effectLst/>
          </c:spPr>
          <c:marker>
            <c:symbol val="none"/>
          </c:marker>
          <c:xVal>
            <c:numRef>
              <c:f>'04.Long. Section'!$V$8:$V$57</c:f>
              <c:numCache>
                <c:formatCode>#\ ##0.000" m";\-#\ ##0.000" m";\-;@</c:formatCode>
                <c:ptCount val="50"/>
                <c:pt idx="0">
                  <c:v>0.2</c:v>
                </c:pt>
                <c:pt idx="1">
                  <c:v>0.30000000000000004</c:v>
                </c:pt>
                <c:pt idx="2">
                  <c:v>0.4</c:v>
                </c:pt>
                <c:pt idx="3">
                  <c:v>0.5</c:v>
                </c:pt>
                <c:pt idx="4">
                  <c:v>0.6</c:v>
                </c:pt>
                <c:pt idx="5">
                  <c:v>0.7</c:v>
                </c:pt>
                <c:pt idx="6">
                  <c:v>0.79999999999999993</c:v>
                </c:pt>
                <c:pt idx="7">
                  <c:v>0.89999999999999991</c:v>
                </c:pt>
                <c:pt idx="8">
                  <c:v>0.99999999999999989</c:v>
                </c:pt>
                <c:pt idx="9">
                  <c:v>1.0999999999999999</c:v>
                </c:pt>
                <c:pt idx="10">
                  <c:v>1.2</c:v>
                </c:pt>
                <c:pt idx="11">
                  <c:v>1.3</c:v>
                </c:pt>
                <c:pt idx="12">
                  <c:v>1.4000000000000001</c:v>
                </c:pt>
                <c:pt idx="13">
                  <c:v>1.5000000000000002</c:v>
                </c:pt>
                <c:pt idx="14">
                  <c:v>1.6000000000000003</c:v>
                </c:pt>
                <c:pt idx="15">
                  <c:v>1.7000000000000004</c:v>
                </c:pt>
                <c:pt idx="16">
                  <c:v>1.8000000000000005</c:v>
                </c:pt>
                <c:pt idx="17">
                  <c:v>1.9000000000000006</c:v>
                </c:pt>
                <c:pt idx="18">
                  <c:v>2.0000000000000004</c:v>
                </c:pt>
                <c:pt idx="19">
                  <c:v>2.1000000000000005</c:v>
                </c:pt>
                <c:pt idx="20">
                  <c:v>2.2000000000000006</c:v>
                </c:pt>
                <c:pt idx="21">
                  <c:v>2.3000000000000007</c:v>
                </c:pt>
                <c:pt idx="22">
                  <c:v>2.4000000000000008</c:v>
                </c:pt>
                <c:pt idx="23">
                  <c:v>2.5000000000000009</c:v>
                </c:pt>
                <c:pt idx="24">
                  <c:v>2.600000000000001</c:v>
                </c:pt>
                <c:pt idx="25">
                  <c:v>2.7000000000000011</c:v>
                </c:pt>
                <c:pt idx="26">
                  <c:v>2.8000000000000012</c:v>
                </c:pt>
                <c:pt idx="27">
                  <c:v>2.9000000000000012</c:v>
                </c:pt>
                <c:pt idx="28">
                  <c:v>3.0000000000000013</c:v>
                </c:pt>
                <c:pt idx="29">
                  <c:v>3.1000000000000014</c:v>
                </c:pt>
                <c:pt idx="30">
                  <c:v>3.2000000000000015</c:v>
                </c:pt>
                <c:pt idx="31">
                  <c:v>3.3000000000000016</c:v>
                </c:pt>
                <c:pt idx="32">
                  <c:v>3.4000000000000017</c:v>
                </c:pt>
                <c:pt idx="33">
                  <c:v>3.5000000000000018</c:v>
                </c:pt>
                <c:pt idx="34">
                  <c:v>3.6000000000000019</c:v>
                </c:pt>
                <c:pt idx="35">
                  <c:v>3.700000000000002</c:v>
                </c:pt>
                <c:pt idx="36">
                  <c:v>3.800000000000002</c:v>
                </c:pt>
                <c:pt idx="37">
                  <c:v>3.9000000000000021</c:v>
                </c:pt>
                <c:pt idx="38">
                  <c:v>4.0000000000000018</c:v>
                </c:pt>
                <c:pt idx="39">
                  <c:v>#N/A</c:v>
                </c:pt>
                <c:pt idx="40">
                  <c:v>#N/A</c:v>
                </c:pt>
                <c:pt idx="41">
                  <c:v>#N/A</c:v>
                </c:pt>
                <c:pt idx="42">
                  <c:v>#N/A</c:v>
                </c:pt>
                <c:pt idx="43">
                  <c:v>#N/A</c:v>
                </c:pt>
                <c:pt idx="44">
                  <c:v>#N/A</c:v>
                </c:pt>
                <c:pt idx="45">
                  <c:v>#N/A</c:v>
                </c:pt>
                <c:pt idx="46">
                  <c:v>#N/A</c:v>
                </c:pt>
                <c:pt idx="47">
                  <c:v>#N/A</c:v>
                </c:pt>
                <c:pt idx="48">
                  <c:v>#N/A</c:v>
                </c:pt>
                <c:pt idx="49">
                  <c:v>#N/A</c:v>
                </c:pt>
              </c:numCache>
            </c:numRef>
          </c:xVal>
          <c:yVal>
            <c:numRef>
              <c:f>'04.Long. Section'!$AY$8:$AY$57</c:f>
              <c:numCache>
                <c:formatCode>#\ ##0.0" t*m/cm";\-#\ ##0.0" t*m/cm";\-;@</c:formatCode>
                <c:ptCount val="50"/>
                <c:pt idx="0">
                  <c:v>36.231677194686846</c:v>
                </c:pt>
                <c:pt idx="1">
                  <c:v>37.00253836653819</c:v>
                </c:pt>
                <c:pt idx="2">
                  <c:v>37.784256559768423</c:v>
                </c:pt>
                <c:pt idx="3">
                  <c:v>38.576907697602849</c:v>
                </c:pt>
                <c:pt idx="4">
                  <c:v>39.380567703272334</c:v>
                </c:pt>
                <c:pt idx="5">
                  <c:v>40.195312499999986</c:v>
                </c:pt>
                <c:pt idx="6">
                  <c:v>41.021218011015073</c:v>
                </c:pt>
                <c:pt idx="7">
                  <c:v>41.858360159541142</c:v>
                </c:pt>
                <c:pt idx="8">
                  <c:v>42.706814868805793</c:v>
                </c:pt>
                <c:pt idx="9">
                  <c:v>43.566658062035494</c:v>
                </c:pt>
                <c:pt idx="10">
                  <c:v>44.437965662456612</c:v>
                </c:pt>
                <c:pt idx="11">
                  <c:v>45.320813593295036</c:v>
                </c:pt>
                <c:pt idx="12">
                  <c:v>46.215277777779534</c:v>
                </c:pt>
                <c:pt idx="13">
                  <c:v>47.121434139133036</c:v>
                </c:pt>
                <c:pt idx="14">
                  <c:v>48.039358600584293</c:v>
                </c:pt>
                <c:pt idx="15">
                  <c:v>48.969127085358544</c:v>
                </c:pt>
                <c:pt idx="16">
                  <c:v>49.910815516684096</c:v>
                </c:pt>
                <c:pt idx="17">
                  <c:v>50.864499817784875</c:v>
                </c:pt>
                <c:pt idx="18">
                  <c:v>51.830255911887946</c:v>
                </c:pt>
                <c:pt idx="19">
                  <c:v>52.808159722223444</c:v>
                </c:pt>
                <c:pt idx="20">
                  <c:v>53.798287172012913</c:v>
                </c:pt>
                <c:pt idx="21">
                  <c:v>54.800714184485813</c:v>
                </c:pt>
                <c:pt idx="22">
                  <c:v>55.815516682864235</c:v>
                </c:pt>
                <c:pt idx="23">
                  <c:v>56.842770590380923</c:v>
                </c:pt>
                <c:pt idx="24">
                  <c:v>57.882551830256553</c:v>
                </c:pt>
                <c:pt idx="25">
                  <c:v>58.934936325721416</c:v>
                </c:pt>
                <c:pt idx="26">
                  <c:v>60.000000000001279</c:v>
                </c:pt>
                <c:pt idx="27">
                  <c:v>60.000000000001279</c:v>
                </c:pt>
                <c:pt idx="28">
                  <c:v>60.000000000001279</c:v>
                </c:pt>
                <c:pt idx="29">
                  <c:v>60.000000000001279</c:v>
                </c:pt>
                <c:pt idx="30">
                  <c:v>60.000000000001279</c:v>
                </c:pt>
                <c:pt idx="31">
                  <c:v>60.000000000001279</c:v>
                </c:pt>
                <c:pt idx="32">
                  <c:v>60.000000000001279</c:v>
                </c:pt>
                <c:pt idx="33">
                  <c:v>60.000000000001279</c:v>
                </c:pt>
                <c:pt idx="34">
                  <c:v>60.000000000001279</c:v>
                </c:pt>
                <c:pt idx="35">
                  <c:v>60.000000000001279</c:v>
                </c:pt>
                <c:pt idx="36">
                  <c:v>60.000000000001279</c:v>
                </c:pt>
                <c:pt idx="37">
                  <c:v>60.000000000001279</c:v>
                </c:pt>
                <c:pt idx="38">
                  <c:v>60.000000000001279</c:v>
                </c:pt>
                <c:pt idx="39">
                  <c:v>#N/A</c:v>
                </c:pt>
                <c:pt idx="40">
                  <c:v>#N/A</c:v>
                </c:pt>
                <c:pt idx="41">
                  <c:v>#N/A</c:v>
                </c:pt>
                <c:pt idx="42">
                  <c:v>#N/A</c:v>
                </c:pt>
                <c:pt idx="43">
                  <c:v>#N/A</c:v>
                </c:pt>
                <c:pt idx="44">
                  <c:v>#N/A</c:v>
                </c:pt>
                <c:pt idx="45">
                  <c:v>#N/A</c:v>
                </c:pt>
                <c:pt idx="46">
                  <c:v>#N/A</c:v>
                </c:pt>
                <c:pt idx="47">
                  <c:v>#N/A</c:v>
                </c:pt>
                <c:pt idx="48">
                  <c:v>#N/A</c:v>
                </c:pt>
                <c:pt idx="49">
                  <c:v>#N/A</c:v>
                </c:pt>
              </c:numCache>
            </c:numRef>
          </c:yVal>
          <c:smooth val="1"/>
          <c:extLst>
            <c:ext xmlns:c16="http://schemas.microsoft.com/office/drawing/2014/chart" uri="{C3380CC4-5D6E-409C-BE32-E72D297353CC}">
              <c16:uniqueId val="{00000000-5554-4109-A477-C1007E5B8F4C}"/>
            </c:ext>
          </c:extLst>
        </c:ser>
        <c:ser>
          <c:idx val="1"/>
          <c:order val="1"/>
          <c:tx>
            <c:v>Shipyard</c:v>
          </c:tx>
          <c:spPr>
            <a:ln w="19050" cap="rnd">
              <a:solidFill>
                <a:schemeClr val="accent2"/>
              </a:solidFill>
              <a:round/>
            </a:ln>
            <a:effectLst/>
          </c:spPr>
          <c:marker>
            <c:symbol val="none"/>
          </c:marker>
          <c:xVal>
            <c:numRef>
              <c:f>'02.Hydrostatic'!$B$10:$B$166</c:f>
              <c:numCache>
                <c:formatCode>0.000</c:formatCode>
                <c:ptCount val="157"/>
                <c:pt idx="0">
                  <c:v>0.3</c:v>
                </c:pt>
                <c:pt idx="1">
                  <c:v>0.32</c:v>
                </c:pt>
                <c:pt idx="2">
                  <c:v>0.34</c:v>
                </c:pt>
                <c:pt idx="3">
                  <c:v>0.36</c:v>
                </c:pt>
                <c:pt idx="4">
                  <c:v>0.38</c:v>
                </c:pt>
                <c:pt idx="5">
                  <c:v>0.4</c:v>
                </c:pt>
                <c:pt idx="6">
                  <c:v>0.42</c:v>
                </c:pt>
                <c:pt idx="7">
                  <c:v>0.44</c:v>
                </c:pt>
                <c:pt idx="8">
                  <c:v>0.46</c:v>
                </c:pt>
                <c:pt idx="9">
                  <c:v>0.48</c:v>
                </c:pt>
                <c:pt idx="10">
                  <c:v>0.5</c:v>
                </c:pt>
                <c:pt idx="11">
                  <c:v>0.52</c:v>
                </c:pt>
                <c:pt idx="12">
                  <c:v>0.54</c:v>
                </c:pt>
                <c:pt idx="13">
                  <c:v>0.56000000000000005</c:v>
                </c:pt>
                <c:pt idx="14">
                  <c:v>0.57999999999999996</c:v>
                </c:pt>
                <c:pt idx="15">
                  <c:v>0.6</c:v>
                </c:pt>
                <c:pt idx="16">
                  <c:v>0.62</c:v>
                </c:pt>
                <c:pt idx="17">
                  <c:v>0.64</c:v>
                </c:pt>
                <c:pt idx="18">
                  <c:v>0.66</c:v>
                </c:pt>
                <c:pt idx="19">
                  <c:v>0.68</c:v>
                </c:pt>
                <c:pt idx="20">
                  <c:v>0.7</c:v>
                </c:pt>
                <c:pt idx="21">
                  <c:v>0.72</c:v>
                </c:pt>
                <c:pt idx="22">
                  <c:v>0.74</c:v>
                </c:pt>
                <c:pt idx="23">
                  <c:v>0.76</c:v>
                </c:pt>
                <c:pt idx="24">
                  <c:v>0.78</c:v>
                </c:pt>
                <c:pt idx="25">
                  <c:v>0.8</c:v>
                </c:pt>
                <c:pt idx="26">
                  <c:v>0.82</c:v>
                </c:pt>
                <c:pt idx="27">
                  <c:v>0.84</c:v>
                </c:pt>
                <c:pt idx="28">
                  <c:v>0.86</c:v>
                </c:pt>
                <c:pt idx="29">
                  <c:v>0.88</c:v>
                </c:pt>
                <c:pt idx="30">
                  <c:v>0.9</c:v>
                </c:pt>
                <c:pt idx="31" formatCode="###0.000;###0.000">
                  <c:v>0.92</c:v>
                </c:pt>
                <c:pt idx="32" formatCode="###0.000;###0.000">
                  <c:v>0.94</c:v>
                </c:pt>
                <c:pt idx="33" formatCode="###0.000;###0.000">
                  <c:v>0.96</c:v>
                </c:pt>
                <c:pt idx="34" formatCode="###0.000;###0.000">
                  <c:v>0.98</c:v>
                </c:pt>
                <c:pt idx="35" formatCode="###0.000;###0.000">
                  <c:v>1</c:v>
                </c:pt>
                <c:pt idx="36" formatCode="###0.000;###0.000">
                  <c:v>1.02</c:v>
                </c:pt>
                <c:pt idx="37" formatCode="###0.000;###0.000">
                  <c:v>1.04</c:v>
                </c:pt>
                <c:pt idx="38" formatCode="###0.000;###0.000">
                  <c:v>1.06</c:v>
                </c:pt>
                <c:pt idx="39" formatCode="###0.000;###0.000">
                  <c:v>1.08</c:v>
                </c:pt>
                <c:pt idx="40" formatCode="###0.000;###0.000">
                  <c:v>1.1000000000000001</c:v>
                </c:pt>
                <c:pt idx="41" formatCode="###0.000;###0.000">
                  <c:v>1.1200000000000001</c:v>
                </c:pt>
                <c:pt idx="42" formatCode="###0.000;###0.000">
                  <c:v>1.1399999999999999</c:v>
                </c:pt>
                <c:pt idx="43" formatCode="###0.000;###0.000">
                  <c:v>1.1599999999999999</c:v>
                </c:pt>
                <c:pt idx="44" formatCode="###0.000;###0.000">
                  <c:v>1.18</c:v>
                </c:pt>
                <c:pt idx="45" formatCode="###0.000;###0.000">
                  <c:v>1.2</c:v>
                </c:pt>
                <c:pt idx="46" formatCode="###0.000;###0.000">
                  <c:v>1.22</c:v>
                </c:pt>
                <c:pt idx="47" formatCode="###0.000;###0.000">
                  <c:v>1.24</c:v>
                </c:pt>
                <c:pt idx="48" formatCode="###0.000;###0.000">
                  <c:v>1.26</c:v>
                </c:pt>
                <c:pt idx="49" formatCode="###0.000;###0.000">
                  <c:v>1.28</c:v>
                </c:pt>
                <c:pt idx="50" formatCode="###0.000;###0.000">
                  <c:v>1.3</c:v>
                </c:pt>
                <c:pt idx="51" formatCode="###0.000;###0.000">
                  <c:v>1.32</c:v>
                </c:pt>
                <c:pt idx="52" formatCode="###0.000;###0.000">
                  <c:v>1.34</c:v>
                </c:pt>
                <c:pt idx="53" formatCode="###0.000;###0.000">
                  <c:v>1.36</c:v>
                </c:pt>
                <c:pt idx="54" formatCode="###0.000;###0.000">
                  <c:v>1.38</c:v>
                </c:pt>
                <c:pt idx="55" formatCode="###0.000;###0.000">
                  <c:v>1.4</c:v>
                </c:pt>
                <c:pt idx="56" formatCode="###0.000;###0.000">
                  <c:v>1.42</c:v>
                </c:pt>
                <c:pt idx="57" formatCode="###0.000;###0.000">
                  <c:v>1.44</c:v>
                </c:pt>
                <c:pt idx="58" formatCode="###0.000;###0.000">
                  <c:v>1.46</c:v>
                </c:pt>
                <c:pt idx="59" formatCode="###0.000;###0.000">
                  <c:v>1.48</c:v>
                </c:pt>
                <c:pt idx="60" formatCode="###0.000;###0.000">
                  <c:v>1.5</c:v>
                </c:pt>
                <c:pt idx="61" formatCode="###0.000;###0.000">
                  <c:v>1.52</c:v>
                </c:pt>
                <c:pt idx="62" formatCode="###0.000;###0.000">
                  <c:v>1.54</c:v>
                </c:pt>
                <c:pt idx="63" formatCode="###0.000;###0.000">
                  <c:v>1.56</c:v>
                </c:pt>
                <c:pt idx="64" formatCode="###0.000;###0.000">
                  <c:v>1.58</c:v>
                </c:pt>
                <c:pt idx="65" formatCode="###0.000;###0.000">
                  <c:v>1.6</c:v>
                </c:pt>
                <c:pt idx="66" formatCode="###0.000;###0.000">
                  <c:v>1.62</c:v>
                </c:pt>
                <c:pt idx="67" formatCode="###0.000;###0.000">
                  <c:v>1.64</c:v>
                </c:pt>
                <c:pt idx="68" formatCode="###0.000;###0.000">
                  <c:v>1.66</c:v>
                </c:pt>
                <c:pt idx="69" formatCode="###0.000;###0.000">
                  <c:v>1.68</c:v>
                </c:pt>
                <c:pt idx="70" formatCode="###0.000;###0.000">
                  <c:v>1.7</c:v>
                </c:pt>
                <c:pt idx="71" formatCode="###0.000;###0.000">
                  <c:v>1.72</c:v>
                </c:pt>
                <c:pt idx="72" formatCode="###0.000;###0.000">
                  <c:v>1.74</c:v>
                </c:pt>
                <c:pt idx="73" formatCode="###0.000;###0.000">
                  <c:v>1.76</c:v>
                </c:pt>
                <c:pt idx="74" formatCode="###0.000;###0.000">
                  <c:v>1.78</c:v>
                </c:pt>
                <c:pt idx="75" formatCode="###0.000;###0.000">
                  <c:v>1.8</c:v>
                </c:pt>
                <c:pt idx="76" formatCode="###0.000;###0.000">
                  <c:v>1.82</c:v>
                </c:pt>
                <c:pt idx="77" formatCode="###0.000;###0.000">
                  <c:v>1.84</c:v>
                </c:pt>
                <c:pt idx="78" formatCode="###0.000;###0.000">
                  <c:v>1.86</c:v>
                </c:pt>
                <c:pt idx="79" formatCode="###0.000;###0.000">
                  <c:v>1.88</c:v>
                </c:pt>
                <c:pt idx="80" formatCode="###0.000;###0.000">
                  <c:v>1.9</c:v>
                </c:pt>
                <c:pt idx="81" formatCode="###0.000;###0.000">
                  <c:v>1.92</c:v>
                </c:pt>
                <c:pt idx="82" formatCode="###0.000;###0.000">
                  <c:v>1.94</c:v>
                </c:pt>
                <c:pt idx="83" formatCode="###0.000;###0.000">
                  <c:v>1.96</c:v>
                </c:pt>
                <c:pt idx="84" formatCode="###0.000;###0.000">
                  <c:v>1.98</c:v>
                </c:pt>
                <c:pt idx="85" formatCode="###0.000;###0.000">
                  <c:v>2</c:v>
                </c:pt>
                <c:pt idx="86" formatCode="###0.000;###0.000">
                  <c:v>2.02</c:v>
                </c:pt>
                <c:pt idx="87" formatCode="###0.000;###0.000">
                  <c:v>2.04</c:v>
                </c:pt>
                <c:pt idx="88" formatCode="###0.000;###0.000">
                  <c:v>2.06</c:v>
                </c:pt>
                <c:pt idx="89" formatCode="###0.000;###0.000">
                  <c:v>2.08</c:v>
                </c:pt>
                <c:pt idx="90" formatCode="###0.000;###0.000">
                  <c:v>2.1</c:v>
                </c:pt>
                <c:pt idx="91" formatCode="###0.000;###0.000">
                  <c:v>2.12</c:v>
                </c:pt>
                <c:pt idx="92" formatCode="###0.000;###0.000">
                  <c:v>2.14</c:v>
                </c:pt>
                <c:pt idx="93" formatCode="###0.000;###0.000">
                  <c:v>2.16</c:v>
                </c:pt>
                <c:pt idx="94" formatCode="###0.000;###0.000">
                  <c:v>2.1800000000000002</c:v>
                </c:pt>
                <c:pt idx="95" formatCode="###0.000;###0.000">
                  <c:v>2.2000000000000002</c:v>
                </c:pt>
                <c:pt idx="96" formatCode="###0.000;###0.000">
                  <c:v>2.2200000000000002</c:v>
                </c:pt>
                <c:pt idx="97" formatCode="###0.000;###0.000">
                  <c:v>2.2400000000000002</c:v>
                </c:pt>
                <c:pt idx="98" formatCode="###0.000;###0.000">
                  <c:v>2.2599999999999998</c:v>
                </c:pt>
                <c:pt idx="99" formatCode="###0.000;###0.000">
                  <c:v>2.2799999999999998</c:v>
                </c:pt>
                <c:pt idx="100" formatCode="###0.000;###0.000">
                  <c:v>2.2999999999999998</c:v>
                </c:pt>
                <c:pt idx="101" formatCode="###0.000;###0.000">
                  <c:v>2.3199999999999998</c:v>
                </c:pt>
                <c:pt idx="102" formatCode="###0.000;###0.000">
                  <c:v>2.34</c:v>
                </c:pt>
                <c:pt idx="103" formatCode="###0.000;###0.000">
                  <c:v>2.36</c:v>
                </c:pt>
                <c:pt idx="104" formatCode="###0.000;###0.000">
                  <c:v>2.38</c:v>
                </c:pt>
                <c:pt idx="105" formatCode="###0.000;###0.000">
                  <c:v>2.4</c:v>
                </c:pt>
                <c:pt idx="106" formatCode="###0.000;###0.000">
                  <c:v>2.42</c:v>
                </c:pt>
                <c:pt idx="107" formatCode="###0.000;###0.000">
                  <c:v>2.44</c:v>
                </c:pt>
                <c:pt idx="108" formatCode="###0.000;###0.000">
                  <c:v>2.46</c:v>
                </c:pt>
                <c:pt idx="109" formatCode="###0.000;###0.000">
                  <c:v>2.48</c:v>
                </c:pt>
                <c:pt idx="110" formatCode="###0.000;###0.000">
                  <c:v>2.5</c:v>
                </c:pt>
                <c:pt idx="111" formatCode="###0.000;###0.000">
                  <c:v>2.52</c:v>
                </c:pt>
                <c:pt idx="112" formatCode="###0.000;###0.000">
                  <c:v>2.54</c:v>
                </c:pt>
                <c:pt idx="113" formatCode="###0.000;###0.000">
                  <c:v>2.56</c:v>
                </c:pt>
                <c:pt idx="114" formatCode="###0.000;###0.000">
                  <c:v>2.58</c:v>
                </c:pt>
                <c:pt idx="115" formatCode="###0.000;###0.000">
                  <c:v>2.6</c:v>
                </c:pt>
                <c:pt idx="116" formatCode="###0.000;###0.000">
                  <c:v>2.62</c:v>
                </c:pt>
                <c:pt idx="117" formatCode="###0.000;###0.000">
                  <c:v>2.64</c:v>
                </c:pt>
                <c:pt idx="118" formatCode="###0.000;###0.000">
                  <c:v>2.66</c:v>
                </c:pt>
                <c:pt idx="119" formatCode="###0.000;###0.000">
                  <c:v>2.68</c:v>
                </c:pt>
                <c:pt idx="120" formatCode="###0.000;###0.000">
                  <c:v>2.7</c:v>
                </c:pt>
                <c:pt idx="121" formatCode="###0.000;###0.000">
                  <c:v>2.72</c:v>
                </c:pt>
                <c:pt idx="122" formatCode="###0.000;###0.000">
                  <c:v>2.74</c:v>
                </c:pt>
                <c:pt idx="123" formatCode="###0.000;###0.000">
                  <c:v>2.76</c:v>
                </c:pt>
                <c:pt idx="124" formatCode="###0.000;###0.000">
                  <c:v>2.78</c:v>
                </c:pt>
                <c:pt idx="125" formatCode="###0.000;###0.000">
                  <c:v>2.8</c:v>
                </c:pt>
                <c:pt idx="126" formatCode="###0.000;###0.000">
                  <c:v>2.82</c:v>
                </c:pt>
                <c:pt idx="127" formatCode="###0.000;###0.000">
                  <c:v>2.84</c:v>
                </c:pt>
                <c:pt idx="128" formatCode="###0.000;###0.000">
                  <c:v>2.86</c:v>
                </c:pt>
                <c:pt idx="129" formatCode="###0.000;###0.000">
                  <c:v>2.88</c:v>
                </c:pt>
                <c:pt idx="130" formatCode="###0.000;###0.000">
                  <c:v>2.9</c:v>
                </c:pt>
                <c:pt idx="131" formatCode="###0.000;###0.000">
                  <c:v>2.92</c:v>
                </c:pt>
                <c:pt idx="132" formatCode="###0.000;###0.000">
                  <c:v>2.94</c:v>
                </c:pt>
                <c:pt idx="133" formatCode="###0.000;###0.000">
                  <c:v>2.96</c:v>
                </c:pt>
                <c:pt idx="134" formatCode="###0.000;###0.000">
                  <c:v>2.98</c:v>
                </c:pt>
                <c:pt idx="135" formatCode="###0.000;###0.000">
                  <c:v>3</c:v>
                </c:pt>
                <c:pt idx="136" formatCode="###0.000;###0.000">
                  <c:v>3.02</c:v>
                </c:pt>
                <c:pt idx="137" formatCode="###0.000;###0.000">
                  <c:v>3.04</c:v>
                </c:pt>
                <c:pt idx="138" formatCode="###0.000;###0.000">
                  <c:v>3.06</c:v>
                </c:pt>
                <c:pt idx="139" formatCode="###0.000;###0.000">
                  <c:v>3.08</c:v>
                </c:pt>
                <c:pt idx="140" formatCode="###0.000;###0.000">
                  <c:v>3.1</c:v>
                </c:pt>
                <c:pt idx="141" formatCode="###0.000;###0.000">
                  <c:v>3.12</c:v>
                </c:pt>
                <c:pt idx="142" formatCode="###0.000;###0.000">
                  <c:v>3.14</c:v>
                </c:pt>
                <c:pt idx="143" formatCode="###0.000;###0.000">
                  <c:v>3.16</c:v>
                </c:pt>
                <c:pt idx="144" formatCode="###0.000;###0.000">
                  <c:v>3.18</c:v>
                </c:pt>
                <c:pt idx="145" formatCode="###0.000;###0.000">
                  <c:v>3.2</c:v>
                </c:pt>
                <c:pt idx="146" formatCode="###0.000;###0.000">
                  <c:v>3.206</c:v>
                </c:pt>
                <c:pt idx="147" formatCode="###0.000;###0.000">
                  <c:v>3.22</c:v>
                </c:pt>
                <c:pt idx="148" formatCode="###0.000;###0.000">
                  <c:v>3.24</c:v>
                </c:pt>
                <c:pt idx="149" formatCode="###0.000;###0.000">
                  <c:v>3.26</c:v>
                </c:pt>
                <c:pt idx="150" formatCode="###0.000;###0.000">
                  <c:v>3.28</c:v>
                </c:pt>
                <c:pt idx="151" formatCode="###0.000;###0.000">
                  <c:v>3.3</c:v>
                </c:pt>
                <c:pt idx="152" formatCode="###0.000;###0.000">
                  <c:v>3.32</c:v>
                </c:pt>
                <c:pt idx="153" formatCode="###0.000;###0.000">
                  <c:v>3.34</c:v>
                </c:pt>
                <c:pt idx="154" formatCode="###0.000;###0.000">
                  <c:v>3.36</c:v>
                </c:pt>
                <c:pt idx="155" formatCode="###0.000;###0.000">
                  <c:v>3.38</c:v>
                </c:pt>
                <c:pt idx="156" formatCode="###0.000;###0.000">
                  <c:v>3.4</c:v>
                </c:pt>
              </c:numCache>
            </c:numRef>
          </c:xVal>
          <c:yVal>
            <c:numRef>
              <c:f>'02.Hydrostatic'!$F$10:$F$166</c:f>
              <c:numCache>
                <c:formatCode>0.000</c:formatCode>
                <c:ptCount val="157"/>
                <c:pt idx="0">
                  <c:v>37.18</c:v>
                </c:pt>
                <c:pt idx="1">
                  <c:v>37.42</c:v>
                </c:pt>
                <c:pt idx="2">
                  <c:v>37.64</c:v>
                </c:pt>
                <c:pt idx="3">
                  <c:v>37.799999999999997</c:v>
                </c:pt>
                <c:pt idx="4">
                  <c:v>37.799999999999997</c:v>
                </c:pt>
                <c:pt idx="5">
                  <c:v>37.799999999999997</c:v>
                </c:pt>
                <c:pt idx="6">
                  <c:v>37.799999999999997</c:v>
                </c:pt>
                <c:pt idx="7">
                  <c:v>37.880000000000003</c:v>
                </c:pt>
                <c:pt idx="8">
                  <c:v>37.840000000000003</c:v>
                </c:pt>
                <c:pt idx="9">
                  <c:v>38.090000000000003</c:v>
                </c:pt>
                <c:pt idx="10">
                  <c:v>38.340000000000003</c:v>
                </c:pt>
                <c:pt idx="11">
                  <c:v>38.590000000000003</c:v>
                </c:pt>
                <c:pt idx="12">
                  <c:v>38.83</c:v>
                </c:pt>
                <c:pt idx="13">
                  <c:v>39.08</c:v>
                </c:pt>
                <c:pt idx="14">
                  <c:v>39.33</c:v>
                </c:pt>
                <c:pt idx="15">
                  <c:v>39.58</c:v>
                </c:pt>
                <c:pt idx="16">
                  <c:v>39.83</c:v>
                </c:pt>
                <c:pt idx="17">
                  <c:v>40.06</c:v>
                </c:pt>
                <c:pt idx="18">
                  <c:v>40.06</c:v>
                </c:pt>
                <c:pt idx="19">
                  <c:v>40.06</c:v>
                </c:pt>
                <c:pt idx="20">
                  <c:v>40.06</c:v>
                </c:pt>
                <c:pt idx="21">
                  <c:v>40.06</c:v>
                </c:pt>
                <c:pt idx="22">
                  <c:v>40.08</c:v>
                </c:pt>
                <c:pt idx="23">
                  <c:v>40.340000000000003</c:v>
                </c:pt>
                <c:pt idx="24">
                  <c:v>40.590000000000003</c:v>
                </c:pt>
                <c:pt idx="25">
                  <c:v>40.840000000000003</c:v>
                </c:pt>
                <c:pt idx="26">
                  <c:v>41.09</c:v>
                </c:pt>
                <c:pt idx="27">
                  <c:v>41.34</c:v>
                </c:pt>
                <c:pt idx="28">
                  <c:v>41.6</c:v>
                </c:pt>
                <c:pt idx="29">
                  <c:v>41.86</c:v>
                </c:pt>
                <c:pt idx="30">
                  <c:v>42.11</c:v>
                </c:pt>
                <c:pt idx="31">
                  <c:v>42.36</c:v>
                </c:pt>
                <c:pt idx="32">
                  <c:v>42.4</c:v>
                </c:pt>
                <c:pt idx="33">
                  <c:v>42.4</c:v>
                </c:pt>
                <c:pt idx="34">
                  <c:v>42.4</c:v>
                </c:pt>
                <c:pt idx="35">
                  <c:v>42.5</c:v>
                </c:pt>
                <c:pt idx="36">
                  <c:v>42.41</c:v>
                </c:pt>
                <c:pt idx="37">
                  <c:v>42.67</c:v>
                </c:pt>
                <c:pt idx="38">
                  <c:v>42.93</c:v>
                </c:pt>
                <c:pt idx="39">
                  <c:v>43.18</c:v>
                </c:pt>
                <c:pt idx="40">
                  <c:v>43.44</c:v>
                </c:pt>
                <c:pt idx="41">
                  <c:v>43.7</c:v>
                </c:pt>
                <c:pt idx="42">
                  <c:v>43.96</c:v>
                </c:pt>
                <c:pt idx="43">
                  <c:v>44.22</c:v>
                </c:pt>
                <c:pt idx="44">
                  <c:v>44.48</c:v>
                </c:pt>
                <c:pt idx="45">
                  <c:v>44.74</c:v>
                </c:pt>
                <c:pt idx="46">
                  <c:v>44.83</c:v>
                </c:pt>
                <c:pt idx="47">
                  <c:v>44.83</c:v>
                </c:pt>
                <c:pt idx="48">
                  <c:v>44.83</c:v>
                </c:pt>
                <c:pt idx="49">
                  <c:v>44.83</c:v>
                </c:pt>
                <c:pt idx="50">
                  <c:v>44.83</c:v>
                </c:pt>
                <c:pt idx="51">
                  <c:v>45.09</c:v>
                </c:pt>
                <c:pt idx="52">
                  <c:v>45.35</c:v>
                </c:pt>
                <c:pt idx="53">
                  <c:v>45.61</c:v>
                </c:pt>
                <c:pt idx="54">
                  <c:v>45.87</c:v>
                </c:pt>
                <c:pt idx="55">
                  <c:v>46.14</c:v>
                </c:pt>
                <c:pt idx="56">
                  <c:v>46.4</c:v>
                </c:pt>
                <c:pt idx="57">
                  <c:v>46.67</c:v>
                </c:pt>
                <c:pt idx="58">
                  <c:v>46.93</c:v>
                </c:pt>
                <c:pt idx="59">
                  <c:v>47.19</c:v>
                </c:pt>
                <c:pt idx="60">
                  <c:v>47.35</c:v>
                </c:pt>
                <c:pt idx="61">
                  <c:v>47.35</c:v>
                </c:pt>
                <c:pt idx="62">
                  <c:v>47.35</c:v>
                </c:pt>
                <c:pt idx="63">
                  <c:v>47.35</c:v>
                </c:pt>
                <c:pt idx="64">
                  <c:v>47.35</c:v>
                </c:pt>
                <c:pt idx="65">
                  <c:v>47.61</c:v>
                </c:pt>
                <c:pt idx="66">
                  <c:v>47.87</c:v>
                </c:pt>
                <c:pt idx="67">
                  <c:v>48.14</c:v>
                </c:pt>
                <c:pt idx="68">
                  <c:v>48.4</c:v>
                </c:pt>
                <c:pt idx="69">
                  <c:v>48.65</c:v>
                </c:pt>
                <c:pt idx="70">
                  <c:v>48.9</c:v>
                </c:pt>
                <c:pt idx="71">
                  <c:v>49.16</c:v>
                </c:pt>
                <c:pt idx="72">
                  <c:v>49.44</c:v>
                </c:pt>
                <c:pt idx="73">
                  <c:v>49.7</c:v>
                </c:pt>
                <c:pt idx="74">
                  <c:v>49.96</c:v>
                </c:pt>
                <c:pt idx="75">
                  <c:v>49.97</c:v>
                </c:pt>
                <c:pt idx="76">
                  <c:v>49.96</c:v>
                </c:pt>
                <c:pt idx="77">
                  <c:v>49.97</c:v>
                </c:pt>
                <c:pt idx="78">
                  <c:v>49.96</c:v>
                </c:pt>
                <c:pt idx="79">
                  <c:v>50.2</c:v>
                </c:pt>
                <c:pt idx="80">
                  <c:v>50.48</c:v>
                </c:pt>
                <c:pt idx="81">
                  <c:v>50.74</c:v>
                </c:pt>
                <c:pt idx="82">
                  <c:v>51.02</c:v>
                </c:pt>
                <c:pt idx="83">
                  <c:v>51.29</c:v>
                </c:pt>
                <c:pt idx="84">
                  <c:v>51.52</c:v>
                </c:pt>
                <c:pt idx="85">
                  <c:v>51.8</c:v>
                </c:pt>
                <c:pt idx="86">
                  <c:v>52.07</c:v>
                </c:pt>
                <c:pt idx="87">
                  <c:v>52.35</c:v>
                </c:pt>
                <c:pt idx="88">
                  <c:v>52.62</c:v>
                </c:pt>
                <c:pt idx="89">
                  <c:v>52.67</c:v>
                </c:pt>
                <c:pt idx="90">
                  <c:v>52.67</c:v>
                </c:pt>
                <c:pt idx="91">
                  <c:v>52.67</c:v>
                </c:pt>
                <c:pt idx="92">
                  <c:v>52.67</c:v>
                </c:pt>
                <c:pt idx="93">
                  <c:v>52.9</c:v>
                </c:pt>
                <c:pt idx="94">
                  <c:v>53.18</c:v>
                </c:pt>
                <c:pt idx="95">
                  <c:v>53.45</c:v>
                </c:pt>
                <c:pt idx="96">
                  <c:v>53.73</c:v>
                </c:pt>
                <c:pt idx="97">
                  <c:v>54.01</c:v>
                </c:pt>
                <c:pt idx="98">
                  <c:v>54.25</c:v>
                </c:pt>
                <c:pt idx="99">
                  <c:v>54.53</c:v>
                </c:pt>
                <c:pt idx="100">
                  <c:v>54.81</c:v>
                </c:pt>
                <c:pt idx="101">
                  <c:v>55.09</c:v>
                </c:pt>
                <c:pt idx="102">
                  <c:v>55.37</c:v>
                </c:pt>
                <c:pt idx="103">
                  <c:v>55.48</c:v>
                </c:pt>
                <c:pt idx="104">
                  <c:v>55.47</c:v>
                </c:pt>
                <c:pt idx="105">
                  <c:v>55.47</c:v>
                </c:pt>
                <c:pt idx="106">
                  <c:v>55.47</c:v>
                </c:pt>
                <c:pt idx="107">
                  <c:v>55.61</c:v>
                </c:pt>
                <c:pt idx="108">
                  <c:v>55.77</c:v>
                </c:pt>
                <c:pt idx="109">
                  <c:v>55.94</c:v>
                </c:pt>
                <c:pt idx="110">
                  <c:v>56.16</c:v>
                </c:pt>
                <c:pt idx="111">
                  <c:v>56.39</c:v>
                </c:pt>
                <c:pt idx="112">
                  <c:v>56.62</c:v>
                </c:pt>
                <c:pt idx="113">
                  <c:v>56.9</c:v>
                </c:pt>
                <c:pt idx="114">
                  <c:v>57.18</c:v>
                </c:pt>
                <c:pt idx="115">
                  <c:v>57.48</c:v>
                </c:pt>
                <c:pt idx="116">
                  <c:v>57.82</c:v>
                </c:pt>
                <c:pt idx="117">
                  <c:v>58.08</c:v>
                </c:pt>
                <c:pt idx="118">
                  <c:v>58.28</c:v>
                </c:pt>
                <c:pt idx="119">
                  <c:v>58.5</c:v>
                </c:pt>
                <c:pt idx="120">
                  <c:v>58.7</c:v>
                </c:pt>
                <c:pt idx="121">
                  <c:v>58.89</c:v>
                </c:pt>
                <c:pt idx="122">
                  <c:v>59.08</c:v>
                </c:pt>
                <c:pt idx="123">
                  <c:v>59.23</c:v>
                </c:pt>
                <c:pt idx="124">
                  <c:v>59.37</c:v>
                </c:pt>
                <c:pt idx="125">
                  <c:v>59.51</c:v>
                </c:pt>
                <c:pt idx="126">
                  <c:v>59.6</c:v>
                </c:pt>
                <c:pt idx="127">
                  <c:v>59.69</c:v>
                </c:pt>
                <c:pt idx="128">
                  <c:v>59.76</c:v>
                </c:pt>
                <c:pt idx="129">
                  <c:v>59.78</c:v>
                </c:pt>
                <c:pt idx="130">
                  <c:v>59.81</c:v>
                </c:pt>
                <c:pt idx="131">
                  <c:v>59.83</c:v>
                </c:pt>
                <c:pt idx="132">
                  <c:v>59.84</c:v>
                </c:pt>
                <c:pt idx="133">
                  <c:v>59.83</c:v>
                </c:pt>
                <c:pt idx="134">
                  <c:v>59.83</c:v>
                </c:pt>
                <c:pt idx="135">
                  <c:v>59.83</c:v>
                </c:pt>
                <c:pt idx="136">
                  <c:v>59.83</c:v>
                </c:pt>
                <c:pt idx="137">
                  <c:v>59.84</c:v>
                </c:pt>
                <c:pt idx="138">
                  <c:v>59.83</c:v>
                </c:pt>
                <c:pt idx="139">
                  <c:v>59.83</c:v>
                </c:pt>
                <c:pt idx="140">
                  <c:v>59.83</c:v>
                </c:pt>
                <c:pt idx="141">
                  <c:v>59.83</c:v>
                </c:pt>
                <c:pt idx="142">
                  <c:v>59.84</c:v>
                </c:pt>
                <c:pt idx="143">
                  <c:v>59.83</c:v>
                </c:pt>
                <c:pt idx="144">
                  <c:v>59.83</c:v>
                </c:pt>
                <c:pt idx="145">
                  <c:v>59.83</c:v>
                </c:pt>
                <c:pt idx="146">
                  <c:v>59.83</c:v>
                </c:pt>
                <c:pt idx="147">
                  <c:v>59.83</c:v>
                </c:pt>
                <c:pt idx="148">
                  <c:v>59.84</c:v>
                </c:pt>
                <c:pt idx="149">
                  <c:v>59.83</c:v>
                </c:pt>
                <c:pt idx="150">
                  <c:v>59.83</c:v>
                </c:pt>
                <c:pt idx="151">
                  <c:v>59.83</c:v>
                </c:pt>
                <c:pt idx="152">
                  <c:v>59.84</c:v>
                </c:pt>
                <c:pt idx="153">
                  <c:v>59.84</c:v>
                </c:pt>
                <c:pt idx="154">
                  <c:v>59.83</c:v>
                </c:pt>
                <c:pt idx="155">
                  <c:v>59.83</c:v>
                </c:pt>
                <c:pt idx="156">
                  <c:v>59.83</c:v>
                </c:pt>
              </c:numCache>
            </c:numRef>
          </c:yVal>
          <c:smooth val="1"/>
          <c:extLst>
            <c:ext xmlns:c16="http://schemas.microsoft.com/office/drawing/2014/chart" uri="{C3380CC4-5D6E-409C-BE32-E72D297353CC}">
              <c16:uniqueId val="{00000001-5554-4109-A477-C1007E5B8F4C}"/>
            </c:ext>
          </c:extLst>
        </c:ser>
        <c:dLbls>
          <c:showLegendKey val="0"/>
          <c:showVal val="0"/>
          <c:showCatName val="0"/>
          <c:showSerName val="0"/>
          <c:showPercent val="0"/>
          <c:showBubbleSize val="0"/>
        </c:dLbls>
        <c:axId val="691308936"/>
        <c:axId val="691309264"/>
      </c:scatterChart>
      <c:valAx>
        <c:axId val="691308936"/>
        <c:scaling>
          <c:orientation val="minMax"/>
        </c:scaling>
        <c:delete val="0"/>
        <c:axPos val="b"/>
        <c:majorGridlines>
          <c:spPr>
            <a:ln w="9525" cap="flat" cmpd="sng" algn="ctr">
              <a:solidFill>
                <a:schemeClr val="tx1">
                  <a:lumMod val="15000"/>
                  <a:lumOff val="85000"/>
                </a:schemeClr>
              </a:solidFill>
              <a:round/>
            </a:ln>
            <a:effectLst/>
          </c:spPr>
        </c:majorGridlines>
        <c:numFmt formatCode="#\ ##0.000&quot; m&quot;;\-#\ ##0.000&quot; m&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91309264"/>
        <c:crosses val="autoZero"/>
        <c:crossBetween val="midCat"/>
      </c:valAx>
      <c:valAx>
        <c:axId val="691309264"/>
        <c:scaling>
          <c:orientation val="minMax"/>
        </c:scaling>
        <c:delete val="0"/>
        <c:axPos val="l"/>
        <c:majorGridlines>
          <c:spPr>
            <a:ln w="9525" cap="flat" cmpd="sng" algn="ctr">
              <a:solidFill>
                <a:schemeClr val="tx1">
                  <a:lumMod val="15000"/>
                  <a:lumOff val="85000"/>
                </a:schemeClr>
              </a:solidFill>
              <a:round/>
            </a:ln>
            <a:effectLst/>
          </c:spPr>
        </c:majorGridlines>
        <c:numFmt formatCode="#\ ##0.0&quot; t*m/cm&quot;;\-#\ ##0.0&quot; t*m/cm&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91308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Immersion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scatterChart>
        <c:scatterStyle val="smoothMarker"/>
        <c:varyColors val="0"/>
        <c:ser>
          <c:idx val="0"/>
          <c:order val="0"/>
          <c:tx>
            <c:v>ASH</c:v>
          </c:tx>
          <c:spPr>
            <a:ln w="19050" cap="rnd">
              <a:solidFill>
                <a:schemeClr val="accent1"/>
              </a:solidFill>
              <a:round/>
            </a:ln>
            <a:effectLst/>
          </c:spPr>
          <c:marker>
            <c:symbol val="none"/>
          </c:marker>
          <c:xVal>
            <c:numRef>
              <c:f>'04.Long. Section'!$V$11:$V$57</c:f>
              <c:numCache>
                <c:formatCode>#\ ##0.000" m";\-#\ ##0.000" m";\-;@</c:formatCode>
                <c:ptCount val="47"/>
                <c:pt idx="0">
                  <c:v>0.5</c:v>
                </c:pt>
                <c:pt idx="1">
                  <c:v>0.6</c:v>
                </c:pt>
                <c:pt idx="2">
                  <c:v>0.7</c:v>
                </c:pt>
                <c:pt idx="3">
                  <c:v>0.79999999999999993</c:v>
                </c:pt>
                <c:pt idx="4">
                  <c:v>0.89999999999999991</c:v>
                </c:pt>
                <c:pt idx="5">
                  <c:v>0.99999999999999989</c:v>
                </c:pt>
                <c:pt idx="6">
                  <c:v>1.0999999999999999</c:v>
                </c:pt>
                <c:pt idx="7">
                  <c:v>1.2</c:v>
                </c:pt>
                <c:pt idx="8">
                  <c:v>1.3</c:v>
                </c:pt>
                <c:pt idx="9">
                  <c:v>1.4000000000000001</c:v>
                </c:pt>
                <c:pt idx="10">
                  <c:v>1.5000000000000002</c:v>
                </c:pt>
                <c:pt idx="11">
                  <c:v>1.6000000000000003</c:v>
                </c:pt>
                <c:pt idx="12">
                  <c:v>1.7000000000000004</c:v>
                </c:pt>
                <c:pt idx="13">
                  <c:v>1.8000000000000005</c:v>
                </c:pt>
                <c:pt idx="14">
                  <c:v>1.9000000000000006</c:v>
                </c:pt>
                <c:pt idx="15">
                  <c:v>2.0000000000000004</c:v>
                </c:pt>
                <c:pt idx="16">
                  <c:v>2.1000000000000005</c:v>
                </c:pt>
                <c:pt idx="17">
                  <c:v>2.2000000000000006</c:v>
                </c:pt>
                <c:pt idx="18">
                  <c:v>2.3000000000000007</c:v>
                </c:pt>
                <c:pt idx="19">
                  <c:v>2.4000000000000008</c:v>
                </c:pt>
                <c:pt idx="20">
                  <c:v>2.5000000000000009</c:v>
                </c:pt>
                <c:pt idx="21">
                  <c:v>2.600000000000001</c:v>
                </c:pt>
                <c:pt idx="22">
                  <c:v>2.7000000000000011</c:v>
                </c:pt>
                <c:pt idx="23">
                  <c:v>2.8000000000000012</c:v>
                </c:pt>
                <c:pt idx="24">
                  <c:v>2.9000000000000012</c:v>
                </c:pt>
                <c:pt idx="25">
                  <c:v>3.0000000000000013</c:v>
                </c:pt>
                <c:pt idx="26">
                  <c:v>3.1000000000000014</c:v>
                </c:pt>
                <c:pt idx="27">
                  <c:v>3.2000000000000015</c:v>
                </c:pt>
                <c:pt idx="28">
                  <c:v>3.3000000000000016</c:v>
                </c:pt>
                <c:pt idx="29">
                  <c:v>3.4000000000000017</c:v>
                </c:pt>
                <c:pt idx="30">
                  <c:v>3.5000000000000018</c:v>
                </c:pt>
                <c:pt idx="31">
                  <c:v>3.6000000000000019</c:v>
                </c:pt>
                <c:pt idx="32">
                  <c:v>3.700000000000002</c:v>
                </c:pt>
                <c:pt idx="33">
                  <c:v>3.800000000000002</c:v>
                </c:pt>
                <c:pt idx="34">
                  <c:v>3.9000000000000021</c:v>
                </c:pt>
                <c:pt idx="35">
                  <c:v>4.0000000000000018</c:v>
                </c:pt>
                <c:pt idx="36">
                  <c:v>#N/A</c:v>
                </c:pt>
                <c:pt idx="37">
                  <c:v>#N/A</c:v>
                </c:pt>
                <c:pt idx="38">
                  <c:v>#N/A</c:v>
                </c:pt>
                <c:pt idx="39">
                  <c:v>#N/A</c:v>
                </c:pt>
                <c:pt idx="40">
                  <c:v>#N/A</c:v>
                </c:pt>
                <c:pt idx="41">
                  <c:v>#N/A</c:v>
                </c:pt>
                <c:pt idx="42">
                  <c:v>#N/A</c:v>
                </c:pt>
                <c:pt idx="43">
                  <c:v>#N/A</c:v>
                </c:pt>
                <c:pt idx="44">
                  <c:v>#N/A</c:v>
                </c:pt>
                <c:pt idx="45">
                  <c:v>#N/A</c:v>
                </c:pt>
                <c:pt idx="46">
                  <c:v>#N/A</c:v>
                </c:pt>
              </c:numCache>
            </c:numRef>
          </c:xVal>
          <c:yVal>
            <c:numRef>
              <c:f>'04.Long. Section'!$BC$11:$BC$57</c:f>
              <c:numCache>
                <c:formatCode>#\ ##0.000" t/cm";\-#\ ##0.000" t/cm";\-;@</c:formatCode>
                <c:ptCount val="47"/>
                <c:pt idx="0">
                  <c:v>10.616071428571429</c:v>
                </c:pt>
                <c:pt idx="1">
                  <c:v>10.689285714285711</c:v>
                </c:pt>
                <c:pt idx="2">
                  <c:v>10.762499999999998</c:v>
                </c:pt>
                <c:pt idx="3">
                  <c:v>10.835714285714287</c:v>
                </c:pt>
                <c:pt idx="4">
                  <c:v>10.90892857142857</c:v>
                </c:pt>
                <c:pt idx="5">
                  <c:v>10.982142857142856</c:v>
                </c:pt>
                <c:pt idx="6">
                  <c:v>11.055357142857142</c:v>
                </c:pt>
                <c:pt idx="7">
                  <c:v>11.128571428571428</c:v>
                </c:pt>
                <c:pt idx="8">
                  <c:v>11.201785714285712</c:v>
                </c:pt>
                <c:pt idx="9">
                  <c:v>11.274999999999999</c:v>
                </c:pt>
                <c:pt idx="10">
                  <c:v>11.348214285714286</c:v>
                </c:pt>
                <c:pt idx="11">
                  <c:v>11.421428571428573</c:v>
                </c:pt>
                <c:pt idx="12">
                  <c:v>11.494642857142855</c:v>
                </c:pt>
                <c:pt idx="13">
                  <c:v>11.567857142857143</c:v>
                </c:pt>
                <c:pt idx="14">
                  <c:v>11.641071428571427</c:v>
                </c:pt>
                <c:pt idx="15">
                  <c:v>11.714285714285712</c:v>
                </c:pt>
                <c:pt idx="16">
                  <c:v>11.7875</c:v>
                </c:pt>
                <c:pt idx="17">
                  <c:v>11.860714285714286</c:v>
                </c:pt>
                <c:pt idx="18">
                  <c:v>11.933928571428572</c:v>
                </c:pt>
                <c:pt idx="19">
                  <c:v>12.007142857142854</c:v>
                </c:pt>
                <c:pt idx="20">
                  <c:v>12.080357142857142</c:v>
                </c:pt>
                <c:pt idx="21">
                  <c:v>12.153571428571428</c:v>
                </c:pt>
                <c:pt idx="22">
                  <c:v>12.226785714285713</c:v>
                </c:pt>
                <c:pt idx="23">
                  <c:v>12.299999999999999</c:v>
                </c:pt>
                <c:pt idx="24">
                  <c:v>12.299999999999999</c:v>
                </c:pt>
                <c:pt idx="25">
                  <c:v>12.299999999999999</c:v>
                </c:pt>
                <c:pt idx="26">
                  <c:v>12.299999999999999</c:v>
                </c:pt>
                <c:pt idx="27">
                  <c:v>12.299999999999999</c:v>
                </c:pt>
                <c:pt idx="28">
                  <c:v>12.299999999999999</c:v>
                </c:pt>
                <c:pt idx="29">
                  <c:v>12.299999999999999</c:v>
                </c:pt>
                <c:pt idx="30">
                  <c:v>12.299999999999999</c:v>
                </c:pt>
                <c:pt idx="31">
                  <c:v>12.299999999999999</c:v>
                </c:pt>
                <c:pt idx="32">
                  <c:v>12.299999999999999</c:v>
                </c:pt>
                <c:pt idx="33">
                  <c:v>12.299999999999999</c:v>
                </c:pt>
                <c:pt idx="34">
                  <c:v>12.299999999999999</c:v>
                </c:pt>
                <c:pt idx="35">
                  <c:v>12.299999999999999</c:v>
                </c:pt>
                <c:pt idx="36">
                  <c:v>#N/A</c:v>
                </c:pt>
                <c:pt idx="37">
                  <c:v>#N/A</c:v>
                </c:pt>
                <c:pt idx="38">
                  <c:v>#N/A</c:v>
                </c:pt>
                <c:pt idx="39">
                  <c:v>#N/A</c:v>
                </c:pt>
                <c:pt idx="40">
                  <c:v>#N/A</c:v>
                </c:pt>
                <c:pt idx="41">
                  <c:v>#N/A</c:v>
                </c:pt>
                <c:pt idx="42">
                  <c:v>#N/A</c:v>
                </c:pt>
                <c:pt idx="43">
                  <c:v>#N/A</c:v>
                </c:pt>
                <c:pt idx="44">
                  <c:v>#N/A</c:v>
                </c:pt>
                <c:pt idx="45">
                  <c:v>#N/A</c:v>
                </c:pt>
                <c:pt idx="46">
                  <c:v>#N/A</c:v>
                </c:pt>
              </c:numCache>
            </c:numRef>
          </c:yVal>
          <c:smooth val="1"/>
          <c:extLst>
            <c:ext xmlns:c16="http://schemas.microsoft.com/office/drawing/2014/chart" uri="{C3380CC4-5D6E-409C-BE32-E72D297353CC}">
              <c16:uniqueId val="{00000000-FB02-45F4-85C7-72EDF40B5A51}"/>
            </c:ext>
          </c:extLst>
        </c:ser>
        <c:ser>
          <c:idx val="1"/>
          <c:order val="1"/>
          <c:tx>
            <c:v>Shipyard</c:v>
          </c:tx>
          <c:spPr>
            <a:ln w="19050" cap="rnd">
              <a:solidFill>
                <a:schemeClr val="accent2"/>
              </a:solidFill>
              <a:round/>
            </a:ln>
            <a:effectLst/>
          </c:spPr>
          <c:marker>
            <c:symbol val="none"/>
          </c:marker>
          <c:xVal>
            <c:numRef>
              <c:f>'02.Hydrostatic'!$B$10:$B$166</c:f>
              <c:numCache>
                <c:formatCode>0.000</c:formatCode>
                <c:ptCount val="157"/>
                <c:pt idx="0">
                  <c:v>0.3</c:v>
                </c:pt>
                <c:pt idx="1">
                  <c:v>0.32</c:v>
                </c:pt>
                <c:pt idx="2">
                  <c:v>0.34</c:v>
                </c:pt>
                <c:pt idx="3">
                  <c:v>0.36</c:v>
                </c:pt>
                <c:pt idx="4">
                  <c:v>0.38</c:v>
                </c:pt>
                <c:pt idx="5">
                  <c:v>0.4</c:v>
                </c:pt>
                <c:pt idx="6">
                  <c:v>0.42</c:v>
                </c:pt>
                <c:pt idx="7">
                  <c:v>0.44</c:v>
                </c:pt>
                <c:pt idx="8">
                  <c:v>0.46</c:v>
                </c:pt>
                <c:pt idx="9">
                  <c:v>0.48</c:v>
                </c:pt>
                <c:pt idx="10">
                  <c:v>0.5</c:v>
                </c:pt>
                <c:pt idx="11">
                  <c:v>0.52</c:v>
                </c:pt>
                <c:pt idx="12">
                  <c:v>0.54</c:v>
                </c:pt>
                <c:pt idx="13">
                  <c:v>0.56000000000000005</c:v>
                </c:pt>
                <c:pt idx="14">
                  <c:v>0.57999999999999996</c:v>
                </c:pt>
                <c:pt idx="15">
                  <c:v>0.6</c:v>
                </c:pt>
                <c:pt idx="16">
                  <c:v>0.62</c:v>
                </c:pt>
                <c:pt idx="17">
                  <c:v>0.64</c:v>
                </c:pt>
                <c:pt idx="18">
                  <c:v>0.66</c:v>
                </c:pt>
                <c:pt idx="19">
                  <c:v>0.68</c:v>
                </c:pt>
                <c:pt idx="20">
                  <c:v>0.7</c:v>
                </c:pt>
                <c:pt idx="21">
                  <c:v>0.72</c:v>
                </c:pt>
                <c:pt idx="22">
                  <c:v>0.74</c:v>
                </c:pt>
                <c:pt idx="23">
                  <c:v>0.76</c:v>
                </c:pt>
                <c:pt idx="24">
                  <c:v>0.78</c:v>
                </c:pt>
                <c:pt idx="25">
                  <c:v>0.8</c:v>
                </c:pt>
                <c:pt idx="26">
                  <c:v>0.82</c:v>
                </c:pt>
                <c:pt idx="27">
                  <c:v>0.84</c:v>
                </c:pt>
                <c:pt idx="28">
                  <c:v>0.86</c:v>
                </c:pt>
                <c:pt idx="29">
                  <c:v>0.88</c:v>
                </c:pt>
                <c:pt idx="30">
                  <c:v>0.9</c:v>
                </c:pt>
                <c:pt idx="31" formatCode="###0.000;###0.000">
                  <c:v>0.92</c:v>
                </c:pt>
                <c:pt idx="32" formatCode="###0.000;###0.000">
                  <c:v>0.94</c:v>
                </c:pt>
                <c:pt idx="33" formatCode="###0.000;###0.000">
                  <c:v>0.96</c:v>
                </c:pt>
                <c:pt idx="34" formatCode="###0.000;###0.000">
                  <c:v>0.98</c:v>
                </c:pt>
                <c:pt idx="35" formatCode="###0.000;###0.000">
                  <c:v>1</c:v>
                </c:pt>
                <c:pt idx="36" formatCode="###0.000;###0.000">
                  <c:v>1.02</c:v>
                </c:pt>
                <c:pt idx="37" formatCode="###0.000;###0.000">
                  <c:v>1.04</c:v>
                </c:pt>
                <c:pt idx="38" formatCode="###0.000;###0.000">
                  <c:v>1.06</c:v>
                </c:pt>
                <c:pt idx="39" formatCode="###0.000;###0.000">
                  <c:v>1.08</c:v>
                </c:pt>
                <c:pt idx="40" formatCode="###0.000;###0.000">
                  <c:v>1.1000000000000001</c:v>
                </c:pt>
                <c:pt idx="41" formatCode="###0.000;###0.000">
                  <c:v>1.1200000000000001</c:v>
                </c:pt>
                <c:pt idx="42" formatCode="###0.000;###0.000">
                  <c:v>1.1399999999999999</c:v>
                </c:pt>
                <c:pt idx="43" formatCode="###0.000;###0.000">
                  <c:v>1.1599999999999999</c:v>
                </c:pt>
                <c:pt idx="44" formatCode="###0.000;###0.000">
                  <c:v>1.18</c:v>
                </c:pt>
                <c:pt idx="45" formatCode="###0.000;###0.000">
                  <c:v>1.2</c:v>
                </c:pt>
                <c:pt idx="46" formatCode="###0.000;###0.000">
                  <c:v>1.22</c:v>
                </c:pt>
                <c:pt idx="47" formatCode="###0.000;###0.000">
                  <c:v>1.24</c:v>
                </c:pt>
                <c:pt idx="48" formatCode="###0.000;###0.000">
                  <c:v>1.26</c:v>
                </c:pt>
                <c:pt idx="49" formatCode="###0.000;###0.000">
                  <c:v>1.28</c:v>
                </c:pt>
                <c:pt idx="50" formatCode="###0.000;###0.000">
                  <c:v>1.3</c:v>
                </c:pt>
                <c:pt idx="51" formatCode="###0.000;###0.000">
                  <c:v>1.32</c:v>
                </c:pt>
                <c:pt idx="52" formatCode="###0.000;###0.000">
                  <c:v>1.34</c:v>
                </c:pt>
                <c:pt idx="53" formatCode="###0.000;###0.000">
                  <c:v>1.36</c:v>
                </c:pt>
                <c:pt idx="54" formatCode="###0.000;###0.000">
                  <c:v>1.38</c:v>
                </c:pt>
                <c:pt idx="55" formatCode="###0.000;###0.000">
                  <c:v>1.4</c:v>
                </c:pt>
                <c:pt idx="56" formatCode="###0.000;###0.000">
                  <c:v>1.42</c:v>
                </c:pt>
                <c:pt idx="57" formatCode="###0.000;###0.000">
                  <c:v>1.44</c:v>
                </c:pt>
                <c:pt idx="58" formatCode="###0.000;###0.000">
                  <c:v>1.46</c:v>
                </c:pt>
                <c:pt idx="59" formatCode="###0.000;###0.000">
                  <c:v>1.48</c:v>
                </c:pt>
                <c:pt idx="60" formatCode="###0.000;###0.000">
                  <c:v>1.5</c:v>
                </c:pt>
                <c:pt idx="61" formatCode="###0.000;###0.000">
                  <c:v>1.52</c:v>
                </c:pt>
                <c:pt idx="62" formatCode="###0.000;###0.000">
                  <c:v>1.54</c:v>
                </c:pt>
                <c:pt idx="63" formatCode="###0.000;###0.000">
                  <c:v>1.56</c:v>
                </c:pt>
                <c:pt idx="64" formatCode="###0.000;###0.000">
                  <c:v>1.58</c:v>
                </c:pt>
                <c:pt idx="65" formatCode="###0.000;###0.000">
                  <c:v>1.6</c:v>
                </c:pt>
                <c:pt idx="66" formatCode="###0.000;###0.000">
                  <c:v>1.62</c:v>
                </c:pt>
                <c:pt idx="67" formatCode="###0.000;###0.000">
                  <c:v>1.64</c:v>
                </c:pt>
                <c:pt idx="68" formatCode="###0.000;###0.000">
                  <c:v>1.66</c:v>
                </c:pt>
                <c:pt idx="69" formatCode="###0.000;###0.000">
                  <c:v>1.68</c:v>
                </c:pt>
                <c:pt idx="70" formatCode="###0.000;###0.000">
                  <c:v>1.7</c:v>
                </c:pt>
                <c:pt idx="71" formatCode="###0.000;###0.000">
                  <c:v>1.72</c:v>
                </c:pt>
                <c:pt idx="72" formatCode="###0.000;###0.000">
                  <c:v>1.74</c:v>
                </c:pt>
                <c:pt idx="73" formatCode="###0.000;###0.000">
                  <c:v>1.76</c:v>
                </c:pt>
                <c:pt idx="74" formatCode="###0.000;###0.000">
                  <c:v>1.78</c:v>
                </c:pt>
                <c:pt idx="75" formatCode="###0.000;###0.000">
                  <c:v>1.8</c:v>
                </c:pt>
                <c:pt idx="76" formatCode="###0.000;###0.000">
                  <c:v>1.82</c:v>
                </c:pt>
                <c:pt idx="77" formatCode="###0.000;###0.000">
                  <c:v>1.84</c:v>
                </c:pt>
                <c:pt idx="78" formatCode="###0.000;###0.000">
                  <c:v>1.86</c:v>
                </c:pt>
                <c:pt idx="79" formatCode="###0.000;###0.000">
                  <c:v>1.88</c:v>
                </c:pt>
                <c:pt idx="80" formatCode="###0.000;###0.000">
                  <c:v>1.9</c:v>
                </c:pt>
                <c:pt idx="81" formatCode="###0.000;###0.000">
                  <c:v>1.92</c:v>
                </c:pt>
                <c:pt idx="82" formatCode="###0.000;###0.000">
                  <c:v>1.94</c:v>
                </c:pt>
                <c:pt idx="83" formatCode="###0.000;###0.000">
                  <c:v>1.96</c:v>
                </c:pt>
                <c:pt idx="84" formatCode="###0.000;###0.000">
                  <c:v>1.98</c:v>
                </c:pt>
                <c:pt idx="85" formatCode="###0.000;###0.000">
                  <c:v>2</c:v>
                </c:pt>
                <c:pt idx="86" formatCode="###0.000;###0.000">
                  <c:v>2.02</c:v>
                </c:pt>
                <c:pt idx="87" formatCode="###0.000;###0.000">
                  <c:v>2.04</c:v>
                </c:pt>
                <c:pt idx="88" formatCode="###0.000;###0.000">
                  <c:v>2.06</c:v>
                </c:pt>
                <c:pt idx="89" formatCode="###0.000;###0.000">
                  <c:v>2.08</c:v>
                </c:pt>
                <c:pt idx="90" formatCode="###0.000;###0.000">
                  <c:v>2.1</c:v>
                </c:pt>
                <c:pt idx="91" formatCode="###0.000;###0.000">
                  <c:v>2.12</c:v>
                </c:pt>
                <c:pt idx="92" formatCode="###0.000;###0.000">
                  <c:v>2.14</c:v>
                </c:pt>
                <c:pt idx="93" formatCode="###0.000;###0.000">
                  <c:v>2.16</c:v>
                </c:pt>
                <c:pt idx="94" formatCode="###0.000;###0.000">
                  <c:v>2.1800000000000002</c:v>
                </c:pt>
                <c:pt idx="95" formatCode="###0.000;###0.000">
                  <c:v>2.2000000000000002</c:v>
                </c:pt>
                <c:pt idx="96" formatCode="###0.000;###0.000">
                  <c:v>2.2200000000000002</c:v>
                </c:pt>
                <c:pt idx="97" formatCode="###0.000;###0.000">
                  <c:v>2.2400000000000002</c:v>
                </c:pt>
                <c:pt idx="98" formatCode="###0.000;###0.000">
                  <c:v>2.2599999999999998</c:v>
                </c:pt>
                <c:pt idx="99" formatCode="###0.000;###0.000">
                  <c:v>2.2799999999999998</c:v>
                </c:pt>
                <c:pt idx="100" formatCode="###0.000;###0.000">
                  <c:v>2.2999999999999998</c:v>
                </c:pt>
                <c:pt idx="101" formatCode="###0.000;###0.000">
                  <c:v>2.3199999999999998</c:v>
                </c:pt>
                <c:pt idx="102" formatCode="###0.000;###0.000">
                  <c:v>2.34</c:v>
                </c:pt>
                <c:pt idx="103" formatCode="###0.000;###0.000">
                  <c:v>2.36</c:v>
                </c:pt>
                <c:pt idx="104" formatCode="###0.000;###0.000">
                  <c:v>2.38</c:v>
                </c:pt>
                <c:pt idx="105" formatCode="###0.000;###0.000">
                  <c:v>2.4</c:v>
                </c:pt>
                <c:pt idx="106" formatCode="###0.000;###0.000">
                  <c:v>2.42</c:v>
                </c:pt>
                <c:pt idx="107" formatCode="###0.000;###0.000">
                  <c:v>2.44</c:v>
                </c:pt>
                <c:pt idx="108" formatCode="###0.000;###0.000">
                  <c:v>2.46</c:v>
                </c:pt>
                <c:pt idx="109" formatCode="###0.000;###0.000">
                  <c:v>2.48</c:v>
                </c:pt>
                <c:pt idx="110" formatCode="###0.000;###0.000">
                  <c:v>2.5</c:v>
                </c:pt>
                <c:pt idx="111" formatCode="###0.000;###0.000">
                  <c:v>2.52</c:v>
                </c:pt>
                <c:pt idx="112" formatCode="###0.000;###0.000">
                  <c:v>2.54</c:v>
                </c:pt>
                <c:pt idx="113" formatCode="###0.000;###0.000">
                  <c:v>2.56</c:v>
                </c:pt>
                <c:pt idx="114" formatCode="###0.000;###0.000">
                  <c:v>2.58</c:v>
                </c:pt>
                <c:pt idx="115" formatCode="###0.000;###0.000">
                  <c:v>2.6</c:v>
                </c:pt>
                <c:pt idx="116" formatCode="###0.000;###0.000">
                  <c:v>2.62</c:v>
                </c:pt>
                <c:pt idx="117" formatCode="###0.000;###0.000">
                  <c:v>2.64</c:v>
                </c:pt>
                <c:pt idx="118" formatCode="###0.000;###0.000">
                  <c:v>2.66</c:v>
                </c:pt>
                <c:pt idx="119" formatCode="###0.000;###0.000">
                  <c:v>2.68</c:v>
                </c:pt>
                <c:pt idx="120" formatCode="###0.000;###0.000">
                  <c:v>2.7</c:v>
                </c:pt>
                <c:pt idx="121" formatCode="###0.000;###0.000">
                  <c:v>2.72</c:v>
                </c:pt>
                <c:pt idx="122" formatCode="###0.000;###0.000">
                  <c:v>2.74</c:v>
                </c:pt>
                <c:pt idx="123" formatCode="###0.000;###0.000">
                  <c:v>2.76</c:v>
                </c:pt>
                <c:pt idx="124" formatCode="###0.000;###0.000">
                  <c:v>2.78</c:v>
                </c:pt>
                <c:pt idx="125" formatCode="###0.000;###0.000">
                  <c:v>2.8</c:v>
                </c:pt>
                <c:pt idx="126" formatCode="###0.000;###0.000">
                  <c:v>2.82</c:v>
                </c:pt>
                <c:pt idx="127" formatCode="###0.000;###0.000">
                  <c:v>2.84</c:v>
                </c:pt>
                <c:pt idx="128" formatCode="###0.000;###0.000">
                  <c:v>2.86</c:v>
                </c:pt>
                <c:pt idx="129" formatCode="###0.000;###0.000">
                  <c:v>2.88</c:v>
                </c:pt>
                <c:pt idx="130" formatCode="###0.000;###0.000">
                  <c:v>2.9</c:v>
                </c:pt>
                <c:pt idx="131" formatCode="###0.000;###0.000">
                  <c:v>2.92</c:v>
                </c:pt>
                <c:pt idx="132" formatCode="###0.000;###0.000">
                  <c:v>2.94</c:v>
                </c:pt>
                <c:pt idx="133" formatCode="###0.000;###0.000">
                  <c:v>2.96</c:v>
                </c:pt>
                <c:pt idx="134" formatCode="###0.000;###0.000">
                  <c:v>2.98</c:v>
                </c:pt>
                <c:pt idx="135" formatCode="###0.000;###0.000">
                  <c:v>3</c:v>
                </c:pt>
                <c:pt idx="136" formatCode="###0.000;###0.000">
                  <c:v>3.02</c:v>
                </c:pt>
                <c:pt idx="137" formatCode="###0.000;###0.000">
                  <c:v>3.04</c:v>
                </c:pt>
                <c:pt idx="138" formatCode="###0.000;###0.000">
                  <c:v>3.06</c:v>
                </c:pt>
                <c:pt idx="139" formatCode="###0.000;###0.000">
                  <c:v>3.08</c:v>
                </c:pt>
                <c:pt idx="140" formatCode="###0.000;###0.000">
                  <c:v>3.1</c:v>
                </c:pt>
                <c:pt idx="141" formatCode="###0.000;###0.000">
                  <c:v>3.12</c:v>
                </c:pt>
                <c:pt idx="142" formatCode="###0.000;###0.000">
                  <c:v>3.14</c:v>
                </c:pt>
                <c:pt idx="143" formatCode="###0.000;###0.000">
                  <c:v>3.16</c:v>
                </c:pt>
                <c:pt idx="144" formatCode="###0.000;###0.000">
                  <c:v>3.18</c:v>
                </c:pt>
                <c:pt idx="145" formatCode="###0.000;###0.000">
                  <c:v>3.2</c:v>
                </c:pt>
                <c:pt idx="146" formatCode="###0.000;###0.000">
                  <c:v>3.206</c:v>
                </c:pt>
                <c:pt idx="147" formatCode="###0.000;###0.000">
                  <c:v>3.22</c:v>
                </c:pt>
                <c:pt idx="148" formatCode="###0.000;###0.000">
                  <c:v>3.24</c:v>
                </c:pt>
                <c:pt idx="149" formatCode="###0.000;###0.000">
                  <c:v>3.26</c:v>
                </c:pt>
                <c:pt idx="150" formatCode="###0.000;###0.000">
                  <c:v>3.28</c:v>
                </c:pt>
                <c:pt idx="151" formatCode="###0.000;###0.000">
                  <c:v>3.3</c:v>
                </c:pt>
                <c:pt idx="152" formatCode="###0.000;###0.000">
                  <c:v>3.32</c:v>
                </c:pt>
                <c:pt idx="153" formatCode="###0.000;###0.000">
                  <c:v>3.34</c:v>
                </c:pt>
                <c:pt idx="154" formatCode="###0.000;###0.000">
                  <c:v>3.36</c:v>
                </c:pt>
                <c:pt idx="155" formatCode="###0.000;###0.000">
                  <c:v>3.38</c:v>
                </c:pt>
                <c:pt idx="156" formatCode="###0.000;###0.000">
                  <c:v>3.4</c:v>
                </c:pt>
              </c:numCache>
            </c:numRef>
          </c:xVal>
          <c:yVal>
            <c:numRef>
              <c:f>'02.Hydrostatic'!$E$10:$E$166</c:f>
              <c:numCache>
                <c:formatCode>0.00</c:formatCode>
                <c:ptCount val="157"/>
                <c:pt idx="0">
                  <c:v>10.57</c:v>
                </c:pt>
                <c:pt idx="1">
                  <c:v>10.55</c:v>
                </c:pt>
                <c:pt idx="2">
                  <c:v>10.56</c:v>
                </c:pt>
                <c:pt idx="3">
                  <c:v>10.57</c:v>
                </c:pt>
                <c:pt idx="4">
                  <c:v>10.57</c:v>
                </c:pt>
                <c:pt idx="5">
                  <c:v>10.57</c:v>
                </c:pt>
                <c:pt idx="6">
                  <c:v>10.58</c:v>
                </c:pt>
                <c:pt idx="7">
                  <c:v>10.58</c:v>
                </c:pt>
                <c:pt idx="8">
                  <c:v>10.58</c:v>
                </c:pt>
                <c:pt idx="9">
                  <c:v>10.58</c:v>
                </c:pt>
                <c:pt idx="10">
                  <c:v>10.58</c:v>
                </c:pt>
                <c:pt idx="11">
                  <c:v>10.57</c:v>
                </c:pt>
                <c:pt idx="12">
                  <c:v>10.64</c:v>
                </c:pt>
                <c:pt idx="13">
                  <c:v>10.78</c:v>
                </c:pt>
                <c:pt idx="14">
                  <c:v>10.78</c:v>
                </c:pt>
                <c:pt idx="15">
                  <c:v>10.78</c:v>
                </c:pt>
                <c:pt idx="16">
                  <c:v>10.76</c:v>
                </c:pt>
                <c:pt idx="17">
                  <c:v>10.77</c:v>
                </c:pt>
                <c:pt idx="18">
                  <c:v>10.77</c:v>
                </c:pt>
                <c:pt idx="19">
                  <c:v>10.78</c:v>
                </c:pt>
                <c:pt idx="20">
                  <c:v>10.78</c:v>
                </c:pt>
                <c:pt idx="21">
                  <c:v>10.79</c:v>
                </c:pt>
                <c:pt idx="22">
                  <c:v>10.79</c:v>
                </c:pt>
                <c:pt idx="23">
                  <c:v>10.79</c:v>
                </c:pt>
                <c:pt idx="24">
                  <c:v>10.79</c:v>
                </c:pt>
                <c:pt idx="25">
                  <c:v>10.78</c:v>
                </c:pt>
                <c:pt idx="26">
                  <c:v>10.8</c:v>
                </c:pt>
                <c:pt idx="27">
                  <c:v>10.99</c:v>
                </c:pt>
                <c:pt idx="28">
                  <c:v>10.98</c:v>
                </c:pt>
                <c:pt idx="29">
                  <c:v>10.98</c:v>
                </c:pt>
                <c:pt idx="30">
                  <c:v>10.96</c:v>
                </c:pt>
                <c:pt idx="31" formatCode="###0.00;###0.00">
                  <c:v>10.97</c:v>
                </c:pt>
                <c:pt idx="32" formatCode="###0.00;###0.00">
                  <c:v>10.98</c:v>
                </c:pt>
                <c:pt idx="33" formatCode="###0.00;###0.00">
                  <c:v>10.98</c:v>
                </c:pt>
                <c:pt idx="34" formatCode="###0.00;###0.00">
                  <c:v>10.98</c:v>
                </c:pt>
                <c:pt idx="35" formatCode="###0.00;###0.00">
                  <c:v>10.99</c:v>
                </c:pt>
                <c:pt idx="36" formatCode="###0.00;###0.00">
                  <c:v>11</c:v>
                </c:pt>
                <c:pt idx="37" formatCode="###0.00;###0.00">
                  <c:v>11</c:v>
                </c:pt>
                <c:pt idx="38" formatCode="###0.00;###0.00">
                  <c:v>10.99</c:v>
                </c:pt>
                <c:pt idx="39" formatCode="###0.00;###0.00">
                  <c:v>10.99</c:v>
                </c:pt>
                <c:pt idx="40" formatCode="###0.00;###0.00">
                  <c:v>11</c:v>
                </c:pt>
                <c:pt idx="41" formatCode="###0.00;###0.00">
                  <c:v>11.19</c:v>
                </c:pt>
                <c:pt idx="42" formatCode="###0.00;###0.00">
                  <c:v>11.19</c:v>
                </c:pt>
                <c:pt idx="43" formatCode="###0.00;###0.00">
                  <c:v>11.19</c:v>
                </c:pt>
                <c:pt idx="44" formatCode="###0.00;###0.00">
                  <c:v>11.17</c:v>
                </c:pt>
                <c:pt idx="45" formatCode="###0.00;###0.00">
                  <c:v>11.18</c:v>
                </c:pt>
                <c:pt idx="46" formatCode="###0.00;###0.00">
                  <c:v>11.18</c:v>
                </c:pt>
                <c:pt idx="47" formatCode="###0.00;###0.00">
                  <c:v>11.19</c:v>
                </c:pt>
                <c:pt idx="48" formatCode="###0.00;###0.00">
                  <c:v>11.19</c:v>
                </c:pt>
                <c:pt idx="49" formatCode="###0.00;###0.00">
                  <c:v>11.2</c:v>
                </c:pt>
                <c:pt idx="50" formatCode="###0.00;###0.00">
                  <c:v>11.2</c:v>
                </c:pt>
                <c:pt idx="51" formatCode="###0.00;###0.00">
                  <c:v>11.2</c:v>
                </c:pt>
                <c:pt idx="52" formatCode="###0.00;###0.00">
                  <c:v>11.2</c:v>
                </c:pt>
                <c:pt idx="53" formatCode="###0.00;###0.00">
                  <c:v>11.2</c:v>
                </c:pt>
                <c:pt idx="54" formatCode="###0.00;###0.00">
                  <c:v>11.2</c:v>
                </c:pt>
                <c:pt idx="55" formatCode="###0.00;###0.00">
                  <c:v>11.4</c:v>
                </c:pt>
                <c:pt idx="56" formatCode="###0.00;###0.00">
                  <c:v>11.4</c:v>
                </c:pt>
                <c:pt idx="57" formatCode="###0.00;###0.00">
                  <c:v>11.4</c:v>
                </c:pt>
                <c:pt idx="58" formatCode="###0.00;###0.00">
                  <c:v>11.37</c:v>
                </c:pt>
                <c:pt idx="59" formatCode="###0.00;###0.00">
                  <c:v>11.38</c:v>
                </c:pt>
                <c:pt idx="60" formatCode="###0.00;###0.00">
                  <c:v>11.39</c:v>
                </c:pt>
                <c:pt idx="61" formatCode="###0.00;###0.00">
                  <c:v>11.39</c:v>
                </c:pt>
                <c:pt idx="62" formatCode="###0.00;###0.00">
                  <c:v>11.4</c:v>
                </c:pt>
                <c:pt idx="63" formatCode="###0.00;###0.00">
                  <c:v>11.4</c:v>
                </c:pt>
                <c:pt idx="64" formatCode="###0.00;###0.00">
                  <c:v>11.41</c:v>
                </c:pt>
                <c:pt idx="65" formatCode="###0.00;###0.00">
                  <c:v>11.4</c:v>
                </c:pt>
                <c:pt idx="66" formatCode="###0.00;###0.00">
                  <c:v>11.41</c:v>
                </c:pt>
                <c:pt idx="67" formatCode="###0.00;###0.00">
                  <c:v>11.41</c:v>
                </c:pt>
                <c:pt idx="68" formatCode="###0.00;###0.00">
                  <c:v>11.4</c:v>
                </c:pt>
                <c:pt idx="69" formatCode="###0.00;###0.00">
                  <c:v>11.59</c:v>
                </c:pt>
                <c:pt idx="70" formatCode="###0.00;###0.00">
                  <c:v>11.6</c:v>
                </c:pt>
                <c:pt idx="71" formatCode="###0.00;###0.00">
                  <c:v>11.6</c:v>
                </c:pt>
                <c:pt idx="72" formatCode="###0.00;###0.00">
                  <c:v>11.58</c:v>
                </c:pt>
                <c:pt idx="73" formatCode="###0.00;###0.00">
                  <c:v>11.58</c:v>
                </c:pt>
                <c:pt idx="74" formatCode="###0.00;###0.00">
                  <c:v>11.6</c:v>
                </c:pt>
                <c:pt idx="75" formatCode="###0.00;###0.00">
                  <c:v>11.6</c:v>
                </c:pt>
                <c:pt idx="76" formatCode="###0.00;###0.00">
                  <c:v>11.6</c:v>
                </c:pt>
                <c:pt idx="77" formatCode="###0.00;###0.00">
                  <c:v>11.6</c:v>
                </c:pt>
                <c:pt idx="78" formatCode="###0.00;###0.00">
                  <c:v>11.61</c:v>
                </c:pt>
                <c:pt idx="79" formatCode="###0.00;###0.00">
                  <c:v>11.61</c:v>
                </c:pt>
                <c:pt idx="80" formatCode="###0.00;###0.00">
                  <c:v>11.61</c:v>
                </c:pt>
                <c:pt idx="81" formatCode="###0.00;###0.00">
                  <c:v>11.61</c:v>
                </c:pt>
                <c:pt idx="82" formatCode="###0.00;###0.00">
                  <c:v>11.6</c:v>
                </c:pt>
                <c:pt idx="83" formatCode="###0.00;###0.00">
                  <c:v>11.75</c:v>
                </c:pt>
                <c:pt idx="84" formatCode="###0.00;###0.00">
                  <c:v>11.81</c:v>
                </c:pt>
                <c:pt idx="85" formatCode="###0.00;###0.00">
                  <c:v>11.81</c:v>
                </c:pt>
                <c:pt idx="86" formatCode="###0.00;###0.00">
                  <c:v>11.8</c:v>
                </c:pt>
                <c:pt idx="87" formatCode="###0.00;###0.00">
                  <c:v>11.79</c:v>
                </c:pt>
                <c:pt idx="88" formatCode="###0.00;###0.00">
                  <c:v>11.79</c:v>
                </c:pt>
                <c:pt idx="89" formatCode="###0.00;###0.00">
                  <c:v>11.81</c:v>
                </c:pt>
                <c:pt idx="90" formatCode="###0.00;###0.00">
                  <c:v>11.81</c:v>
                </c:pt>
                <c:pt idx="91" formatCode="###0.00;###0.00">
                  <c:v>11.81</c:v>
                </c:pt>
                <c:pt idx="92" formatCode="###0.00;###0.00">
                  <c:v>11.82</c:v>
                </c:pt>
                <c:pt idx="93" formatCode="###0.00;###0.00">
                  <c:v>11.82</c:v>
                </c:pt>
                <c:pt idx="94" formatCode="###0.00;###0.00">
                  <c:v>11.82</c:v>
                </c:pt>
                <c:pt idx="95" formatCode="###0.00;###0.00">
                  <c:v>11.82</c:v>
                </c:pt>
                <c:pt idx="96" formatCode="###0.00;###0.00">
                  <c:v>11.81</c:v>
                </c:pt>
                <c:pt idx="97" formatCode="###0.00;###0.00">
                  <c:v>11.91</c:v>
                </c:pt>
                <c:pt idx="98" formatCode="###0.00;###0.00">
                  <c:v>12.01</c:v>
                </c:pt>
                <c:pt idx="99" formatCode="###0.00;###0.00">
                  <c:v>12.02</c:v>
                </c:pt>
                <c:pt idx="100" formatCode="###0.00;###0.00">
                  <c:v>12.01</c:v>
                </c:pt>
                <c:pt idx="101" formatCode="###0.00;###0.00">
                  <c:v>11.99</c:v>
                </c:pt>
                <c:pt idx="102" formatCode="###0.00;###0.00">
                  <c:v>12</c:v>
                </c:pt>
                <c:pt idx="103" formatCode="###0.00;###0.00">
                  <c:v>12.01</c:v>
                </c:pt>
                <c:pt idx="104" formatCode="###0.00;###0.00">
                  <c:v>12.02</c:v>
                </c:pt>
                <c:pt idx="105" formatCode="###0.00;###0.00">
                  <c:v>12.01</c:v>
                </c:pt>
                <c:pt idx="106" formatCode="###0.00;###0.00">
                  <c:v>12.02</c:v>
                </c:pt>
                <c:pt idx="107" formatCode="###0.00;###0.00">
                  <c:v>12.02</c:v>
                </c:pt>
                <c:pt idx="108" formatCode="###0.00;###0.00">
                  <c:v>12.02</c:v>
                </c:pt>
                <c:pt idx="109" formatCode="###0.00;###0.00">
                  <c:v>12.03</c:v>
                </c:pt>
                <c:pt idx="110" formatCode="###0.00;###0.00">
                  <c:v>12.02</c:v>
                </c:pt>
                <c:pt idx="111" formatCode="###0.00;###0.00">
                  <c:v>12.06</c:v>
                </c:pt>
                <c:pt idx="112" formatCode="###0.00;###0.00">
                  <c:v>12.13</c:v>
                </c:pt>
                <c:pt idx="113" formatCode="###0.00;###0.00">
                  <c:v>12.14</c:v>
                </c:pt>
                <c:pt idx="114" formatCode="###0.00;###0.00">
                  <c:v>12.17</c:v>
                </c:pt>
                <c:pt idx="115" formatCode="###0.00;###0.00">
                  <c:v>12.18</c:v>
                </c:pt>
                <c:pt idx="116" formatCode="###0.00;###0.00">
                  <c:v>12.18</c:v>
                </c:pt>
                <c:pt idx="117" formatCode="###0.00;###0.00">
                  <c:v>12.21</c:v>
                </c:pt>
                <c:pt idx="118" formatCode="###0.00;###0.00">
                  <c:v>12.22</c:v>
                </c:pt>
                <c:pt idx="119" formatCode="###0.00;###0.00">
                  <c:v>12.23</c:v>
                </c:pt>
                <c:pt idx="120" formatCode="###0.00;###0.00">
                  <c:v>12.26</c:v>
                </c:pt>
                <c:pt idx="121" formatCode="###0.00;###0.00">
                  <c:v>12.25</c:v>
                </c:pt>
                <c:pt idx="122" formatCode="###0.00;###0.00">
                  <c:v>12.26</c:v>
                </c:pt>
                <c:pt idx="123" formatCode="###0.00;###0.00">
                  <c:v>12.3</c:v>
                </c:pt>
                <c:pt idx="124" formatCode="###0.00;###0.00">
                  <c:v>12.31</c:v>
                </c:pt>
                <c:pt idx="125" formatCode="###0.00;###0.00">
                  <c:v>12.3</c:v>
                </c:pt>
                <c:pt idx="126" formatCode="###0.00;###0.00">
                  <c:v>12.32</c:v>
                </c:pt>
                <c:pt idx="127" formatCode="###0.00;###0.00">
                  <c:v>12.31</c:v>
                </c:pt>
                <c:pt idx="128" formatCode="###0.00;###0.00">
                  <c:v>12.32</c:v>
                </c:pt>
                <c:pt idx="129" formatCode="###0.00;###0.00">
                  <c:v>12.33</c:v>
                </c:pt>
                <c:pt idx="130" formatCode="###0.00;###0.00">
                  <c:v>12.32</c:v>
                </c:pt>
                <c:pt idx="131" formatCode="###0.00;###0.00">
                  <c:v>12.31</c:v>
                </c:pt>
                <c:pt idx="132" formatCode="###0.00;###0.00">
                  <c:v>12.32</c:v>
                </c:pt>
                <c:pt idx="133" formatCode="###0.00;###0.00">
                  <c:v>12.32</c:v>
                </c:pt>
                <c:pt idx="134" formatCode="###0.00;###0.00">
                  <c:v>12.33</c:v>
                </c:pt>
                <c:pt idx="135" formatCode="###0.00;###0.00">
                  <c:v>12.32</c:v>
                </c:pt>
                <c:pt idx="136" formatCode="###0.00;###0.00">
                  <c:v>12.31</c:v>
                </c:pt>
                <c:pt idx="137" formatCode="###0.00;###0.00">
                  <c:v>12.31</c:v>
                </c:pt>
                <c:pt idx="138" formatCode="###0.00;###0.00">
                  <c:v>12.32</c:v>
                </c:pt>
                <c:pt idx="139" formatCode="###0.00;###0.00">
                  <c:v>12.33</c:v>
                </c:pt>
                <c:pt idx="140" formatCode="###0.00;###0.00">
                  <c:v>12.32</c:v>
                </c:pt>
                <c:pt idx="141" formatCode="###0.00;###0.00">
                  <c:v>12.31</c:v>
                </c:pt>
                <c:pt idx="142" formatCode="###0.00;###0.00">
                  <c:v>12.31</c:v>
                </c:pt>
                <c:pt idx="143" formatCode="###0.00;###0.00">
                  <c:v>12.32</c:v>
                </c:pt>
                <c:pt idx="144" formatCode="###0.00;###0.00">
                  <c:v>12.33</c:v>
                </c:pt>
                <c:pt idx="145" formatCode="###0.00;###0.00">
                  <c:v>12.32</c:v>
                </c:pt>
                <c:pt idx="146" formatCode="###0.00;###0.00">
                  <c:v>12.33</c:v>
                </c:pt>
                <c:pt idx="147" formatCode="###0.00;###0.00">
                  <c:v>12.31</c:v>
                </c:pt>
                <c:pt idx="148" formatCode="###0.00;###0.00">
                  <c:v>12.31</c:v>
                </c:pt>
                <c:pt idx="149" formatCode="###0.00;###0.00">
                  <c:v>12.32</c:v>
                </c:pt>
                <c:pt idx="150" formatCode="###0.00;###0.00">
                  <c:v>12.33</c:v>
                </c:pt>
                <c:pt idx="151" formatCode="###0.00;###0.00">
                  <c:v>12.32</c:v>
                </c:pt>
                <c:pt idx="152" formatCode="###0.00;###0.00">
                  <c:v>12.31</c:v>
                </c:pt>
                <c:pt idx="153" formatCode="###0.00;###0.00">
                  <c:v>12.31</c:v>
                </c:pt>
                <c:pt idx="154" formatCode="###0.00;###0.00">
                  <c:v>12.32</c:v>
                </c:pt>
                <c:pt idx="155" formatCode="###0.00;###0.00">
                  <c:v>12.33</c:v>
                </c:pt>
                <c:pt idx="156" formatCode="###0.00;###0.00">
                  <c:v>12.32</c:v>
                </c:pt>
              </c:numCache>
            </c:numRef>
          </c:yVal>
          <c:smooth val="1"/>
          <c:extLst>
            <c:ext xmlns:c16="http://schemas.microsoft.com/office/drawing/2014/chart" uri="{C3380CC4-5D6E-409C-BE32-E72D297353CC}">
              <c16:uniqueId val="{00000001-FB02-45F4-85C7-72EDF40B5A51}"/>
            </c:ext>
          </c:extLst>
        </c:ser>
        <c:dLbls>
          <c:showLegendKey val="0"/>
          <c:showVal val="0"/>
          <c:showCatName val="0"/>
          <c:showSerName val="0"/>
          <c:showPercent val="0"/>
          <c:showBubbleSize val="0"/>
        </c:dLbls>
        <c:axId val="691308936"/>
        <c:axId val="691309264"/>
      </c:scatterChart>
      <c:valAx>
        <c:axId val="691308936"/>
        <c:scaling>
          <c:orientation val="minMax"/>
        </c:scaling>
        <c:delete val="0"/>
        <c:axPos val="b"/>
        <c:majorGridlines>
          <c:spPr>
            <a:ln w="9525" cap="flat" cmpd="sng" algn="ctr">
              <a:solidFill>
                <a:schemeClr val="tx1">
                  <a:lumMod val="15000"/>
                  <a:lumOff val="85000"/>
                </a:schemeClr>
              </a:solidFill>
              <a:round/>
            </a:ln>
            <a:effectLst/>
          </c:spPr>
        </c:majorGridlines>
        <c:numFmt formatCode="#\ ##0.000&quot; m&quot;;\-#\ ##0.000&quot; m&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91309264"/>
        <c:crosses val="autoZero"/>
        <c:crossBetween val="midCat"/>
      </c:valAx>
      <c:valAx>
        <c:axId val="691309264"/>
        <c:scaling>
          <c:orientation val="minMax"/>
        </c:scaling>
        <c:delete val="0"/>
        <c:axPos val="l"/>
        <c:majorGridlines>
          <c:spPr>
            <a:ln w="9525" cap="flat" cmpd="sng" algn="ctr">
              <a:solidFill>
                <a:schemeClr val="tx1">
                  <a:lumMod val="15000"/>
                  <a:lumOff val="85000"/>
                </a:schemeClr>
              </a:solidFill>
              <a:round/>
            </a:ln>
            <a:effectLst/>
          </c:spPr>
        </c:majorGridlines>
        <c:numFmt formatCode="#\ ##0.000&quot; t/cm&quot;;\-#\ ##0.000&quot; t/cm&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91308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130966</xdr:rowOff>
    </xdr:from>
    <xdr:to>
      <xdr:col>4</xdr:col>
      <xdr:colOff>59531</xdr:colOff>
      <xdr:row>40</xdr:row>
      <xdr:rowOff>119061</xdr:rowOff>
    </xdr:to>
    <xdr:sp macro="" textlink="">
      <xdr:nvSpPr>
        <xdr:cNvPr id="2" name="Rectangle à coins arrondis 1">
          <a:extLst>
            <a:ext uri="{FF2B5EF4-FFF2-40B4-BE49-F238E27FC236}">
              <a16:creationId xmlns:a16="http://schemas.microsoft.com/office/drawing/2014/main" id="{00000000-0008-0000-0000-000002000000}"/>
            </a:ext>
          </a:extLst>
        </xdr:cNvPr>
        <xdr:cNvSpPr/>
      </xdr:nvSpPr>
      <xdr:spPr>
        <a:xfrm>
          <a:off x="0" y="892966"/>
          <a:ext cx="7358062" cy="6846095"/>
        </a:xfrm>
        <a:prstGeom prst="roundRect">
          <a:avLst>
            <a:gd name="adj" fmla="val 3174"/>
          </a:avLst>
        </a:prstGeom>
        <a:solidFill>
          <a:srgbClr val="BFBFBF">
            <a:alpha val="56000"/>
          </a:srgbClr>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8800">
              <a:solidFill>
                <a:srgbClr val="FF0000"/>
              </a:solidFill>
            </a:rPr>
            <a:t>Not used</a:t>
          </a:r>
          <a:r>
            <a:rPr lang="fr-FR" sz="8800" baseline="0">
              <a:solidFill>
                <a:srgbClr val="FF0000"/>
              </a:solidFill>
            </a:rPr>
            <a:t> in this file</a:t>
          </a:r>
          <a:endParaRPr lang="fr-FR" sz="8800">
            <a:solidFill>
              <a:srgbClr val="FF0000"/>
            </a:solidFill>
          </a:endParaRPr>
        </a:p>
      </xdr:txBody>
    </xdr:sp>
    <xdr:clientData/>
  </xdr:twoCellAnchor>
  <xdr:twoCellAnchor>
    <xdr:from>
      <xdr:col>4</xdr:col>
      <xdr:colOff>328613</xdr:colOff>
      <xdr:row>2</xdr:row>
      <xdr:rowOff>95249</xdr:rowOff>
    </xdr:from>
    <xdr:to>
      <xdr:col>14</xdr:col>
      <xdr:colOff>678656</xdr:colOff>
      <xdr:row>47</xdr:row>
      <xdr:rowOff>166687</xdr:rowOff>
    </xdr:to>
    <xdr:sp macro="" textlink="">
      <xdr:nvSpPr>
        <xdr:cNvPr id="3" name="Rectangle à coins arrondis 2">
          <a:extLst>
            <a:ext uri="{FF2B5EF4-FFF2-40B4-BE49-F238E27FC236}">
              <a16:creationId xmlns:a16="http://schemas.microsoft.com/office/drawing/2014/main" id="{00000000-0008-0000-0000-000003000000}"/>
            </a:ext>
          </a:extLst>
        </xdr:cNvPr>
        <xdr:cNvSpPr/>
      </xdr:nvSpPr>
      <xdr:spPr>
        <a:xfrm>
          <a:off x="7627144" y="476249"/>
          <a:ext cx="7839075" cy="8643938"/>
        </a:xfrm>
        <a:prstGeom prst="roundRect">
          <a:avLst>
            <a:gd name="adj" fmla="val 3174"/>
          </a:avLst>
        </a:prstGeom>
        <a:solidFill>
          <a:srgbClr val="BFBFBF">
            <a:alpha val="56000"/>
          </a:srgbClr>
        </a:solidFill>
        <a:ln w="28575">
          <a:solidFill>
            <a:srgbClr val="0061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1" u="sng">
              <a:solidFill>
                <a:sysClr val="windowText" lastClr="000000"/>
              </a:solidFill>
            </a:rPr>
            <a:t>General rules:</a:t>
          </a:r>
        </a:p>
        <a:p>
          <a:pPr algn="l"/>
          <a:r>
            <a:rPr lang="fr-FR" sz="1100">
              <a:solidFill>
                <a:sysClr val="windowText" lastClr="000000"/>
              </a:solidFill>
            </a:rPr>
            <a:t>-</a:t>
          </a:r>
          <a:r>
            <a:rPr lang="fr-FR" sz="1100" baseline="0">
              <a:solidFill>
                <a:sysClr val="windowText" lastClr="000000"/>
              </a:solidFill>
            </a:rPr>
            <a:t>  Spreadsheet is not locked, to ease modification and adaptations</a:t>
          </a:r>
        </a:p>
        <a:p>
          <a:pPr algn="l"/>
          <a:r>
            <a:rPr lang="fr-FR" sz="1100" baseline="0">
              <a:solidFill>
                <a:sysClr val="windowText" lastClr="000000"/>
              </a:solidFill>
            </a:rPr>
            <a:t>-  For normal use, only blue font cells shall be modified</a:t>
          </a:r>
        </a:p>
        <a:p>
          <a:pPr algn="l"/>
          <a:r>
            <a:rPr lang="fr-FR" sz="1100" baseline="0">
              <a:solidFill>
                <a:sysClr val="windowText" lastClr="000000"/>
              </a:solidFill>
            </a:rPr>
            <a:t>- All formulas are always compatible in a row or column. </a:t>
          </a:r>
        </a:p>
        <a:p>
          <a:pPr algn="l"/>
          <a:r>
            <a:rPr lang="fr-FR" sz="1100" baseline="0">
              <a:solidFill>
                <a:sysClr val="windowText" lastClr="000000"/>
              </a:solidFill>
            </a:rPr>
            <a:t>- No special formula shall be marked, and if so, cell shall be highlited in yellow background</a:t>
          </a:r>
        </a:p>
        <a:p>
          <a:pPr algn="l"/>
          <a:r>
            <a:rPr lang="fr-FR" sz="1100" baseline="0">
              <a:solidFill>
                <a:sysClr val="windowText" lastClr="000000"/>
              </a:solidFill>
            </a:rPr>
            <a:t>- Many of datas are stored in tables. Make sure to insert and remove row/columns in tables using dedicated Excel command</a:t>
          </a:r>
        </a:p>
        <a:p>
          <a:pPr algn="l"/>
          <a:r>
            <a:rPr lang="fr-FR" sz="1100" baseline="0">
              <a:solidFill>
                <a:sysClr val="windowText" lastClr="000000"/>
              </a:solidFill>
            </a:rPr>
            <a:t>- Many of the important info are range named. Always check the range before inserting/removing row/columns</a:t>
          </a:r>
        </a:p>
        <a:p>
          <a:pPr algn="l"/>
          <a:r>
            <a:rPr lang="fr-FR" sz="1100" baseline="0">
              <a:solidFill>
                <a:sysClr val="windowText" lastClr="000000"/>
              </a:solidFill>
            </a:rPr>
            <a:t>- Except for Global datas, range name follow the syntax taName_rangeName. You could easy track where the corresponding cells</a:t>
          </a:r>
        </a:p>
        <a:p>
          <a:pPr algn="l"/>
          <a:r>
            <a:rPr lang="fr-FR" sz="1100" baseline="0">
              <a:solidFill>
                <a:sysClr val="windowText" lastClr="000000"/>
              </a:solidFill>
            </a:rPr>
            <a:t>- Each check is done using OK / KO value cells, with an automatic format. Never apply the format on cells with test in the automatic format formula = it lead to unreadable sheet.</a:t>
          </a:r>
        </a:p>
        <a:p>
          <a:pPr algn="l"/>
          <a:r>
            <a:rPr lang="fr-FR" sz="1100" baseline="0">
              <a:solidFill>
                <a:sysClr val="windowText" lastClr="000000"/>
              </a:solidFill>
            </a:rPr>
            <a:t>- Most of tab have a test cell in A1, which test that all required check in the tab are OK or not. Do not move this cell.</a:t>
          </a:r>
        </a:p>
        <a:p>
          <a:pPr algn="l"/>
          <a:r>
            <a:rPr lang="fr-FR" sz="1100" baseline="0">
              <a:solidFill>
                <a:sysClr val="windowText" lastClr="000000"/>
              </a:solidFill>
            </a:rPr>
            <a:t>- Each tab has its own help frame. It has be done as movable and resizable to let you place it where you want during the progress of your work</a:t>
          </a:r>
        </a:p>
        <a:p>
          <a:pPr algn="l"/>
          <a:r>
            <a:rPr lang="fr-FR" sz="1100" baseline="0">
              <a:solidFill>
                <a:sysClr val="windowText" lastClr="000000"/>
              </a:solidFill>
            </a:rPr>
            <a:t>- In addition, some cells are commented, or a data validation may appear on hover</a:t>
          </a:r>
        </a:p>
        <a:p>
          <a:pPr algn="l"/>
          <a:r>
            <a:rPr lang="fr-FR" sz="1100" baseline="0">
              <a:solidFill>
                <a:sysClr val="windowText" lastClr="000000"/>
              </a:solidFill>
            </a:rPr>
            <a:t>- To avoid any mistake, consider the ship coordinates system always as follow (standarized ship coord system):</a:t>
          </a:r>
        </a:p>
        <a:p>
          <a:pPr algn="l"/>
          <a:r>
            <a:rPr lang="fr-FR" sz="1100" baseline="0">
              <a:solidFill>
                <a:sysClr val="windowText" lastClr="000000"/>
              </a:solidFill>
            </a:rPr>
            <a:t>  * origin is baseline, keel on aft perpendicular.</a:t>
          </a:r>
        </a:p>
        <a:p>
          <a:pPr algn="l"/>
          <a:r>
            <a:rPr lang="fr-FR" sz="1100" baseline="0">
              <a:solidFill>
                <a:sysClr val="windowText" lastClr="000000"/>
              </a:solidFill>
            </a:rPr>
            <a:t>  * X is baseline from aft to fore (positive forward)</a:t>
          </a:r>
        </a:p>
        <a:p>
          <a:pPr algn="l"/>
          <a:r>
            <a:rPr lang="fr-FR" sz="1100" baseline="0">
              <a:solidFill>
                <a:sysClr val="windowText" lastClr="000000"/>
              </a:solidFill>
            </a:rPr>
            <a:t>  * Y is tranvserse from starboard to portside</a:t>
          </a:r>
        </a:p>
        <a:p>
          <a:pPr algn="l"/>
          <a:r>
            <a:rPr lang="fr-FR" sz="1100" baseline="0">
              <a:solidFill>
                <a:sysClr val="windowText" lastClr="000000"/>
              </a:solidFill>
            </a:rPr>
            <a:t>  * Z is deck perpendicular (@keel level) positive upward</a:t>
          </a:r>
        </a:p>
        <a:p>
          <a:pPr algn="l"/>
          <a:r>
            <a:rPr lang="fr-FR" sz="1100" baseline="0">
              <a:solidFill>
                <a:sysClr val="windowText" lastClr="000000"/>
              </a:solidFill>
            </a:rPr>
            <a:t>- Note that with this Right Handed Cartesian Coordinate System, the resulting angles are:</a:t>
          </a:r>
        </a:p>
        <a:p>
          <a:r>
            <a:rPr lang="fr-FR" sz="1100" baseline="0">
              <a:solidFill>
                <a:sysClr val="windowText" lastClr="000000"/>
              </a:solidFill>
              <a:effectLst/>
              <a:latin typeface="+mn-lt"/>
              <a:ea typeface="+mn-ea"/>
              <a:cs typeface="+mn-cs"/>
            </a:rPr>
            <a:t>  * Trim positive when bow up</a:t>
          </a:r>
          <a:endParaRPr lang="fr-FR">
            <a:solidFill>
              <a:sysClr val="windowText" lastClr="000000"/>
            </a:solidFill>
            <a:effectLst/>
          </a:endParaRPr>
        </a:p>
        <a:p>
          <a:r>
            <a:rPr lang="fr-FR" sz="1100" baseline="0">
              <a:solidFill>
                <a:sysClr val="windowText" lastClr="000000"/>
              </a:solidFill>
              <a:effectLst/>
              <a:latin typeface="+mn-lt"/>
              <a:ea typeface="+mn-ea"/>
              <a:cs typeface="+mn-cs"/>
            </a:rPr>
            <a:t>  * List positive when portside up</a:t>
          </a:r>
        </a:p>
        <a:p>
          <a:endParaRPr lang="fr-FR" sz="1100" baseline="0">
            <a:solidFill>
              <a:sysClr val="windowText" lastClr="000000"/>
            </a:solidFill>
            <a:effectLst/>
            <a:latin typeface="+mn-lt"/>
            <a:ea typeface="+mn-ea"/>
            <a:cs typeface="+mn-cs"/>
          </a:endParaRPr>
        </a:p>
        <a:p>
          <a:r>
            <a:rPr lang="fr-FR" sz="1100" b="1" u="sng">
              <a:solidFill>
                <a:sysClr val="windowText" lastClr="000000"/>
              </a:solidFill>
              <a:effectLst/>
              <a:latin typeface="+mn-lt"/>
              <a:ea typeface="+mn-ea"/>
              <a:cs typeface="+mn-cs"/>
            </a:rPr>
            <a:t>General assumption:</a:t>
          </a:r>
          <a:endParaRPr lang="fr-FR">
            <a:solidFill>
              <a:sysClr val="windowText" lastClr="000000"/>
            </a:solidFill>
            <a:effectLst/>
          </a:endParaRPr>
        </a:p>
        <a:p>
          <a:r>
            <a:rPr lang="fr-FR" sz="1100">
              <a:solidFill>
                <a:sysClr val="windowText" lastClr="000000"/>
              </a:solidFill>
              <a:effectLst/>
              <a:latin typeface="+mn-lt"/>
              <a:ea typeface="+mn-ea"/>
              <a:cs typeface="+mn-cs"/>
            </a:rPr>
            <a:t>-</a:t>
          </a:r>
          <a:r>
            <a:rPr lang="fr-FR" sz="1100" baseline="0">
              <a:solidFill>
                <a:sysClr val="windowText" lastClr="000000"/>
              </a:solidFill>
              <a:effectLst/>
              <a:latin typeface="+mn-lt"/>
              <a:ea typeface="+mn-ea"/>
              <a:cs typeface="+mn-cs"/>
            </a:rPr>
            <a:t>  The hull is symmetrical around baseline</a:t>
          </a:r>
        </a:p>
        <a:p>
          <a:r>
            <a:rPr lang="fr-FR" sz="1100" baseline="0">
              <a:solidFill>
                <a:sysClr val="windowText" lastClr="000000"/>
              </a:solidFill>
              <a:effectLst/>
              <a:latin typeface="+mn-lt"/>
              <a:ea typeface="+mn-ea"/>
              <a:cs typeface="+mn-cs"/>
            </a:rPr>
            <a:t>-  No anchoring lines are tended so that they impact ship stability</a:t>
          </a:r>
        </a:p>
        <a:p>
          <a:r>
            <a:rPr lang="fr-FR" sz="1100" baseline="0">
              <a:solidFill>
                <a:sysClr val="windowText" lastClr="000000"/>
              </a:solidFill>
              <a:effectLst/>
              <a:latin typeface="+mn-lt"/>
              <a:ea typeface="+mn-ea"/>
              <a:cs typeface="+mn-cs"/>
            </a:rPr>
            <a:t>-  Effect of propulsion on ship equilibrium (longitudinal and transversal) is neglected</a:t>
          </a:r>
        </a:p>
        <a:p>
          <a:r>
            <a:rPr lang="fr-FR" sz="1100" baseline="0">
              <a:solidFill>
                <a:sysClr val="windowText" lastClr="000000"/>
              </a:solidFill>
              <a:effectLst/>
              <a:latin typeface="+mn-lt"/>
              <a:ea typeface="+mn-ea"/>
              <a:cs typeface="+mn-cs"/>
            </a:rPr>
            <a:t>- Stability is computed assuming that vessel is close to Even Keel</a:t>
          </a:r>
        </a:p>
        <a:p>
          <a:r>
            <a:rPr lang="fr-FR" sz="1100" baseline="0">
              <a:solidFill>
                <a:sysClr val="windowText" lastClr="000000"/>
              </a:solidFill>
              <a:effectLst/>
              <a:latin typeface="+mn-lt"/>
              <a:ea typeface="+mn-ea"/>
              <a:cs typeface="+mn-cs"/>
            </a:rPr>
            <a:t>- Structural computation assume that vessel is close to Even Keel</a:t>
          </a:r>
          <a:endParaRPr lang="fr-FR" sz="1100" baseline="0">
            <a:solidFill>
              <a:sysClr val="windowText" lastClr="000000"/>
            </a:solidFill>
          </a:endParaRPr>
        </a:p>
        <a:p>
          <a:pPr algn="l"/>
          <a:endParaRPr lang="fr-FR" sz="1100" baseline="0">
            <a:solidFill>
              <a:sysClr val="windowText" lastClr="000000"/>
            </a:solidFill>
          </a:endParaRPr>
        </a:p>
        <a:p>
          <a:pPr algn="l"/>
          <a:r>
            <a:rPr lang="fr-FR" sz="1100" b="1" u="sng" baseline="0">
              <a:solidFill>
                <a:sysClr val="windowText" lastClr="000000"/>
              </a:solidFill>
            </a:rPr>
            <a:t>Step by step new vessel configuration</a:t>
          </a:r>
          <a:r>
            <a:rPr lang="fr-FR" sz="1100" b="1" u="sng">
              <a:solidFill>
                <a:sysClr val="windowText" lastClr="000000"/>
              </a:solidFill>
              <a:effectLst/>
              <a:latin typeface="+mn-lt"/>
              <a:ea typeface="+mn-ea"/>
              <a:cs typeface="+mn-cs"/>
            </a:rPr>
            <a:t>:</a:t>
          </a:r>
          <a:endParaRPr lang="fr-FR" b="1" u="sng">
            <a:solidFill>
              <a:sysClr val="windowText" lastClr="000000"/>
            </a:solidFill>
            <a:effectLst/>
          </a:endParaRPr>
        </a:p>
        <a:p>
          <a:r>
            <a:rPr lang="fr-FR" sz="1100">
              <a:solidFill>
                <a:sysClr val="windowText" lastClr="000000"/>
              </a:solidFill>
              <a:effectLst/>
              <a:latin typeface="+mn-lt"/>
              <a:ea typeface="+mn-ea"/>
              <a:cs typeface="+mn-cs"/>
            </a:rPr>
            <a:t>-</a:t>
          </a:r>
          <a:r>
            <a:rPr lang="fr-FR" sz="1100" baseline="0">
              <a:solidFill>
                <a:sysClr val="windowText" lastClr="000000"/>
              </a:solidFill>
              <a:effectLst/>
              <a:latin typeface="+mn-lt"/>
              <a:ea typeface="+mn-ea"/>
              <a:cs typeface="+mn-cs"/>
            </a:rPr>
            <a:t>  Rename the file following the convention yyyy-mm-dd-shipname_stability</a:t>
          </a:r>
          <a:endParaRPr lang="fr-FR">
            <a:solidFill>
              <a:sysClr val="windowText" lastClr="000000"/>
            </a:solidFill>
            <a:effectLst/>
          </a:endParaRPr>
        </a:p>
        <a:p>
          <a:r>
            <a:rPr lang="fr-FR" sz="1100" baseline="0">
              <a:solidFill>
                <a:sysClr val="windowText" lastClr="000000"/>
              </a:solidFill>
              <a:effectLst/>
              <a:latin typeface="+mn-lt"/>
              <a:ea typeface="+mn-ea"/>
              <a:cs typeface="+mn-cs"/>
            </a:rPr>
            <a:t>-  Mark all the grey tabs in yellow to be sure to process them by order. You will mark them in "no color" once completed</a:t>
          </a:r>
          <a:endParaRPr lang="fr-FR">
            <a:solidFill>
              <a:sysClr val="windowText" lastClr="000000"/>
            </a:solidFill>
            <a:effectLst/>
          </a:endParaRPr>
        </a:p>
        <a:p>
          <a:r>
            <a:rPr lang="fr-FR" sz="1100" baseline="0">
              <a:solidFill>
                <a:sysClr val="windowText" lastClr="000000"/>
              </a:solidFill>
              <a:effectLst/>
              <a:latin typeface="+mn-lt"/>
              <a:ea typeface="+mn-ea"/>
              <a:cs typeface="+mn-cs"/>
            </a:rPr>
            <a:t>-  Fill the revision Tab in the 00.Rev. tab.</a:t>
          </a:r>
          <a:endParaRPr lang="fr-FR">
            <a:solidFill>
              <a:sysClr val="windowText" lastClr="000000"/>
            </a:solidFill>
            <a:effectLst/>
          </a:endParaRPr>
        </a:p>
        <a:p>
          <a:r>
            <a:rPr lang="fr-FR" sz="1100" baseline="0">
              <a:solidFill>
                <a:sysClr val="windowText" lastClr="000000"/>
              </a:solidFill>
              <a:effectLst/>
              <a:latin typeface="+mn-lt"/>
              <a:ea typeface="+mn-ea"/>
              <a:cs typeface="+mn-cs"/>
            </a:rPr>
            <a:t>- Then process by Tab order (i.e. 01.General Data then 02.Hydrostatic, ....)</a:t>
          </a:r>
        </a:p>
        <a:p>
          <a:r>
            <a:rPr lang="fr-FR" sz="1100" baseline="0">
              <a:solidFill>
                <a:sysClr val="windowText" lastClr="000000"/>
              </a:solidFill>
              <a:effectLst/>
              <a:latin typeface="+mn-lt"/>
              <a:ea typeface="+mn-ea"/>
              <a:cs typeface="+mn-cs"/>
            </a:rPr>
            <a:t>- In each tab, remove all the lines except the 1st one of tables before inserting new data. This will ensure that old data will not stay at the end of the table.</a:t>
          </a:r>
        </a:p>
        <a:p>
          <a:endParaRPr lang="fr-FR" sz="1100" baseline="0">
            <a:solidFill>
              <a:sysClr val="windowText" lastClr="000000"/>
            </a:solidFill>
            <a:effectLst/>
            <a:latin typeface="+mn-lt"/>
            <a:ea typeface="+mn-ea"/>
            <a:cs typeface="+mn-cs"/>
          </a:endParaRPr>
        </a:p>
        <a:p>
          <a:r>
            <a:rPr lang="fr-FR" sz="1100" b="1" u="sng" baseline="0">
              <a:solidFill>
                <a:sysClr val="windowText" lastClr="000000"/>
              </a:solidFill>
              <a:effectLst/>
              <a:latin typeface="+mn-lt"/>
              <a:ea typeface="+mn-ea"/>
              <a:cs typeface="+mn-cs"/>
            </a:rPr>
            <a:t>Stability checks</a:t>
          </a:r>
          <a:r>
            <a:rPr lang="fr-FR" sz="1100" b="1" u="sng">
              <a:solidFill>
                <a:sysClr val="windowText" lastClr="000000"/>
              </a:solidFill>
              <a:effectLst/>
              <a:latin typeface="+mn-lt"/>
              <a:ea typeface="+mn-ea"/>
              <a:cs typeface="+mn-cs"/>
            </a:rPr>
            <a:t>:</a:t>
          </a:r>
          <a:endParaRPr lang="fr-FR">
            <a:solidFill>
              <a:sysClr val="windowText" lastClr="000000"/>
            </a:solidFill>
            <a:effectLst/>
          </a:endParaRPr>
        </a:p>
        <a:p>
          <a:r>
            <a:rPr lang="fr-FR" sz="1100">
              <a:solidFill>
                <a:sysClr val="windowText" lastClr="000000"/>
              </a:solidFill>
              <a:effectLst/>
              <a:latin typeface="+mn-lt"/>
              <a:ea typeface="+mn-ea"/>
              <a:cs typeface="+mn-cs"/>
            </a:rPr>
            <a:t>-</a:t>
          </a:r>
          <a:r>
            <a:rPr lang="fr-FR" sz="1100" baseline="0">
              <a:solidFill>
                <a:sysClr val="windowText" lastClr="000000"/>
              </a:solidFill>
              <a:effectLst/>
              <a:latin typeface="+mn-lt"/>
              <a:ea typeface="+mn-ea"/>
              <a:cs typeface="+mn-cs"/>
            </a:rPr>
            <a:t>  All the stability checks are done in the Recap tab. Refer to tab help.</a:t>
          </a:r>
        </a:p>
        <a:p>
          <a:endParaRPr lang="fr-FR" sz="1100" baseline="0">
            <a:solidFill>
              <a:sysClr val="windowText" lastClr="000000"/>
            </a:solidFill>
            <a:effectLst/>
            <a:latin typeface="+mn-lt"/>
            <a:ea typeface="+mn-ea"/>
            <a:cs typeface="+mn-cs"/>
          </a:endParaRPr>
        </a:p>
        <a:p>
          <a:r>
            <a:rPr lang="fr-FR" sz="1100" b="1" u="sng" baseline="0">
              <a:solidFill>
                <a:sysClr val="windowText" lastClr="000000"/>
              </a:solidFill>
              <a:effectLst/>
              <a:latin typeface="+mn-lt"/>
              <a:ea typeface="+mn-ea"/>
              <a:cs typeface="+mn-cs"/>
            </a:rPr>
            <a:t>Structural cheks</a:t>
          </a:r>
          <a:r>
            <a:rPr lang="fr-FR" sz="1100" b="1" u="sng">
              <a:solidFill>
                <a:sysClr val="windowText" lastClr="000000"/>
              </a:solidFill>
              <a:effectLst/>
              <a:latin typeface="+mn-lt"/>
              <a:ea typeface="+mn-ea"/>
              <a:cs typeface="+mn-cs"/>
            </a:rPr>
            <a:t>:</a:t>
          </a:r>
          <a:endParaRPr lang="fr-FR">
            <a:solidFill>
              <a:sysClr val="windowText" lastClr="000000"/>
            </a:solidFill>
            <a:effectLst/>
          </a:endParaRPr>
        </a:p>
        <a:p>
          <a:r>
            <a:rPr lang="fr-FR" sz="1100">
              <a:solidFill>
                <a:sysClr val="windowText" lastClr="000000"/>
              </a:solidFill>
              <a:effectLst/>
              <a:latin typeface="+mn-lt"/>
              <a:ea typeface="+mn-ea"/>
              <a:cs typeface="+mn-cs"/>
            </a:rPr>
            <a:t>-</a:t>
          </a:r>
          <a:r>
            <a:rPr lang="fr-FR" sz="1100" baseline="0">
              <a:solidFill>
                <a:sysClr val="windowText" lastClr="000000"/>
              </a:solidFill>
              <a:effectLst/>
              <a:latin typeface="+mn-lt"/>
              <a:ea typeface="+mn-ea"/>
              <a:cs typeface="+mn-cs"/>
            </a:rPr>
            <a:t>  All structural checks are done in the Load Distrib tab.Refer to tab help.</a:t>
          </a:r>
          <a:endParaRPr lang="fr-FR">
            <a:solidFill>
              <a:sysClr val="windowText" lastClr="000000"/>
            </a:solidFill>
            <a:effectLst/>
          </a:endParaRPr>
        </a:p>
        <a:p>
          <a:endParaRPr lang="fr-FR">
            <a:solidFill>
              <a:sysClr val="windowText" lastClr="000000"/>
            </a:solidFill>
            <a:effectLst/>
          </a:endParaRPr>
        </a:p>
        <a:p>
          <a:endParaRPr lang="fr-FR" sz="1100" baseline="0">
            <a:solidFill>
              <a:sysClr val="windowText" lastClr="000000"/>
            </a:solidFill>
            <a:effectLst/>
            <a:latin typeface="+mn-lt"/>
            <a:ea typeface="+mn-ea"/>
            <a:cs typeface="+mn-cs"/>
          </a:endParaRPr>
        </a:p>
        <a:p>
          <a:endParaRPr lang="fr-FR">
            <a:solidFill>
              <a:sysClr val="windowText" lastClr="000000"/>
            </a:solidFill>
            <a:effectLst/>
          </a:endParaRPr>
        </a:p>
        <a:p>
          <a:pPr algn="l"/>
          <a:endParaRPr lang="fr-FR" sz="1100" baseline="0">
            <a:solidFill>
              <a:sysClr val="windowText" lastClr="000000"/>
            </a:solidFill>
          </a:endParaRPr>
        </a:p>
        <a:p>
          <a:pPr algn="l"/>
          <a:endParaRPr lang="fr-FR" sz="11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11905</xdr:colOff>
      <xdr:row>8</xdr:row>
      <xdr:rowOff>23812</xdr:rowOff>
    </xdr:from>
    <xdr:to>
      <xdr:col>7</xdr:col>
      <xdr:colOff>797717</xdr:colOff>
      <xdr:row>18</xdr:row>
      <xdr:rowOff>154780</xdr:rowOff>
    </xdr:to>
    <xdr:graphicFrame macro="">
      <xdr:nvGraphicFramePr>
        <xdr:cNvPr id="13" name="Graphique 12">
          <a:extLst>
            <a:ext uri="{FF2B5EF4-FFF2-40B4-BE49-F238E27FC236}">
              <a16:creationId xmlns:a16="http://schemas.microsoft.com/office/drawing/2014/main" id="{00000000-0008-0000-0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83347</xdr:colOff>
      <xdr:row>7</xdr:row>
      <xdr:rowOff>107155</xdr:rowOff>
    </xdr:from>
    <xdr:to>
      <xdr:col>26</xdr:col>
      <xdr:colOff>690563</xdr:colOff>
      <xdr:row>58</xdr:row>
      <xdr:rowOff>35719</xdr:rowOff>
    </xdr:to>
    <xdr:sp macro="" textlink="">
      <xdr:nvSpPr>
        <xdr:cNvPr id="4" name="Rectangle à coins arrondis 3">
          <a:extLst>
            <a:ext uri="{FF2B5EF4-FFF2-40B4-BE49-F238E27FC236}">
              <a16:creationId xmlns:a16="http://schemas.microsoft.com/office/drawing/2014/main" id="{00000000-0008-0000-0100-000004000000}"/>
            </a:ext>
          </a:extLst>
        </xdr:cNvPr>
        <xdr:cNvSpPr/>
      </xdr:nvSpPr>
      <xdr:spPr>
        <a:xfrm>
          <a:off x="17275972" y="1440655"/>
          <a:ext cx="5179216" cy="9453564"/>
        </a:xfrm>
        <a:prstGeom prst="roundRect">
          <a:avLst>
            <a:gd name="adj" fmla="val 3174"/>
          </a:avLst>
        </a:prstGeom>
        <a:solidFill>
          <a:srgbClr val="BFBFBF">
            <a:alpha val="56000"/>
          </a:srgbClr>
        </a:solidFill>
        <a:ln w="28575">
          <a:solidFill>
            <a:srgbClr val="0061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1" u="sng">
              <a:ln>
                <a:noFill/>
              </a:ln>
              <a:solidFill>
                <a:sysClr val="windowText" lastClr="000000"/>
              </a:solidFill>
            </a:rPr>
            <a:t>Recap:</a:t>
          </a:r>
        </a:p>
        <a:p>
          <a:pPr algn="l"/>
          <a:r>
            <a:rPr lang="fr-FR" sz="1100">
              <a:ln>
                <a:noFill/>
              </a:ln>
              <a:solidFill>
                <a:sysClr val="windowText" lastClr="000000"/>
              </a:solidFill>
            </a:rPr>
            <a:t>This tab is the tab</a:t>
          </a:r>
          <a:r>
            <a:rPr lang="fr-FR" sz="1100" baseline="0">
              <a:ln>
                <a:noFill/>
              </a:ln>
              <a:solidFill>
                <a:sysClr val="windowText" lastClr="000000"/>
              </a:solidFill>
            </a:rPr>
            <a:t> to be used once a ship is configured.</a:t>
          </a:r>
        </a:p>
        <a:p>
          <a:pPr algn="l"/>
          <a:endParaRPr lang="fr-FR" sz="1100" baseline="0">
            <a:ln>
              <a:noFill/>
            </a:ln>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1" u="sng">
              <a:ln>
                <a:noFill/>
              </a:ln>
              <a:solidFill>
                <a:sysClr val="windowText" lastClr="000000"/>
              </a:solidFill>
              <a:effectLst/>
              <a:latin typeface="+mn-lt"/>
              <a:ea typeface="+mn-ea"/>
              <a:cs typeface="+mn-cs"/>
            </a:rPr>
            <a:t>Entry Field:</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a:ln>
                <a:noFill/>
              </a:ln>
              <a:solidFill>
                <a:sysClr val="windowText" lastClr="000000"/>
              </a:solidFill>
              <a:effectLst/>
              <a:latin typeface="+mn-lt"/>
              <a:ea typeface="+mn-ea"/>
              <a:cs typeface="+mn-cs"/>
            </a:rPr>
            <a:t>First</a:t>
          </a:r>
          <a:r>
            <a:rPr lang="fr-FR" sz="1100" b="0" u="none" baseline="0">
              <a:ln>
                <a:noFill/>
              </a:ln>
              <a:solidFill>
                <a:sysClr val="windowText" lastClr="000000"/>
              </a:solidFill>
              <a:effectLst/>
              <a:latin typeface="+mn-lt"/>
              <a:ea typeface="+mn-ea"/>
              <a:cs typeface="+mn-cs"/>
            </a:rPr>
            <a:t> thing to do is to add a screenshot of your ship on the right rectangle, bewteen the drafts mark). It is very important to represent the ship coordinate system on it, and it shall be correctly oriented. You can either shrink the screenshot, either adapt the row/column number to fit the global proportion of your ship (formulas are absolute). Be sure that ballast numbering are present on your screenshot.</a:t>
          </a:r>
          <a:endParaRPr lang="fr-FR" sz="1100" b="0" u="none">
            <a:ln>
              <a:noFill/>
            </a:ln>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a:ln>
                <a:noFill/>
              </a:ln>
              <a:solidFill>
                <a:sysClr val="windowText" lastClr="000000"/>
              </a:solidFill>
              <a:effectLst/>
              <a:latin typeface="+mn-lt"/>
              <a:ea typeface="+mn-ea"/>
              <a:cs typeface="+mn-cs"/>
            </a:rPr>
            <a:t> - Deck tanks : the hullage values of the deck tank. 2 helpers are provided</a:t>
          </a:r>
          <a:r>
            <a:rPr lang="fr-FR" sz="1100" b="0" u="none" baseline="0">
              <a:ln>
                <a:noFill/>
              </a:ln>
              <a:solidFill>
                <a:sysClr val="windowText" lastClr="000000"/>
              </a:solidFill>
              <a:effectLst/>
              <a:latin typeface="+mn-lt"/>
              <a:ea typeface="+mn-ea"/>
              <a:cs typeface="+mn-cs"/>
            </a:rPr>
            <a:t>, the tank diamater (hullage shall be in range [0...D] and the hullage corresponding volume. Following weight, CoG and i*ꙍ are computed for each tank.</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Ballast: the Hullage value for each ballast. As an helper, weight of each ballsast is dispayed with an automatic format on the right. Data validation check only value bewteen 0 to M_depth, but some ballast may be less high than M_Depth. Note that it is always hullage value, even in case of suspended ballast (0 hullage = 0 volume). Weight, CoG and </a:t>
          </a:r>
          <a:r>
            <a:rPr lang="fr-FR" sz="1100" b="0" baseline="0">
              <a:solidFill>
                <a:sysClr val="windowText" lastClr="000000"/>
              </a:solidFill>
              <a:effectLst/>
              <a:latin typeface="+mn-lt"/>
              <a:ea typeface="+mn-ea"/>
              <a:cs typeface="+mn-cs"/>
            </a:rPr>
            <a:t>i*ꙍ  are displayed gloabally (with a weight check) in Recap tab. Refer to dedicated tab itf details are required</a:t>
          </a:r>
          <a:endParaRPr lang="fr-FR" sz="1100" b="0" u="none" baseline="0">
            <a:ln>
              <a:noFill/>
            </a:ln>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Lifting: entry the crane position (with a reminder helper for the parking position, and 3 crane loads position. Make sure to position Z load at boom top level above deck (required for stability computation, even if you load is a deck level). This 3 loads are there to help changing quickly configuration, by trigger them with TRUE/FALSE following field. You can add more case if required, but if the global loading condition of the barge will differ (for example changing ballast condition) use a copy of this file and indicate the purpose in the filename.</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Additionals: All additionals Cargo which are not intended to be permanently on the ship (otherwise it shall be integrated in Hull &amp; Structure tab). The free columns are their to compute simple calculation for user additinal loads. The required unmovable field for the spreadsheet are : index, designation, and weight, X, Y Z, load spread. Note that CoG position shall be in the Ship Coordinate system. You can for example tirgger some additionnal cargo using TRUE/FALSE field, compute bilge water effect on the whol barge area, add some binskip, ....</a:t>
          </a:r>
        </a:p>
        <a:p>
          <a:pPr marL="0" marR="0" lvl="0" indent="0" algn="l" defTabSz="914400" eaLnBrk="1" fontAlgn="auto" latinLnBrk="0" hangingPunct="1">
            <a:lnSpc>
              <a:spcPct val="100000"/>
            </a:lnSpc>
            <a:spcBef>
              <a:spcPts val="0"/>
            </a:spcBef>
            <a:spcAft>
              <a:spcPts val="0"/>
            </a:spcAft>
            <a:buClrTx/>
            <a:buSzTx/>
            <a:buFontTx/>
            <a:buNone/>
            <a:tabLst/>
            <a:defRPr/>
          </a:pPr>
          <a:endParaRPr lang="fr-FR" sz="1100" baseline="0">
            <a:ln>
              <a:noFill/>
            </a:ln>
            <a:solidFill>
              <a:sysClr val="windowText" lastClr="000000"/>
            </a:solidFill>
          </a:endParaRPr>
        </a:p>
        <a:p>
          <a:pPr eaLnBrk="1" fontAlgn="auto" latinLnBrk="0" hangingPunct="1"/>
          <a:r>
            <a:rPr lang="fr-FR" sz="1100" b="1" u="sng">
              <a:ln>
                <a:noFill/>
              </a:ln>
              <a:solidFill>
                <a:sysClr val="windowText" lastClr="000000"/>
              </a:solidFill>
              <a:effectLst/>
              <a:latin typeface="+mn-lt"/>
              <a:ea typeface="+mn-ea"/>
              <a:cs typeface="+mn-cs"/>
            </a:rPr>
            <a:t>Tab</a:t>
          </a:r>
          <a:r>
            <a:rPr lang="fr-FR" sz="1100" b="1" u="sng" baseline="0">
              <a:ln>
                <a:noFill/>
              </a:ln>
              <a:solidFill>
                <a:sysClr val="windowText" lastClr="000000"/>
              </a:solidFill>
              <a:effectLst/>
              <a:latin typeface="+mn-lt"/>
              <a:ea typeface="+mn-ea"/>
              <a:cs typeface="+mn-cs"/>
            </a:rPr>
            <a:t> process</a:t>
          </a:r>
          <a:r>
            <a:rPr lang="fr-FR" sz="1100" b="1" u="sng">
              <a:ln>
                <a:noFill/>
              </a:ln>
              <a:solidFill>
                <a:sysClr val="windowText" lastClr="000000"/>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fr-FR" sz="1100" b="0">
              <a:ln>
                <a:noFill/>
              </a:ln>
              <a:solidFill>
                <a:sysClr val="windowText" lastClr="000000"/>
              </a:solidFill>
              <a:effectLst/>
              <a:latin typeface="+mn-lt"/>
              <a:ea typeface="+mn-ea"/>
              <a:cs typeface="+mn-cs"/>
            </a:rPr>
            <a:t> - This tab will compute the CoG using</a:t>
          </a:r>
          <a:r>
            <a:rPr lang="fr-FR" sz="1100" b="0" baseline="0">
              <a:ln>
                <a:noFill/>
              </a:ln>
              <a:solidFill>
                <a:sysClr val="windowText" lastClr="000000"/>
              </a:solidFill>
              <a:effectLst/>
              <a:latin typeface="+mn-lt"/>
              <a:ea typeface="+mn-ea"/>
              <a:cs typeface="+mn-cs"/>
            </a:rPr>
            <a:t> the loading condition given by the user entries</a:t>
          </a:r>
        </a:p>
        <a:p>
          <a:pPr marL="0" marR="0" lvl="0" indent="0" defTabSz="914400" eaLnBrk="1" fontAlgn="auto" latinLnBrk="0" hangingPunct="1">
            <a:lnSpc>
              <a:spcPct val="100000"/>
            </a:lnSpc>
            <a:spcBef>
              <a:spcPts val="0"/>
            </a:spcBef>
            <a:spcAft>
              <a:spcPts val="0"/>
            </a:spcAft>
            <a:buClrTx/>
            <a:buSzTx/>
            <a:buFontTx/>
            <a:buNone/>
            <a:tabLst/>
            <a:defRPr/>
          </a:pPr>
          <a:r>
            <a:rPr lang="fr-FR" sz="1100" b="0" baseline="0">
              <a:ln>
                <a:noFill/>
              </a:ln>
              <a:solidFill>
                <a:sysClr val="windowText" lastClr="000000"/>
              </a:solidFill>
              <a:effectLst/>
              <a:latin typeface="+mn-lt"/>
              <a:ea typeface="+mn-ea"/>
              <a:cs typeface="+mn-cs"/>
            </a:rPr>
            <a:t> - It will also compute the Hydrostic state of ship using Hydrotstic tab (Draft, CoB, MCT, LCF and KMT) regarding the corresponding Displacement</a:t>
          </a:r>
        </a:p>
        <a:p>
          <a:pPr marL="0" marR="0" lvl="0" indent="0" defTabSz="914400" eaLnBrk="1" fontAlgn="auto" latinLnBrk="0" hangingPunct="1">
            <a:lnSpc>
              <a:spcPct val="100000"/>
            </a:lnSpc>
            <a:spcBef>
              <a:spcPts val="0"/>
            </a:spcBef>
            <a:spcAft>
              <a:spcPts val="0"/>
            </a:spcAft>
            <a:buClrTx/>
            <a:buSzTx/>
            <a:buFontTx/>
            <a:buNone/>
            <a:tabLst/>
            <a:defRPr/>
          </a:pPr>
          <a:r>
            <a:rPr lang="fr-FR" sz="1100" b="0" baseline="0">
              <a:ln>
                <a:noFill/>
              </a:ln>
              <a:solidFill>
                <a:sysClr val="windowText" lastClr="000000"/>
              </a:solidFill>
              <a:effectLst/>
              <a:latin typeface="+mn-lt"/>
              <a:ea typeface="+mn-ea"/>
              <a:cs typeface="+mn-cs"/>
            </a:rPr>
            <a:t> - All the computation on this tab are summarized in the header : displacement, Hmetacentric including i*ꙍ effect, trim, list.</a:t>
          </a:r>
        </a:p>
        <a:p>
          <a:pPr marL="0" marR="0" lvl="0" indent="0" defTabSz="914400" eaLnBrk="1" fontAlgn="auto" latinLnBrk="0" hangingPunct="1">
            <a:lnSpc>
              <a:spcPct val="100000"/>
            </a:lnSpc>
            <a:spcBef>
              <a:spcPts val="0"/>
            </a:spcBef>
            <a:spcAft>
              <a:spcPts val="0"/>
            </a:spcAft>
            <a:buClrTx/>
            <a:buSzTx/>
            <a:buFontTx/>
            <a:buNone/>
            <a:tabLst/>
            <a:defRPr/>
          </a:pPr>
          <a:r>
            <a:rPr lang="fr-FR" sz="1100" b="0" baseline="0">
              <a:ln>
                <a:noFill/>
              </a:ln>
              <a:solidFill>
                <a:sysClr val="windowText" lastClr="000000"/>
              </a:solidFill>
              <a:effectLst/>
              <a:latin typeface="+mn-lt"/>
              <a:ea typeface="+mn-ea"/>
              <a:cs typeface="+mn-cs"/>
            </a:rPr>
            <a:t> - In addition, the GZ curve is displayed on the upper part</a:t>
          </a:r>
          <a:endParaRPr lang="fr-FR" sz="1100" baseline="0">
            <a:ln>
              <a:noFill/>
            </a:ln>
            <a:solidFill>
              <a:sysClr val="windowText" lastClr="000000"/>
            </a:solidFill>
            <a:effectLst/>
            <a:latin typeface="+mn-lt"/>
            <a:ea typeface="+mn-ea"/>
            <a:cs typeface="+mn-cs"/>
          </a:endParaRPr>
        </a:p>
        <a:p>
          <a:r>
            <a:rPr lang="fr-FR" sz="1100" baseline="0">
              <a:ln>
                <a:noFill/>
              </a:ln>
              <a:solidFill>
                <a:sysClr val="windowText" lastClr="000000"/>
              </a:solidFill>
              <a:effectLst/>
              <a:latin typeface="+mn-lt"/>
              <a:ea typeface="+mn-ea"/>
              <a:cs typeface="+mn-cs"/>
            </a:rPr>
            <a:t> - As an helper, 6 drafts are reported in a intuitive representation, with an automic format on the right part</a:t>
          </a:r>
        </a:p>
        <a:p>
          <a:endParaRPr lang="fr-FR" sz="1100" baseline="0">
            <a:ln>
              <a:noFill/>
            </a:ln>
            <a:solidFill>
              <a:sysClr val="windowText" lastClr="000000"/>
            </a:solidFill>
            <a:effectLst/>
            <a:latin typeface="+mn-lt"/>
            <a:ea typeface="+mn-ea"/>
            <a:cs typeface="+mn-cs"/>
          </a:endParaRPr>
        </a:p>
        <a:p>
          <a:pPr eaLnBrk="1" fontAlgn="auto" latinLnBrk="0" hangingPunct="1"/>
          <a:r>
            <a:rPr lang="fr-FR" sz="1100" b="1" u="sng">
              <a:ln>
                <a:noFill/>
              </a:ln>
              <a:solidFill>
                <a:sysClr val="windowText" lastClr="000000"/>
              </a:solidFill>
              <a:effectLst/>
              <a:latin typeface="+mn-lt"/>
              <a:ea typeface="+mn-ea"/>
              <a:cs typeface="+mn-cs"/>
            </a:rPr>
            <a:t>Checks:</a:t>
          </a:r>
          <a:endParaRPr lang="fr-FR">
            <a:ln>
              <a:noFill/>
            </a:ln>
            <a:solidFill>
              <a:sysClr val="windowText" lastClr="000000"/>
            </a:solidFill>
            <a:effectLst/>
          </a:endParaRPr>
        </a:p>
        <a:p>
          <a:pPr eaLnBrk="1" fontAlgn="auto" latinLnBrk="0" hangingPunct="1"/>
          <a:r>
            <a:rPr lang="fr-FR" sz="1100" b="0">
              <a:ln>
                <a:noFill/>
              </a:ln>
              <a:solidFill>
                <a:sysClr val="windowText" lastClr="000000"/>
              </a:solidFill>
              <a:effectLst/>
              <a:latin typeface="+mn-lt"/>
              <a:ea typeface="+mn-ea"/>
              <a:cs typeface="+mn-cs"/>
            </a:rPr>
            <a:t> -  All checks are summarized in the</a:t>
          </a:r>
          <a:r>
            <a:rPr lang="fr-FR" sz="1100" b="0" baseline="0">
              <a:ln>
                <a:noFill/>
              </a:ln>
              <a:solidFill>
                <a:sysClr val="windowText" lastClr="000000"/>
              </a:solidFill>
              <a:effectLst/>
              <a:latin typeface="+mn-lt"/>
              <a:ea typeface="+mn-ea"/>
              <a:cs typeface="+mn-cs"/>
            </a:rPr>
            <a:t> header</a:t>
          </a:r>
        </a:p>
        <a:p>
          <a:pPr eaLnBrk="1" fontAlgn="auto" latinLnBrk="0" hangingPunct="1"/>
          <a:r>
            <a:rPr lang="fr-FR" sz="1100" b="0" baseline="0">
              <a:ln>
                <a:noFill/>
              </a:ln>
              <a:solidFill>
                <a:sysClr val="windowText" lastClr="000000"/>
              </a:solidFill>
              <a:effectLst/>
              <a:latin typeface="+mn-lt"/>
              <a:ea typeface="+mn-ea"/>
              <a:cs typeface="+mn-cs"/>
            </a:rPr>
            <a:t> - Stability check represent the regulation requirement. In case of red cell, you should reconsider the loading condition as you ran out of ship stability requirement. Note that some of this requirement may be adjust depending on the classification of your ship (and other shipyard dependent parameters). Refer to Cross Curve tab to check that</a:t>
          </a:r>
        </a:p>
        <a:p>
          <a:pPr eaLnBrk="1" fontAlgn="auto" latinLnBrk="0" hangingPunct="1"/>
          <a:r>
            <a:rPr lang="fr-FR" sz="1100" b="0" baseline="0">
              <a:ln>
                <a:noFill/>
              </a:ln>
              <a:solidFill>
                <a:sysClr val="windowText" lastClr="000000"/>
              </a:solidFill>
              <a:effectLst/>
              <a:latin typeface="+mn-lt"/>
              <a:ea typeface="+mn-ea"/>
              <a:cs typeface="+mn-cs"/>
            </a:rPr>
            <a:t>-  Check  on the right side are for consistency/validity of each tab data. On red cell, check the corresponding tab, error will be highlighted by its internal checks. It may appear that error comes from Recap tab, but you will surely discover it quicker by looking at the corresponding tab first.</a:t>
          </a:r>
          <a:endParaRPr lang="fr-FR" sz="1100">
            <a:ln>
              <a:noFill/>
            </a:ln>
            <a:solidFill>
              <a:sysClr val="windowText" lastClr="000000"/>
            </a:solidFill>
          </a:endParaRPr>
        </a:p>
      </xdr:txBody>
    </xdr:sp>
    <xdr:clientData/>
  </xdr:twoCellAnchor>
  <xdr:twoCellAnchor>
    <xdr:from>
      <xdr:col>0</xdr:col>
      <xdr:colOff>40821</xdr:colOff>
      <xdr:row>19</xdr:row>
      <xdr:rowOff>27214</xdr:rowOff>
    </xdr:from>
    <xdr:to>
      <xdr:col>14</xdr:col>
      <xdr:colOff>27214</xdr:colOff>
      <xdr:row>23</xdr:row>
      <xdr:rowOff>176894</xdr:rowOff>
    </xdr:to>
    <xdr:sp macro="" textlink="">
      <xdr:nvSpPr>
        <xdr:cNvPr id="6" name="Rectangle à coins arrondis 5">
          <a:extLst>
            <a:ext uri="{FF2B5EF4-FFF2-40B4-BE49-F238E27FC236}">
              <a16:creationId xmlns:a16="http://schemas.microsoft.com/office/drawing/2014/main" id="{00000000-0008-0000-0100-000006000000}"/>
            </a:ext>
          </a:extLst>
        </xdr:cNvPr>
        <xdr:cNvSpPr/>
      </xdr:nvSpPr>
      <xdr:spPr>
        <a:xfrm>
          <a:off x="40821" y="3646714"/>
          <a:ext cx="13198929" cy="911680"/>
        </a:xfrm>
        <a:prstGeom prst="roundRect">
          <a:avLst>
            <a:gd name="adj" fmla="val 3174"/>
          </a:avLst>
        </a:prstGeom>
        <a:solidFill>
          <a:srgbClr val="BFBFBF">
            <a:alpha val="56000"/>
          </a:srgbClr>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5000">
              <a:solidFill>
                <a:srgbClr val="FF0000"/>
              </a:solidFill>
            </a:rPr>
            <a:t>Not used</a:t>
          </a:r>
          <a:r>
            <a:rPr lang="fr-FR" sz="5000" baseline="0">
              <a:solidFill>
                <a:srgbClr val="FF0000"/>
              </a:solidFill>
            </a:rPr>
            <a:t> in this file</a:t>
          </a:r>
          <a:endParaRPr lang="fr-FR" sz="5000">
            <a:solidFill>
              <a:srgbClr val="FF0000"/>
            </a:solidFill>
          </a:endParaRPr>
        </a:p>
      </xdr:txBody>
    </xdr:sp>
    <xdr:clientData/>
  </xdr:twoCellAnchor>
  <xdr:twoCellAnchor>
    <xdr:from>
      <xdr:col>0</xdr:col>
      <xdr:colOff>0</xdr:colOff>
      <xdr:row>36</xdr:row>
      <xdr:rowOff>13607</xdr:rowOff>
    </xdr:from>
    <xdr:to>
      <xdr:col>14</xdr:col>
      <xdr:colOff>0</xdr:colOff>
      <xdr:row>40</xdr:row>
      <xdr:rowOff>163287</xdr:rowOff>
    </xdr:to>
    <xdr:sp macro="" textlink="">
      <xdr:nvSpPr>
        <xdr:cNvPr id="7" name="Rectangle à coins arrondis 6">
          <a:extLst>
            <a:ext uri="{FF2B5EF4-FFF2-40B4-BE49-F238E27FC236}">
              <a16:creationId xmlns:a16="http://schemas.microsoft.com/office/drawing/2014/main" id="{00000000-0008-0000-0100-000007000000}"/>
            </a:ext>
          </a:extLst>
        </xdr:cNvPr>
        <xdr:cNvSpPr/>
      </xdr:nvSpPr>
      <xdr:spPr>
        <a:xfrm>
          <a:off x="0" y="6681107"/>
          <a:ext cx="13212536" cy="911680"/>
        </a:xfrm>
        <a:prstGeom prst="roundRect">
          <a:avLst>
            <a:gd name="adj" fmla="val 3174"/>
          </a:avLst>
        </a:prstGeom>
        <a:solidFill>
          <a:srgbClr val="BFBFBF">
            <a:alpha val="56000"/>
          </a:srgbClr>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5000">
              <a:solidFill>
                <a:srgbClr val="FF0000"/>
              </a:solidFill>
            </a:rPr>
            <a:t>Not used</a:t>
          </a:r>
          <a:r>
            <a:rPr lang="fr-FR" sz="5000" baseline="0">
              <a:solidFill>
                <a:srgbClr val="FF0000"/>
              </a:solidFill>
            </a:rPr>
            <a:t> in this file</a:t>
          </a:r>
          <a:endParaRPr lang="fr-FR" sz="5000">
            <a:solidFill>
              <a:srgbClr val="FF0000"/>
            </a:solidFill>
          </a:endParaRPr>
        </a:p>
      </xdr:txBody>
    </xdr:sp>
    <xdr:clientData/>
  </xdr:twoCellAnchor>
  <xdr:twoCellAnchor editAs="oneCell">
    <xdr:from>
      <xdr:col>16</xdr:col>
      <xdr:colOff>87434</xdr:colOff>
      <xdr:row>9</xdr:row>
      <xdr:rowOff>40821</xdr:rowOff>
    </xdr:from>
    <xdr:to>
      <xdr:col>18</xdr:col>
      <xdr:colOff>929695</xdr:colOff>
      <xdr:row>45</xdr:row>
      <xdr:rowOff>182288</xdr:rowOff>
    </xdr:to>
    <xdr:pic>
      <xdr:nvPicPr>
        <xdr:cNvPr id="8" name="Imag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2"/>
        <a:stretch>
          <a:fillRect/>
        </a:stretch>
      </xdr:blipFill>
      <xdr:spPr>
        <a:xfrm rot="16200000">
          <a:off x="11990295" y="4071924"/>
          <a:ext cx="6999467" cy="236626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202409</xdr:colOff>
      <xdr:row>5</xdr:row>
      <xdr:rowOff>107148</xdr:rowOff>
    </xdr:from>
    <xdr:to>
      <xdr:col>25</xdr:col>
      <xdr:colOff>285751</xdr:colOff>
      <xdr:row>31</xdr:row>
      <xdr:rowOff>35712</xdr:rowOff>
    </xdr:to>
    <xdr:graphicFrame macro="">
      <xdr:nvGraphicFramePr>
        <xdr:cNvPr id="2" name="Graphique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202401</xdr:colOff>
      <xdr:row>31</xdr:row>
      <xdr:rowOff>83344</xdr:rowOff>
    </xdr:from>
    <xdr:to>
      <xdr:col>25</xdr:col>
      <xdr:colOff>547681</xdr:colOff>
      <xdr:row>57</xdr:row>
      <xdr:rowOff>11908</xdr:rowOff>
    </xdr:to>
    <xdr:graphicFrame macro="">
      <xdr:nvGraphicFramePr>
        <xdr:cNvPr id="3" name="Graphique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166688</xdr:colOff>
      <xdr:row>8</xdr:row>
      <xdr:rowOff>142875</xdr:rowOff>
    </xdr:from>
    <xdr:to>
      <xdr:col>37</xdr:col>
      <xdr:colOff>71437</xdr:colOff>
      <xdr:row>47</xdr:row>
      <xdr:rowOff>95249</xdr:rowOff>
    </xdr:to>
    <xdr:sp macro="" textlink="">
      <xdr:nvSpPr>
        <xdr:cNvPr id="5" name="Rectangle à coins arrondis 4">
          <a:extLst>
            <a:ext uri="{FF2B5EF4-FFF2-40B4-BE49-F238E27FC236}">
              <a16:creationId xmlns:a16="http://schemas.microsoft.com/office/drawing/2014/main" id="{00000000-0008-0000-0200-000005000000}"/>
            </a:ext>
          </a:extLst>
        </xdr:cNvPr>
        <xdr:cNvSpPr/>
      </xdr:nvSpPr>
      <xdr:spPr>
        <a:xfrm>
          <a:off x="19228594" y="2274094"/>
          <a:ext cx="7119937" cy="7381874"/>
        </a:xfrm>
        <a:prstGeom prst="roundRect">
          <a:avLst>
            <a:gd name="adj" fmla="val 3174"/>
          </a:avLst>
        </a:prstGeom>
        <a:solidFill>
          <a:srgbClr val="BFBFBF">
            <a:alpha val="56000"/>
          </a:srgbClr>
        </a:solidFill>
        <a:ln w="28575">
          <a:solidFill>
            <a:srgbClr val="0061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1" u="sng">
              <a:ln>
                <a:noFill/>
              </a:ln>
              <a:solidFill>
                <a:sysClr val="windowText" lastClr="000000"/>
              </a:solidFill>
            </a:rPr>
            <a:t>Load distrib:</a:t>
          </a:r>
        </a:p>
        <a:p>
          <a:pPr algn="l"/>
          <a:r>
            <a:rPr lang="fr-FR" sz="1100">
              <a:ln>
                <a:noFill/>
              </a:ln>
              <a:solidFill>
                <a:sysClr val="windowText" lastClr="000000"/>
              </a:solidFill>
            </a:rPr>
            <a:t>This tab used to compute structural</a:t>
          </a:r>
          <a:r>
            <a:rPr lang="fr-FR" sz="1100" baseline="0">
              <a:ln>
                <a:noFill/>
              </a:ln>
              <a:solidFill>
                <a:sysClr val="windowText" lastClr="000000"/>
              </a:solidFill>
            </a:rPr>
            <a:t> checks (ship beam), using finite element method. It gather all the repartion loads computed in each load tab and compute resulting Shearing Force and Bending Moment (and ship deflection is Inertia are available). Note that an assumption is that de ship is a rectangular extrusion of the long section. As hydrostatics data are not computed with the same assumption, some discrepency  may occur. NEVER use this tab for a ship with a shape far for rectangular transverse.</a:t>
          </a:r>
        </a:p>
        <a:p>
          <a:pPr algn="l"/>
          <a:endParaRPr lang="fr-FR" sz="1100" baseline="0">
            <a:ln>
              <a:noFill/>
            </a:ln>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1" u="sng">
              <a:ln>
                <a:noFill/>
              </a:ln>
              <a:solidFill>
                <a:sysClr val="windowText" lastClr="000000"/>
              </a:solidFill>
              <a:effectLst/>
              <a:latin typeface="+mn-lt"/>
              <a:ea typeface="+mn-ea"/>
              <a:cs typeface="+mn-cs"/>
            </a:rPr>
            <a:t>Entry Field:</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a:ln>
                <a:noFill/>
              </a:ln>
              <a:solidFill>
                <a:sysClr val="windowText" lastClr="000000"/>
              </a:solidFill>
              <a:effectLst/>
              <a:latin typeface="+mn-lt"/>
              <a:ea typeface="+mn-ea"/>
              <a:cs typeface="+mn-cs"/>
            </a:rPr>
            <a:t>No entry field</a:t>
          </a:r>
          <a:r>
            <a:rPr lang="fr-FR" sz="1100" b="0" u="none" baseline="0">
              <a:ln>
                <a:noFill/>
              </a:ln>
              <a:solidFill>
                <a:sysClr val="windowText" lastClr="000000"/>
              </a:solidFill>
              <a:effectLst/>
              <a:latin typeface="+mn-lt"/>
              <a:ea typeface="+mn-ea"/>
              <a:cs typeface="+mn-cs"/>
            </a:rPr>
            <a:t> in this tab. Computation parameters are in General data and loading data comes froms each tabs</a:t>
          </a:r>
        </a:p>
        <a:p>
          <a:pPr marL="0" marR="0" lvl="0" indent="0" algn="l" defTabSz="914400" eaLnBrk="1" fontAlgn="auto" latinLnBrk="0" hangingPunct="1">
            <a:lnSpc>
              <a:spcPct val="100000"/>
            </a:lnSpc>
            <a:spcBef>
              <a:spcPts val="0"/>
            </a:spcBef>
            <a:spcAft>
              <a:spcPts val="0"/>
            </a:spcAft>
            <a:buClrTx/>
            <a:buSzTx/>
            <a:buFontTx/>
            <a:buNone/>
            <a:tabLst/>
            <a:defRPr/>
          </a:pPr>
          <a:endParaRPr lang="fr-FR" sz="1100" baseline="0">
            <a:ln>
              <a:noFill/>
            </a:ln>
            <a:solidFill>
              <a:sysClr val="windowText" lastClr="000000"/>
            </a:solidFill>
          </a:endParaRPr>
        </a:p>
        <a:p>
          <a:pPr eaLnBrk="1" fontAlgn="auto" latinLnBrk="0" hangingPunct="1"/>
          <a:r>
            <a:rPr lang="fr-FR" sz="1100" b="1" u="sng">
              <a:ln>
                <a:noFill/>
              </a:ln>
              <a:solidFill>
                <a:sysClr val="windowText" lastClr="000000"/>
              </a:solidFill>
              <a:effectLst/>
              <a:latin typeface="+mn-lt"/>
              <a:ea typeface="+mn-ea"/>
              <a:cs typeface="+mn-cs"/>
            </a:rPr>
            <a:t>Tab</a:t>
          </a:r>
          <a:r>
            <a:rPr lang="fr-FR" sz="1100" b="1" u="sng" baseline="0">
              <a:ln>
                <a:noFill/>
              </a:ln>
              <a:solidFill>
                <a:sysClr val="windowText" lastClr="000000"/>
              </a:solidFill>
              <a:effectLst/>
              <a:latin typeface="+mn-lt"/>
              <a:ea typeface="+mn-ea"/>
              <a:cs typeface="+mn-cs"/>
            </a:rPr>
            <a:t> process</a:t>
          </a:r>
          <a:r>
            <a:rPr lang="fr-FR" sz="1100" b="1" u="sng">
              <a:ln>
                <a:noFill/>
              </a:ln>
              <a:solidFill>
                <a:sysClr val="windowText" lastClr="000000"/>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fr-FR" sz="1100" b="0">
              <a:ln>
                <a:noFill/>
              </a:ln>
              <a:solidFill>
                <a:sysClr val="windowText" lastClr="000000"/>
              </a:solidFill>
              <a:effectLst/>
              <a:latin typeface="+mn-lt"/>
              <a:ea typeface="+mn-ea"/>
              <a:cs typeface="+mn-cs"/>
            </a:rPr>
            <a:t> - This tab gather all loading</a:t>
          </a:r>
          <a:r>
            <a:rPr lang="fr-FR" sz="1100" b="0" baseline="0">
              <a:ln>
                <a:noFill/>
              </a:ln>
              <a:solidFill>
                <a:sysClr val="windowText" lastClr="000000"/>
              </a:solidFill>
              <a:effectLst/>
              <a:latin typeface="+mn-lt"/>
              <a:ea typeface="+mn-ea"/>
              <a:cs typeface="+mn-cs"/>
            </a:rPr>
            <a:t> data in each dedicated tables (alway the same column name to ease debug).</a:t>
          </a:r>
        </a:p>
        <a:p>
          <a:pPr marL="0" marR="0" lvl="0" indent="0" defTabSz="914400" eaLnBrk="1" fontAlgn="auto" latinLnBrk="0" hangingPunct="1">
            <a:lnSpc>
              <a:spcPct val="100000"/>
            </a:lnSpc>
            <a:spcBef>
              <a:spcPts val="0"/>
            </a:spcBef>
            <a:spcAft>
              <a:spcPts val="0"/>
            </a:spcAft>
            <a:buClrTx/>
            <a:buSzTx/>
            <a:buFontTx/>
            <a:buNone/>
            <a:tabLst/>
            <a:defRPr/>
          </a:pPr>
          <a:r>
            <a:rPr lang="fr-FR" sz="1100" b="0" baseline="0">
              <a:ln>
                <a:noFill/>
              </a:ln>
              <a:solidFill>
                <a:sysClr val="windowText" lastClr="000000"/>
              </a:solidFill>
              <a:effectLst/>
              <a:latin typeface="+mn-lt"/>
              <a:ea typeface="+mn-ea"/>
              <a:cs typeface="+mn-cs"/>
            </a:rPr>
            <a:t> - It compute the floating force of each element using the long section , current draft and current trim of the ship</a:t>
          </a:r>
        </a:p>
        <a:p>
          <a:pPr marL="0" marR="0" lvl="0" indent="0" defTabSz="914400" eaLnBrk="1" fontAlgn="auto" latinLnBrk="0" hangingPunct="1">
            <a:lnSpc>
              <a:spcPct val="100000"/>
            </a:lnSpc>
            <a:spcBef>
              <a:spcPts val="0"/>
            </a:spcBef>
            <a:spcAft>
              <a:spcPts val="0"/>
            </a:spcAft>
            <a:buClrTx/>
            <a:buSzTx/>
            <a:buFontTx/>
            <a:buNone/>
            <a:tabLst/>
            <a:defRPr/>
          </a:pPr>
          <a:r>
            <a:rPr lang="fr-FR" sz="1100" b="0" baseline="0">
              <a:ln>
                <a:noFill/>
              </a:ln>
              <a:solidFill>
                <a:sysClr val="windowText" lastClr="000000"/>
              </a:solidFill>
              <a:effectLst/>
              <a:latin typeface="+mn-lt"/>
              <a:ea typeface="+mn-ea"/>
              <a:cs typeface="+mn-cs"/>
            </a:rPr>
            <a:t> - It compute the load on each element</a:t>
          </a:r>
        </a:p>
        <a:p>
          <a:pPr marL="0" marR="0" lvl="0" indent="0" defTabSz="914400" eaLnBrk="1" fontAlgn="auto" latinLnBrk="0" hangingPunct="1">
            <a:lnSpc>
              <a:spcPct val="100000"/>
            </a:lnSpc>
            <a:spcBef>
              <a:spcPts val="0"/>
            </a:spcBef>
            <a:spcAft>
              <a:spcPts val="0"/>
            </a:spcAft>
            <a:buClrTx/>
            <a:buSzTx/>
            <a:buFontTx/>
            <a:buNone/>
            <a:tabLst/>
            <a:defRPr/>
          </a:pPr>
          <a:r>
            <a:rPr lang="fr-FR" sz="1100" b="0" baseline="0">
              <a:ln>
                <a:noFill/>
              </a:ln>
              <a:solidFill>
                <a:sysClr val="windowText" lastClr="000000"/>
              </a:solidFill>
              <a:effectLst/>
              <a:latin typeface="+mn-lt"/>
              <a:ea typeface="+mn-ea"/>
              <a:cs typeface="+mn-cs"/>
            </a:rPr>
            <a:t> - It then compute the resultinf Net force per elemnt</a:t>
          </a:r>
        </a:p>
        <a:p>
          <a:pPr marL="0" marR="0" lvl="0" indent="0" defTabSz="914400" eaLnBrk="1" fontAlgn="auto" latinLnBrk="0" hangingPunct="1">
            <a:lnSpc>
              <a:spcPct val="100000"/>
            </a:lnSpc>
            <a:spcBef>
              <a:spcPts val="0"/>
            </a:spcBef>
            <a:spcAft>
              <a:spcPts val="0"/>
            </a:spcAft>
            <a:buClrTx/>
            <a:buSzTx/>
            <a:buFontTx/>
            <a:buNone/>
            <a:tabLst/>
            <a:defRPr/>
          </a:pPr>
          <a:r>
            <a:rPr lang="fr-FR" sz="1100" b="0" baseline="0">
              <a:ln>
                <a:noFill/>
              </a:ln>
              <a:solidFill>
                <a:sysClr val="windowText" lastClr="000000"/>
              </a:solidFill>
              <a:effectLst/>
              <a:latin typeface="+mn-lt"/>
              <a:ea typeface="+mn-ea"/>
              <a:cs typeface="+mn-cs"/>
            </a:rPr>
            <a:t> - A double correction is computed :  first the LCG is moved according to LCF (LCF is given even keel, it should be recomputed for trimmed conditions), then a correction on the total displacement is done (finite element sampling reduction).</a:t>
          </a:r>
        </a:p>
        <a:p>
          <a:pPr marL="0" marR="0" lvl="0" indent="0" defTabSz="914400" eaLnBrk="1" fontAlgn="auto" latinLnBrk="0" hangingPunct="1">
            <a:lnSpc>
              <a:spcPct val="100000"/>
            </a:lnSpc>
            <a:spcBef>
              <a:spcPts val="0"/>
            </a:spcBef>
            <a:spcAft>
              <a:spcPts val="0"/>
            </a:spcAft>
            <a:buClrTx/>
            <a:buSzTx/>
            <a:buFontTx/>
            <a:buNone/>
            <a:tabLst/>
            <a:defRPr/>
          </a:pPr>
          <a:r>
            <a:rPr lang="fr-FR" sz="1100" b="0" baseline="0">
              <a:ln>
                <a:noFill/>
              </a:ln>
              <a:solidFill>
                <a:sysClr val="windowText" lastClr="000000"/>
              </a:solidFill>
              <a:effectLst/>
              <a:latin typeface="+mn-lt"/>
              <a:ea typeface="+mn-ea"/>
              <a:cs typeface="+mn-cs"/>
            </a:rPr>
            <a:t> - By integrating it compute the shearing Force and with another integration the Bending Moment</a:t>
          </a:r>
        </a:p>
        <a:p>
          <a:pPr marL="0" marR="0" lvl="0" indent="0" defTabSz="914400" eaLnBrk="1" fontAlgn="auto" latinLnBrk="0" hangingPunct="1">
            <a:lnSpc>
              <a:spcPct val="100000"/>
            </a:lnSpc>
            <a:spcBef>
              <a:spcPts val="0"/>
            </a:spcBef>
            <a:spcAft>
              <a:spcPts val="0"/>
            </a:spcAft>
            <a:buClrTx/>
            <a:buSzTx/>
            <a:buFontTx/>
            <a:buNone/>
            <a:tabLst/>
            <a:defRPr/>
          </a:pPr>
          <a:r>
            <a:rPr lang="fr-FR" sz="1100" b="0" baseline="0">
              <a:ln>
                <a:noFill/>
              </a:ln>
              <a:solidFill>
                <a:sysClr val="windowText" lastClr="000000"/>
              </a:solidFill>
              <a:effectLst/>
              <a:latin typeface="+mn-lt"/>
              <a:ea typeface="+mn-ea"/>
              <a:cs typeface="+mn-cs"/>
            </a:rPr>
            <a:t> - Note that integration computation use rectangular approximation, Trapeze approximation has been tested, but difference are very small compared to the grea t geometry assumption.</a:t>
          </a:r>
        </a:p>
        <a:p>
          <a:pPr marL="0" marR="0" lvl="0" indent="0" defTabSz="914400" eaLnBrk="1" fontAlgn="auto" latinLnBrk="0" hangingPunct="1">
            <a:lnSpc>
              <a:spcPct val="100000"/>
            </a:lnSpc>
            <a:spcBef>
              <a:spcPts val="0"/>
            </a:spcBef>
            <a:spcAft>
              <a:spcPts val="0"/>
            </a:spcAft>
            <a:buClrTx/>
            <a:buSzTx/>
            <a:buFontTx/>
            <a:buNone/>
            <a:tabLst/>
            <a:defRPr/>
          </a:pPr>
          <a:r>
            <a:rPr lang="fr-FR" sz="1100" b="0" baseline="0">
              <a:ln>
                <a:noFill/>
              </a:ln>
              <a:solidFill>
                <a:sysClr val="windowText" lastClr="000000"/>
              </a:solidFill>
              <a:effectLst/>
              <a:latin typeface="+mn-lt"/>
              <a:ea typeface="+mn-ea"/>
              <a:cs typeface="+mn-cs"/>
            </a:rPr>
            <a:t>- NOTE that in this tab, all datas comes from Long Section and finite element calculation. It differ from Recap tab which compute using Shipyard Hydrostatic datas. Nevertheless, difference shall be small in case of rectangular transverse ship.</a:t>
          </a:r>
          <a:endParaRPr lang="fr-FR" sz="1100" baseline="0">
            <a:ln>
              <a:noFill/>
            </a:ln>
            <a:solidFill>
              <a:sysClr val="windowText" lastClr="000000"/>
            </a:solidFill>
            <a:effectLst/>
            <a:latin typeface="+mn-lt"/>
            <a:ea typeface="+mn-ea"/>
            <a:cs typeface="+mn-cs"/>
          </a:endParaRPr>
        </a:p>
        <a:p>
          <a:endParaRPr lang="fr-FR" sz="1100" baseline="0">
            <a:ln>
              <a:noFill/>
            </a:ln>
            <a:solidFill>
              <a:sysClr val="windowText" lastClr="000000"/>
            </a:solidFill>
            <a:effectLst/>
            <a:latin typeface="+mn-lt"/>
            <a:ea typeface="+mn-ea"/>
            <a:cs typeface="+mn-cs"/>
          </a:endParaRPr>
        </a:p>
        <a:p>
          <a:pPr eaLnBrk="1" fontAlgn="auto" latinLnBrk="0" hangingPunct="1"/>
          <a:r>
            <a:rPr lang="fr-FR" sz="1100" b="1" u="sng">
              <a:ln>
                <a:noFill/>
              </a:ln>
              <a:solidFill>
                <a:sysClr val="windowText" lastClr="000000"/>
              </a:solidFill>
              <a:effectLst/>
              <a:latin typeface="+mn-lt"/>
              <a:ea typeface="+mn-ea"/>
              <a:cs typeface="+mn-cs"/>
            </a:rPr>
            <a:t>Checks:</a:t>
          </a:r>
          <a:endParaRPr lang="fr-FR">
            <a:ln>
              <a:noFill/>
            </a:ln>
            <a:solidFill>
              <a:sysClr val="windowText" lastClr="000000"/>
            </a:solidFill>
            <a:effectLst/>
          </a:endParaRPr>
        </a:p>
        <a:p>
          <a:pPr eaLnBrk="1" fontAlgn="auto" latinLnBrk="0" hangingPunct="1"/>
          <a:r>
            <a:rPr lang="fr-FR" sz="1100" b="0">
              <a:ln>
                <a:noFill/>
              </a:ln>
              <a:solidFill>
                <a:sysClr val="windowText" lastClr="000000"/>
              </a:solidFill>
              <a:effectLst/>
              <a:latin typeface="+mn-lt"/>
              <a:ea typeface="+mn-ea"/>
              <a:cs typeface="+mn-cs"/>
            </a:rPr>
            <a:t> -  Chek that Nb line is enough</a:t>
          </a:r>
          <a:r>
            <a:rPr lang="fr-FR" sz="1100" b="0" baseline="0">
              <a:ln>
                <a:noFill/>
              </a:ln>
              <a:solidFill>
                <a:sysClr val="windowText" lastClr="000000"/>
              </a:solidFill>
              <a:effectLst/>
              <a:latin typeface="+mn-lt"/>
              <a:ea typeface="+mn-ea"/>
              <a:cs typeface="+mn-cs"/>
            </a:rPr>
            <a:t> to cover the ship length (Nbline shall be &gt; Lpp/Fesize, just extend the table if it is not the case, doessn't matter if you have got many #N/A lines)</a:t>
          </a:r>
        </a:p>
        <a:p>
          <a:pPr eaLnBrk="1" fontAlgn="auto" latinLnBrk="0" hangingPunct="1"/>
          <a:r>
            <a:rPr lang="fr-FR" sz="1100" b="0" baseline="0">
              <a:ln>
                <a:noFill/>
              </a:ln>
              <a:solidFill>
                <a:sysClr val="windowText" lastClr="000000"/>
              </a:solidFill>
              <a:effectLst/>
              <a:latin typeface="+mn-lt"/>
              <a:ea typeface="+mn-ea"/>
              <a:cs typeface="+mn-cs"/>
            </a:rPr>
            <a:t> - The weight check is used to see discrepency with Recap tab. If red, most of the time a sum is wrong either in this tab or the Recap tab</a:t>
          </a:r>
        </a:p>
        <a:p>
          <a:pPr eaLnBrk="1" fontAlgn="auto" latinLnBrk="0" hangingPunct="1"/>
          <a:r>
            <a:rPr lang="fr-FR" sz="1100" b="0" baseline="0">
              <a:ln>
                <a:noFill/>
              </a:ln>
              <a:solidFill>
                <a:sysClr val="windowText" lastClr="000000"/>
              </a:solidFill>
              <a:effectLst/>
              <a:latin typeface="+mn-lt"/>
              <a:ea typeface="+mn-ea"/>
              <a:cs typeface="+mn-cs"/>
            </a:rPr>
            <a:t>-  Check for every tab the consistency of total weight. On erro r check the number of line either in this tab and in the concerned tab </a:t>
          </a:r>
          <a:endParaRPr lang="fr-FR">
            <a:ln>
              <a:noFill/>
            </a:ln>
            <a:solidFill>
              <a:sysClr val="windowText" lastClr="000000"/>
            </a:solidFill>
            <a:effectLst/>
          </a:endParaRPr>
        </a:p>
        <a:p>
          <a:pPr eaLnBrk="1" fontAlgn="auto" latinLnBrk="0" hangingPunct="1"/>
          <a:r>
            <a:rPr lang="fr-FR" sz="1100" b="0">
              <a:ln>
                <a:noFill/>
              </a:ln>
              <a:solidFill>
                <a:sysClr val="windowText" lastClr="000000"/>
              </a:solidFill>
              <a:effectLst/>
              <a:latin typeface="+mn-lt"/>
              <a:ea typeface="+mn-ea"/>
              <a:cs typeface="+mn-cs"/>
            </a:rPr>
            <a:t> - Nb lines For Long section</a:t>
          </a:r>
          <a:r>
            <a:rPr lang="fr-FR" sz="1100" b="0" baseline="0">
              <a:ln>
                <a:noFill/>
              </a:ln>
              <a:solidFill>
                <a:sysClr val="windowText" lastClr="000000"/>
              </a:solidFill>
              <a:effectLst/>
              <a:latin typeface="+mn-lt"/>
              <a:ea typeface="+mn-ea"/>
              <a:cs typeface="+mn-cs"/>
            </a:rPr>
            <a:t> check that long section cover the length of the ship. On error check Long section tab</a:t>
          </a:r>
          <a:r>
            <a:rPr lang="fr-FR" sz="1100" b="0" i="0" baseline="0">
              <a:solidFill>
                <a:sysClr val="windowText" lastClr="000000"/>
              </a:solidFill>
              <a:effectLst/>
              <a:latin typeface="+mn-lt"/>
              <a:ea typeface="+mn-ea"/>
              <a:cs typeface="+mn-cs"/>
            </a:rPr>
            <a:t>.</a:t>
          </a:r>
        </a:p>
        <a:p>
          <a:pPr eaLnBrk="1" fontAlgn="auto" latinLnBrk="0" hangingPunct="1"/>
          <a:r>
            <a:rPr lang="fr-FR" sz="1100" b="0" i="0" baseline="0">
              <a:ln>
                <a:noFill/>
              </a:ln>
              <a:solidFill>
                <a:sysClr val="windowText" lastClr="000000"/>
              </a:solidFill>
              <a:effectLst/>
              <a:latin typeface="+mn-lt"/>
              <a:ea typeface="+mn-ea"/>
              <a:cs typeface="+mn-cs"/>
            </a:rPr>
            <a:t> - L elt check the length of the finite element model</a:t>
          </a:r>
        </a:p>
        <a:p>
          <a:pPr eaLnBrk="1" fontAlgn="auto" latinLnBrk="0" hangingPunct="1"/>
          <a:r>
            <a:rPr lang="fr-FR" sz="1100" b="0" i="0" baseline="0">
              <a:ln>
                <a:noFill/>
              </a:ln>
              <a:solidFill>
                <a:sysClr val="windowText" lastClr="000000"/>
              </a:solidFill>
              <a:effectLst/>
              <a:latin typeface="+mn-lt"/>
              <a:ea typeface="+mn-ea"/>
              <a:cs typeface="+mn-cs"/>
            </a:rPr>
            <a:t> - </a:t>
          </a:r>
          <a:r>
            <a:rPr lang="el-GR" sz="1100" b="0" i="0" baseline="0">
              <a:ln>
                <a:noFill/>
              </a:ln>
              <a:solidFill>
                <a:sysClr val="windowText" lastClr="000000"/>
              </a:solidFill>
              <a:effectLst/>
              <a:latin typeface="+mn-lt"/>
              <a:ea typeface="+mn-ea"/>
              <a:cs typeface="+mn-cs"/>
            </a:rPr>
            <a:t>Δ</a:t>
          </a:r>
          <a:r>
            <a:rPr lang="fr-FR" sz="1100" b="0" i="0" baseline="0">
              <a:ln>
                <a:noFill/>
              </a:ln>
              <a:solidFill>
                <a:sysClr val="windowText" lastClr="000000"/>
              </a:solidFill>
              <a:effectLst/>
              <a:latin typeface="+mn-lt"/>
              <a:ea typeface="+mn-ea"/>
              <a:cs typeface="+mn-cs"/>
            </a:rPr>
            <a:t>trim check the trim considered in the finite element model and the Recap tab trim</a:t>
          </a:r>
        </a:p>
        <a:p>
          <a:pPr eaLnBrk="1" fontAlgn="auto" latinLnBrk="0" hangingPunct="1"/>
          <a:r>
            <a:rPr lang="fr-FR" sz="1100" b="0" i="0" baseline="0">
              <a:ln>
                <a:noFill/>
              </a:ln>
              <a:solidFill>
                <a:sysClr val="windowText" lastClr="000000"/>
              </a:solidFill>
              <a:effectLst/>
              <a:latin typeface="+mn-lt"/>
              <a:ea typeface="+mn-ea"/>
              <a:cs typeface="+mn-cs"/>
            </a:rPr>
            <a:t>- Sheet long section check the validity of Long_section sheet</a:t>
          </a:r>
        </a:p>
        <a:p>
          <a:pPr eaLnBrk="1" fontAlgn="auto" latinLnBrk="0" hangingPunct="1"/>
          <a:r>
            <a:rPr lang="fr-FR" sz="1100" b="0" i="0" baseline="0">
              <a:ln>
                <a:noFill/>
              </a:ln>
              <a:solidFill>
                <a:sysClr val="windowText" lastClr="000000"/>
              </a:solidFill>
              <a:effectLst/>
              <a:latin typeface="+mn-lt"/>
              <a:ea typeface="+mn-ea"/>
              <a:cs typeface="+mn-cs"/>
            </a:rPr>
            <a:t>- Corretion check taht the automatical correction factor is in the range +/-10%</a:t>
          </a:r>
        </a:p>
        <a:p>
          <a:pPr eaLnBrk="1" fontAlgn="auto" latinLnBrk="0" hangingPunct="1"/>
          <a:r>
            <a:rPr lang="fr-FR" sz="1100" b="0" i="0" baseline="0">
              <a:ln>
                <a:noFill/>
              </a:ln>
              <a:solidFill>
                <a:sysClr val="windowText" lastClr="000000"/>
              </a:solidFill>
              <a:effectLst/>
              <a:latin typeface="+mn-lt"/>
              <a:ea typeface="+mn-ea"/>
              <a:cs typeface="+mn-cs"/>
            </a:rPr>
            <a:t>- Displacement check the finite element model displacement vs Recap displacement</a:t>
          </a:r>
        </a:p>
        <a:p>
          <a:pPr eaLnBrk="1" fontAlgn="auto" latinLnBrk="0" hangingPunct="1"/>
          <a:r>
            <a:rPr lang="fr-FR" sz="1100" b="0" i="0" baseline="0">
              <a:ln>
                <a:noFill/>
              </a:ln>
              <a:solidFill>
                <a:sysClr val="windowText" lastClr="000000"/>
              </a:solidFill>
              <a:effectLst/>
              <a:latin typeface="+mn-lt"/>
              <a:ea typeface="+mn-ea"/>
              <a:cs typeface="+mn-cs"/>
            </a:rPr>
            <a:t>- MeC check that the ship equilibrium is granted (loads - floating)</a:t>
          </a:r>
        </a:p>
        <a:p>
          <a:pPr eaLnBrk="1" fontAlgn="auto" latinLnBrk="0" hangingPunct="1"/>
          <a:r>
            <a:rPr lang="fr-FR" sz="1100" b="0" i="0" baseline="0">
              <a:ln>
                <a:noFill/>
              </a:ln>
              <a:solidFill>
                <a:sysClr val="windowText" lastClr="000000"/>
              </a:solidFill>
              <a:effectLst/>
              <a:latin typeface="+mn-lt"/>
              <a:ea typeface="+mn-ea"/>
              <a:cs typeface="+mn-cs"/>
            </a:rPr>
            <a:t>- On the upper left part, a summary of tabs error is reported. To check which tab is on error, goto Recap tab</a:t>
          </a:r>
        </a:p>
        <a:p>
          <a:pPr eaLnBrk="1" fontAlgn="auto" latinLnBrk="0" hangingPunct="1"/>
          <a:endParaRPr lang="fr-FR" sz="1100" b="0" i="0" baseline="0">
            <a:ln>
              <a:noFill/>
            </a:ln>
            <a:solidFill>
              <a:sysClr val="windowText" lastClr="000000"/>
            </a:solidFill>
            <a:effectLst/>
            <a:latin typeface="+mn-lt"/>
            <a:ea typeface="+mn-ea"/>
            <a:cs typeface="+mn-cs"/>
          </a:endParaRPr>
        </a:p>
        <a:p>
          <a:pPr eaLnBrk="1" fontAlgn="auto" latinLnBrk="0" hangingPunct="1"/>
          <a:r>
            <a:rPr lang="fr-FR" sz="1100" b="0" i="0" baseline="0">
              <a:ln>
                <a:noFill/>
              </a:ln>
              <a:solidFill>
                <a:sysClr val="windowText" lastClr="000000"/>
              </a:solidFill>
              <a:effectLst/>
              <a:latin typeface="+mn-lt"/>
              <a:ea typeface="+mn-ea"/>
              <a:cs typeface="+mn-cs"/>
            </a:rPr>
            <a:t>- On the plotted chart, check that Bending Moment and Shear Force are equal to 0 at each end of the ship (aft and fore). It may appear that Bending Moement is not equal to 0 at fore end, this is due to computation assumption. Take these results with care when it appear</a:t>
          </a:r>
        </a:p>
        <a:p>
          <a:pPr eaLnBrk="1" fontAlgn="auto" latinLnBrk="0" hangingPunct="1"/>
          <a:endParaRPr lang="fr-FR" sz="1100" b="0" i="0" baseline="0">
            <a:ln>
              <a:noFill/>
            </a:ln>
            <a:solidFill>
              <a:sysClr val="windowText" lastClr="000000"/>
            </a:solidFill>
            <a:effectLst/>
            <a:latin typeface="+mn-lt"/>
            <a:ea typeface="+mn-ea"/>
            <a:cs typeface="+mn-cs"/>
          </a:endParaRPr>
        </a:p>
        <a:p>
          <a:pPr eaLnBrk="1" fontAlgn="auto" latinLnBrk="0" hangingPunct="1"/>
          <a:r>
            <a:rPr lang="fr-FR" sz="1100" b="0" i="0" baseline="0">
              <a:ln>
                <a:noFill/>
              </a:ln>
              <a:solidFill>
                <a:sysClr val="windowText" lastClr="000000"/>
              </a:solidFill>
              <a:effectLst/>
              <a:latin typeface="+mn-lt"/>
              <a:ea typeface="+mn-ea"/>
              <a:cs typeface="+mn-cs"/>
            </a:rPr>
            <a:t>-  You then have to manually check the corresponding Max/Min Shear Force and Bending Moments). The max values shall be determined by the shipyard, has an  advise a rule of thumb has been detailled here, but max allowable value clearly depend on ship structure.</a:t>
          </a:r>
          <a:endParaRPr lang="fr-FR" sz="1100" i="0" baseline="0">
            <a:ln>
              <a:noFill/>
            </a:ln>
            <a:solidFill>
              <a:sysClr val="windowText" lastClr="000000"/>
            </a:solidFill>
            <a:effectLst/>
            <a:latin typeface="+mn-lt"/>
            <a:ea typeface="+mn-ea"/>
            <a:cs typeface="+mn-cs"/>
          </a:endParaRPr>
        </a:p>
        <a:p>
          <a:r>
            <a:rPr lang="fr-FR" sz="1100" i="0" baseline="0">
              <a:ln>
                <a:noFill/>
              </a:ln>
              <a:solidFill>
                <a:sysClr val="windowText" lastClr="000000"/>
              </a:solidFill>
              <a:effectLst/>
              <a:latin typeface="+mn-lt"/>
              <a:ea typeface="+mn-ea"/>
              <a:cs typeface="+mn-cs"/>
            </a:rPr>
            <a:t> </a:t>
          </a:r>
        </a:p>
        <a:p>
          <a:endParaRPr lang="fr-FR">
            <a:ln>
              <a:noFill/>
            </a:ln>
            <a:solidFill>
              <a:sysClr val="windowText" lastClr="000000"/>
            </a:solidFill>
            <a:effectLst/>
          </a:endParaRPr>
        </a:p>
        <a:p>
          <a:pPr algn="l"/>
          <a:endParaRPr lang="fr-FR" sz="1100" baseline="0">
            <a:ln>
              <a:noFill/>
            </a:ln>
            <a:solidFill>
              <a:sysClr val="windowText" lastClr="000000"/>
            </a:solidFill>
          </a:endParaRPr>
        </a:p>
        <a:p>
          <a:pPr algn="l"/>
          <a:endParaRPr lang="fr-FR" sz="1100">
            <a:ln>
              <a:noFill/>
            </a:ln>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59531</xdr:colOff>
      <xdr:row>23</xdr:row>
      <xdr:rowOff>166688</xdr:rowOff>
    </xdr:from>
    <xdr:to>
      <xdr:col>8</xdr:col>
      <xdr:colOff>409575</xdr:colOff>
      <xdr:row>45</xdr:row>
      <xdr:rowOff>59534</xdr:rowOff>
    </xdr:to>
    <xdr:sp macro="" textlink="">
      <xdr:nvSpPr>
        <xdr:cNvPr id="3" name="Rectangle à coins arrondis 2">
          <a:extLst>
            <a:ext uri="{FF2B5EF4-FFF2-40B4-BE49-F238E27FC236}">
              <a16:creationId xmlns:a16="http://schemas.microsoft.com/office/drawing/2014/main" id="{00000000-0008-0000-0300-000003000000}"/>
            </a:ext>
          </a:extLst>
        </xdr:cNvPr>
        <xdr:cNvSpPr/>
      </xdr:nvSpPr>
      <xdr:spPr>
        <a:xfrm>
          <a:off x="345281" y="4953001"/>
          <a:ext cx="7839075" cy="4083846"/>
        </a:xfrm>
        <a:prstGeom prst="roundRect">
          <a:avLst>
            <a:gd name="adj" fmla="val 3174"/>
          </a:avLst>
        </a:prstGeom>
        <a:solidFill>
          <a:srgbClr val="BFBFBF">
            <a:alpha val="56000"/>
          </a:srgbClr>
        </a:solidFill>
        <a:ln w="28575">
          <a:solidFill>
            <a:srgbClr val="0061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1" u="sng">
              <a:solidFill>
                <a:sysClr val="windowText" lastClr="000000"/>
              </a:solidFill>
            </a:rPr>
            <a:t>General Data:</a:t>
          </a:r>
        </a:p>
        <a:p>
          <a:pPr algn="l"/>
          <a:r>
            <a:rPr lang="fr-FR" sz="1100">
              <a:solidFill>
                <a:sysClr val="windowText" lastClr="000000"/>
              </a:solidFill>
            </a:rPr>
            <a:t>-</a:t>
          </a:r>
          <a:r>
            <a:rPr lang="fr-FR" sz="1100" baseline="0">
              <a:solidFill>
                <a:sysClr val="windowText" lastClr="000000"/>
              </a:solidFill>
            </a:rPr>
            <a:t>  1st thing is to fill the ship name. It will be displayed in the Recap tab.</a:t>
          </a:r>
        </a:p>
        <a:p>
          <a:pPr algn="l"/>
          <a:r>
            <a:rPr lang="fr-FR" sz="1100" baseline="0">
              <a:solidFill>
                <a:sysClr val="windowText" lastClr="000000"/>
              </a:solidFill>
            </a:rPr>
            <a:t>-  2nd thing is to put a screen shot of the main specification of the vessel</a:t>
          </a:r>
        </a:p>
        <a:p>
          <a:pPr algn="l"/>
          <a:r>
            <a:rPr lang="fr-FR" sz="1100" baseline="0">
              <a:solidFill>
                <a:sysClr val="windowText" lastClr="000000"/>
              </a:solidFill>
            </a:rPr>
            <a:t>-  Then fill all the fields, except min freeboard which is calculated here to check the consistency.</a:t>
          </a:r>
        </a:p>
        <a:p>
          <a:pPr algn="l"/>
          <a:endParaRPr lang="fr-FR" sz="1100" baseline="0">
            <a:solidFill>
              <a:sysClr val="windowText" lastClr="000000"/>
            </a:solidFill>
          </a:endParaRPr>
        </a:p>
        <a:p>
          <a:pPr algn="l"/>
          <a:r>
            <a:rPr lang="fr-FR" sz="1100" baseline="0">
              <a:solidFill>
                <a:sysClr val="windowText" lastClr="000000"/>
              </a:solidFill>
            </a:rPr>
            <a:t>- Note that only Lpp is taken in account in calculation, Loa is just for reminder</a:t>
          </a:r>
        </a:p>
        <a:p>
          <a:pPr algn="l"/>
          <a:r>
            <a:rPr lang="fr-FR" sz="1100" baseline="0">
              <a:solidFill>
                <a:sysClr val="windowText" lastClr="000000"/>
              </a:solidFill>
            </a:rPr>
            <a:t>- you can compute max draft from max displacement or opposite (using Hydrostatic tables). Depending on the one you have, you have to compute the other and fill both fields</a:t>
          </a:r>
        </a:p>
        <a:p>
          <a:pPr algn="l"/>
          <a:r>
            <a:rPr lang="fr-FR" sz="1100" baseline="0">
              <a:solidFill>
                <a:sysClr val="windowText" lastClr="000000"/>
              </a:solidFill>
            </a:rPr>
            <a:t>- Moulded depth is from baseline, bottom plate thickness is neglected</a:t>
          </a:r>
        </a:p>
        <a:p>
          <a:pPr algn="l"/>
          <a:endParaRPr lang="fr-FR" sz="1100" baseline="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1" u="sng">
              <a:solidFill>
                <a:sysClr val="windowText" lastClr="000000"/>
              </a:solidFill>
              <a:effectLst/>
              <a:latin typeface="+mn-lt"/>
              <a:ea typeface="+mn-ea"/>
              <a:cs typeface="+mn-cs"/>
            </a:rPr>
            <a:t>Computation parameters:</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a:solidFill>
                <a:sysClr val="windowText" lastClr="000000"/>
              </a:solidFill>
              <a:effectLst/>
              <a:latin typeface="+mn-lt"/>
              <a:ea typeface="+mn-ea"/>
              <a:cs typeface="+mn-cs"/>
            </a:rPr>
            <a:t> - Finite Element</a:t>
          </a:r>
          <a:r>
            <a:rPr lang="fr-FR" sz="1100" b="0" u="none" baseline="0">
              <a:solidFill>
                <a:sysClr val="windowText" lastClr="000000"/>
              </a:solidFill>
              <a:effectLst/>
              <a:latin typeface="+mn-lt"/>
              <a:ea typeface="+mn-ea"/>
              <a:cs typeface="+mn-cs"/>
            </a:rPr>
            <a:t> size shall be typically around Lpp/100.</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solidFill>
                <a:sysClr val="windowText" lastClr="000000"/>
              </a:solidFill>
              <a:effectLst/>
              <a:latin typeface="+mn-lt"/>
              <a:ea typeface="+mn-ea"/>
              <a:cs typeface="+mn-cs"/>
            </a:rPr>
            <a:t> - Computation tolerance is to avoid trailing 0 on computation. 0,001 is a good value</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solidFill>
                <a:sysClr val="windowText" lastClr="000000"/>
              </a:solidFill>
              <a:effectLst/>
              <a:latin typeface="+mn-lt"/>
              <a:ea typeface="+mn-ea"/>
              <a:cs typeface="+mn-cs"/>
            </a:rPr>
            <a:t> - Ballast calculation step is the delta between 2 levels. As results are linear interpolated, 0,1m is oftenenough</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solidFill>
                <a:sysClr val="windowText" lastClr="000000"/>
              </a:solidFill>
              <a:effectLst/>
              <a:latin typeface="+mn-lt"/>
              <a:ea typeface="+mn-ea"/>
              <a:cs typeface="+mn-cs"/>
            </a:rPr>
            <a:t> - Sea water density is not used in ballast computation (as ballast could be filled with other liquid)</a:t>
          </a:r>
          <a:endParaRPr lang="fr-FR" b="0" u="none">
            <a:solidFill>
              <a:sysClr val="windowText" lastClr="000000"/>
            </a:solidFill>
            <a:effectLst/>
          </a:endParaRPr>
        </a:p>
        <a:p>
          <a:pPr algn="l"/>
          <a:endParaRPr lang="fr-FR" sz="1100" baseline="0">
            <a:solidFill>
              <a:sysClr val="windowText" lastClr="000000"/>
            </a:solidFill>
          </a:endParaRPr>
        </a:p>
        <a:p>
          <a:endParaRPr lang="fr-FR">
            <a:solidFill>
              <a:sysClr val="windowText" lastClr="000000"/>
            </a:solidFill>
            <a:effectLst/>
          </a:endParaRPr>
        </a:p>
        <a:p>
          <a:endParaRPr lang="fr-FR" sz="1100" baseline="0">
            <a:solidFill>
              <a:sysClr val="windowText" lastClr="000000"/>
            </a:solidFill>
            <a:effectLst/>
            <a:latin typeface="+mn-lt"/>
            <a:ea typeface="+mn-ea"/>
            <a:cs typeface="+mn-cs"/>
          </a:endParaRPr>
        </a:p>
        <a:p>
          <a:endParaRPr lang="fr-FR">
            <a:solidFill>
              <a:sysClr val="windowText" lastClr="000000"/>
            </a:solidFill>
            <a:effectLst/>
          </a:endParaRPr>
        </a:p>
        <a:p>
          <a:pPr algn="l"/>
          <a:endParaRPr lang="fr-FR" sz="1100" baseline="0">
            <a:solidFill>
              <a:sysClr val="windowText" lastClr="000000"/>
            </a:solidFill>
          </a:endParaRPr>
        </a:p>
        <a:p>
          <a:pPr algn="l"/>
          <a:endParaRPr lang="fr-FR"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11</xdr:col>
      <xdr:colOff>26412</xdr:colOff>
      <xdr:row>5</xdr:row>
      <xdr:rowOff>157681</xdr:rowOff>
    </xdr:from>
    <xdr:to>
      <xdr:col>22</xdr:col>
      <xdr:colOff>93648</xdr:colOff>
      <xdr:row>34</xdr:row>
      <xdr:rowOff>68035</xdr:rowOff>
    </xdr:to>
    <xdr:sp macro="" textlink="">
      <xdr:nvSpPr>
        <xdr:cNvPr id="2" name="Rectangle à coins arrondis 1">
          <a:extLst>
            <a:ext uri="{FF2B5EF4-FFF2-40B4-BE49-F238E27FC236}">
              <a16:creationId xmlns:a16="http://schemas.microsoft.com/office/drawing/2014/main" id="{00000000-0008-0000-0400-000002000000}"/>
            </a:ext>
          </a:extLst>
        </xdr:cNvPr>
        <xdr:cNvSpPr/>
      </xdr:nvSpPr>
      <xdr:spPr>
        <a:xfrm>
          <a:off x="10612769" y="1123788"/>
          <a:ext cx="8449236" cy="5516497"/>
        </a:xfrm>
        <a:prstGeom prst="roundRect">
          <a:avLst>
            <a:gd name="adj" fmla="val 3174"/>
          </a:avLst>
        </a:prstGeom>
        <a:solidFill>
          <a:srgbClr val="BFBFBF">
            <a:alpha val="56000"/>
          </a:srgbClr>
        </a:solidFill>
        <a:ln w="28575">
          <a:solidFill>
            <a:srgbClr val="0061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1" u="sng">
              <a:solidFill>
                <a:sysClr val="windowText" lastClr="000000"/>
              </a:solidFill>
            </a:rPr>
            <a:t>Hydrostatic:</a:t>
          </a:r>
        </a:p>
        <a:p>
          <a:pPr algn="l"/>
          <a:r>
            <a:rPr lang="fr-FR" sz="1100">
              <a:solidFill>
                <a:sysClr val="windowText" lastClr="000000"/>
              </a:solidFill>
            </a:rPr>
            <a:t>Hydrostatic tables shall comes</a:t>
          </a:r>
          <a:r>
            <a:rPr lang="fr-FR" sz="1100" baseline="0">
              <a:solidFill>
                <a:sysClr val="windowText" lastClr="000000"/>
              </a:solidFill>
            </a:rPr>
            <a:t> from the shipyard or ship owner as their are required by regulation. They can't be easily computed, even for simple hull shapes. </a:t>
          </a:r>
        </a:p>
        <a:p>
          <a:pPr algn="l"/>
          <a:endParaRPr lang="fr-FR" sz="1100" baseline="0">
            <a:solidFill>
              <a:sysClr val="windowText" lastClr="000000"/>
            </a:solidFill>
          </a:endParaRPr>
        </a:p>
        <a:p>
          <a:pPr algn="l"/>
          <a:r>
            <a:rPr lang="fr-FR" sz="1100" baseline="0">
              <a:solidFill>
                <a:sysClr val="windowText" lastClr="000000"/>
              </a:solidFill>
            </a:rPr>
            <a:t>Most of time you will have to use an OCR on PDF file (only on the hydrostatic sheets !) + manual correction as the documents are often scanned with classification society stamp. To ease the manual checks, you could insert a chart, putting Draught in absisse and the others values in ordinnates. That done you could manuallly see the consistency errors to correct it. Note that the table shall be for trim = 0m .</a:t>
          </a:r>
        </a:p>
        <a:p>
          <a:pPr algn="l"/>
          <a:endParaRPr lang="fr-FR" sz="1100" baseline="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1" u="sng">
              <a:solidFill>
                <a:sysClr val="windowText" lastClr="000000"/>
              </a:solidFill>
              <a:effectLst/>
              <a:latin typeface="+mn-lt"/>
              <a:ea typeface="+mn-ea"/>
              <a:cs typeface="+mn-cs"/>
            </a:rPr>
            <a:t>Data field:</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a:solidFill>
                <a:sysClr val="windowText" lastClr="000000"/>
              </a:solidFill>
              <a:effectLst/>
              <a:latin typeface="+mn-lt"/>
              <a:ea typeface="+mn-ea"/>
              <a:cs typeface="+mn-cs"/>
            </a:rPr>
            <a:t>Reminder</a:t>
          </a:r>
          <a:r>
            <a:rPr lang="fr-FR" sz="1100" b="0" u="none" baseline="0">
              <a:solidFill>
                <a:sysClr val="windowText" lastClr="000000"/>
              </a:solidFill>
              <a:effectLst/>
              <a:latin typeface="+mn-lt"/>
              <a:ea typeface="+mn-ea"/>
              <a:cs typeface="+mn-cs"/>
            </a:rPr>
            <a:t> for naval computation</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solidFill>
                <a:sysClr val="windowText" lastClr="000000"/>
              </a:solidFill>
              <a:effectLst/>
              <a:latin typeface="+mn-lt"/>
              <a:ea typeface="+mn-ea"/>
              <a:cs typeface="+mn-cs"/>
            </a:rPr>
            <a:t> - Draught: draft of the vessel in that loading condition</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solidFill>
                <a:sysClr val="windowText" lastClr="000000"/>
              </a:solidFill>
              <a:effectLst/>
              <a:latin typeface="+mn-lt"/>
              <a:ea typeface="+mn-ea"/>
              <a:cs typeface="+mn-cs"/>
            </a:rPr>
            <a:t> - Displacement: weight of the vessel (everything on board is counted), if it was out of water. It is equal to the volume of water displaced by the ship in this loading condition (displacement are computed for several water density, you can compute is by proportinal calculation)</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solidFill>
                <a:sysClr val="windowText" lastClr="000000"/>
              </a:solidFill>
              <a:effectLst/>
              <a:latin typeface="+mn-lt"/>
              <a:ea typeface="+mn-ea"/>
              <a:cs typeface="+mn-cs"/>
            </a:rPr>
            <a:t>- Immersion is not required but could be usefully for quick computation : it is the required additional load to sink the vessel 1cm more</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solidFill>
                <a:sysClr val="windowText" lastClr="000000"/>
              </a:solidFill>
              <a:effectLst/>
              <a:latin typeface="+mn-lt"/>
              <a:ea typeface="+mn-ea"/>
              <a:cs typeface="+mn-cs"/>
            </a:rPr>
            <a:t>- M CT: moment to change trim represent the required moment to trim the ship 1 cm</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baseline="0">
              <a:solidFill>
                <a:sysClr val="windowText" lastClr="000000"/>
              </a:solidFill>
              <a:effectLst/>
              <a:latin typeface="+mn-lt"/>
              <a:ea typeface="+mn-ea"/>
              <a:cs typeface="+mn-cs"/>
            </a:rPr>
            <a:t>- LCB: Longitudinal Center of Buoyancy. It is the X (from APP) of the center of buoyancy</a:t>
          </a:r>
          <a:endParaRPr lang="fr-FR">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baseline="0">
              <a:solidFill>
                <a:sysClr val="windowText" lastClr="000000"/>
              </a:solidFill>
              <a:effectLst/>
              <a:latin typeface="+mn-lt"/>
              <a:ea typeface="+mn-ea"/>
              <a:cs typeface="+mn-cs"/>
            </a:rPr>
            <a:t>- TCB: Transverse Center of Buoyancy. It is the Y (from baseline) of the center of buyancy</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baseline="0">
              <a:solidFill>
                <a:sysClr val="windowText" lastClr="000000"/>
              </a:solidFill>
              <a:effectLst/>
              <a:latin typeface="+mn-lt"/>
              <a:ea typeface="+mn-ea"/>
              <a:cs typeface="+mn-cs"/>
            </a:rPr>
            <a:t>- LCF: LongitudinalCenter of Flottation. it is the X (from APP) of the center of flottation (longitudinalcenter of the waterplane)</a:t>
          </a:r>
          <a:endParaRPr lang="fr-FR">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baseline="0">
              <a:solidFill>
                <a:sysClr val="windowText" lastClr="000000"/>
              </a:solidFill>
              <a:effectLst/>
              <a:latin typeface="+mn-lt"/>
              <a:ea typeface="+mn-ea"/>
              <a:cs typeface="+mn-cs"/>
            </a:rPr>
            <a:t>- KM tranv : Distance Keel to Metacentre (always positive) for transversal stability</a:t>
          </a:r>
          <a:endParaRPr lang="fr-FR" b="0" u="none">
            <a:solidFill>
              <a:sysClr val="windowText" lastClr="000000"/>
            </a:solidFill>
            <a:effectLst/>
          </a:endParaRPr>
        </a:p>
        <a:p>
          <a:pPr algn="l"/>
          <a:endParaRPr lang="fr-FR" sz="1100" baseline="0">
            <a:solidFill>
              <a:sysClr val="windowText" lastClr="000000"/>
            </a:solidFill>
          </a:endParaRPr>
        </a:p>
        <a:p>
          <a:pPr eaLnBrk="1" fontAlgn="auto" latinLnBrk="0" hangingPunct="1"/>
          <a:r>
            <a:rPr lang="fr-FR" sz="1100" b="1" u="sng">
              <a:solidFill>
                <a:sysClr val="windowText" lastClr="000000"/>
              </a:solidFill>
              <a:effectLst/>
              <a:latin typeface="+mn-lt"/>
              <a:ea typeface="+mn-ea"/>
              <a:cs typeface="+mn-cs"/>
            </a:rPr>
            <a:t>Tab</a:t>
          </a:r>
          <a:r>
            <a:rPr lang="fr-FR" sz="1100" b="1" u="sng" baseline="0">
              <a:solidFill>
                <a:sysClr val="windowText" lastClr="000000"/>
              </a:solidFill>
              <a:effectLst/>
              <a:latin typeface="+mn-lt"/>
              <a:ea typeface="+mn-ea"/>
              <a:cs typeface="+mn-cs"/>
            </a:rPr>
            <a:t> process</a:t>
          </a:r>
          <a:r>
            <a:rPr lang="fr-FR" sz="1100" b="1" u="sng">
              <a:solidFill>
                <a:sysClr val="windowText" lastClr="000000"/>
              </a:solidFill>
              <a:effectLst/>
              <a:latin typeface="+mn-lt"/>
              <a:ea typeface="+mn-ea"/>
              <a:cs typeface="+mn-cs"/>
            </a:rPr>
            <a:t>:</a:t>
          </a:r>
          <a:endParaRPr lang="fr-FR">
            <a:solidFill>
              <a:sysClr val="windowText" lastClr="000000"/>
            </a:solidFill>
            <a:effectLst/>
          </a:endParaRPr>
        </a:p>
        <a:p>
          <a:pPr eaLnBrk="1" fontAlgn="auto" latinLnBrk="0" hangingPunct="1"/>
          <a:r>
            <a:rPr lang="fr-FR" sz="1100" b="0">
              <a:solidFill>
                <a:sysClr val="windowText" lastClr="000000"/>
              </a:solidFill>
              <a:effectLst/>
              <a:latin typeface="+mn-lt"/>
              <a:ea typeface="+mn-ea"/>
              <a:cs typeface="+mn-cs"/>
            </a:rPr>
            <a:t> -  Datas</a:t>
          </a:r>
          <a:r>
            <a:rPr lang="fr-FR" sz="1100" b="0" baseline="0">
              <a:solidFill>
                <a:sysClr val="windowText" lastClr="000000"/>
              </a:solidFill>
              <a:effectLst/>
              <a:latin typeface="+mn-lt"/>
              <a:ea typeface="+mn-ea"/>
              <a:cs typeface="+mn-cs"/>
            </a:rPr>
            <a:t> are inside a table, be sure that the table is correctly sized</a:t>
          </a:r>
          <a:endParaRPr lang="fr-FR" sz="1100" b="0">
            <a:solidFill>
              <a:sysClr val="windowText" lastClr="000000"/>
            </a:solidFill>
            <a:effectLst/>
            <a:latin typeface="+mn-lt"/>
            <a:ea typeface="+mn-ea"/>
            <a:cs typeface="+mn-cs"/>
          </a:endParaRPr>
        </a:p>
        <a:p>
          <a:pPr eaLnBrk="1" fontAlgn="auto" latinLnBrk="0" hangingPunct="1"/>
          <a:r>
            <a:rPr lang="fr-FR" sz="1100" b="0">
              <a:solidFill>
                <a:sysClr val="windowText" lastClr="000000"/>
              </a:solidFill>
              <a:effectLst/>
              <a:latin typeface="+mn-lt"/>
              <a:ea typeface="+mn-ea"/>
              <a:cs typeface="+mn-cs"/>
            </a:rPr>
            <a:t> - This sheet take the ship</a:t>
          </a:r>
          <a:r>
            <a:rPr lang="fr-FR" sz="1100" b="0" baseline="0">
              <a:solidFill>
                <a:sysClr val="windowText" lastClr="000000"/>
              </a:solidFill>
              <a:effectLst/>
              <a:latin typeface="+mn-lt"/>
              <a:ea typeface="+mn-ea"/>
              <a:cs typeface="+mn-cs"/>
            </a:rPr>
            <a:t> displacement as an input in the green cell, coming from the Reca tab  computation.</a:t>
          </a:r>
          <a:endParaRPr lang="fr-FR">
            <a:solidFill>
              <a:sysClr val="windowText" lastClr="000000"/>
            </a:solidFill>
            <a:effectLst/>
          </a:endParaRPr>
        </a:p>
        <a:p>
          <a:pPr eaLnBrk="1" fontAlgn="auto" latinLnBrk="0" hangingPunct="1"/>
          <a:r>
            <a:rPr lang="fr-FR" sz="1100" b="0" baseline="0">
              <a:solidFill>
                <a:sysClr val="windowText" lastClr="000000"/>
              </a:solidFill>
              <a:effectLst/>
              <a:latin typeface="+mn-lt"/>
              <a:ea typeface="+mn-ea"/>
              <a:cs typeface="+mn-cs"/>
            </a:rPr>
            <a:t> - It determines the corresponding line before and after in the orange cells</a:t>
          </a:r>
          <a:endParaRPr lang="fr-FR">
            <a:solidFill>
              <a:sysClr val="windowText" lastClr="000000"/>
            </a:solidFill>
            <a:effectLst/>
          </a:endParaRPr>
        </a:p>
        <a:p>
          <a:pPr eaLnBrk="1" fontAlgn="auto" latinLnBrk="0" hangingPunct="1"/>
          <a:r>
            <a:rPr lang="fr-FR" sz="1100" b="0" baseline="0">
              <a:solidFill>
                <a:sysClr val="windowText" lastClr="000000"/>
              </a:solidFill>
              <a:effectLst/>
              <a:latin typeface="+mn-lt"/>
              <a:ea typeface="+mn-ea"/>
              <a:cs typeface="+mn-cs"/>
            </a:rPr>
            <a:t> - Using these line numbers, it find the corresponding value (before, after), for each field (green cells)</a:t>
          </a:r>
          <a:endParaRPr lang="fr-FR">
            <a:solidFill>
              <a:sysClr val="windowText" lastClr="000000"/>
            </a:solidFill>
            <a:effectLst/>
          </a:endParaRPr>
        </a:p>
        <a:p>
          <a:pPr eaLnBrk="1" fontAlgn="auto" latinLnBrk="0" hangingPunct="1"/>
          <a:r>
            <a:rPr lang="fr-FR" sz="1100" b="0" baseline="0">
              <a:solidFill>
                <a:sysClr val="windowText" lastClr="000000"/>
              </a:solidFill>
              <a:effectLst/>
              <a:latin typeface="+mn-lt"/>
              <a:ea typeface="+mn-ea"/>
              <a:cs typeface="+mn-cs"/>
            </a:rPr>
            <a:t> - The hydrotatic state of the ship is then computed by linear interpolation on each value in the blue cells. </a:t>
          </a:r>
        </a:p>
        <a:p>
          <a:pPr eaLnBrk="1" fontAlgn="auto" latinLnBrk="0" hangingPunct="1"/>
          <a:r>
            <a:rPr lang="fr-FR" sz="1100" b="0" baseline="0">
              <a:solidFill>
                <a:sysClr val="windowText" lastClr="000000"/>
              </a:solidFill>
              <a:effectLst/>
              <a:latin typeface="+mn-lt"/>
              <a:ea typeface="+mn-ea"/>
              <a:cs typeface="+mn-cs"/>
            </a:rPr>
            <a:t> - Note that all required fields are range named (standardized name)</a:t>
          </a:r>
          <a:endParaRPr lang="fr-FR">
            <a:solidFill>
              <a:sysClr val="windowText" lastClr="000000"/>
            </a:solidFill>
            <a:effectLst/>
          </a:endParaRPr>
        </a:p>
        <a:p>
          <a:pPr algn="l"/>
          <a:endParaRPr lang="fr-FR" sz="1100" baseline="0">
            <a:solidFill>
              <a:sysClr val="windowText" lastClr="000000"/>
            </a:solidFill>
          </a:endParaRPr>
        </a:p>
        <a:p>
          <a:endParaRPr lang="fr-FR">
            <a:solidFill>
              <a:sysClr val="windowText" lastClr="000000"/>
            </a:solidFill>
            <a:effectLst/>
          </a:endParaRPr>
        </a:p>
        <a:p>
          <a:endParaRPr lang="fr-FR" sz="1100" baseline="0">
            <a:solidFill>
              <a:sysClr val="windowText" lastClr="000000"/>
            </a:solidFill>
            <a:effectLst/>
            <a:latin typeface="+mn-lt"/>
            <a:ea typeface="+mn-ea"/>
            <a:cs typeface="+mn-cs"/>
          </a:endParaRPr>
        </a:p>
        <a:p>
          <a:endParaRPr lang="fr-FR">
            <a:solidFill>
              <a:sysClr val="windowText" lastClr="000000"/>
            </a:solidFill>
            <a:effectLst/>
          </a:endParaRPr>
        </a:p>
        <a:p>
          <a:pPr algn="l"/>
          <a:endParaRPr lang="fr-FR" sz="1100" baseline="0">
            <a:solidFill>
              <a:sysClr val="windowText" lastClr="000000"/>
            </a:solidFill>
          </a:endParaRPr>
        </a:p>
        <a:p>
          <a:pPr algn="l"/>
          <a:endParaRPr lang="fr-FR"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19</xdr:col>
      <xdr:colOff>0</xdr:colOff>
      <xdr:row>11</xdr:row>
      <xdr:rowOff>145677</xdr:rowOff>
    </xdr:from>
    <xdr:to>
      <xdr:col>22</xdr:col>
      <xdr:colOff>571501</xdr:colOff>
      <xdr:row>40</xdr:row>
      <xdr:rowOff>134472</xdr:rowOff>
    </xdr:to>
    <xdr:sp macro="" textlink="">
      <xdr:nvSpPr>
        <xdr:cNvPr id="2" name="Rectangle à coins arrondis 1">
          <a:extLst>
            <a:ext uri="{FF2B5EF4-FFF2-40B4-BE49-F238E27FC236}">
              <a16:creationId xmlns:a16="http://schemas.microsoft.com/office/drawing/2014/main" id="{00000000-0008-0000-0500-000002000000}"/>
            </a:ext>
          </a:extLst>
        </xdr:cNvPr>
        <xdr:cNvSpPr/>
      </xdr:nvSpPr>
      <xdr:spPr>
        <a:xfrm>
          <a:off x="17167411" y="2364442"/>
          <a:ext cx="8090649" cy="5513295"/>
        </a:xfrm>
        <a:prstGeom prst="roundRect">
          <a:avLst>
            <a:gd name="adj" fmla="val 3174"/>
          </a:avLst>
        </a:prstGeom>
        <a:solidFill>
          <a:srgbClr val="BFBFBF">
            <a:alpha val="56000"/>
          </a:srgbClr>
        </a:solidFill>
        <a:ln w="28575">
          <a:solidFill>
            <a:srgbClr val="0061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1" u="sng">
              <a:solidFill>
                <a:sysClr val="windowText" lastClr="000000"/>
              </a:solidFill>
            </a:rPr>
            <a:t>Cross Curves:</a:t>
          </a:r>
        </a:p>
        <a:p>
          <a:pPr algn="l"/>
          <a:r>
            <a:rPr lang="fr-FR" sz="1100">
              <a:solidFill>
                <a:sysClr val="windowText" lastClr="000000"/>
              </a:solidFill>
            </a:rPr>
            <a:t>Cross curves tables (could be named KN curve</a:t>
          </a:r>
          <a:r>
            <a:rPr lang="fr-FR" sz="1100" baseline="0">
              <a:solidFill>
                <a:sysClr val="windowText" lastClr="000000"/>
              </a:solidFill>
            </a:rPr>
            <a:t> as well, tables pantocarènes in french) </a:t>
          </a:r>
          <a:r>
            <a:rPr lang="fr-FR" sz="1100">
              <a:solidFill>
                <a:sysClr val="windowText" lastClr="000000"/>
              </a:solidFill>
            </a:rPr>
            <a:t>shall comes</a:t>
          </a:r>
          <a:r>
            <a:rPr lang="fr-FR" sz="1100" baseline="0">
              <a:solidFill>
                <a:sysClr val="windowText" lastClr="000000"/>
              </a:solidFill>
            </a:rPr>
            <a:t> from the shipyard or ship owner as their are required by regulation. They can't be easily computed, even for simple hull shapes. </a:t>
          </a:r>
        </a:p>
        <a:p>
          <a:pPr algn="l"/>
          <a:endParaRPr lang="fr-FR" sz="1100" baseline="0">
            <a:solidFill>
              <a:sysClr val="windowText" lastClr="000000"/>
            </a:solidFill>
          </a:endParaRPr>
        </a:p>
        <a:p>
          <a:pPr algn="l"/>
          <a:r>
            <a:rPr lang="fr-FR" sz="1100" baseline="0">
              <a:solidFill>
                <a:sysClr val="windowText" lastClr="000000"/>
              </a:solidFill>
            </a:rPr>
            <a:t>Most of time you will have to use an OCR on PDF file (only on the hydrostatic sheets !) + manual correction as the documents are often scanned with classification society stamp. To ease the manual checks, you could insert a chart, putting Displacementin absisse and the others values in ordinnates. That done you could manuallly see the consistency errors to correct it. Note that the table shall be for trim = 0m .</a:t>
          </a:r>
        </a:p>
        <a:p>
          <a:pPr algn="l"/>
          <a:endParaRPr lang="fr-FR" sz="1100" baseline="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1" u="sng">
              <a:solidFill>
                <a:sysClr val="windowText" lastClr="000000"/>
              </a:solidFill>
              <a:effectLst/>
              <a:latin typeface="+mn-lt"/>
              <a:ea typeface="+mn-ea"/>
              <a:cs typeface="+mn-cs"/>
            </a:rPr>
            <a:t>Data field:</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a:solidFill>
                <a:sysClr val="windowText" lastClr="000000"/>
              </a:solidFill>
              <a:effectLst/>
              <a:latin typeface="+mn-lt"/>
              <a:ea typeface="+mn-ea"/>
              <a:cs typeface="+mn-cs"/>
            </a:rPr>
            <a:t>Reminder</a:t>
          </a:r>
          <a:r>
            <a:rPr lang="fr-FR" sz="1100" b="0" u="none" baseline="0">
              <a:solidFill>
                <a:sysClr val="windowText" lastClr="000000"/>
              </a:solidFill>
              <a:effectLst/>
              <a:latin typeface="+mn-lt"/>
              <a:ea typeface="+mn-ea"/>
              <a:cs typeface="+mn-cs"/>
            </a:rPr>
            <a:t> for naval computation</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solidFill>
                <a:sysClr val="windowText" lastClr="000000"/>
              </a:solidFill>
              <a:effectLst/>
              <a:latin typeface="+mn-lt"/>
              <a:ea typeface="+mn-ea"/>
              <a:cs typeface="+mn-cs"/>
            </a:rPr>
            <a:t> - Displ.: Dsiplacement f the ship</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solidFill>
                <a:sysClr val="windowText" lastClr="000000"/>
              </a:solidFill>
              <a:effectLst/>
              <a:latin typeface="+mn-lt"/>
              <a:ea typeface="+mn-ea"/>
              <a:cs typeface="+mn-cs"/>
            </a:rPr>
            <a:t> - Each column represent the corresponding value for 0,2, 5, ... degree. Note that you may have to adapt the number of column depending  on the available data. This is the list angle of the - Immersion is not required but could be usefully for quick computation : it is the required additional load to sink the vessel 1cm more</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solidFill>
                <a:sysClr val="windowText" lastClr="000000"/>
              </a:solidFill>
              <a:effectLst/>
              <a:latin typeface="+mn-lt"/>
              <a:ea typeface="+mn-ea"/>
              <a:cs typeface="+mn-cs"/>
            </a:rPr>
            <a:t>- Value in the table are KN sin (</a:t>
          </a:r>
          <a:r>
            <a:rPr lang="el-GR" sz="1100" b="0" u="none" baseline="0">
              <a:solidFill>
                <a:sysClr val="windowText" lastClr="000000"/>
              </a:solidFill>
              <a:effectLst/>
              <a:latin typeface="+mn-lt"/>
              <a:ea typeface="+mn-ea"/>
              <a:cs typeface="+mn-cs"/>
            </a:rPr>
            <a:t>φ</a:t>
          </a:r>
          <a:r>
            <a:rPr lang="fr-FR" sz="1100" b="0" u="none" baseline="0">
              <a:solidFill>
                <a:sysClr val="windowText" lastClr="000000"/>
              </a:solidFill>
              <a:effectLst/>
              <a:latin typeface="+mn-lt"/>
              <a:ea typeface="+mn-ea"/>
              <a:cs typeface="+mn-cs"/>
            </a:rPr>
            <a:t>) in meter, trim adjusted to grant constant position of LCB, and initial trim =0m) . KN is the horizontal distance (in a section) between real K and its projection on vertical to the metacentre (N), representing the righting levever for G=K.</a:t>
          </a:r>
          <a:endParaRPr lang="fr-FR" b="0" u="none">
            <a:solidFill>
              <a:sysClr val="windowText" lastClr="000000"/>
            </a:solidFill>
            <a:effectLst/>
          </a:endParaRPr>
        </a:p>
        <a:p>
          <a:pPr algn="l"/>
          <a:endParaRPr lang="fr-FR" sz="1100" baseline="0">
            <a:solidFill>
              <a:sysClr val="windowText" lastClr="000000"/>
            </a:solidFill>
          </a:endParaRPr>
        </a:p>
        <a:p>
          <a:pPr eaLnBrk="1" fontAlgn="auto" latinLnBrk="0" hangingPunct="1"/>
          <a:r>
            <a:rPr lang="fr-FR" sz="1100" b="1" u="sng">
              <a:solidFill>
                <a:sysClr val="windowText" lastClr="000000"/>
              </a:solidFill>
              <a:effectLst/>
              <a:latin typeface="+mn-lt"/>
              <a:ea typeface="+mn-ea"/>
              <a:cs typeface="+mn-cs"/>
            </a:rPr>
            <a:t>Tab</a:t>
          </a:r>
          <a:r>
            <a:rPr lang="fr-FR" sz="1100" b="1" u="sng" baseline="0">
              <a:solidFill>
                <a:sysClr val="windowText" lastClr="000000"/>
              </a:solidFill>
              <a:effectLst/>
              <a:latin typeface="+mn-lt"/>
              <a:ea typeface="+mn-ea"/>
              <a:cs typeface="+mn-cs"/>
            </a:rPr>
            <a:t> process</a:t>
          </a:r>
          <a:r>
            <a:rPr lang="fr-FR" sz="1100" b="1" u="sng">
              <a:solidFill>
                <a:sysClr val="windowText" lastClr="000000"/>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fr-FR" sz="1100" b="0">
              <a:solidFill>
                <a:sysClr val="windowText" lastClr="000000"/>
              </a:solidFill>
              <a:effectLst/>
              <a:latin typeface="+mn-lt"/>
              <a:ea typeface="+mn-ea"/>
              <a:cs typeface="+mn-cs"/>
            </a:rPr>
            <a:t> -  Datas</a:t>
          </a:r>
          <a:r>
            <a:rPr lang="fr-FR" sz="1100" b="0" baseline="0">
              <a:solidFill>
                <a:sysClr val="windowText" lastClr="000000"/>
              </a:solidFill>
              <a:effectLst/>
              <a:latin typeface="+mn-lt"/>
              <a:ea typeface="+mn-ea"/>
              <a:cs typeface="+mn-cs"/>
            </a:rPr>
            <a:t> are inside a table, be sure that the table is correctly sized</a:t>
          </a:r>
          <a:endParaRPr lang="fr-FR">
            <a:solidFill>
              <a:sysClr val="windowText" lastClr="000000"/>
            </a:solidFill>
            <a:effectLst/>
          </a:endParaRPr>
        </a:p>
        <a:p>
          <a:pPr eaLnBrk="1" fontAlgn="auto" latinLnBrk="0" hangingPunct="1"/>
          <a:r>
            <a:rPr lang="fr-FR" sz="1100" b="0">
              <a:solidFill>
                <a:sysClr val="windowText" lastClr="000000"/>
              </a:solidFill>
              <a:effectLst/>
              <a:latin typeface="+mn-lt"/>
              <a:ea typeface="+mn-ea"/>
              <a:cs typeface="+mn-cs"/>
            </a:rPr>
            <a:t> - This sheet take the ship</a:t>
          </a:r>
          <a:r>
            <a:rPr lang="fr-FR" sz="1100" b="0" baseline="0">
              <a:solidFill>
                <a:sysClr val="windowText" lastClr="000000"/>
              </a:solidFill>
              <a:effectLst/>
              <a:latin typeface="+mn-lt"/>
              <a:ea typeface="+mn-ea"/>
              <a:cs typeface="+mn-cs"/>
            </a:rPr>
            <a:t> displacement as an input in the green cell, coming from the Reca tab  computation.</a:t>
          </a:r>
          <a:endParaRPr lang="fr-FR">
            <a:solidFill>
              <a:sysClr val="windowText" lastClr="000000"/>
            </a:solidFill>
            <a:effectLst/>
          </a:endParaRPr>
        </a:p>
        <a:p>
          <a:pPr eaLnBrk="1" fontAlgn="auto" latinLnBrk="0" hangingPunct="1"/>
          <a:r>
            <a:rPr lang="fr-FR" sz="1100" b="0" baseline="0">
              <a:solidFill>
                <a:sysClr val="windowText" lastClr="000000"/>
              </a:solidFill>
              <a:effectLst/>
              <a:latin typeface="+mn-lt"/>
              <a:ea typeface="+mn-ea"/>
              <a:cs typeface="+mn-cs"/>
            </a:rPr>
            <a:t> - It determines the corresponding line before and after in the orange cells</a:t>
          </a:r>
          <a:endParaRPr lang="fr-FR">
            <a:solidFill>
              <a:sysClr val="windowText" lastClr="000000"/>
            </a:solidFill>
            <a:effectLst/>
          </a:endParaRPr>
        </a:p>
        <a:p>
          <a:pPr eaLnBrk="1" fontAlgn="auto" latinLnBrk="0" hangingPunct="1"/>
          <a:r>
            <a:rPr lang="fr-FR" sz="1100" b="0" baseline="0">
              <a:solidFill>
                <a:sysClr val="windowText" lastClr="000000"/>
              </a:solidFill>
              <a:effectLst/>
              <a:latin typeface="+mn-lt"/>
              <a:ea typeface="+mn-ea"/>
              <a:cs typeface="+mn-cs"/>
            </a:rPr>
            <a:t> - Using these line numbers, it find the corresponding value (before, after), for each field (green cells)</a:t>
          </a:r>
          <a:endParaRPr lang="fr-FR">
            <a:solidFill>
              <a:sysClr val="windowText" lastClr="000000"/>
            </a:solidFill>
            <a:effectLst/>
          </a:endParaRPr>
        </a:p>
        <a:p>
          <a:pPr eaLnBrk="1" fontAlgn="auto" latinLnBrk="0" hangingPunct="1"/>
          <a:r>
            <a:rPr lang="fr-FR" sz="1100" b="0" baseline="0">
              <a:solidFill>
                <a:sysClr val="windowText" lastClr="000000"/>
              </a:solidFill>
              <a:effectLst/>
              <a:latin typeface="+mn-lt"/>
              <a:ea typeface="+mn-ea"/>
              <a:cs typeface="+mn-cs"/>
            </a:rPr>
            <a:t> - The KN datas for each list is then computed by linear interpolation on each value in the blue cells. </a:t>
          </a:r>
        </a:p>
        <a:p>
          <a:pPr eaLnBrk="1" fontAlgn="auto" latinLnBrk="0" hangingPunct="1"/>
          <a:r>
            <a:rPr lang="fr-FR" sz="1100" b="0" baseline="0">
              <a:solidFill>
                <a:sysClr val="windowText" lastClr="000000"/>
              </a:solidFill>
              <a:effectLst/>
              <a:latin typeface="+mn-lt"/>
              <a:ea typeface="+mn-ea"/>
              <a:cs typeface="+mn-cs"/>
            </a:rPr>
            <a:t> - Then the left table is computed. Adjust the line number of the table to be more than required by the number of angles you have (you shall  see #N/A for the last lines). As it is a table, you just have to increase the number of lines in case of missings, formulas will be automatically applied</a:t>
          </a:r>
        </a:p>
        <a:p>
          <a:pPr eaLnBrk="1" fontAlgn="auto" latinLnBrk="0" hangingPunct="1"/>
          <a:r>
            <a:rPr lang="fr-FR" sz="1100" b="0" baseline="0">
              <a:solidFill>
                <a:sysClr val="windowText" lastClr="000000"/>
              </a:solidFill>
              <a:effectLst/>
              <a:latin typeface="+mn-lt"/>
              <a:ea typeface="+mn-ea"/>
              <a:cs typeface="+mn-cs"/>
            </a:rPr>
            <a:t>- This table compute the G'N sin(</a:t>
          </a:r>
          <a:r>
            <a:rPr lang="el-GR" sz="1100" b="0" baseline="0">
              <a:solidFill>
                <a:sysClr val="windowText" lastClr="000000"/>
              </a:solidFill>
              <a:effectLst/>
              <a:latin typeface="+mn-lt"/>
              <a:ea typeface="+mn-ea"/>
              <a:cs typeface="+mn-cs"/>
            </a:rPr>
            <a:t>φ</a:t>
          </a:r>
          <a:r>
            <a:rPr lang="fr-FR" sz="1100" b="0" baseline="0">
              <a:solidFill>
                <a:sysClr val="windowText" lastClr="000000"/>
              </a:solidFill>
              <a:effectLst/>
              <a:latin typeface="+mn-lt"/>
              <a:ea typeface="+mn-ea"/>
              <a:cs typeface="+mn-cs"/>
            </a:rPr>
            <a:t>) and the area (by trapeze interpolation) unde the curve.</a:t>
          </a:r>
        </a:p>
        <a:p>
          <a:pPr eaLnBrk="1" fontAlgn="auto" latinLnBrk="0" hangingPunct="1"/>
          <a:r>
            <a:rPr lang="fr-FR" sz="1100" b="0" baseline="0">
              <a:solidFill>
                <a:sysClr val="windowText" lastClr="000000"/>
              </a:solidFill>
              <a:effectLst/>
              <a:latin typeface="+mn-lt"/>
              <a:ea typeface="+mn-ea"/>
              <a:cs typeface="+mn-cs"/>
            </a:rPr>
            <a:t>- The checks are made in the Stability requirements in top left frame. Note that this requirements depends of the ship itself, ithe ones</a:t>
          </a:r>
          <a:endParaRPr lang="fr-FR">
            <a:solidFill>
              <a:sysClr val="windowText" lastClr="000000"/>
            </a:solidFill>
            <a:effectLst/>
          </a:endParaRPr>
        </a:p>
        <a:p>
          <a:r>
            <a:rPr lang="fr-FR" sz="1100" baseline="0">
              <a:solidFill>
                <a:sysClr val="windowText" lastClr="000000"/>
              </a:solidFill>
              <a:effectLst/>
              <a:latin typeface="+mn-lt"/>
              <a:ea typeface="+mn-ea"/>
              <a:cs typeface="+mn-cs"/>
            </a:rPr>
            <a:t> indicated here are for a dedicated flat top barge. You may have to change these criteria (Green italic numbers)</a:t>
          </a:r>
        </a:p>
        <a:p>
          <a:r>
            <a:rPr lang="fr-FR" sz="1100" baseline="0">
              <a:solidFill>
                <a:sysClr val="windowText" lastClr="000000"/>
              </a:solidFill>
              <a:effectLst/>
              <a:latin typeface="+mn-lt"/>
              <a:ea typeface="+mn-ea"/>
              <a:cs typeface="+mn-cs"/>
            </a:rPr>
            <a:t>- The results of these checks are reported in the Recap tab.</a:t>
          </a:r>
        </a:p>
        <a:p>
          <a:endParaRPr lang="fr-FR" sz="1100" baseline="0">
            <a:solidFill>
              <a:sysClr val="windowText" lastClr="000000"/>
            </a:solidFill>
            <a:effectLst/>
            <a:latin typeface="+mn-lt"/>
            <a:ea typeface="+mn-ea"/>
            <a:cs typeface="+mn-cs"/>
          </a:endParaRPr>
        </a:p>
        <a:p>
          <a:r>
            <a:rPr lang="fr-FR" sz="1100" baseline="0">
              <a:solidFill>
                <a:sysClr val="windowText" lastClr="000000"/>
              </a:solidFill>
              <a:effectLst/>
              <a:latin typeface="+mn-lt"/>
              <a:ea typeface="+mn-ea"/>
              <a:cs typeface="+mn-cs"/>
            </a:rPr>
            <a:t> </a:t>
          </a:r>
        </a:p>
        <a:p>
          <a:endParaRPr lang="fr-FR">
            <a:solidFill>
              <a:sysClr val="windowText" lastClr="000000"/>
            </a:solidFill>
            <a:effectLst/>
          </a:endParaRPr>
        </a:p>
        <a:p>
          <a:pPr algn="l"/>
          <a:endParaRPr lang="fr-FR" sz="1100" baseline="0">
            <a:solidFill>
              <a:sysClr val="windowText" lastClr="000000"/>
            </a:solidFill>
          </a:endParaRPr>
        </a:p>
        <a:p>
          <a:pPr algn="l"/>
          <a:endParaRPr lang="fr-FR" sz="1100">
            <a:solidFill>
              <a:sysClr val="windowText" lastClr="000000"/>
            </a:solidFill>
          </a:endParaRPr>
        </a:p>
      </xdr:txBody>
    </xdr:sp>
    <xdr:clientData/>
  </xdr:twoCellAnchor>
  <xdr:twoCellAnchor editAs="oneCell">
    <xdr:from>
      <xdr:col>19</xdr:col>
      <xdr:colOff>391946</xdr:colOff>
      <xdr:row>0</xdr:row>
      <xdr:rowOff>22412</xdr:rowOff>
    </xdr:from>
    <xdr:to>
      <xdr:col>23</xdr:col>
      <xdr:colOff>119772</xdr:colOff>
      <xdr:row>10</xdr:row>
      <xdr:rowOff>257736</xdr:rowOff>
    </xdr:to>
    <xdr:pic>
      <xdr:nvPicPr>
        <xdr:cNvPr id="3" name="Imag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17559358" y="22412"/>
          <a:ext cx="2775826" cy="21403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10</xdr:row>
      <xdr:rowOff>44827</xdr:rowOff>
    </xdr:from>
    <xdr:to>
      <xdr:col>21</xdr:col>
      <xdr:colOff>3364</xdr:colOff>
      <xdr:row>22</xdr:row>
      <xdr:rowOff>11208</xdr:rowOff>
    </xdr:to>
    <xdr:graphicFrame macro="">
      <xdr:nvGraphicFramePr>
        <xdr:cNvPr id="2" name="Graphique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369792</xdr:colOff>
      <xdr:row>36</xdr:row>
      <xdr:rowOff>141194</xdr:rowOff>
    </xdr:from>
    <xdr:to>
      <xdr:col>42</xdr:col>
      <xdr:colOff>358586</xdr:colOff>
      <xdr:row>61</xdr:row>
      <xdr:rowOff>0</xdr:rowOff>
    </xdr:to>
    <xdr:graphicFrame macro="">
      <xdr:nvGraphicFramePr>
        <xdr:cNvPr id="4" name="Graphique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649943</xdr:colOff>
      <xdr:row>6</xdr:row>
      <xdr:rowOff>100853</xdr:rowOff>
    </xdr:from>
    <xdr:to>
      <xdr:col>42</xdr:col>
      <xdr:colOff>638736</xdr:colOff>
      <xdr:row>30</xdr:row>
      <xdr:rowOff>150159</xdr:rowOff>
    </xdr:to>
    <xdr:graphicFrame macro="">
      <xdr:nvGraphicFramePr>
        <xdr:cNvPr id="5" name="Graphique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380999</xdr:colOff>
      <xdr:row>6</xdr:row>
      <xdr:rowOff>179293</xdr:rowOff>
    </xdr:from>
    <xdr:to>
      <xdr:col>51</xdr:col>
      <xdr:colOff>571498</xdr:colOff>
      <xdr:row>31</xdr:row>
      <xdr:rowOff>38099</xdr:rowOff>
    </xdr:to>
    <xdr:graphicFrame macro="">
      <xdr:nvGraphicFramePr>
        <xdr:cNvPr id="7" name="Graphique 6">
          <a:extLst>
            <a:ext uri="{FF2B5EF4-FFF2-40B4-BE49-F238E27FC236}">
              <a16:creationId xmlns:a16="http://schemas.microsoft.com/office/drawing/2014/main" id="{00000000-0008-0000-0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22412</xdr:colOff>
      <xdr:row>28</xdr:row>
      <xdr:rowOff>156882</xdr:rowOff>
    </xdr:from>
    <xdr:to>
      <xdr:col>18</xdr:col>
      <xdr:colOff>661147</xdr:colOff>
      <xdr:row>55</xdr:row>
      <xdr:rowOff>56030</xdr:rowOff>
    </xdr:to>
    <xdr:sp macro="" textlink="">
      <xdr:nvSpPr>
        <xdr:cNvPr id="8" name="Rectangle à coins arrondis 7">
          <a:extLst>
            <a:ext uri="{FF2B5EF4-FFF2-40B4-BE49-F238E27FC236}">
              <a16:creationId xmlns:a16="http://schemas.microsoft.com/office/drawing/2014/main" id="{00000000-0008-0000-0600-000008000000}"/>
            </a:ext>
          </a:extLst>
        </xdr:cNvPr>
        <xdr:cNvSpPr/>
      </xdr:nvSpPr>
      <xdr:spPr>
        <a:xfrm>
          <a:off x="313765" y="5703794"/>
          <a:ext cx="11463617" cy="5042648"/>
        </a:xfrm>
        <a:prstGeom prst="roundRect">
          <a:avLst>
            <a:gd name="adj" fmla="val 3174"/>
          </a:avLst>
        </a:prstGeom>
        <a:solidFill>
          <a:srgbClr val="BFBFBF">
            <a:alpha val="56000"/>
          </a:srgbClr>
        </a:solidFill>
        <a:ln w="28575">
          <a:solidFill>
            <a:srgbClr val="0061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1" u="sng">
              <a:ln>
                <a:noFill/>
              </a:ln>
              <a:solidFill>
                <a:sysClr val="windowText" lastClr="000000"/>
              </a:solidFill>
            </a:rPr>
            <a:t>Long section:</a:t>
          </a:r>
        </a:p>
        <a:p>
          <a:pPr algn="l"/>
          <a:r>
            <a:rPr lang="fr-FR" sz="1100">
              <a:ln>
                <a:noFill/>
              </a:ln>
              <a:solidFill>
                <a:sysClr val="windowText" lastClr="000000"/>
              </a:solidFill>
            </a:rPr>
            <a:t>Long section describe</a:t>
          </a:r>
          <a:r>
            <a:rPr lang="fr-FR" sz="1100" baseline="0">
              <a:ln>
                <a:noFill/>
              </a:ln>
              <a:solidFill>
                <a:sysClr val="windowText" lastClr="000000"/>
              </a:solidFill>
            </a:rPr>
            <a:t> the longitudinal shape of the hull. It is used only for Structural check, to compute Archimede Load on each section. The graphic is there to help and check that entered data are consistent (note that it can shrink the hull shape if scale X &lt;&gt; scale Y)</a:t>
          </a:r>
        </a:p>
        <a:p>
          <a:pPr algn="l"/>
          <a:endParaRPr lang="fr-FR" sz="1100" baseline="0">
            <a:ln>
              <a:noFill/>
            </a:ln>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1" u="sng">
              <a:ln>
                <a:noFill/>
              </a:ln>
              <a:solidFill>
                <a:sysClr val="windowText" lastClr="000000"/>
              </a:solidFill>
              <a:effectLst/>
              <a:latin typeface="+mn-lt"/>
              <a:ea typeface="+mn-ea"/>
              <a:cs typeface="+mn-cs"/>
            </a:rPr>
            <a:t>Entry Field:</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a:ln>
                <a:noFill/>
              </a:ln>
              <a:solidFill>
                <a:sysClr val="windowText" lastClr="000000"/>
              </a:solidFill>
              <a:effectLst/>
              <a:latin typeface="+mn-lt"/>
              <a:ea typeface="+mn-ea"/>
              <a:cs typeface="+mn-cs"/>
            </a:rPr>
            <a:t>The only data to fill are</a:t>
          </a:r>
          <a:r>
            <a:rPr lang="fr-FR" sz="1100" b="0" u="none" baseline="0">
              <a:ln>
                <a:noFill/>
              </a:ln>
              <a:solidFill>
                <a:sysClr val="windowText" lastClr="000000"/>
              </a:solidFill>
              <a:effectLst/>
              <a:latin typeface="+mn-lt"/>
              <a:ea typeface="+mn-ea"/>
              <a:cs typeface="+mn-cs"/>
            </a:rPr>
            <a:t> the X (from APP) coordinate and the corresponding hull thickness (positive distance from deck to bottom plate). This is done in </a:t>
          </a:r>
          <a:r>
            <a:rPr lang="fr-FR" sz="1100" b="0" i="1" u="none" baseline="0">
              <a:ln>
                <a:noFill/>
              </a:ln>
              <a:solidFill>
                <a:sysClr val="windowText" lastClr="000000"/>
              </a:solidFill>
              <a:effectLst/>
              <a:latin typeface="+mn-lt"/>
              <a:ea typeface="+mn-ea"/>
              <a:cs typeface="+mn-cs"/>
            </a:rPr>
            <a:t>Tbl_Long_Definition</a:t>
          </a:r>
          <a:r>
            <a:rPr lang="fr-FR" sz="1100" b="0" u="none" baseline="0">
              <a:ln>
                <a:noFill/>
              </a:ln>
              <a:solidFill>
                <a:sysClr val="windowText" lastClr="000000"/>
              </a:solidFill>
              <a:effectLst/>
              <a:latin typeface="+mn-lt"/>
              <a:ea typeface="+mn-ea"/>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The deck shall be considered has flat even if it is not, as it is used here just as a reference above water of the hull shape.</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Note that data are entered as a table, so you can add as many line as Excel support, so you can draw curves. As it is used only to compute</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structurals with a calculation step of  FEsize (refer to 01. General Data), it is useless to enter points with X spacing less than FEsize .</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Point shall be entered from aft to fore, with increasing x at each step.</a:t>
          </a:r>
        </a:p>
        <a:p>
          <a:pPr marL="0" marR="0" lvl="0" indent="0" algn="l" defTabSz="914400" eaLnBrk="1" fontAlgn="auto" latinLnBrk="0" hangingPunct="1">
            <a:lnSpc>
              <a:spcPct val="100000"/>
            </a:lnSpc>
            <a:spcBef>
              <a:spcPts val="0"/>
            </a:spcBef>
            <a:spcAft>
              <a:spcPts val="0"/>
            </a:spcAft>
            <a:buClrTx/>
            <a:buSzTx/>
            <a:buFontTx/>
            <a:buNone/>
            <a:tabLst/>
            <a:defRPr/>
          </a:pPr>
          <a:endParaRPr lang="fr-FR" sz="1100" b="0" u="none" baseline="0">
            <a:ln>
              <a:noFill/>
            </a:ln>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Note also that as the transverse of each section is not described, a correction factor is computed in the structural tab to adapt</a:t>
          </a:r>
        </a:p>
        <a:p>
          <a:pPr algn="l"/>
          <a:r>
            <a:rPr lang="fr-FR" sz="1100" baseline="0">
              <a:ln>
                <a:noFill/>
              </a:ln>
              <a:solidFill>
                <a:sysClr val="windowText" lastClr="000000"/>
              </a:solidFill>
            </a:rPr>
            <a:t> the sum of flottating element with the ship displacement</a:t>
          </a:r>
        </a:p>
        <a:p>
          <a:pPr algn="l"/>
          <a:endParaRPr lang="fr-FR" sz="1100" baseline="0">
            <a:ln>
              <a:noFill/>
            </a:ln>
            <a:solidFill>
              <a:sysClr val="windowText" lastClr="000000"/>
            </a:solidFill>
          </a:endParaRPr>
        </a:p>
        <a:p>
          <a:pPr eaLnBrk="1" fontAlgn="auto" latinLnBrk="0" hangingPunct="1"/>
          <a:r>
            <a:rPr lang="fr-FR" sz="1100" b="1" u="sng">
              <a:ln>
                <a:noFill/>
              </a:ln>
              <a:solidFill>
                <a:sysClr val="windowText" lastClr="000000"/>
              </a:solidFill>
              <a:effectLst/>
              <a:latin typeface="+mn-lt"/>
              <a:ea typeface="+mn-ea"/>
              <a:cs typeface="+mn-cs"/>
            </a:rPr>
            <a:t>Tab</a:t>
          </a:r>
          <a:r>
            <a:rPr lang="fr-FR" sz="1100" b="1" u="sng" baseline="0">
              <a:ln>
                <a:noFill/>
              </a:ln>
              <a:solidFill>
                <a:sysClr val="windowText" lastClr="000000"/>
              </a:solidFill>
              <a:effectLst/>
              <a:latin typeface="+mn-lt"/>
              <a:ea typeface="+mn-ea"/>
              <a:cs typeface="+mn-cs"/>
            </a:rPr>
            <a:t> process</a:t>
          </a:r>
          <a:r>
            <a:rPr lang="fr-FR" sz="1100" b="1" u="sng">
              <a:ln>
                <a:noFill/>
              </a:ln>
              <a:solidFill>
                <a:sysClr val="windowText" lastClr="000000"/>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fr-FR" sz="1100" b="0">
              <a:ln>
                <a:noFill/>
              </a:ln>
              <a:solidFill>
                <a:sysClr val="windowText" lastClr="000000"/>
              </a:solidFill>
              <a:effectLst/>
              <a:latin typeface="+mn-lt"/>
              <a:ea typeface="+mn-ea"/>
              <a:cs typeface="+mn-cs"/>
            </a:rPr>
            <a:t> -  The middle range (green</a:t>
          </a:r>
          <a:r>
            <a:rPr lang="fr-FR" sz="1100" b="0" baseline="0">
              <a:ln>
                <a:noFill/>
              </a:ln>
              <a:solidFill>
                <a:sysClr val="windowText" lastClr="000000"/>
              </a:solidFill>
              <a:effectLst/>
              <a:latin typeface="+mn-lt"/>
              <a:ea typeface="+mn-ea"/>
              <a:cs typeface="+mn-cs"/>
            </a:rPr>
            <a:t> background) is designed only to plot the chart that help to check consistency. It actually represent the deck,aft and fore bulkhead. Therefore, it will always contains 4 lines, no need to extend it as you add lines In the long section table.</a:t>
          </a:r>
          <a:endParaRPr lang="fr-FR">
            <a:ln>
              <a:noFill/>
            </a:ln>
            <a:solidFill>
              <a:sysClr val="windowText" lastClr="000000"/>
            </a:solidFill>
            <a:effectLst/>
          </a:endParaRPr>
        </a:p>
        <a:p>
          <a:pPr eaLnBrk="1" fontAlgn="auto" latinLnBrk="0" hangingPunct="1"/>
          <a:r>
            <a:rPr lang="fr-FR" sz="1100" b="0">
              <a:ln>
                <a:noFill/>
              </a:ln>
              <a:solidFill>
                <a:sysClr val="windowText" lastClr="000000"/>
              </a:solidFill>
              <a:effectLst/>
              <a:latin typeface="+mn-lt"/>
              <a:ea typeface="+mn-ea"/>
              <a:cs typeface="+mn-cs"/>
            </a:rPr>
            <a:t> - Then the</a:t>
          </a:r>
          <a:r>
            <a:rPr lang="fr-FR" sz="1100" b="0" baseline="0">
              <a:ln>
                <a:noFill/>
              </a:ln>
              <a:solidFill>
                <a:sysClr val="windowText" lastClr="000000"/>
              </a:solidFill>
              <a:effectLst/>
              <a:latin typeface="+mn-lt"/>
              <a:ea typeface="+mn-ea"/>
              <a:cs typeface="+mn-cs"/>
            </a:rPr>
            <a:t> long table </a:t>
          </a:r>
          <a:r>
            <a:rPr lang="fr-FR" sz="1100" b="0" i="1" baseline="0">
              <a:ln>
                <a:noFill/>
              </a:ln>
              <a:solidFill>
                <a:sysClr val="windowText" lastClr="000000"/>
              </a:solidFill>
              <a:effectLst/>
              <a:latin typeface="+mn-lt"/>
              <a:ea typeface="+mn-ea"/>
              <a:cs typeface="+mn-cs"/>
            </a:rPr>
            <a:t>Tbl_Long_Section</a:t>
          </a:r>
          <a:r>
            <a:rPr lang="fr-FR" sz="1100" b="0" baseline="0">
              <a:ln>
                <a:noFill/>
              </a:ln>
              <a:solidFill>
                <a:sysClr val="windowText" lastClr="000000"/>
              </a:solidFill>
              <a:effectLst/>
              <a:latin typeface="+mn-lt"/>
              <a:ea typeface="+mn-ea"/>
              <a:cs typeface="+mn-cs"/>
            </a:rPr>
            <a:t> is computed. This table output the Hdeck- bottom for the structural tab</a:t>
          </a:r>
          <a:endParaRPr lang="fr-FR">
            <a:ln>
              <a:noFill/>
            </a:ln>
            <a:solidFill>
              <a:sysClr val="windowText" lastClr="000000"/>
            </a:solidFill>
            <a:effectLst/>
          </a:endParaRPr>
        </a:p>
        <a:p>
          <a:pPr eaLnBrk="1" fontAlgn="auto" latinLnBrk="0" hangingPunct="1"/>
          <a:r>
            <a:rPr lang="fr-FR" sz="1100" b="0" baseline="0">
              <a:ln>
                <a:noFill/>
              </a:ln>
              <a:solidFill>
                <a:sysClr val="windowText" lastClr="000000"/>
              </a:solidFill>
              <a:effectLst/>
              <a:latin typeface="+mn-lt"/>
              <a:ea typeface="+mn-ea"/>
              <a:cs typeface="+mn-cs"/>
            </a:rPr>
            <a:t> - It sample the geometry you described by FE size step and automatically compute H deck-Bottom</a:t>
          </a:r>
          <a:endParaRPr lang="fr-FR">
            <a:ln>
              <a:noFill/>
            </a:ln>
            <a:solidFill>
              <a:sysClr val="windowText" lastClr="000000"/>
            </a:solidFill>
            <a:effectLst/>
          </a:endParaRPr>
        </a:p>
        <a:p>
          <a:pPr eaLnBrk="1" fontAlgn="auto" latinLnBrk="0" hangingPunct="1"/>
          <a:r>
            <a:rPr lang="fr-FR" sz="1100" b="0" baseline="0">
              <a:ln>
                <a:noFill/>
              </a:ln>
              <a:solidFill>
                <a:sysClr val="windowText" lastClr="000000"/>
              </a:solidFill>
              <a:effectLst/>
              <a:latin typeface="+mn-lt"/>
              <a:ea typeface="+mn-ea"/>
              <a:cs typeface="+mn-cs"/>
            </a:rPr>
            <a:t> - Every shape can so be drawn and computed with previous mentionned limitations.</a:t>
          </a:r>
        </a:p>
        <a:p>
          <a:pPr eaLnBrk="1" fontAlgn="auto" latinLnBrk="0" hangingPunct="1"/>
          <a:r>
            <a:rPr lang="fr-FR" sz="1100" b="0" baseline="0">
              <a:ln>
                <a:noFill/>
              </a:ln>
              <a:solidFill>
                <a:sysClr val="windowText" lastClr="000000"/>
              </a:solidFill>
              <a:effectLst/>
              <a:latin typeface="+mn-lt"/>
              <a:ea typeface="+mn-ea"/>
              <a:cs typeface="+mn-cs"/>
            </a:rPr>
            <a:t> - The right table Tbl_Long_Hydro compute Hydrostatic Generals to be consistent in Load Distrib Tab. Tis computation assume a extrusion of the Long section of B width.  If you don't have hydrostatic data and you ship is rectangular transverse, you can copy / paste by value this datas in the Hydrostatic tab</a:t>
          </a:r>
          <a:endParaRPr lang="fr-FR" sz="1100" baseline="0">
            <a:ln>
              <a:noFill/>
            </a:ln>
            <a:solidFill>
              <a:sysClr val="windowText" lastClr="000000"/>
            </a:solidFill>
            <a:effectLst/>
            <a:latin typeface="+mn-lt"/>
            <a:ea typeface="+mn-ea"/>
            <a:cs typeface="+mn-cs"/>
          </a:endParaRPr>
        </a:p>
        <a:p>
          <a:endParaRPr lang="fr-FR" sz="1100" baseline="0">
            <a:ln>
              <a:noFill/>
            </a:ln>
            <a:solidFill>
              <a:sysClr val="windowText" lastClr="000000"/>
            </a:solidFill>
            <a:effectLst/>
            <a:latin typeface="+mn-lt"/>
            <a:ea typeface="+mn-ea"/>
            <a:cs typeface="+mn-cs"/>
          </a:endParaRPr>
        </a:p>
        <a:p>
          <a:pPr eaLnBrk="1" fontAlgn="auto" latinLnBrk="0" hangingPunct="1"/>
          <a:r>
            <a:rPr lang="fr-FR" sz="1100" b="1" u="sng">
              <a:ln>
                <a:noFill/>
              </a:ln>
              <a:solidFill>
                <a:sysClr val="windowText" lastClr="000000"/>
              </a:solidFill>
              <a:effectLst/>
              <a:latin typeface="+mn-lt"/>
              <a:ea typeface="+mn-ea"/>
              <a:cs typeface="+mn-cs"/>
            </a:rPr>
            <a:t>Checks:</a:t>
          </a:r>
          <a:endParaRPr lang="fr-FR">
            <a:ln>
              <a:noFill/>
            </a:ln>
            <a:solidFill>
              <a:sysClr val="windowText" lastClr="000000"/>
            </a:solidFill>
            <a:effectLst/>
          </a:endParaRPr>
        </a:p>
        <a:p>
          <a:pPr eaLnBrk="1" fontAlgn="auto" latinLnBrk="0" hangingPunct="1"/>
          <a:r>
            <a:rPr lang="fr-FR" sz="1100" b="0">
              <a:ln>
                <a:noFill/>
              </a:ln>
              <a:solidFill>
                <a:sysClr val="windowText" lastClr="000000"/>
              </a:solidFill>
              <a:effectLst/>
              <a:latin typeface="+mn-lt"/>
              <a:ea typeface="+mn-ea"/>
              <a:cs typeface="+mn-cs"/>
            </a:rPr>
            <a:t> -  The </a:t>
          </a:r>
          <a:r>
            <a:rPr lang="fr-FR" sz="1100" b="0" i="1" baseline="0">
              <a:ln>
                <a:noFill/>
              </a:ln>
              <a:solidFill>
                <a:sysClr val="windowText" lastClr="000000"/>
              </a:solidFill>
              <a:effectLst/>
              <a:latin typeface="+mn-lt"/>
              <a:ea typeface="+mn-ea"/>
              <a:cs typeface="+mn-cs"/>
            </a:rPr>
            <a:t>Tbl_Long_Section</a:t>
          </a:r>
          <a:r>
            <a:rPr lang="fr-FR" sz="1100" b="0">
              <a:ln>
                <a:noFill/>
              </a:ln>
              <a:solidFill>
                <a:sysClr val="windowText" lastClr="000000"/>
              </a:solidFill>
              <a:effectLst/>
              <a:latin typeface="+mn-lt"/>
              <a:ea typeface="+mn-ea"/>
              <a:cs typeface="+mn-cs"/>
            </a:rPr>
            <a:t> table shall be</a:t>
          </a:r>
          <a:r>
            <a:rPr lang="fr-FR" sz="1100" b="0" baseline="0">
              <a:ln>
                <a:noFill/>
              </a:ln>
              <a:solidFill>
                <a:sysClr val="windowText" lastClr="000000"/>
              </a:solidFill>
              <a:effectLst/>
              <a:latin typeface="+mn-lt"/>
              <a:ea typeface="+mn-ea"/>
              <a:cs typeface="+mn-cs"/>
            </a:rPr>
            <a:t> long enough to cover the length of the ship (actually more than Lpp/FEsize row). Increase the table size so that many #N/A appear on the last lines (#N/A lines are not computed), and the check cell for the length shall turn, green</a:t>
          </a:r>
          <a:endParaRPr lang="fr-FR">
            <a:ln>
              <a:noFill/>
            </a:ln>
            <a:solidFill>
              <a:sysClr val="windowText" lastClr="000000"/>
            </a:solidFill>
            <a:effectLst/>
          </a:endParaRPr>
        </a:p>
        <a:p>
          <a:pPr eaLnBrk="1" fontAlgn="auto" latinLnBrk="0" hangingPunct="1"/>
          <a:r>
            <a:rPr lang="fr-FR" sz="1100" b="0">
              <a:ln>
                <a:noFill/>
              </a:ln>
              <a:solidFill>
                <a:sysClr val="windowText" lastClr="000000"/>
              </a:solidFill>
              <a:effectLst/>
              <a:latin typeface="+mn-lt"/>
              <a:ea typeface="+mn-ea"/>
              <a:cs typeface="+mn-cs"/>
            </a:rPr>
            <a:t> - When</a:t>
          </a:r>
          <a:r>
            <a:rPr lang="fr-FR" sz="1100" b="0" baseline="0">
              <a:ln>
                <a:noFill/>
              </a:ln>
              <a:solidFill>
                <a:sysClr val="windowText" lastClr="000000"/>
              </a:solidFill>
              <a:effectLst/>
              <a:latin typeface="+mn-lt"/>
              <a:ea typeface="+mn-ea"/>
              <a:cs typeface="+mn-cs"/>
            </a:rPr>
            <a:t> you describe your section, you shall start on 0 (APP) to Lpp. If not the </a:t>
          </a:r>
          <a:r>
            <a:rPr lang="fr-FR" sz="1100" b="0" i="1" baseline="0">
              <a:solidFill>
                <a:sysClr val="windowText" lastClr="000000"/>
              </a:solidFill>
              <a:effectLst/>
              <a:latin typeface="+mn-lt"/>
              <a:ea typeface="+mn-ea"/>
              <a:cs typeface="+mn-cs"/>
            </a:rPr>
            <a:t>Tbl_Long_Definition </a:t>
          </a:r>
          <a:r>
            <a:rPr lang="fr-FR" sz="1100" b="0" i="0" baseline="0">
              <a:solidFill>
                <a:sysClr val="windowText" lastClr="000000"/>
              </a:solidFill>
              <a:effectLst/>
              <a:latin typeface="+mn-lt"/>
              <a:ea typeface="+mn-ea"/>
              <a:cs typeface="+mn-cs"/>
            </a:rPr>
            <a:t>check cell will turn red.</a:t>
          </a:r>
          <a:endParaRPr lang="fr-FR" sz="1100" i="0" baseline="0">
            <a:ln>
              <a:noFill/>
            </a:ln>
            <a:solidFill>
              <a:sysClr val="windowText" lastClr="000000"/>
            </a:solidFill>
            <a:effectLst/>
            <a:latin typeface="+mn-lt"/>
            <a:ea typeface="+mn-ea"/>
            <a:cs typeface="+mn-cs"/>
          </a:endParaRPr>
        </a:p>
        <a:p>
          <a:r>
            <a:rPr lang="fr-FR" sz="1100" i="0" baseline="0">
              <a:ln>
                <a:noFill/>
              </a:ln>
              <a:solidFill>
                <a:sysClr val="windowText" lastClr="000000"/>
              </a:solidFill>
              <a:effectLst/>
              <a:latin typeface="+mn-lt"/>
              <a:ea typeface="+mn-ea"/>
              <a:cs typeface="+mn-cs"/>
            </a:rPr>
            <a:t> </a:t>
          </a:r>
        </a:p>
        <a:p>
          <a:endParaRPr lang="fr-FR">
            <a:ln>
              <a:noFill/>
            </a:ln>
            <a:solidFill>
              <a:sysClr val="windowText" lastClr="000000"/>
            </a:solidFill>
            <a:effectLst/>
          </a:endParaRPr>
        </a:p>
        <a:p>
          <a:pPr algn="l"/>
          <a:endParaRPr lang="fr-FR" sz="1100" baseline="0">
            <a:ln>
              <a:noFill/>
            </a:ln>
            <a:solidFill>
              <a:sysClr val="windowText" lastClr="000000"/>
            </a:solidFill>
          </a:endParaRPr>
        </a:p>
        <a:p>
          <a:pPr algn="l"/>
          <a:endParaRPr lang="fr-FR" sz="1100">
            <a:ln>
              <a:noFill/>
            </a:ln>
            <a:solidFill>
              <a:sysClr val="windowText" lastClr="000000"/>
            </a:solidFill>
          </a:endParaRPr>
        </a:p>
      </xdr:txBody>
    </xdr:sp>
    <xdr:clientData/>
  </xdr:twoCellAnchor>
  <xdr:twoCellAnchor>
    <xdr:from>
      <xdr:col>42</xdr:col>
      <xdr:colOff>537882</xdr:colOff>
      <xdr:row>36</xdr:row>
      <xdr:rowOff>100853</xdr:rowOff>
    </xdr:from>
    <xdr:to>
      <xdr:col>51</xdr:col>
      <xdr:colOff>11205</xdr:colOff>
      <xdr:row>60</xdr:row>
      <xdr:rowOff>150159</xdr:rowOff>
    </xdr:to>
    <xdr:graphicFrame macro="">
      <xdr:nvGraphicFramePr>
        <xdr:cNvPr id="9" name="Graphique 8">
          <a:extLst>
            <a:ext uri="{FF2B5EF4-FFF2-40B4-BE49-F238E27FC236}">
              <a16:creationId xmlns:a16="http://schemas.microsoft.com/office/drawing/2014/main" id="{00000000-0008-0000-0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36</xdr:col>
      <xdr:colOff>154781</xdr:colOff>
      <xdr:row>5</xdr:row>
      <xdr:rowOff>47625</xdr:rowOff>
    </xdr:from>
    <xdr:to>
      <xdr:col>47</xdr:col>
      <xdr:colOff>285749</xdr:colOff>
      <xdr:row>52</xdr:row>
      <xdr:rowOff>47624</xdr:rowOff>
    </xdr:to>
    <xdr:sp macro="" textlink="">
      <xdr:nvSpPr>
        <xdr:cNvPr id="2" name="Rectangle à coins arrondis 1">
          <a:extLst>
            <a:ext uri="{FF2B5EF4-FFF2-40B4-BE49-F238E27FC236}">
              <a16:creationId xmlns:a16="http://schemas.microsoft.com/office/drawing/2014/main" id="{00000000-0008-0000-0700-000002000000}"/>
            </a:ext>
          </a:extLst>
        </xdr:cNvPr>
        <xdr:cNvSpPr/>
      </xdr:nvSpPr>
      <xdr:spPr>
        <a:xfrm>
          <a:off x="28586906" y="1202531"/>
          <a:ext cx="8512968" cy="8941593"/>
        </a:xfrm>
        <a:prstGeom prst="roundRect">
          <a:avLst>
            <a:gd name="adj" fmla="val 3174"/>
          </a:avLst>
        </a:prstGeom>
        <a:solidFill>
          <a:srgbClr val="BFBFBF">
            <a:alpha val="56000"/>
          </a:srgbClr>
        </a:solidFill>
        <a:ln w="28575">
          <a:solidFill>
            <a:srgbClr val="0061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1" u="sng">
              <a:ln>
                <a:noFill/>
              </a:ln>
              <a:solidFill>
                <a:sysClr val="windowText" lastClr="000000"/>
              </a:solidFill>
            </a:rPr>
            <a:t>Hull &amp; Structure:</a:t>
          </a:r>
        </a:p>
        <a:p>
          <a:pPr algn="l"/>
          <a:r>
            <a:rPr lang="fr-FR" sz="1100">
              <a:ln>
                <a:noFill/>
              </a:ln>
              <a:solidFill>
                <a:sysClr val="windowText" lastClr="000000"/>
              </a:solidFill>
            </a:rPr>
            <a:t>This tab is used</a:t>
          </a:r>
          <a:r>
            <a:rPr lang="fr-FR" sz="1100" baseline="0">
              <a:ln>
                <a:noFill/>
              </a:ln>
              <a:solidFill>
                <a:sysClr val="windowText" lastClr="000000"/>
              </a:solidFill>
            </a:rPr>
            <a:t> to describe the GA of the ship. Basically, it shall contains the lightship weight and all the items planned to be installed which are not intended to move during operations. Note that lifting (cranes, ..) has a dedicated tab for structural computation reason, so don't add crane here, even if it is not planned to move.</a:t>
          </a:r>
        </a:p>
        <a:p>
          <a:pPr algn="l"/>
          <a:endParaRPr lang="fr-FR" sz="1100" baseline="0">
            <a:ln>
              <a:noFill/>
            </a:ln>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1" u="sng">
              <a:ln>
                <a:noFill/>
              </a:ln>
              <a:solidFill>
                <a:sysClr val="windowText" lastClr="000000"/>
              </a:solidFill>
              <a:effectLst/>
              <a:latin typeface="+mn-lt"/>
              <a:ea typeface="+mn-ea"/>
              <a:cs typeface="+mn-cs"/>
            </a:rPr>
            <a:t>Entry Field:</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a:ln>
                <a:noFill/>
              </a:ln>
              <a:solidFill>
                <a:sysClr val="windowText" lastClr="000000"/>
              </a:solidFill>
              <a:effectLst/>
              <a:latin typeface="+mn-lt"/>
              <a:ea typeface="+mn-ea"/>
              <a:cs typeface="+mn-cs"/>
            </a:rPr>
            <a:t>All</a:t>
          </a:r>
          <a:r>
            <a:rPr lang="fr-FR" sz="1100" b="0" u="none" baseline="0">
              <a:ln>
                <a:noFill/>
              </a:ln>
              <a:solidFill>
                <a:sysClr val="windowText" lastClr="000000"/>
              </a:solidFill>
              <a:effectLst/>
              <a:latin typeface="+mn-lt"/>
              <a:ea typeface="+mn-ea"/>
              <a:cs typeface="+mn-cs"/>
            </a:rPr>
            <a:t> the entry are done in the </a:t>
          </a:r>
          <a:r>
            <a:rPr lang="fr-FR" sz="1100" b="0" i="1" u="none">
              <a:ln>
                <a:noFill/>
              </a:ln>
              <a:solidFill>
                <a:sysClr val="windowText" lastClr="000000"/>
              </a:solidFill>
              <a:effectLst/>
              <a:latin typeface="+mn-lt"/>
              <a:ea typeface="+mn-ea"/>
              <a:cs typeface="+mn-cs"/>
            </a:rPr>
            <a:t>Tbl_Hull_Structure</a:t>
          </a:r>
          <a:r>
            <a:rPr lang="fr-FR" sz="1100" b="0" u="none">
              <a:ln>
                <a:noFill/>
              </a:ln>
              <a:solidFill>
                <a:sysClr val="windowText" lastClr="000000"/>
              </a:solidFill>
              <a:effectLst/>
              <a:latin typeface="+mn-lt"/>
              <a:ea typeface="+mn-ea"/>
              <a:cs typeface="+mn-cs"/>
            </a:rPr>
            <a:t> table, please follow the rules of tables.</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a:ln>
                <a:noFill/>
              </a:ln>
              <a:solidFill>
                <a:sysClr val="windowText" lastClr="000000"/>
              </a:solidFill>
              <a:effectLst/>
              <a:latin typeface="+mn-lt"/>
              <a:ea typeface="+mn-ea"/>
              <a:cs typeface="+mn-cs"/>
            </a:rPr>
            <a:t>- Group:</a:t>
          </a:r>
          <a:r>
            <a:rPr lang="fr-FR" sz="1100" b="0" u="none" baseline="0">
              <a:ln>
                <a:noFill/>
              </a:ln>
              <a:solidFill>
                <a:sysClr val="windowText" lastClr="000000"/>
              </a:solidFill>
              <a:effectLst/>
              <a:latin typeface="+mn-lt"/>
              <a:ea typeface="+mn-ea"/>
              <a:cs typeface="+mn-cs"/>
            </a:rPr>
            <a:t> add a number on each line you whant to be a group. An automatic format will highlight this line, and each group is summarized in the Recap tab. Group number shall be unique identifier (and will also be the header of the unique identifier of item). A group don't have weight neither CoG or other data : it's a group !</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Number: a unique identifier numbering for the group. Note that to ease your production, this number should be the same number as the one used in the GA drawing of the ship.</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Designation: item designation. Be clear and specify all required info to be able to know what it is and where it is (for example "winch" is not a good denomonation as it may have several winch on the deck, some may be big and some small. Prefer "fore starboard positionning 20t winch" or 'winch to raise the flag").</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Qty: the items quantity. Note that its often more reliable to add one line rather than putting everything in the same line and increasing Qty. For example if there are 4 winches (exactly identical) and you put one line "positionning winches" with Qty=4, if you move one winch, you will have to re-compute the CoG of the group. In addition, the repartition of the load will not be correct. Keep the Qty number to 1 as much as possible, adding one line cost nothing.</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Unitary: unatiry weight of the item</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Contingency: contingency to be applied on the item. Shall be greater than 1!</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X: Cog X position in the  ship coordinate system (X=0 @APP). Shall be computed on the GA using AutoCad</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Y</a:t>
          </a:r>
          <a:r>
            <a:rPr lang="fr-FR" sz="1100" b="0" baseline="0">
              <a:solidFill>
                <a:sysClr val="windowText" lastClr="000000"/>
              </a:solidFill>
              <a:effectLst/>
              <a:latin typeface="+mn-lt"/>
              <a:ea typeface="+mn-ea"/>
              <a:cs typeface="+mn-cs"/>
            </a:rPr>
            <a:t>: Cog Y position in the  ship coordinate system (Y=0 @baseline). Shall be computed on the GA using AutoCad</a:t>
          </a:r>
          <a:endParaRPr lang="fr-FR">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baseline="0">
              <a:solidFill>
                <a:sysClr val="windowText" lastClr="000000"/>
              </a:solidFill>
              <a:effectLst/>
              <a:latin typeface="+mn-lt"/>
              <a:ea typeface="+mn-ea"/>
              <a:cs typeface="+mn-cs"/>
            </a:rPr>
            <a:t>- Z: Cog Z position in the  ship coordinate system (Z=0 @keel add </a:t>
          </a:r>
          <a:r>
            <a:rPr lang="fr-FR" sz="1100" b="0" i="1" baseline="0">
              <a:solidFill>
                <a:sysClr val="windowText" lastClr="000000"/>
              </a:solidFill>
              <a:effectLst/>
              <a:latin typeface="+mn-lt"/>
              <a:ea typeface="+mn-ea"/>
              <a:cs typeface="+mn-cs"/>
            </a:rPr>
            <a:t>M_depth</a:t>
          </a:r>
          <a:r>
            <a:rPr lang="fr-FR" sz="1100" b="0" baseline="0">
              <a:solidFill>
                <a:sysClr val="windowText" lastClr="000000"/>
              </a:solidFill>
              <a:effectLst/>
              <a:latin typeface="+mn-lt"/>
              <a:ea typeface="+mn-ea"/>
              <a:cs typeface="+mn-cs"/>
            </a:rPr>
            <a:t> variable if required). Shall be computed on the GA using AutoCad</a:t>
          </a:r>
          <a:endParaRPr lang="fr-FR">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-X distrib: distribution on the load along X axis. Used for the structural check, the load will be reparted equally on this distance.</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-Source: reminder from where comes the data for this item</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Design stage: the design stage for the item. Not that an early design stage shall lead in a high contingency (15% or more)</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Comments: well, it is for commenting....</a:t>
          </a:r>
        </a:p>
        <a:p>
          <a:pPr algn="l"/>
          <a:endParaRPr lang="fr-FR" sz="1100" baseline="0">
            <a:ln>
              <a:noFill/>
            </a:ln>
            <a:solidFill>
              <a:sysClr val="windowText" lastClr="000000"/>
            </a:solidFill>
          </a:endParaRPr>
        </a:p>
        <a:p>
          <a:pPr eaLnBrk="1" fontAlgn="auto" latinLnBrk="0" hangingPunct="1"/>
          <a:r>
            <a:rPr lang="fr-FR" sz="1100" b="1" u="sng">
              <a:ln>
                <a:noFill/>
              </a:ln>
              <a:solidFill>
                <a:sysClr val="windowText" lastClr="000000"/>
              </a:solidFill>
              <a:effectLst/>
              <a:latin typeface="+mn-lt"/>
              <a:ea typeface="+mn-ea"/>
              <a:cs typeface="+mn-cs"/>
            </a:rPr>
            <a:t>Tab</a:t>
          </a:r>
          <a:r>
            <a:rPr lang="fr-FR" sz="1100" b="1" u="sng" baseline="0">
              <a:ln>
                <a:noFill/>
              </a:ln>
              <a:solidFill>
                <a:sysClr val="windowText" lastClr="000000"/>
              </a:solidFill>
              <a:effectLst/>
              <a:latin typeface="+mn-lt"/>
              <a:ea typeface="+mn-ea"/>
              <a:cs typeface="+mn-cs"/>
            </a:rPr>
            <a:t> process</a:t>
          </a:r>
          <a:r>
            <a:rPr lang="fr-FR" sz="1100" b="1" u="sng">
              <a:ln>
                <a:noFill/>
              </a:ln>
              <a:solidFill>
                <a:sysClr val="windowText" lastClr="000000"/>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fr-FR" sz="1100" b="0">
              <a:ln>
                <a:noFill/>
              </a:ln>
              <a:solidFill>
                <a:sysClr val="windowText" lastClr="000000"/>
              </a:solidFill>
              <a:effectLst/>
              <a:latin typeface="+mn-lt"/>
              <a:ea typeface="+mn-ea"/>
              <a:cs typeface="+mn-cs"/>
            </a:rPr>
            <a:t> -  This tab will export Weight</a:t>
          </a:r>
          <a:r>
            <a:rPr lang="fr-FR" sz="1100" b="0" baseline="0">
              <a:ln>
                <a:noFill/>
              </a:ln>
              <a:solidFill>
                <a:sysClr val="windowText" lastClr="000000"/>
              </a:solidFill>
              <a:effectLst/>
              <a:latin typeface="+mn-lt"/>
              <a:ea typeface="+mn-ea"/>
              <a:cs typeface="+mn-cs"/>
            </a:rPr>
            <a:t> and COG computation in Recap tab</a:t>
          </a:r>
        </a:p>
        <a:p>
          <a:pPr marL="0" marR="0" lvl="0" indent="0" defTabSz="914400" eaLnBrk="1" fontAlgn="auto" latinLnBrk="0" hangingPunct="1">
            <a:lnSpc>
              <a:spcPct val="100000"/>
            </a:lnSpc>
            <a:spcBef>
              <a:spcPts val="0"/>
            </a:spcBef>
            <a:spcAft>
              <a:spcPts val="0"/>
            </a:spcAft>
            <a:buClrTx/>
            <a:buSzTx/>
            <a:buFontTx/>
            <a:buNone/>
            <a:tabLst/>
            <a:defRPr/>
          </a:pPr>
          <a:r>
            <a:rPr lang="fr-FR" sz="1100" b="0" baseline="0">
              <a:ln>
                <a:noFill/>
              </a:ln>
              <a:solidFill>
                <a:sysClr val="windowText" lastClr="000000"/>
              </a:solidFill>
              <a:effectLst/>
              <a:latin typeface="+mn-lt"/>
              <a:ea typeface="+mn-ea"/>
              <a:cs typeface="+mn-cs"/>
            </a:rPr>
            <a:t> - In addition, it will export reparted loads in Load Distrib. tab.</a:t>
          </a:r>
        </a:p>
        <a:p>
          <a:pPr marL="0" marR="0" lvl="0" indent="0" defTabSz="914400" eaLnBrk="1" fontAlgn="auto" latinLnBrk="0" hangingPunct="1">
            <a:lnSpc>
              <a:spcPct val="100000"/>
            </a:lnSpc>
            <a:spcBef>
              <a:spcPts val="0"/>
            </a:spcBef>
            <a:spcAft>
              <a:spcPts val="0"/>
            </a:spcAft>
            <a:buClrTx/>
            <a:buSzTx/>
            <a:buFontTx/>
            <a:buNone/>
            <a:tabLst/>
            <a:defRPr/>
          </a:pPr>
          <a:r>
            <a:rPr lang="fr-FR" sz="1100" b="0" baseline="0">
              <a:ln>
                <a:noFill/>
              </a:ln>
              <a:solidFill>
                <a:sysClr val="windowText" lastClr="000000"/>
              </a:solidFill>
              <a:effectLst/>
              <a:latin typeface="+mn-lt"/>
              <a:ea typeface="+mn-ea"/>
              <a:cs typeface="+mn-cs"/>
            </a:rPr>
            <a:t>- Cog are computed using the Moments columns to avoid complicated formulas</a:t>
          </a:r>
        </a:p>
        <a:p>
          <a:pPr marL="0" marR="0" lvl="0" indent="0" defTabSz="914400" eaLnBrk="1" fontAlgn="auto" latinLnBrk="0" hangingPunct="1">
            <a:lnSpc>
              <a:spcPct val="100000"/>
            </a:lnSpc>
            <a:spcBef>
              <a:spcPts val="0"/>
            </a:spcBef>
            <a:spcAft>
              <a:spcPts val="0"/>
            </a:spcAft>
            <a:buClrTx/>
            <a:buSzTx/>
            <a:buFontTx/>
            <a:buNone/>
            <a:tabLst/>
            <a:defRPr/>
          </a:pPr>
          <a:r>
            <a:rPr lang="fr-FR" sz="1100" b="0" baseline="0">
              <a:ln>
                <a:noFill/>
              </a:ln>
              <a:solidFill>
                <a:sysClr val="windowText" lastClr="000000"/>
              </a:solidFill>
              <a:effectLst/>
              <a:latin typeface="+mn-lt"/>
              <a:ea typeface="+mn-ea"/>
              <a:cs typeface="+mn-cs"/>
            </a:rPr>
            <a:t>- Load repartition is computed assuming that the COG is centered on the  Repatition length. In case of an item with an excentered  CoG, you can manually tweak the repartition, but it is not recommanded as most of the time, depending on item weight, it will have no impact on further computation</a:t>
          </a:r>
          <a:endParaRPr lang="fr-FR" sz="1100" baseline="0">
            <a:ln>
              <a:noFill/>
            </a:ln>
            <a:solidFill>
              <a:sysClr val="windowText" lastClr="000000"/>
            </a:solidFill>
            <a:effectLst/>
            <a:latin typeface="+mn-lt"/>
            <a:ea typeface="+mn-ea"/>
            <a:cs typeface="+mn-cs"/>
          </a:endParaRPr>
        </a:p>
        <a:p>
          <a:endParaRPr lang="fr-FR" sz="1100" baseline="0">
            <a:ln>
              <a:noFill/>
            </a:ln>
            <a:solidFill>
              <a:sysClr val="windowText" lastClr="000000"/>
            </a:solidFill>
            <a:effectLst/>
            <a:latin typeface="+mn-lt"/>
            <a:ea typeface="+mn-ea"/>
            <a:cs typeface="+mn-cs"/>
          </a:endParaRPr>
        </a:p>
        <a:p>
          <a:pPr eaLnBrk="1" fontAlgn="auto" latinLnBrk="0" hangingPunct="1"/>
          <a:r>
            <a:rPr lang="fr-FR" sz="1100" b="1" u="sng">
              <a:ln>
                <a:noFill/>
              </a:ln>
              <a:solidFill>
                <a:sysClr val="windowText" lastClr="000000"/>
              </a:solidFill>
              <a:effectLst/>
              <a:latin typeface="+mn-lt"/>
              <a:ea typeface="+mn-ea"/>
              <a:cs typeface="+mn-cs"/>
            </a:rPr>
            <a:t>Checks:</a:t>
          </a:r>
          <a:endParaRPr lang="fr-FR">
            <a:ln>
              <a:noFill/>
            </a:ln>
            <a:solidFill>
              <a:sysClr val="windowText" lastClr="000000"/>
            </a:solidFill>
            <a:effectLst/>
          </a:endParaRPr>
        </a:p>
        <a:p>
          <a:pPr eaLnBrk="1" fontAlgn="auto" latinLnBrk="0" hangingPunct="1"/>
          <a:r>
            <a:rPr lang="fr-FR" sz="1100" b="0">
              <a:ln>
                <a:noFill/>
              </a:ln>
              <a:solidFill>
                <a:sysClr val="windowText" lastClr="000000"/>
              </a:solidFill>
              <a:effectLst/>
              <a:latin typeface="+mn-lt"/>
              <a:ea typeface="+mn-ea"/>
              <a:cs typeface="+mn-cs"/>
            </a:rPr>
            <a:t> -  Always keep an eye to the global</a:t>
          </a:r>
          <a:r>
            <a:rPr lang="fr-FR" sz="1100" b="0" baseline="0">
              <a:ln>
                <a:noFill/>
              </a:ln>
              <a:solidFill>
                <a:sysClr val="windowText" lastClr="000000"/>
              </a:solidFill>
              <a:effectLst/>
              <a:latin typeface="+mn-lt"/>
              <a:ea typeface="+mn-ea"/>
              <a:cs typeface="+mn-cs"/>
            </a:rPr>
            <a:t> ship weiht and the global contingency number</a:t>
          </a:r>
        </a:p>
        <a:p>
          <a:pPr eaLnBrk="1" fontAlgn="auto" latinLnBrk="0" hangingPunct="1"/>
          <a:r>
            <a:rPr lang="fr-FR" sz="1100" b="0" baseline="0">
              <a:ln>
                <a:noFill/>
              </a:ln>
              <a:solidFill>
                <a:sysClr val="windowText" lastClr="000000"/>
              </a:solidFill>
              <a:effectLst/>
              <a:latin typeface="+mn-lt"/>
              <a:ea typeface="+mn-ea"/>
              <a:cs typeface="+mn-cs"/>
            </a:rPr>
            <a:t> - The factored weight check is used to see discrepency with Recap tab. If red, most of the time a sum is wrong either in this tab or the Recap tab</a:t>
          </a:r>
        </a:p>
        <a:p>
          <a:pPr eaLnBrk="1" fontAlgn="auto" latinLnBrk="0" hangingPunct="1"/>
          <a:r>
            <a:rPr lang="fr-FR" sz="1100" b="0" baseline="0">
              <a:ln>
                <a:noFill/>
              </a:ln>
              <a:solidFill>
                <a:sysClr val="windowText" lastClr="000000"/>
              </a:solidFill>
              <a:effectLst/>
              <a:latin typeface="+mn-lt"/>
              <a:ea typeface="+mn-ea"/>
              <a:cs typeface="+mn-cs"/>
            </a:rPr>
            <a:t>-  The CoG Check,are not really mandatory to be green, itr is an helper to manually adjust parameters. It checkls that CoG is between 1/3 and 2/3 of the load repartition. But as the repartition is sample with FE size for computation, for small distribution length, CoG may be outside of this box. </a:t>
          </a:r>
          <a:endParaRPr lang="fr-FR">
            <a:ln>
              <a:noFill/>
            </a:ln>
            <a:solidFill>
              <a:sysClr val="windowText" lastClr="000000"/>
            </a:solidFill>
            <a:effectLst/>
          </a:endParaRPr>
        </a:p>
        <a:p>
          <a:pPr eaLnBrk="1" fontAlgn="auto" latinLnBrk="0" hangingPunct="1"/>
          <a:r>
            <a:rPr lang="fr-FR" sz="1100" b="0">
              <a:ln>
                <a:noFill/>
              </a:ln>
              <a:solidFill>
                <a:sysClr val="windowText" lastClr="000000"/>
              </a:solidFill>
              <a:effectLst/>
              <a:latin typeface="+mn-lt"/>
              <a:ea typeface="+mn-ea"/>
              <a:cs typeface="+mn-cs"/>
            </a:rPr>
            <a:t> - The repart position check shal</a:t>
          </a:r>
          <a:r>
            <a:rPr lang="fr-FR" sz="1100" b="0" baseline="0">
              <a:ln>
                <a:noFill/>
              </a:ln>
              <a:solidFill>
                <a:sysClr val="windowText" lastClr="000000"/>
              </a:solidFill>
              <a:effectLst/>
              <a:latin typeface="+mn-lt"/>
              <a:ea typeface="+mn-ea"/>
              <a:cs typeface="+mn-cs"/>
            </a:rPr>
            <a:t> be green</a:t>
          </a:r>
          <a:r>
            <a:rPr lang="fr-FR" sz="1100" b="0" i="0" baseline="0">
              <a:solidFill>
                <a:sysClr val="windowText" lastClr="000000"/>
              </a:solidFill>
              <a:effectLst/>
              <a:latin typeface="+mn-lt"/>
              <a:ea typeface="+mn-ea"/>
              <a:cs typeface="+mn-cs"/>
            </a:rPr>
            <a:t>. It checks that loads are applied bewteen 0 and Lpp. FOr example it prevent to put a load at CoG x=1m with a repartition of 10m, which will lead to a load applied between -9 mand +11m, so outside of the deck.</a:t>
          </a:r>
          <a:endParaRPr lang="fr-FR" sz="1100" i="0" baseline="0">
            <a:ln>
              <a:noFill/>
            </a:ln>
            <a:solidFill>
              <a:sysClr val="windowText" lastClr="000000"/>
            </a:solidFill>
            <a:effectLst/>
            <a:latin typeface="+mn-lt"/>
            <a:ea typeface="+mn-ea"/>
            <a:cs typeface="+mn-cs"/>
          </a:endParaRPr>
        </a:p>
        <a:p>
          <a:r>
            <a:rPr lang="fr-FR" sz="1100" i="0" baseline="0">
              <a:ln>
                <a:noFill/>
              </a:ln>
              <a:solidFill>
                <a:sysClr val="windowText" lastClr="000000"/>
              </a:solidFill>
              <a:effectLst/>
              <a:latin typeface="+mn-lt"/>
              <a:ea typeface="+mn-ea"/>
              <a:cs typeface="+mn-cs"/>
            </a:rPr>
            <a:t> </a:t>
          </a:r>
        </a:p>
        <a:p>
          <a:endParaRPr lang="fr-FR">
            <a:ln>
              <a:noFill/>
            </a:ln>
            <a:solidFill>
              <a:sysClr val="windowText" lastClr="000000"/>
            </a:solidFill>
            <a:effectLst/>
          </a:endParaRPr>
        </a:p>
        <a:p>
          <a:pPr algn="l"/>
          <a:endParaRPr lang="fr-FR" sz="1100" baseline="0">
            <a:ln>
              <a:noFill/>
            </a:ln>
            <a:solidFill>
              <a:sysClr val="windowText" lastClr="000000"/>
            </a:solidFill>
          </a:endParaRPr>
        </a:p>
        <a:p>
          <a:pPr algn="l"/>
          <a:endParaRPr lang="fr-FR" sz="1100">
            <a:ln>
              <a:noFill/>
            </a:ln>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305</xdr:col>
      <xdr:colOff>268944</xdr:colOff>
      <xdr:row>0</xdr:row>
      <xdr:rowOff>67235</xdr:rowOff>
    </xdr:from>
    <xdr:to>
      <xdr:col>314</xdr:col>
      <xdr:colOff>257738</xdr:colOff>
      <xdr:row>43</xdr:row>
      <xdr:rowOff>156881</xdr:rowOff>
    </xdr:to>
    <xdr:sp macro="" textlink="">
      <xdr:nvSpPr>
        <xdr:cNvPr id="2" name="Rectangle à coins arrondis 1">
          <a:extLst>
            <a:ext uri="{FF2B5EF4-FFF2-40B4-BE49-F238E27FC236}">
              <a16:creationId xmlns:a16="http://schemas.microsoft.com/office/drawing/2014/main" id="{00000000-0008-0000-0800-000002000000}"/>
            </a:ext>
          </a:extLst>
        </xdr:cNvPr>
        <xdr:cNvSpPr/>
      </xdr:nvSpPr>
      <xdr:spPr>
        <a:xfrm>
          <a:off x="188079532" y="67235"/>
          <a:ext cx="6465794" cy="8527675"/>
        </a:xfrm>
        <a:prstGeom prst="roundRect">
          <a:avLst>
            <a:gd name="adj" fmla="val 10853"/>
          </a:avLst>
        </a:prstGeom>
        <a:solidFill>
          <a:srgbClr val="BFBFBF">
            <a:alpha val="70000"/>
          </a:srgb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4000">
              <a:solidFill>
                <a:srgbClr val="C00000"/>
              </a:solidFill>
            </a:rPr>
            <a:t>Not used in this</a:t>
          </a:r>
          <a:r>
            <a:rPr lang="fr-FR" sz="4000" baseline="0">
              <a:solidFill>
                <a:srgbClr val="C00000"/>
              </a:solidFill>
            </a:rPr>
            <a:t> file</a:t>
          </a:r>
          <a:endParaRPr lang="fr-FR" sz="4000">
            <a:solidFill>
              <a:srgbClr val="C00000"/>
            </a:solidFill>
          </a:endParaRPr>
        </a:p>
      </xdr:txBody>
    </xdr:sp>
    <xdr:clientData/>
  </xdr:twoCellAnchor>
  <xdr:twoCellAnchor>
    <xdr:from>
      <xdr:col>10</xdr:col>
      <xdr:colOff>672354</xdr:colOff>
      <xdr:row>32</xdr:row>
      <xdr:rowOff>89647</xdr:rowOff>
    </xdr:from>
    <xdr:to>
      <xdr:col>23</xdr:col>
      <xdr:colOff>209410</xdr:colOff>
      <xdr:row>96</xdr:row>
      <xdr:rowOff>123264</xdr:rowOff>
    </xdr:to>
    <xdr:sp macro="" textlink="">
      <xdr:nvSpPr>
        <xdr:cNvPr id="10" name="Rectangle à coins arrondis 9">
          <a:extLst>
            <a:ext uri="{FF2B5EF4-FFF2-40B4-BE49-F238E27FC236}">
              <a16:creationId xmlns:a16="http://schemas.microsoft.com/office/drawing/2014/main" id="{00000000-0008-0000-0800-00000A000000}"/>
            </a:ext>
          </a:extLst>
        </xdr:cNvPr>
        <xdr:cNvSpPr/>
      </xdr:nvSpPr>
      <xdr:spPr>
        <a:xfrm>
          <a:off x="7026089" y="6432176"/>
          <a:ext cx="8580203" cy="12225617"/>
        </a:xfrm>
        <a:prstGeom prst="roundRect">
          <a:avLst>
            <a:gd name="adj" fmla="val 3174"/>
          </a:avLst>
        </a:prstGeom>
        <a:solidFill>
          <a:srgbClr val="BFBFBF">
            <a:alpha val="56000"/>
          </a:srgbClr>
        </a:solidFill>
        <a:ln w="28575">
          <a:solidFill>
            <a:srgbClr val="0061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1" u="sng">
              <a:ln>
                <a:noFill/>
              </a:ln>
              <a:solidFill>
                <a:sysClr val="windowText" lastClr="000000"/>
              </a:solidFill>
            </a:rPr>
            <a:t>Ballast:</a:t>
          </a:r>
        </a:p>
        <a:p>
          <a:pPr algn="l"/>
          <a:r>
            <a:rPr lang="fr-FR" sz="1100">
              <a:ln>
                <a:noFill/>
              </a:ln>
              <a:solidFill>
                <a:sysClr val="windowText" lastClr="000000"/>
              </a:solidFill>
            </a:rPr>
            <a:t>This tab is used to compute Ballast</a:t>
          </a:r>
          <a:r>
            <a:rPr lang="fr-FR" sz="1100" baseline="0">
              <a:ln>
                <a:noFill/>
              </a:ln>
              <a:solidFill>
                <a:sysClr val="windowText" lastClr="000000"/>
              </a:solidFill>
            </a:rPr>
            <a:t> datas from given geometry, and then export actual Ballast state using Hullage survey filled in the Recap tab. It is probably the most complex setup to do when starting a new ship.</a:t>
          </a:r>
        </a:p>
        <a:p>
          <a:pPr algn="l"/>
          <a:endParaRPr lang="fr-FR" sz="1100" baseline="0">
            <a:ln>
              <a:noFill/>
            </a:ln>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1" u="sng">
              <a:ln>
                <a:noFill/>
              </a:ln>
              <a:solidFill>
                <a:sysClr val="windowText" lastClr="000000"/>
              </a:solidFill>
              <a:effectLst/>
              <a:latin typeface="+mn-lt"/>
              <a:ea typeface="+mn-ea"/>
              <a:cs typeface="+mn-cs"/>
            </a:rPr>
            <a:t>Entry Field:</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a:ln>
                <a:noFill/>
              </a:ln>
              <a:solidFill>
                <a:sysClr val="windowText" lastClr="000000"/>
              </a:solidFill>
              <a:effectLst/>
              <a:latin typeface="+mn-lt"/>
              <a:ea typeface="+mn-ea"/>
              <a:cs typeface="+mn-cs"/>
            </a:rPr>
            <a:t>First of</a:t>
          </a:r>
          <a:r>
            <a:rPr lang="fr-FR" sz="1100" b="0" u="none" baseline="0">
              <a:ln>
                <a:noFill/>
              </a:ln>
              <a:solidFill>
                <a:sysClr val="windowText" lastClr="000000"/>
              </a:solidFill>
              <a:effectLst/>
              <a:latin typeface="+mn-lt"/>
              <a:ea typeface="+mn-ea"/>
              <a:cs typeface="+mn-cs"/>
            </a:rPr>
            <a:t> all, you will have to place cells in the Recap tab to fill the Hullage survey. Always do that just if you are looking the ship from the aft to the fore (Portside on your left and starboard on your right)</a:t>
          </a:r>
          <a:r>
            <a:rPr lang="fr-FR" sz="1100" b="0" u="none">
              <a:ln>
                <a:noFill/>
              </a:ln>
              <a:solidFill>
                <a:sysClr val="windowText" lastClr="000000"/>
              </a:solidFill>
              <a:effectLst/>
              <a:latin typeface="+mn-lt"/>
              <a:ea typeface="+mn-ea"/>
              <a:cs typeface="+mn-cs"/>
            </a:rPr>
            <a:t>. It will greatly ease the use of the sheet.</a:t>
          </a:r>
          <a:r>
            <a:rPr lang="fr-FR" sz="1100" b="0" u="none" baseline="0">
              <a:ln>
                <a:noFill/>
              </a:ln>
              <a:solidFill>
                <a:sysClr val="windowText" lastClr="000000"/>
              </a:solidFill>
              <a:effectLst/>
              <a:latin typeface="+mn-lt"/>
              <a:ea typeface="+mn-ea"/>
              <a:cs typeface="+mn-cs"/>
            </a:rPr>
            <a:t> Place a screenshot of this arrangement in this tab. Note that the name have no impact on  the algorytm, but you shall use the same name in this tab otherwise nobody can understand the underlaying datas.</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In addition, setup the reported weight help range in Recap tab, on the right side of the ballast range. Don't merge cell and just copy paste format &amp; formulas, it will automatically link to the correct Ballast, and an automatic format will be applied to hightlight tthe tank  weight. The only requirement is that this range shall be spaced with one free column and row aligned with Hullage range.</a:t>
          </a:r>
        </a:p>
        <a:p>
          <a:pPr marL="0" marR="0" lvl="0" indent="0" algn="l" defTabSz="914400" eaLnBrk="1" fontAlgn="auto" latinLnBrk="0" hangingPunct="1">
            <a:lnSpc>
              <a:spcPct val="100000"/>
            </a:lnSpc>
            <a:spcBef>
              <a:spcPts val="0"/>
            </a:spcBef>
            <a:spcAft>
              <a:spcPts val="0"/>
            </a:spcAft>
            <a:buClrTx/>
            <a:buSzTx/>
            <a:buFontTx/>
            <a:buNone/>
            <a:tabLst/>
            <a:defRPr/>
          </a:pPr>
          <a:endParaRPr lang="fr-FR" sz="1100" b="0" u="none" baseline="0">
            <a:ln>
              <a:noFill/>
            </a:ln>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Then setup your ballasts data. Each ballast has a 8 columns range. Each range shall be separated from the other with 2 free columns  so that the data step is 10.</a:t>
          </a:r>
        </a:p>
        <a:p>
          <a:pPr marL="0" marR="0" lvl="0" indent="0" algn="l" defTabSz="914400" eaLnBrk="1" fontAlgn="auto" latinLnBrk="0" hangingPunct="1">
            <a:lnSpc>
              <a:spcPct val="100000"/>
            </a:lnSpc>
            <a:spcBef>
              <a:spcPts val="0"/>
            </a:spcBef>
            <a:spcAft>
              <a:spcPts val="0"/>
            </a:spcAft>
            <a:buClrTx/>
            <a:buSzTx/>
            <a:buFontTx/>
            <a:buNone/>
            <a:tabLst/>
            <a:defRPr/>
          </a:pPr>
          <a:endParaRPr lang="fr-FR" sz="1100" b="0" u="none" baseline="0">
            <a:ln>
              <a:noFill/>
            </a:ln>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Fill the corresponding ballast name (upper left cell). Note that you should have a logical order in your ballast range otherwise  binding operations will be difficult. </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Z fields : the upper one is the lowest Z of the tank, lower one the uppper Z. </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Xcog: X center of gravity. (middle of the tank). Note that the lower X is the most important, the upper one, used in trapeze tank just indicate the orientation of the slope of the tank.</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baseline="0">
              <a:solidFill>
                <a:sysClr val="windowText" lastClr="000000"/>
              </a:solidFill>
              <a:effectLst/>
              <a:latin typeface="+mn-lt"/>
              <a:ea typeface="+mn-ea"/>
              <a:cs typeface="+mn-cs"/>
            </a:rPr>
            <a:t>- Ycog: Y center of gravity. (middle of the tank). Exaclty same comments as for Xcdg</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baseline="0">
              <a:solidFill>
                <a:sysClr val="windowText" lastClr="000000"/>
              </a:solidFill>
              <a:effectLst/>
              <a:latin typeface="+mn-lt"/>
              <a:ea typeface="+mn-ea"/>
              <a:cs typeface="+mn-cs"/>
            </a:rPr>
            <a:t>- Length and Width: lenght along X axis and Width transverse dimention on the tank. Just place the lower and upper value. For trapeze tank, the  end of the slope (reaching the vertical bulkwark) will be automatically determined by the slope</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baseline="0">
              <a:solidFill>
                <a:sysClr val="windowText" lastClr="000000"/>
              </a:solidFill>
              <a:effectLst/>
              <a:latin typeface="+mn-lt"/>
              <a:ea typeface="+mn-ea"/>
              <a:cs typeface="+mn-cs"/>
            </a:rPr>
            <a:t>- Specific weight: enter the specific weight of the liquid that will filled the ballast</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baseline="0">
              <a:solidFill>
                <a:sysClr val="windowText" lastClr="000000"/>
              </a:solidFill>
              <a:effectLst/>
              <a:latin typeface="+mn-lt"/>
              <a:ea typeface="+mn-ea"/>
              <a:cs typeface="+mn-cs"/>
            </a:rPr>
            <a:t>-Slopes: There is one entry for L (length) and one entry for W (Width). Slope is always considered to start at the bottom of the tank, there is no option to make the slope start upper. Slope is  the ratio of the vertical distance by the horizontal distance  (the greater it is the  more vertical is the ballast bluk). Note that slope will have no effect if the length (or width) is the same at bottom level and at upper level.(noted as keel and deck but could be away from this limits)</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baseline="0">
              <a:solidFill>
                <a:sysClr val="windowText" lastClr="000000"/>
              </a:solidFill>
              <a:effectLst/>
              <a:latin typeface="+mn-lt"/>
              <a:ea typeface="+mn-ea"/>
              <a:cs typeface="+mn-cs"/>
            </a:rPr>
            <a:t>Once that done the table below shall reflect the hullage ballast table. Note that the integration is made using trapeze approximation, so  some minor difference shall appear with real ballast computation (checked on various ballast shape), particullary with 3D trapeze ballast.</a:t>
          </a:r>
        </a:p>
        <a:p>
          <a:pPr marL="0" marR="0" lvl="0" indent="0" algn="l" defTabSz="914400" eaLnBrk="1" fontAlgn="auto" latinLnBrk="0" hangingPunct="1">
            <a:lnSpc>
              <a:spcPct val="100000"/>
            </a:lnSpc>
            <a:spcBef>
              <a:spcPts val="0"/>
            </a:spcBef>
            <a:spcAft>
              <a:spcPts val="0"/>
            </a:spcAft>
            <a:buClrTx/>
            <a:buSzTx/>
            <a:buFontTx/>
            <a:buNone/>
            <a:tabLst/>
            <a:defRPr/>
          </a:pPr>
          <a:endParaRPr lang="fr-FR" sz="1100" b="0" u="none" baseline="0">
            <a:ln>
              <a:noFill/>
            </a:ln>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Continue to setup all the ship ballast if required, by copying the 8 colmuns after 2 free columns as explained before. No need to delete extra ballast, just mark it as unused with the corresponding frame.</a:t>
          </a:r>
        </a:p>
        <a:p>
          <a:pPr marL="0" marR="0" lvl="0" indent="0" algn="l" defTabSz="914400" eaLnBrk="1" fontAlgn="auto" latinLnBrk="0" hangingPunct="1">
            <a:lnSpc>
              <a:spcPct val="100000"/>
            </a:lnSpc>
            <a:spcBef>
              <a:spcPts val="0"/>
            </a:spcBef>
            <a:spcAft>
              <a:spcPts val="0"/>
            </a:spcAft>
            <a:buClrTx/>
            <a:buSzTx/>
            <a:buFontTx/>
            <a:buNone/>
            <a:tabLst/>
            <a:defRPr/>
          </a:pPr>
          <a:endParaRPr lang="fr-FR" sz="1100" b="0" u="none" baseline="0">
            <a:ln>
              <a:noFill/>
            </a:ln>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Setup the Nb of line for ballast (uppper left of the sheet): it shall be the row number of the last numerical value in the first ballast datat (just before the #N/A value. If you don't see any #N/A value, you will have to extend all the ballast range by copying cells with formulas  as it is not tables). This field is used to optimize computation and depend on ballast height and ballast calculation steps.</a:t>
          </a:r>
        </a:p>
        <a:p>
          <a:pPr marL="0" marR="0" lvl="0" indent="0" algn="l" defTabSz="914400" eaLnBrk="1" fontAlgn="auto" latinLnBrk="0" hangingPunct="1">
            <a:lnSpc>
              <a:spcPct val="100000"/>
            </a:lnSpc>
            <a:spcBef>
              <a:spcPts val="0"/>
            </a:spcBef>
            <a:spcAft>
              <a:spcPts val="0"/>
            </a:spcAft>
            <a:buClrTx/>
            <a:buSzTx/>
            <a:buFontTx/>
            <a:buNone/>
            <a:tabLst/>
            <a:defRPr/>
          </a:pPr>
          <a:endParaRPr lang="fr-FR" sz="1100" b="0" u="none" baseline="0">
            <a:ln>
              <a:noFill/>
            </a:ln>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Finally, setup the binding in </a:t>
          </a:r>
          <a:r>
            <a:rPr lang="fr-FR" sz="1100" b="0" i="1" u="none">
              <a:ln>
                <a:noFill/>
              </a:ln>
              <a:solidFill>
                <a:sysClr val="windowText" lastClr="000000"/>
              </a:solidFill>
              <a:effectLst/>
              <a:latin typeface="+mn-lt"/>
              <a:ea typeface="+mn-ea"/>
              <a:cs typeface="+mn-cs"/>
            </a:rPr>
            <a:t>Tbl_Ballasts</a:t>
          </a:r>
          <a:r>
            <a:rPr lang="fr-FR" sz="1100" b="0" u="none">
              <a:ln>
                <a:noFill/>
              </a:ln>
              <a:solidFill>
                <a:sysClr val="windowText" lastClr="000000"/>
              </a:solidFill>
              <a:effectLst/>
              <a:latin typeface="+mn-lt"/>
              <a:ea typeface="+mn-ea"/>
              <a:cs typeface="+mn-cs"/>
            </a:rPr>
            <a:t> table:</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a:ln>
                <a:noFill/>
              </a:ln>
              <a:solidFill>
                <a:sysClr val="windowText" lastClr="000000"/>
              </a:solidFill>
              <a:effectLst/>
              <a:latin typeface="+mn-lt"/>
              <a:ea typeface="+mn-ea"/>
              <a:cs typeface="+mn-cs"/>
            </a:rPr>
            <a:t> - First check in</a:t>
          </a:r>
          <a:r>
            <a:rPr lang="fr-FR" sz="1100" b="0" u="none" baseline="0">
              <a:ln>
                <a:noFill/>
              </a:ln>
              <a:solidFill>
                <a:sysClr val="windowText" lastClr="000000"/>
              </a:solidFill>
              <a:effectLst/>
              <a:latin typeface="+mn-lt"/>
              <a:ea typeface="+mn-ea"/>
              <a:cs typeface="+mn-cs"/>
            </a:rPr>
            <a:t> Recap tab that the Recap_Ballast named range take all the hullage survey data but only the hullage survey data (i.e. only blue numerical value you enter)</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 Then using the screenshot you made, fill the corresponding Recap Row and Recap column entry for each ballast (1, 1is upper left corner  of the name range. Note that for merged cells (you may want to merge some cells to schematics the ship tank arrangement), the upper  left cells shall be consider for binding. To check if binding is correct, enter a discriminant value in the corresponding ballast in the rRecap tab, and check that it is correctly reported in Recap entry column (you can also check that it is reported in the green background, green foreground cell in each tank range).</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 Note that all line with no binding could be let as they will not be taken in account in the Recap tap</a:t>
          </a:r>
        </a:p>
        <a:p>
          <a:pPr algn="l"/>
          <a:endParaRPr lang="fr-FR" sz="1100" baseline="0">
            <a:ln>
              <a:noFill/>
            </a:ln>
            <a:solidFill>
              <a:sysClr val="windowText" lastClr="000000"/>
            </a:solidFill>
          </a:endParaRPr>
        </a:p>
        <a:p>
          <a:pPr eaLnBrk="1" fontAlgn="auto" latinLnBrk="0" hangingPunct="1"/>
          <a:r>
            <a:rPr lang="fr-FR" sz="1100" b="1" u="sng">
              <a:ln>
                <a:noFill/>
              </a:ln>
              <a:solidFill>
                <a:sysClr val="windowText" lastClr="000000"/>
              </a:solidFill>
              <a:effectLst/>
              <a:latin typeface="+mn-lt"/>
              <a:ea typeface="+mn-ea"/>
              <a:cs typeface="+mn-cs"/>
            </a:rPr>
            <a:t>Tab</a:t>
          </a:r>
          <a:r>
            <a:rPr lang="fr-FR" sz="1100" b="1" u="sng" baseline="0">
              <a:ln>
                <a:noFill/>
              </a:ln>
              <a:solidFill>
                <a:sysClr val="windowText" lastClr="000000"/>
              </a:solidFill>
              <a:effectLst/>
              <a:latin typeface="+mn-lt"/>
              <a:ea typeface="+mn-ea"/>
              <a:cs typeface="+mn-cs"/>
            </a:rPr>
            <a:t> process</a:t>
          </a:r>
          <a:r>
            <a:rPr lang="fr-FR" sz="1100" b="1" u="sng">
              <a:ln>
                <a:noFill/>
              </a:ln>
              <a:solidFill>
                <a:sysClr val="windowText" lastClr="000000"/>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fr-FR" sz="1100" b="0">
              <a:ln>
                <a:noFill/>
              </a:ln>
              <a:solidFill>
                <a:sysClr val="windowText" lastClr="000000"/>
              </a:solidFill>
              <a:effectLst/>
              <a:latin typeface="+mn-lt"/>
              <a:ea typeface="+mn-ea"/>
              <a:cs typeface="+mn-cs"/>
            </a:rPr>
            <a:t> -  This tab will export Weight</a:t>
          </a:r>
          <a:r>
            <a:rPr lang="fr-FR" sz="1100" b="0" baseline="0">
              <a:ln>
                <a:noFill/>
              </a:ln>
              <a:solidFill>
                <a:sysClr val="windowText" lastClr="000000"/>
              </a:solidFill>
              <a:effectLst/>
              <a:latin typeface="+mn-lt"/>
              <a:ea typeface="+mn-ea"/>
              <a:cs typeface="+mn-cs"/>
            </a:rPr>
            <a:t> and COG computation in Recap tab</a:t>
          </a:r>
        </a:p>
        <a:p>
          <a:pPr marL="0" marR="0" lvl="0" indent="0" defTabSz="914400" eaLnBrk="1" fontAlgn="auto" latinLnBrk="0" hangingPunct="1">
            <a:lnSpc>
              <a:spcPct val="100000"/>
            </a:lnSpc>
            <a:spcBef>
              <a:spcPts val="0"/>
            </a:spcBef>
            <a:spcAft>
              <a:spcPts val="0"/>
            </a:spcAft>
            <a:buClrTx/>
            <a:buSzTx/>
            <a:buFontTx/>
            <a:buNone/>
            <a:tabLst/>
            <a:defRPr/>
          </a:pPr>
          <a:r>
            <a:rPr lang="fr-FR" sz="1100" b="0" baseline="0">
              <a:ln>
                <a:noFill/>
              </a:ln>
              <a:solidFill>
                <a:sysClr val="windowText" lastClr="000000"/>
              </a:solidFill>
              <a:effectLst/>
              <a:latin typeface="+mn-lt"/>
              <a:ea typeface="+mn-ea"/>
              <a:cs typeface="+mn-cs"/>
            </a:rPr>
            <a:t> - In addition, it will export reparted loads in Load Distrib. tab.</a:t>
          </a:r>
        </a:p>
        <a:p>
          <a:r>
            <a:rPr lang="fr-FR" sz="1100" baseline="0">
              <a:ln>
                <a:noFill/>
              </a:ln>
              <a:solidFill>
                <a:sysClr val="windowText" lastClr="000000"/>
              </a:solidFill>
              <a:effectLst/>
              <a:latin typeface="+mn-lt"/>
              <a:ea typeface="+mn-ea"/>
              <a:cs typeface="+mn-cs"/>
            </a:rPr>
            <a:t> - Weight of each ballast tank is automatically reported in the Recap tab to help user to see the effect on the hullage values. This is done by using the code (which is a formatting Row &amp; Column number) column and checking with the cell position in the Recap tab. To make it work , it is iomportant to let one free column between Hullage range and Weight report Range, and that these ranges are row aligned.</a:t>
          </a:r>
        </a:p>
        <a:p>
          <a:endParaRPr lang="fr-FR" sz="1100" baseline="0">
            <a:ln>
              <a:noFill/>
            </a:ln>
            <a:solidFill>
              <a:sysClr val="windowText" lastClr="000000"/>
            </a:solidFill>
            <a:effectLst/>
            <a:latin typeface="+mn-lt"/>
            <a:ea typeface="+mn-ea"/>
            <a:cs typeface="+mn-cs"/>
          </a:endParaRPr>
        </a:p>
        <a:p>
          <a:pPr eaLnBrk="1" fontAlgn="auto" latinLnBrk="0" hangingPunct="1"/>
          <a:r>
            <a:rPr lang="fr-FR" sz="1100" b="1" u="sng">
              <a:ln>
                <a:noFill/>
              </a:ln>
              <a:solidFill>
                <a:sysClr val="windowText" lastClr="000000"/>
              </a:solidFill>
              <a:effectLst/>
              <a:latin typeface="+mn-lt"/>
              <a:ea typeface="+mn-ea"/>
              <a:cs typeface="+mn-cs"/>
            </a:rPr>
            <a:t>Checks:</a:t>
          </a:r>
          <a:endParaRPr lang="fr-FR">
            <a:ln>
              <a:noFill/>
            </a:ln>
            <a:solidFill>
              <a:sysClr val="windowText" lastClr="000000"/>
            </a:solidFill>
            <a:effectLst/>
          </a:endParaRPr>
        </a:p>
        <a:p>
          <a:pPr eaLnBrk="1" fontAlgn="auto" latinLnBrk="0" hangingPunct="1"/>
          <a:r>
            <a:rPr lang="fr-FR" sz="1100" b="0">
              <a:ln>
                <a:noFill/>
              </a:ln>
              <a:solidFill>
                <a:sysClr val="windowText" lastClr="000000"/>
              </a:solidFill>
              <a:effectLst/>
              <a:latin typeface="+mn-lt"/>
              <a:ea typeface="+mn-ea"/>
              <a:cs typeface="+mn-cs"/>
            </a:rPr>
            <a:t> -  Nb line check is</a:t>
          </a:r>
          <a:r>
            <a:rPr lang="fr-FR" sz="1100" b="0" baseline="0">
              <a:ln>
                <a:noFill/>
              </a:ln>
              <a:solidFill>
                <a:sysClr val="windowText" lastClr="000000"/>
              </a:solidFill>
              <a:effectLst/>
              <a:latin typeface="+mn-lt"/>
              <a:ea typeface="+mn-ea"/>
              <a:cs typeface="+mn-cs"/>
            </a:rPr>
            <a:t> just checking that the first ballast has enough length to cover the Nb line entry by user.</a:t>
          </a:r>
        </a:p>
        <a:p>
          <a:pPr eaLnBrk="1" fontAlgn="auto" latinLnBrk="0" hangingPunct="1"/>
          <a:r>
            <a:rPr lang="fr-FR" sz="1100" b="0">
              <a:ln>
                <a:noFill/>
              </a:ln>
              <a:solidFill>
                <a:sysClr val="windowText" lastClr="000000"/>
              </a:solidFill>
              <a:effectLst/>
              <a:latin typeface="+mn-lt"/>
              <a:ea typeface="+mn-ea"/>
              <a:cs typeface="+mn-cs"/>
            </a:rPr>
            <a:t> - Line check check if all ballast range have enough lines to cover</a:t>
          </a:r>
          <a:r>
            <a:rPr lang="fr-FR" sz="1100" b="0" baseline="0">
              <a:ln>
                <a:noFill/>
              </a:ln>
              <a:solidFill>
                <a:sysClr val="windowText" lastClr="000000"/>
              </a:solidFill>
              <a:effectLst/>
              <a:latin typeface="+mn-lt"/>
              <a:ea typeface="+mn-ea"/>
              <a:cs typeface="+mn-cs"/>
            </a:rPr>
            <a:t> the ballast height. A recap check is also done</a:t>
          </a:r>
        </a:p>
        <a:p>
          <a:pPr eaLnBrk="1" fontAlgn="auto" latinLnBrk="0" hangingPunct="1"/>
          <a:r>
            <a:rPr lang="fr-FR" sz="1100" b="0" baseline="0">
              <a:ln>
                <a:noFill/>
              </a:ln>
              <a:solidFill>
                <a:sysClr val="windowText" lastClr="000000"/>
              </a:solidFill>
              <a:effectLst/>
              <a:latin typeface="+mn-lt"/>
              <a:ea typeface="+mn-ea"/>
              <a:cs typeface="+mn-cs"/>
            </a:rPr>
            <a:t> - The factored weight check is used to see discrepency with Recap tab. If red, most of the time a sum is wrong either in this tab or the Recap tab</a:t>
          </a:r>
        </a:p>
        <a:p>
          <a:pPr eaLnBrk="1" fontAlgn="auto" latinLnBrk="0" hangingPunct="1"/>
          <a:r>
            <a:rPr lang="fr-FR" sz="1100" b="0" baseline="0">
              <a:ln>
                <a:noFill/>
              </a:ln>
              <a:solidFill>
                <a:sysClr val="windowText" lastClr="000000"/>
              </a:solidFill>
              <a:effectLst/>
              <a:latin typeface="+mn-lt"/>
              <a:ea typeface="+mn-ea"/>
              <a:cs typeface="+mn-cs"/>
            </a:rPr>
            <a:t>-  THe CoG Check,are not really mandatory to be green, itr is an helper to manually adjust parameters. It checkls that CoG is between 1/3 and 2/3 of the load repartition. But as the repartition is sample with FE size for computation, for small distribution length, CoG may be outside of this box. </a:t>
          </a:r>
          <a:endParaRPr lang="fr-FR">
            <a:ln>
              <a:noFill/>
            </a:ln>
            <a:solidFill>
              <a:sysClr val="windowText" lastClr="000000"/>
            </a:solidFill>
            <a:effectLst/>
          </a:endParaRPr>
        </a:p>
        <a:p>
          <a:pPr eaLnBrk="1" fontAlgn="auto" latinLnBrk="0" hangingPunct="1"/>
          <a:r>
            <a:rPr lang="fr-FR" sz="1100" b="0">
              <a:ln>
                <a:noFill/>
              </a:ln>
              <a:solidFill>
                <a:sysClr val="windowText" lastClr="000000"/>
              </a:solidFill>
              <a:effectLst/>
              <a:latin typeface="+mn-lt"/>
              <a:ea typeface="+mn-ea"/>
              <a:cs typeface="+mn-cs"/>
            </a:rPr>
            <a:t> - The repart position check shal</a:t>
          </a:r>
          <a:r>
            <a:rPr lang="fr-FR" sz="1100" b="0" baseline="0">
              <a:ln>
                <a:noFill/>
              </a:ln>
              <a:solidFill>
                <a:sysClr val="windowText" lastClr="000000"/>
              </a:solidFill>
              <a:effectLst/>
              <a:latin typeface="+mn-lt"/>
              <a:ea typeface="+mn-ea"/>
              <a:cs typeface="+mn-cs"/>
            </a:rPr>
            <a:t> be green</a:t>
          </a:r>
          <a:r>
            <a:rPr lang="fr-FR" sz="1100" b="0" i="0" baseline="0">
              <a:solidFill>
                <a:sysClr val="windowText" lastClr="000000"/>
              </a:solidFill>
              <a:effectLst/>
              <a:latin typeface="+mn-lt"/>
              <a:ea typeface="+mn-ea"/>
              <a:cs typeface="+mn-cs"/>
            </a:rPr>
            <a:t>. It checks that loads are applied bewteen 0 and Lpp. For example it prevent to put a load at CoG x=1m with a repartition of 10m, which will lead to a load applied between -9 mand +11m, so outside of the deck.</a:t>
          </a:r>
          <a:endParaRPr lang="fr-FR" sz="1100" i="0" baseline="0">
            <a:ln>
              <a:noFill/>
            </a:ln>
            <a:solidFill>
              <a:sysClr val="windowText" lastClr="000000"/>
            </a:solidFill>
            <a:effectLst/>
            <a:latin typeface="+mn-lt"/>
            <a:ea typeface="+mn-ea"/>
            <a:cs typeface="+mn-cs"/>
          </a:endParaRPr>
        </a:p>
        <a:p>
          <a:r>
            <a:rPr lang="fr-FR" sz="1100" i="0" baseline="0">
              <a:ln>
                <a:noFill/>
              </a:ln>
              <a:solidFill>
                <a:sysClr val="windowText" lastClr="000000"/>
              </a:solidFill>
              <a:effectLst/>
              <a:latin typeface="+mn-lt"/>
              <a:ea typeface="+mn-ea"/>
              <a:cs typeface="+mn-cs"/>
            </a:rPr>
            <a:t> </a:t>
          </a:r>
        </a:p>
        <a:p>
          <a:endParaRPr lang="fr-FR">
            <a:ln>
              <a:noFill/>
            </a:ln>
            <a:solidFill>
              <a:sysClr val="windowText" lastClr="000000"/>
            </a:solidFill>
            <a:effectLst/>
          </a:endParaRPr>
        </a:p>
        <a:p>
          <a:pPr algn="l"/>
          <a:endParaRPr lang="fr-FR" sz="1100" baseline="0">
            <a:ln>
              <a:noFill/>
            </a:ln>
            <a:solidFill>
              <a:sysClr val="windowText" lastClr="000000"/>
            </a:solidFill>
          </a:endParaRPr>
        </a:p>
        <a:p>
          <a:pPr algn="l"/>
          <a:endParaRPr lang="fr-FR" sz="1100">
            <a:ln>
              <a:noFill/>
            </a:ln>
            <a:solidFill>
              <a:sysClr val="windowText" lastClr="000000"/>
            </a:solidFill>
          </a:endParaRPr>
        </a:p>
      </xdr:txBody>
    </xdr:sp>
    <xdr:clientData/>
  </xdr:twoCellAnchor>
  <xdr:twoCellAnchor editAs="oneCell">
    <xdr:from>
      <xdr:col>15</xdr:col>
      <xdr:colOff>493058</xdr:colOff>
      <xdr:row>0</xdr:row>
      <xdr:rowOff>0</xdr:rowOff>
    </xdr:from>
    <xdr:to>
      <xdr:col>21</xdr:col>
      <xdr:colOff>603504</xdr:colOff>
      <xdr:row>7</xdr:row>
      <xdr:rowOff>55294</xdr:rowOff>
    </xdr:to>
    <xdr:pic>
      <xdr:nvPicPr>
        <xdr:cNvPr id="3" name="Imag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stretch>
          <a:fillRect/>
        </a:stretch>
      </xdr:blipFill>
      <xdr:spPr>
        <a:xfrm>
          <a:off x="10533529" y="0"/>
          <a:ext cx="3942857" cy="1400000"/>
        </a:xfrm>
        <a:prstGeom prst="rect">
          <a:avLst/>
        </a:prstGeom>
      </xdr:spPr>
    </xdr:pic>
    <xdr:clientData/>
  </xdr:twoCellAnchor>
  <xdr:twoCellAnchor>
    <xdr:from>
      <xdr:col>295</xdr:col>
      <xdr:colOff>201706</xdr:colOff>
      <xdr:row>0</xdr:row>
      <xdr:rowOff>44823</xdr:rowOff>
    </xdr:from>
    <xdr:to>
      <xdr:col>304</xdr:col>
      <xdr:colOff>190500</xdr:colOff>
      <xdr:row>43</xdr:row>
      <xdr:rowOff>134469</xdr:rowOff>
    </xdr:to>
    <xdr:sp macro="" textlink="">
      <xdr:nvSpPr>
        <xdr:cNvPr id="6" name="Rectangle à coins arrondis 5">
          <a:extLst>
            <a:ext uri="{FF2B5EF4-FFF2-40B4-BE49-F238E27FC236}">
              <a16:creationId xmlns:a16="http://schemas.microsoft.com/office/drawing/2014/main" id="{00000000-0008-0000-0800-000006000000}"/>
            </a:ext>
          </a:extLst>
        </xdr:cNvPr>
        <xdr:cNvSpPr/>
      </xdr:nvSpPr>
      <xdr:spPr>
        <a:xfrm>
          <a:off x="201795530" y="44823"/>
          <a:ext cx="6465794" cy="8527675"/>
        </a:xfrm>
        <a:prstGeom prst="roundRect">
          <a:avLst>
            <a:gd name="adj" fmla="val 10853"/>
          </a:avLst>
        </a:prstGeom>
        <a:solidFill>
          <a:srgbClr val="BFBFBF">
            <a:alpha val="70000"/>
          </a:srgb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4000">
              <a:solidFill>
                <a:srgbClr val="C00000"/>
              </a:solidFill>
            </a:rPr>
            <a:t>Not used in this</a:t>
          </a:r>
          <a:r>
            <a:rPr lang="fr-FR" sz="4000" baseline="0">
              <a:solidFill>
                <a:srgbClr val="C00000"/>
              </a:solidFill>
            </a:rPr>
            <a:t> file</a:t>
          </a:r>
          <a:endParaRPr lang="fr-FR" sz="4000">
            <a:solidFill>
              <a:srgbClr val="C00000"/>
            </a:solidFill>
          </a:endParaRPr>
        </a:p>
      </xdr:txBody>
    </xdr:sp>
    <xdr:clientData/>
  </xdr:twoCellAnchor>
  <xdr:twoCellAnchor>
    <xdr:from>
      <xdr:col>285</xdr:col>
      <xdr:colOff>186018</xdr:colOff>
      <xdr:row>0</xdr:row>
      <xdr:rowOff>0</xdr:rowOff>
    </xdr:from>
    <xdr:to>
      <xdr:col>294</xdr:col>
      <xdr:colOff>174812</xdr:colOff>
      <xdr:row>43</xdr:row>
      <xdr:rowOff>89646</xdr:rowOff>
    </xdr:to>
    <xdr:sp macro="" textlink="">
      <xdr:nvSpPr>
        <xdr:cNvPr id="7" name="Rectangle à coins arrondis 6">
          <a:extLst>
            <a:ext uri="{FF2B5EF4-FFF2-40B4-BE49-F238E27FC236}">
              <a16:creationId xmlns:a16="http://schemas.microsoft.com/office/drawing/2014/main" id="{00000000-0008-0000-0800-000007000000}"/>
            </a:ext>
          </a:extLst>
        </xdr:cNvPr>
        <xdr:cNvSpPr/>
      </xdr:nvSpPr>
      <xdr:spPr>
        <a:xfrm>
          <a:off x="194921842" y="0"/>
          <a:ext cx="6465794" cy="8527675"/>
        </a:xfrm>
        <a:prstGeom prst="roundRect">
          <a:avLst>
            <a:gd name="adj" fmla="val 10853"/>
          </a:avLst>
        </a:prstGeom>
        <a:solidFill>
          <a:srgbClr val="BFBFBF">
            <a:alpha val="70000"/>
          </a:srgb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4000">
              <a:solidFill>
                <a:srgbClr val="C00000"/>
              </a:solidFill>
            </a:rPr>
            <a:t>Not used in this</a:t>
          </a:r>
          <a:r>
            <a:rPr lang="fr-FR" sz="4000" baseline="0">
              <a:solidFill>
                <a:srgbClr val="C00000"/>
              </a:solidFill>
            </a:rPr>
            <a:t> file</a:t>
          </a:r>
          <a:endParaRPr lang="fr-FR" sz="4000">
            <a:solidFill>
              <a:srgbClr val="C00000"/>
            </a:solidFill>
          </a:endParaRPr>
        </a:p>
      </xdr:txBody>
    </xdr:sp>
    <xdr:clientData/>
  </xdr:twoCellAnchor>
  <xdr:twoCellAnchor>
    <xdr:from>
      <xdr:col>275</xdr:col>
      <xdr:colOff>226359</xdr:colOff>
      <xdr:row>0</xdr:row>
      <xdr:rowOff>29135</xdr:rowOff>
    </xdr:from>
    <xdr:to>
      <xdr:col>284</xdr:col>
      <xdr:colOff>215153</xdr:colOff>
      <xdr:row>43</xdr:row>
      <xdr:rowOff>118781</xdr:rowOff>
    </xdr:to>
    <xdr:sp macro="" textlink="">
      <xdr:nvSpPr>
        <xdr:cNvPr id="8" name="Rectangle à coins arrondis 7">
          <a:extLst>
            <a:ext uri="{FF2B5EF4-FFF2-40B4-BE49-F238E27FC236}">
              <a16:creationId xmlns:a16="http://schemas.microsoft.com/office/drawing/2014/main" id="{00000000-0008-0000-0800-000008000000}"/>
            </a:ext>
          </a:extLst>
        </xdr:cNvPr>
        <xdr:cNvSpPr/>
      </xdr:nvSpPr>
      <xdr:spPr>
        <a:xfrm>
          <a:off x="188104183" y="29135"/>
          <a:ext cx="6465794" cy="8527675"/>
        </a:xfrm>
        <a:prstGeom prst="roundRect">
          <a:avLst>
            <a:gd name="adj" fmla="val 10853"/>
          </a:avLst>
        </a:prstGeom>
        <a:solidFill>
          <a:srgbClr val="BFBFBF">
            <a:alpha val="70000"/>
          </a:srgb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4000">
              <a:solidFill>
                <a:srgbClr val="C00000"/>
              </a:solidFill>
            </a:rPr>
            <a:t>Not used in this</a:t>
          </a:r>
          <a:r>
            <a:rPr lang="fr-FR" sz="4000" baseline="0">
              <a:solidFill>
                <a:srgbClr val="C00000"/>
              </a:solidFill>
            </a:rPr>
            <a:t> file</a:t>
          </a:r>
          <a:endParaRPr lang="fr-FR" sz="4000">
            <a:solidFill>
              <a:srgbClr val="C00000"/>
            </a:solidFill>
          </a:endParaRPr>
        </a:p>
      </xdr:txBody>
    </xdr:sp>
    <xdr:clientData/>
  </xdr:twoCellAnchor>
  <xdr:twoCellAnchor>
    <xdr:from>
      <xdr:col>265</xdr:col>
      <xdr:colOff>121024</xdr:colOff>
      <xdr:row>0</xdr:row>
      <xdr:rowOff>13447</xdr:rowOff>
    </xdr:from>
    <xdr:to>
      <xdr:col>274</xdr:col>
      <xdr:colOff>109818</xdr:colOff>
      <xdr:row>43</xdr:row>
      <xdr:rowOff>103093</xdr:rowOff>
    </xdr:to>
    <xdr:sp macro="" textlink="">
      <xdr:nvSpPr>
        <xdr:cNvPr id="9" name="Rectangle à coins arrondis 8">
          <a:extLst>
            <a:ext uri="{FF2B5EF4-FFF2-40B4-BE49-F238E27FC236}">
              <a16:creationId xmlns:a16="http://schemas.microsoft.com/office/drawing/2014/main" id="{00000000-0008-0000-0800-000009000000}"/>
            </a:ext>
          </a:extLst>
        </xdr:cNvPr>
        <xdr:cNvSpPr/>
      </xdr:nvSpPr>
      <xdr:spPr>
        <a:xfrm>
          <a:off x="181140848" y="13447"/>
          <a:ext cx="6465794" cy="8527675"/>
        </a:xfrm>
        <a:prstGeom prst="roundRect">
          <a:avLst>
            <a:gd name="adj" fmla="val 10853"/>
          </a:avLst>
        </a:prstGeom>
        <a:solidFill>
          <a:srgbClr val="BFBFBF">
            <a:alpha val="70000"/>
          </a:srgb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4000">
              <a:solidFill>
                <a:srgbClr val="C00000"/>
              </a:solidFill>
            </a:rPr>
            <a:t>Not used in this</a:t>
          </a:r>
          <a:r>
            <a:rPr lang="fr-FR" sz="4000" baseline="0">
              <a:solidFill>
                <a:srgbClr val="C00000"/>
              </a:solidFill>
            </a:rPr>
            <a:t> file</a:t>
          </a:r>
          <a:endParaRPr lang="fr-FR" sz="4000">
            <a:solidFill>
              <a:srgbClr val="C00000"/>
            </a:solidFill>
          </a:endParaRPr>
        </a:p>
      </xdr:txBody>
    </xdr:sp>
    <xdr:clientData/>
  </xdr:twoCellAnchor>
  <xdr:twoCellAnchor>
    <xdr:from>
      <xdr:col>255</xdr:col>
      <xdr:colOff>190500</xdr:colOff>
      <xdr:row>0</xdr:row>
      <xdr:rowOff>22412</xdr:rowOff>
    </xdr:from>
    <xdr:to>
      <xdr:col>264</xdr:col>
      <xdr:colOff>179294</xdr:colOff>
      <xdr:row>43</xdr:row>
      <xdr:rowOff>112058</xdr:rowOff>
    </xdr:to>
    <xdr:sp macro="" textlink="">
      <xdr:nvSpPr>
        <xdr:cNvPr id="11" name="Rectangle à coins arrondis 10">
          <a:extLst>
            <a:ext uri="{FF2B5EF4-FFF2-40B4-BE49-F238E27FC236}">
              <a16:creationId xmlns:a16="http://schemas.microsoft.com/office/drawing/2014/main" id="{00000000-0008-0000-0800-00000B000000}"/>
            </a:ext>
          </a:extLst>
        </xdr:cNvPr>
        <xdr:cNvSpPr/>
      </xdr:nvSpPr>
      <xdr:spPr>
        <a:xfrm>
          <a:off x="174352324" y="22412"/>
          <a:ext cx="6465794" cy="8527675"/>
        </a:xfrm>
        <a:prstGeom prst="roundRect">
          <a:avLst>
            <a:gd name="adj" fmla="val 10853"/>
          </a:avLst>
        </a:prstGeom>
        <a:solidFill>
          <a:srgbClr val="BFBFBF">
            <a:alpha val="70000"/>
          </a:srgb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4000">
              <a:solidFill>
                <a:srgbClr val="C00000"/>
              </a:solidFill>
            </a:rPr>
            <a:t>Not used in this</a:t>
          </a:r>
          <a:r>
            <a:rPr lang="fr-FR" sz="4000" baseline="0">
              <a:solidFill>
                <a:srgbClr val="C00000"/>
              </a:solidFill>
            </a:rPr>
            <a:t> file</a:t>
          </a:r>
          <a:endParaRPr lang="fr-FR" sz="4000">
            <a:solidFill>
              <a:srgbClr val="C00000"/>
            </a:solidFill>
          </a:endParaRPr>
        </a:p>
      </xdr:txBody>
    </xdr:sp>
    <xdr:clientData/>
  </xdr:twoCellAnchor>
  <xdr:twoCellAnchor>
    <xdr:from>
      <xdr:col>245</xdr:col>
      <xdr:colOff>219635</xdr:colOff>
      <xdr:row>0</xdr:row>
      <xdr:rowOff>6724</xdr:rowOff>
    </xdr:from>
    <xdr:to>
      <xdr:col>254</xdr:col>
      <xdr:colOff>208429</xdr:colOff>
      <xdr:row>43</xdr:row>
      <xdr:rowOff>96370</xdr:rowOff>
    </xdr:to>
    <xdr:sp macro="" textlink="">
      <xdr:nvSpPr>
        <xdr:cNvPr id="12" name="Rectangle à coins arrondis 11">
          <a:extLst>
            <a:ext uri="{FF2B5EF4-FFF2-40B4-BE49-F238E27FC236}">
              <a16:creationId xmlns:a16="http://schemas.microsoft.com/office/drawing/2014/main" id="{00000000-0008-0000-0800-00000C000000}"/>
            </a:ext>
          </a:extLst>
        </xdr:cNvPr>
        <xdr:cNvSpPr/>
      </xdr:nvSpPr>
      <xdr:spPr>
        <a:xfrm>
          <a:off x="167523459" y="6724"/>
          <a:ext cx="6465794" cy="8527675"/>
        </a:xfrm>
        <a:prstGeom prst="roundRect">
          <a:avLst>
            <a:gd name="adj" fmla="val 10853"/>
          </a:avLst>
        </a:prstGeom>
        <a:solidFill>
          <a:srgbClr val="BFBFBF">
            <a:alpha val="70000"/>
          </a:srgb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4000">
              <a:solidFill>
                <a:srgbClr val="C00000"/>
              </a:solidFill>
            </a:rPr>
            <a:t>Not used in this</a:t>
          </a:r>
          <a:r>
            <a:rPr lang="fr-FR" sz="4000" baseline="0">
              <a:solidFill>
                <a:srgbClr val="C00000"/>
              </a:solidFill>
            </a:rPr>
            <a:t> file</a:t>
          </a:r>
          <a:endParaRPr lang="fr-FR" sz="4000">
            <a:solidFill>
              <a:srgbClr val="C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32</xdr:col>
      <xdr:colOff>333377</xdr:colOff>
      <xdr:row>10</xdr:row>
      <xdr:rowOff>35719</xdr:rowOff>
    </xdr:from>
    <xdr:to>
      <xdr:col>38</xdr:col>
      <xdr:colOff>692334</xdr:colOff>
      <xdr:row>43</xdr:row>
      <xdr:rowOff>184908</xdr:rowOff>
    </xdr:to>
    <xdr:pic>
      <xdr:nvPicPr>
        <xdr:cNvPr id="3" name="Imag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22621877" y="2155032"/>
          <a:ext cx="4895238" cy="6638095"/>
        </a:xfrm>
        <a:prstGeom prst="rect">
          <a:avLst/>
        </a:prstGeom>
      </xdr:spPr>
    </xdr:pic>
    <xdr:clientData/>
  </xdr:twoCellAnchor>
  <xdr:twoCellAnchor editAs="oneCell">
    <xdr:from>
      <xdr:col>16</xdr:col>
      <xdr:colOff>119063</xdr:colOff>
      <xdr:row>10</xdr:row>
      <xdr:rowOff>130969</xdr:rowOff>
    </xdr:from>
    <xdr:to>
      <xdr:col>23</xdr:col>
      <xdr:colOff>785200</xdr:colOff>
      <xdr:row>40</xdr:row>
      <xdr:rowOff>127849</xdr:rowOff>
    </xdr:to>
    <xdr:pic>
      <xdr:nvPicPr>
        <xdr:cNvPr id="4" name="Imag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stretch>
          <a:fillRect/>
        </a:stretch>
      </xdr:blipFill>
      <xdr:spPr>
        <a:xfrm>
          <a:off x="13346907" y="2214563"/>
          <a:ext cx="4904762" cy="5914286"/>
        </a:xfrm>
        <a:prstGeom prst="rect">
          <a:avLst/>
        </a:prstGeom>
      </xdr:spPr>
    </xdr:pic>
    <xdr:clientData/>
  </xdr:twoCellAnchor>
  <xdr:twoCellAnchor editAs="oneCell">
    <xdr:from>
      <xdr:col>23</xdr:col>
      <xdr:colOff>59531</xdr:colOff>
      <xdr:row>10</xdr:row>
      <xdr:rowOff>107156</xdr:rowOff>
    </xdr:from>
    <xdr:to>
      <xdr:col>32</xdr:col>
      <xdr:colOff>330386</xdr:colOff>
      <xdr:row>42</xdr:row>
      <xdr:rowOff>75417</xdr:rowOff>
    </xdr:to>
    <xdr:pic>
      <xdr:nvPicPr>
        <xdr:cNvPr id="5" name="Image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a:stretch>
          <a:fillRect/>
        </a:stretch>
      </xdr:blipFill>
      <xdr:spPr>
        <a:xfrm>
          <a:off x="18597562" y="2190750"/>
          <a:ext cx="4866667" cy="6266667"/>
        </a:xfrm>
        <a:prstGeom prst="rect">
          <a:avLst/>
        </a:prstGeom>
      </xdr:spPr>
    </xdr:pic>
    <xdr:clientData/>
  </xdr:twoCellAnchor>
  <xdr:twoCellAnchor>
    <xdr:from>
      <xdr:col>12</xdr:col>
      <xdr:colOff>142874</xdr:colOff>
      <xdr:row>15</xdr:row>
      <xdr:rowOff>107153</xdr:rowOff>
    </xdr:from>
    <xdr:to>
      <xdr:col>32</xdr:col>
      <xdr:colOff>261937</xdr:colOff>
      <xdr:row>43</xdr:row>
      <xdr:rowOff>95248</xdr:rowOff>
    </xdr:to>
    <xdr:sp macro="" textlink="">
      <xdr:nvSpPr>
        <xdr:cNvPr id="6" name="Rectangle à coins arrondis 5">
          <a:extLst>
            <a:ext uri="{FF2B5EF4-FFF2-40B4-BE49-F238E27FC236}">
              <a16:creationId xmlns:a16="http://schemas.microsoft.com/office/drawing/2014/main" id="{00000000-0008-0000-0900-000006000000}"/>
            </a:ext>
          </a:extLst>
        </xdr:cNvPr>
        <xdr:cNvSpPr/>
      </xdr:nvSpPr>
      <xdr:spPr>
        <a:xfrm>
          <a:off x="10596562" y="3178966"/>
          <a:ext cx="11953875" cy="5524501"/>
        </a:xfrm>
        <a:prstGeom prst="roundRect">
          <a:avLst>
            <a:gd name="adj" fmla="val 3174"/>
          </a:avLst>
        </a:prstGeom>
        <a:solidFill>
          <a:srgbClr val="BFBFBF">
            <a:alpha val="56000"/>
          </a:srgbClr>
        </a:solidFill>
        <a:ln w="28575">
          <a:solidFill>
            <a:srgbClr val="0061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1" u="sng">
              <a:ln>
                <a:noFill/>
              </a:ln>
              <a:solidFill>
                <a:sysClr val="windowText" lastClr="000000"/>
              </a:solidFill>
            </a:rPr>
            <a:t>Lifting:</a:t>
          </a:r>
        </a:p>
        <a:p>
          <a:pPr algn="l"/>
          <a:r>
            <a:rPr lang="fr-FR" sz="1100">
              <a:ln>
                <a:noFill/>
              </a:ln>
              <a:solidFill>
                <a:sysClr val="windowText" lastClr="000000"/>
              </a:solidFill>
            </a:rPr>
            <a:t>This tab is used</a:t>
          </a:r>
          <a:r>
            <a:rPr lang="fr-FR" sz="1100" baseline="0">
              <a:ln>
                <a:noFill/>
              </a:ln>
              <a:solidFill>
                <a:sysClr val="windowText" lastClr="000000"/>
              </a:solidFill>
            </a:rPr>
            <a:t> to describe the lifting items on the ship. Lifting is particular because you may want to move load attached on the crane quickly, without tweaking multiples cells. That's the purpose of this tab.</a:t>
          </a:r>
        </a:p>
        <a:p>
          <a:pPr algn="l"/>
          <a:endParaRPr lang="fr-FR" sz="1100" baseline="0">
            <a:ln>
              <a:noFill/>
            </a:ln>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1" u="sng">
              <a:ln>
                <a:noFill/>
              </a:ln>
              <a:solidFill>
                <a:sysClr val="windowText" lastClr="000000"/>
              </a:solidFill>
              <a:effectLst/>
              <a:latin typeface="+mn-lt"/>
              <a:ea typeface="+mn-ea"/>
              <a:cs typeface="+mn-cs"/>
            </a:rPr>
            <a:t>Entry Field:</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a:ln>
                <a:noFill/>
              </a:ln>
              <a:solidFill>
                <a:sysClr val="windowText" lastClr="000000"/>
              </a:solidFill>
              <a:effectLst/>
              <a:latin typeface="+mn-lt"/>
              <a:ea typeface="+mn-ea"/>
              <a:cs typeface="+mn-cs"/>
            </a:rPr>
            <a:t>Basically, you will have to put a screenshot of your crane(s)</a:t>
          </a:r>
          <a:r>
            <a:rPr lang="fr-FR" sz="1100" b="0" u="none" baseline="0">
              <a:ln>
                <a:noFill/>
              </a:ln>
              <a:solidFill>
                <a:sysClr val="windowText" lastClr="000000"/>
              </a:solidFill>
              <a:effectLst/>
              <a:latin typeface="+mn-lt"/>
              <a:ea typeface="+mn-ea"/>
              <a:cs typeface="+mn-cs"/>
            </a:rPr>
            <a:t> data in this tab. You will have to indicate the geometry of your crane(s) in the geometry table and the detailled weight in the  </a:t>
          </a:r>
          <a:r>
            <a:rPr lang="fr-FR" sz="1100" b="0" i="1" u="none" baseline="0">
              <a:ln>
                <a:noFill/>
              </a:ln>
              <a:solidFill>
                <a:sysClr val="windowText" lastClr="000000"/>
              </a:solidFill>
              <a:effectLst/>
              <a:latin typeface="+mn-lt"/>
              <a:ea typeface="+mn-ea"/>
              <a:cs typeface="+mn-cs"/>
            </a:rPr>
            <a:t>Tbl_Crane</a:t>
          </a:r>
          <a:r>
            <a:rPr lang="fr-FR" sz="1100" b="0" u="none" baseline="0">
              <a:ln>
                <a:noFill/>
              </a:ln>
              <a:solidFill>
                <a:sysClr val="windowText" lastClr="000000"/>
              </a:solidFill>
              <a:effectLst/>
              <a:latin typeface="+mn-lt"/>
              <a:ea typeface="+mn-ea"/>
              <a:cs typeface="+mn-cs"/>
            </a:rPr>
            <a:t> table.</a:t>
          </a:r>
          <a:endParaRPr lang="fr-FR" sz="1100" b="0" u="none">
            <a:ln>
              <a:noFill/>
            </a:ln>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a:ln>
                <a:noFill/>
              </a:ln>
              <a:solidFill>
                <a:sysClr val="windowText" lastClr="000000"/>
              </a:solidFill>
              <a:effectLst/>
              <a:latin typeface="+mn-lt"/>
              <a:ea typeface="+mn-ea"/>
              <a:cs typeface="+mn-cs"/>
            </a:rPr>
            <a:t>- Group:</a:t>
          </a:r>
          <a:r>
            <a:rPr lang="fr-FR" sz="1100" b="0" u="none" baseline="0">
              <a:ln>
                <a:noFill/>
              </a:ln>
              <a:solidFill>
                <a:sysClr val="windowText" lastClr="000000"/>
              </a:solidFill>
              <a:effectLst/>
              <a:latin typeface="+mn-lt"/>
              <a:ea typeface="+mn-ea"/>
              <a:cs typeface="+mn-cs"/>
            </a:rPr>
            <a:t> add a number on each line you whant to be a group. An automatic format will highlight this line, and each group is summarized in the Recap tab. Group number shall be unique identifier (and will also be the header of the unique identifier of item). A group don't have weight neither CoG or other data : it's a group ! The rule shall be one group for one crane, secify the boom length in the designation as a reminder</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Number: a unique identifier numbering for the group. </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Designation: item designation. Be clear and specify all required info to be able to know what it is and where it .  As an advice, fill all the  optinnals and boom element, even if you don't plan to use it, so that boom length changes (or adding option) could be done easily .</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Qty: the items quantity. </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Unitary: unatiry weight of the item</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Geometry</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 H Cog Crane / tracks is the height of the crane CoG above its tracks. Shall be estimated (above the middle of the counterweight)</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 Deck cover thickness: thickness of the deck protection (wood, ...)</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  Tracks length : used to repart the load. In case of a reliable deck cover, you can increase this a little more than the length of the tracks in contact with the ground</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Boom height: roughtly the boom length. It is used to attach the crane load. The computation assume that you always lift with a  angle close to 90°, which is conservative</a:t>
          </a:r>
        </a:p>
        <a:p>
          <a:pPr algn="l"/>
          <a:endParaRPr lang="fr-FR" sz="1100" baseline="0">
            <a:ln>
              <a:noFill/>
            </a:ln>
            <a:solidFill>
              <a:sysClr val="windowText" lastClr="000000"/>
            </a:solidFill>
          </a:endParaRPr>
        </a:p>
        <a:p>
          <a:pPr eaLnBrk="1" fontAlgn="auto" latinLnBrk="0" hangingPunct="1"/>
          <a:r>
            <a:rPr lang="fr-FR" sz="1100" b="1" u="sng">
              <a:ln>
                <a:noFill/>
              </a:ln>
              <a:solidFill>
                <a:sysClr val="windowText" lastClr="000000"/>
              </a:solidFill>
              <a:effectLst/>
              <a:latin typeface="+mn-lt"/>
              <a:ea typeface="+mn-ea"/>
              <a:cs typeface="+mn-cs"/>
            </a:rPr>
            <a:t>Tab</a:t>
          </a:r>
          <a:r>
            <a:rPr lang="fr-FR" sz="1100" b="1" u="sng" baseline="0">
              <a:ln>
                <a:noFill/>
              </a:ln>
              <a:solidFill>
                <a:sysClr val="windowText" lastClr="000000"/>
              </a:solidFill>
              <a:effectLst/>
              <a:latin typeface="+mn-lt"/>
              <a:ea typeface="+mn-ea"/>
              <a:cs typeface="+mn-cs"/>
            </a:rPr>
            <a:t> process</a:t>
          </a:r>
          <a:r>
            <a:rPr lang="fr-FR" sz="1100" b="1" u="sng">
              <a:ln>
                <a:noFill/>
              </a:ln>
              <a:solidFill>
                <a:sysClr val="windowText" lastClr="000000"/>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fr-FR" sz="1100" b="0">
              <a:ln>
                <a:noFill/>
              </a:ln>
              <a:solidFill>
                <a:sysClr val="windowText" lastClr="000000"/>
              </a:solidFill>
              <a:effectLst/>
              <a:latin typeface="+mn-lt"/>
              <a:ea typeface="+mn-ea"/>
              <a:cs typeface="+mn-cs"/>
            </a:rPr>
            <a:t>-  This tab will export Weight</a:t>
          </a:r>
          <a:r>
            <a:rPr lang="fr-FR" sz="1100" b="0" baseline="0">
              <a:ln>
                <a:noFill/>
              </a:ln>
              <a:solidFill>
                <a:sysClr val="windowText" lastClr="000000"/>
              </a:solidFill>
              <a:effectLst/>
              <a:latin typeface="+mn-lt"/>
              <a:ea typeface="+mn-ea"/>
              <a:cs typeface="+mn-cs"/>
            </a:rPr>
            <a:t> and COG computation in Recap tab. It is done via </a:t>
          </a:r>
          <a:r>
            <a:rPr lang="fr-FR" sz="1100" b="0" i="1" baseline="0">
              <a:ln>
                <a:noFill/>
              </a:ln>
              <a:solidFill>
                <a:sysClr val="windowText" lastClr="000000"/>
              </a:solidFill>
              <a:effectLst/>
              <a:latin typeface="+mn-lt"/>
              <a:ea typeface="+mn-ea"/>
              <a:cs typeface="+mn-cs"/>
            </a:rPr>
            <a:t>Tbl_Lifting</a:t>
          </a:r>
          <a:r>
            <a:rPr lang="fr-FR" sz="1100" b="0" baseline="0">
              <a:ln>
                <a:noFill/>
              </a:ln>
              <a:solidFill>
                <a:sysClr val="windowText" lastClr="000000"/>
              </a:solidFill>
              <a:effectLst/>
              <a:latin typeface="+mn-lt"/>
              <a:ea typeface="+mn-ea"/>
              <a:cs typeface="+mn-cs"/>
            </a:rPr>
            <a:t> table (no user entry).</a:t>
          </a:r>
        </a:p>
        <a:p>
          <a:pPr marL="0" marR="0" lvl="0" indent="0" defTabSz="914400" eaLnBrk="1" fontAlgn="auto" latinLnBrk="0" hangingPunct="1">
            <a:lnSpc>
              <a:spcPct val="100000"/>
            </a:lnSpc>
            <a:spcBef>
              <a:spcPts val="0"/>
            </a:spcBef>
            <a:spcAft>
              <a:spcPts val="0"/>
            </a:spcAft>
            <a:buClrTx/>
            <a:buSzTx/>
            <a:buFontTx/>
            <a:buNone/>
            <a:tabLst/>
            <a:defRPr/>
          </a:pPr>
          <a:r>
            <a:rPr lang="fr-FR" sz="1100" b="0" baseline="0">
              <a:ln>
                <a:noFill/>
              </a:ln>
              <a:solidFill>
                <a:sysClr val="windowText" lastClr="000000"/>
              </a:solidFill>
              <a:effectLst/>
              <a:latin typeface="+mn-lt"/>
              <a:ea typeface="+mn-ea"/>
              <a:cs typeface="+mn-cs"/>
            </a:rPr>
            <a:t>- In addition, it will export reparted loads in Load Distrib. tab.</a:t>
          </a:r>
        </a:p>
        <a:p>
          <a:pPr marL="0" marR="0" lvl="0" indent="0" defTabSz="914400" eaLnBrk="1" fontAlgn="auto" latinLnBrk="0" hangingPunct="1">
            <a:lnSpc>
              <a:spcPct val="100000"/>
            </a:lnSpc>
            <a:spcBef>
              <a:spcPts val="0"/>
            </a:spcBef>
            <a:spcAft>
              <a:spcPts val="0"/>
            </a:spcAft>
            <a:buClrTx/>
            <a:buSzTx/>
            <a:buFontTx/>
            <a:buNone/>
            <a:tabLst/>
            <a:defRPr/>
          </a:pPr>
          <a:r>
            <a:rPr lang="fr-FR" sz="1100" b="0" baseline="0">
              <a:ln>
                <a:noFill/>
              </a:ln>
              <a:solidFill>
                <a:sysClr val="windowText" lastClr="000000"/>
              </a:solidFill>
              <a:effectLst/>
              <a:latin typeface="+mn-lt"/>
              <a:ea typeface="+mn-ea"/>
              <a:cs typeface="+mn-cs"/>
            </a:rPr>
            <a:t>- The load CoG is at the entered X and Y position but with Z = top of the boom (so @ boom height + H Cog Crane +  Deck cover thk + M_ depth)</a:t>
          </a:r>
        </a:p>
        <a:p>
          <a:pPr marL="0" marR="0" lvl="0" indent="0" defTabSz="914400" eaLnBrk="1" fontAlgn="auto" latinLnBrk="0" hangingPunct="1">
            <a:lnSpc>
              <a:spcPct val="100000"/>
            </a:lnSpc>
            <a:spcBef>
              <a:spcPts val="0"/>
            </a:spcBef>
            <a:spcAft>
              <a:spcPts val="0"/>
            </a:spcAft>
            <a:buClrTx/>
            <a:buSzTx/>
            <a:buFontTx/>
            <a:buNone/>
            <a:tabLst/>
            <a:defRPr/>
          </a:pPr>
          <a:r>
            <a:rPr lang="fr-FR" sz="1100" b="0" baseline="0">
              <a:ln>
                <a:noFill/>
              </a:ln>
              <a:solidFill>
                <a:sysClr val="windowText" lastClr="000000"/>
              </a:solidFill>
              <a:effectLst/>
              <a:latin typeface="+mn-lt"/>
              <a:ea typeface="+mn-ea"/>
              <a:cs typeface="+mn-cs"/>
            </a:rPr>
            <a:t>- The load repartition is always reported to the crane track (uniform repartition, no triangle repartition here).</a:t>
          </a:r>
          <a:endParaRPr lang="fr-FR" sz="1100" baseline="0">
            <a:ln>
              <a:noFill/>
            </a:ln>
            <a:solidFill>
              <a:sysClr val="windowText" lastClr="000000"/>
            </a:solidFill>
            <a:effectLst/>
            <a:latin typeface="+mn-lt"/>
            <a:ea typeface="+mn-ea"/>
            <a:cs typeface="+mn-cs"/>
          </a:endParaRPr>
        </a:p>
        <a:p>
          <a:endParaRPr lang="fr-FR" sz="1100" baseline="0">
            <a:ln>
              <a:noFill/>
            </a:ln>
            <a:solidFill>
              <a:sysClr val="windowText" lastClr="000000"/>
            </a:solidFill>
            <a:effectLst/>
            <a:latin typeface="+mn-lt"/>
            <a:ea typeface="+mn-ea"/>
            <a:cs typeface="+mn-cs"/>
          </a:endParaRPr>
        </a:p>
        <a:p>
          <a:pPr eaLnBrk="1" fontAlgn="auto" latinLnBrk="0" hangingPunct="1"/>
          <a:r>
            <a:rPr lang="fr-FR" sz="1100" b="1" u="sng">
              <a:ln>
                <a:noFill/>
              </a:ln>
              <a:solidFill>
                <a:sysClr val="windowText" lastClr="000000"/>
              </a:solidFill>
              <a:effectLst/>
              <a:latin typeface="+mn-lt"/>
              <a:ea typeface="+mn-ea"/>
              <a:cs typeface="+mn-cs"/>
            </a:rPr>
            <a:t>Checks:</a:t>
          </a:r>
          <a:endParaRPr lang="fr-FR">
            <a:ln>
              <a:noFill/>
            </a:ln>
            <a:solidFill>
              <a:sysClr val="windowText" lastClr="000000"/>
            </a:solidFill>
            <a:effectLst/>
          </a:endParaRPr>
        </a:p>
        <a:p>
          <a:pPr eaLnBrk="1" fontAlgn="auto" latinLnBrk="0" hangingPunct="1"/>
          <a:r>
            <a:rPr lang="fr-FR" sz="1100" b="0" baseline="0">
              <a:ln>
                <a:noFill/>
              </a:ln>
              <a:solidFill>
                <a:sysClr val="windowText" lastClr="000000"/>
              </a:solidFill>
              <a:effectLst/>
              <a:latin typeface="+mn-lt"/>
              <a:ea typeface="+mn-ea"/>
              <a:cs typeface="+mn-cs"/>
            </a:rPr>
            <a:t> - The factored weight check is used to see discrepency with Recap tab. If red, most of the time a sum is wrong either in this tab or the Recap tab</a:t>
          </a:r>
        </a:p>
        <a:p>
          <a:pPr eaLnBrk="1" fontAlgn="auto" latinLnBrk="0" hangingPunct="1"/>
          <a:r>
            <a:rPr lang="fr-FR" sz="1100" b="0" baseline="0">
              <a:ln>
                <a:noFill/>
              </a:ln>
              <a:solidFill>
                <a:sysClr val="windowText" lastClr="000000"/>
              </a:solidFill>
              <a:effectLst/>
              <a:latin typeface="+mn-lt"/>
              <a:ea typeface="+mn-ea"/>
              <a:cs typeface="+mn-cs"/>
            </a:rPr>
            <a:t> -  The CoG will failed as the  repartition of the load is reported on the crane tracks</a:t>
          </a:r>
          <a:endParaRPr lang="fr-FR">
            <a:ln>
              <a:noFill/>
            </a:ln>
            <a:solidFill>
              <a:sysClr val="windowText" lastClr="000000"/>
            </a:solidFill>
            <a:effectLst/>
          </a:endParaRPr>
        </a:p>
        <a:p>
          <a:pPr eaLnBrk="1" fontAlgn="auto" latinLnBrk="0" hangingPunct="1"/>
          <a:r>
            <a:rPr lang="fr-FR" sz="1100" b="0">
              <a:ln>
                <a:noFill/>
              </a:ln>
              <a:solidFill>
                <a:sysClr val="windowText" lastClr="000000"/>
              </a:solidFill>
              <a:effectLst/>
              <a:latin typeface="+mn-lt"/>
              <a:ea typeface="+mn-ea"/>
              <a:cs typeface="+mn-cs"/>
            </a:rPr>
            <a:t> - The repart position check shal</a:t>
          </a:r>
          <a:r>
            <a:rPr lang="fr-FR" sz="1100" b="0" baseline="0">
              <a:ln>
                <a:noFill/>
              </a:ln>
              <a:solidFill>
                <a:sysClr val="windowText" lastClr="000000"/>
              </a:solidFill>
              <a:effectLst/>
              <a:latin typeface="+mn-lt"/>
              <a:ea typeface="+mn-ea"/>
              <a:cs typeface="+mn-cs"/>
            </a:rPr>
            <a:t> be green</a:t>
          </a:r>
          <a:r>
            <a:rPr lang="fr-FR" sz="1100" b="0" i="0" baseline="0">
              <a:solidFill>
                <a:sysClr val="windowText" lastClr="000000"/>
              </a:solidFill>
              <a:effectLst/>
              <a:latin typeface="+mn-lt"/>
              <a:ea typeface="+mn-ea"/>
              <a:cs typeface="+mn-cs"/>
            </a:rPr>
            <a:t>. It checks that loads are applied bewteen 0 and Lpp. For example it prevent to put a load at CoG x=1m with a repartition of 10m, which will lead to a load applied between -9 mand +11m, so outside of the deck.</a:t>
          </a:r>
          <a:endParaRPr lang="fr-FR" sz="1100" i="0" baseline="0">
            <a:ln>
              <a:noFill/>
            </a:ln>
            <a:solidFill>
              <a:sysClr val="windowText" lastClr="000000"/>
            </a:solidFill>
            <a:effectLst/>
            <a:latin typeface="+mn-lt"/>
            <a:ea typeface="+mn-ea"/>
            <a:cs typeface="+mn-cs"/>
          </a:endParaRPr>
        </a:p>
        <a:p>
          <a:r>
            <a:rPr lang="fr-FR" sz="1100" i="0" baseline="0">
              <a:ln>
                <a:noFill/>
              </a:ln>
              <a:solidFill>
                <a:sysClr val="windowText" lastClr="000000"/>
              </a:solidFill>
              <a:effectLst/>
              <a:latin typeface="+mn-lt"/>
              <a:ea typeface="+mn-ea"/>
              <a:cs typeface="+mn-cs"/>
            </a:rPr>
            <a:t> </a:t>
          </a:r>
        </a:p>
        <a:p>
          <a:endParaRPr lang="fr-FR">
            <a:ln>
              <a:noFill/>
            </a:ln>
            <a:solidFill>
              <a:sysClr val="windowText" lastClr="000000"/>
            </a:solidFill>
            <a:effectLst/>
          </a:endParaRPr>
        </a:p>
        <a:p>
          <a:pPr algn="l"/>
          <a:endParaRPr lang="fr-FR" sz="1100" baseline="0">
            <a:ln>
              <a:noFill/>
            </a:ln>
            <a:solidFill>
              <a:sysClr val="windowText" lastClr="000000"/>
            </a:solidFill>
          </a:endParaRPr>
        </a:p>
        <a:p>
          <a:pPr algn="l"/>
          <a:endParaRPr lang="fr-FR" sz="1100">
            <a:ln>
              <a:noFill/>
            </a:ln>
            <a:solidFill>
              <a:sysClr val="windowText" lastClr="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214312</xdr:colOff>
      <xdr:row>22</xdr:row>
      <xdr:rowOff>0</xdr:rowOff>
    </xdr:from>
    <xdr:to>
      <xdr:col>23</xdr:col>
      <xdr:colOff>83342</xdr:colOff>
      <xdr:row>40</xdr:row>
      <xdr:rowOff>83344</xdr:rowOff>
    </xdr:to>
    <xdr:sp macro="" textlink="">
      <xdr:nvSpPr>
        <xdr:cNvPr id="2" name="Rectangle à coins arrondis 1">
          <a:extLst>
            <a:ext uri="{FF2B5EF4-FFF2-40B4-BE49-F238E27FC236}">
              <a16:creationId xmlns:a16="http://schemas.microsoft.com/office/drawing/2014/main" id="{00000000-0008-0000-0A00-000002000000}"/>
            </a:ext>
          </a:extLst>
        </xdr:cNvPr>
        <xdr:cNvSpPr/>
      </xdr:nvSpPr>
      <xdr:spPr>
        <a:xfrm>
          <a:off x="9929812" y="4381500"/>
          <a:ext cx="8512968" cy="3512344"/>
        </a:xfrm>
        <a:prstGeom prst="roundRect">
          <a:avLst>
            <a:gd name="adj" fmla="val 3174"/>
          </a:avLst>
        </a:prstGeom>
        <a:solidFill>
          <a:srgbClr val="BFBFBF">
            <a:alpha val="56000"/>
          </a:srgbClr>
        </a:solidFill>
        <a:ln w="28575">
          <a:solidFill>
            <a:srgbClr val="0061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1" u="sng">
              <a:ln>
                <a:noFill/>
              </a:ln>
              <a:solidFill>
                <a:sysClr val="windowText" lastClr="000000"/>
              </a:solidFill>
            </a:rPr>
            <a:t>Additional:</a:t>
          </a:r>
        </a:p>
        <a:p>
          <a:pPr algn="l"/>
          <a:r>
            <a:rPr lang="fr-FR" sz="1100">
              <a:ln>
                <a:noFill/>
              </a:ln>
              <a:solidFill>
                <a:sysClr val="windowText" lastClr="000000"/>
              </a:solidFill>
            </a:rPr>
            <a:t>This tab is used</a:t>
          </a:r>
          <a:r>
            <a:rPr lang="fr-FR" sz="1100" baseline="0">
              <a:ln>
                <a:noFill/>
              </a:ln>
              <a:solidFill>
                <a:sysClr val="windowText" lastClr="000000"/>
              </a:solidFill>
            </a:rPr>
            <a:t> for spreading computation of Additionals items you wil add to the Recap tab.</a:t>
          </a:r>
        </a:p>
        <a:p>
          <a:pPr algn="l"/>
          <a:endParaRPr lang="fr-FR" sz="1100" baseline="0">
            <a:ln>
              <a:noFill/>
            </a:ln>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1" u="sng">
              <a:ln>
                <a:noFill/>
              </a:ln>
              <a:solidFill>
                <a:sysClr val="windowText" lastClr="000000"/>
              </a:solidFill>
              <a:effectLst/>
              <a:latin typeface="+mn-lt"/>
              <a:ea typeface="+mn-ea"/>
              <a:cs typeface="+mn-cs"/>
            </a:rPr>
            <a:t>Entry Field:</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a:ln>
                <a:noFill/>
              </a:ln>
              <a:solidFill>
                <a:sysClr val="windowText" lastClr="000000"/>
              </a:solidFill>
              <a:effectLst/>
              <a:latin typeface="+mn-lt"/>
              <a:ea typeface="+mn-ea"/>
              <a:cs typeface="+mn-cs"/>
            </a:rPr>
            <a:t>No entry are required in</a:t>
          </a:r>
          <a:r>
            <a:rPr lang="fr-FR" sz="1100" b="0" u="none" baseline="0">
              <a:ln>
                <a:noFill/>
              </a:ln>
              <a:solidFill>
                <a:sysClr val="windowText" lastClr="000000"/>
              </a:solidFill>
              <a:effectLst/>
              <a:latin typeface="+mn-lt"/>
              <a:ea typeface="+mn-ea"/>
              <a:cs typeface="+mn-cs"/>
            </a:rPr>
            <a:t> this tab. It will automatically collect datas from Recap Tab, using the index Number</a:t>
          </a:r>
        </a:p>
        <a:p>
          <a:pPr algn="l"/>
          <a:endParaRPr lang="fr-FR" sz="1100" baseline="0">
            <a:ln>
              <a:noFill/>
            </a:ln>
            <a:solidFill>
              <a:sysClr val="windowText" lastClr="000000"/>
            </a:solidFill>
          </a:endParaRPr>
        </a:p>
        <a:p>
          <a:pPr eaLnBrk="1" fontAlgn="auto" latinLnBrk="0" hangingPunct="1"/>
          <a:r>
            <a:rPr lang="fr-FR" sz="1100" b="1" u="sng">
              <a:ln>
                <a:noFill/>
              </a:ln>
              <a:solidFill>
                <a:sysClr val="windowText" lastClr="000000"/>
              </a:solidFill>
              <a:effectLst/>
              <a:latin typeface="+mn-lt"/>
              <a:ea typeface="+mn-ea"/>
              <a:cs typeface="+mn-cs"/>
            </a:rPr>
            <a:t>Tab</a:t>
          </a:r>
          <a:r>
            <a:rPr lang="fr-FR" sz="1100" b="1" u="sng" baseline="0">
              <a:ln>
                <a:noFill/>
              </a:ln>
              <a:solidFill>
                <a:sysClr val="windowText" lastClr="000000"/>
              </a:solidFill>
              <a:effectLst/>
              <a:latin typeface="+mn-lt"/>
              <a:ea typeface="+mn-ea"/>
              <a:cs typeface="+mn-cs"/>
            </a:rPr>
            <a:t> process</a:t>
          </a:r>
          <a:r>
            <a:rPr lang="fr-FR" sz="1100" b="1" u="sng">
              <a:ln>
                <a:noFill/>
              </a:ln>
              <a:solidFill>
                <a:sysClr val="windowText" lastClr="000000"/>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fr-FR" sz="1100" b="0">
              <a:ln>
                <a:noFill/>
              </a:ln>
              <a:solidFill>
                <a:sysClr val="windowText" lastClr="000000"/>
              </a:solidFill>
              <a:effectLst/>
              <a:latin typeface="+mn-lt"/>
              <a:ea typeface="+mn-ea"/>
              <a:cs typeface="+mn-cs"/>
            </a:rPr>
            <a:t>- This tab will</a:t>
          </a:r>
          <a:r>
            <a:rPr lang="fr-FR" sz="1100" b="0" baseline="0">
              <a:ln>
                <a:noFill/>
              </a:ln>
              <a:solidFill>
                <a:sysClr val="windowText" lastClr="000000"/>
              </a:solidFill>
              <a:effectLst/>
              <a:latin typeface="+mn-lt"/>
              <a:ea typeface="+mn-ea"/>
              <a:cs typeface="+mn-cs"/>
            </a:rPr>
            <a:t> collect all Additionals dats in the Recap tab, compute and</a:t>
          </a:r>
          <a:r>
            <a:rPr lang="fr-FR" sz="1100" b="0">
              <a:ln>
                <a:noFill/>
              </a:ln>
              <a:solidFill>
                <a:sysClr val="windowText" lastClr="000000"/>
              </a:solidFill>
              <a:effectLst/>
              <a:latin typeface="+mn-lt"/>
              <a:ea typeface="+mn-ea"/>
              <a:cs typeface="+mn-cs"/>
            </a:rPr>
            <a:t> export </a:t>
          </a:r>
          <a:r>
            <a:rPr lang="fr-FR" sz="1100" b="0" baseline="0">
              <a:ln>
                <a:noFill/>
              </a:ln>
              <a:solidFill>
                <a:sysClr val="windowText" lastClr="000000"/>
              </a:solidFill>
              <a:effectLst/>
              <a:latin typeface="+mn-lt"/>
              <a:ea typeface="+mn-ea"/>
              <a:cs typeface="+mn-cs"/>
            </a:rPr>
            <a:t> reparted loads in Load Distrib. tab.</a:t>
          </a:r>
        </a:p>
        <a:p>
          <a:endParaRPr lang="fr-FR" sz="1100" baseline="0">
            <a:ln>
              <a:noFill/>
            </a:ln>
            <a:solidFill>
              <a:sysClr val="windowText" lastClr="000000"/>
            </a:solidFill>
            <a:effectLst/>
            <a:latin typeface="+mn-lt"/>
            <a:ea typeface="+mn-ea"/>
            <a:cs typeface="+mn-cs"/>
          </a:endParaRPr>
        </a:p>
        <a:p>
          <a:pPr eaLnBrk="1" fontAlgn="auto" latinLnBrk="0" hangingPunct="1"/>
          <a:r>
            <a:rPr lang="fr-FR" sz="1100" b="1" u="sng">
              <a:ln>
                <a:noFill/>
              </a:ln>
              <a:solidFill>
                <a:sysClr val="windowText" lastClr="000000"/>
              </a:solidFill>
              <a:effectLst/>
              <a:latin typeface="+mn-lt"/>
              <a:ea typeface="+mn-ea"/>
              <a:cs typeface="+mn-cs"/>
            </a:rPr>
            <a:t>Checks:</a:t>
          </a:r>
          <a:endParaRPr lang="fr-FR">
            <a:ln>
              <a:noFill/>
            </a:ln>
            <a:solidFill>
              <a:sysClr val="windowText" lastClr="000000"/>
            </a:solidFill>
            <a:effectLst/>
          </a:endParaRPr>
        </a:p>
        <a:p>
          <a:pPr eaLnBrk="1" fontAlgn="auto" latinLnBrk="0" hangingPunct="1"/>
          <a:r>
            <a:rPr lang="fr-FR" sz="1100" b="0" baseline="0">
              <a:ln>
                <a:noFill/>
              </a:ln>
              <a:solidFill>
                <a:sysClr val="windowText" lastClr="000000"/>
              </a:solidFill>
              <a:effectLst/>
              <a:latin typeface="+mn-lt"/>
              <a:ea typeface="+mn-ea"/>
              <a:cs typeface="+mn-cs"/>
            </a:rPr>
            <a:t> - Check that ther is enough line to cover all the Additional items you have put in the Recap tab. If required, just extend the </a:t>
          </a:r>
          <a:r>
            <a:rPr lang="fr-FR" sz="1100" b="0" i="1" baseline="0">
              <a:ln>
                <a:noFill/>
              </a:ln>
              <a:solidFill>
                <a:sysClr val="windowText" lastClr="000000"/>
              </a:solidFill>
              <a:effectLst/>
              <a:latin typeface="+mn-lt"/>
              <a:ea typeface="+mn-ea"/>
              <a:cs typeface="+mn-cs"/>
            </a:rPr>
            <a:t>Tbl_Additionals</a:t>
          </a:r>
          <a:r>
            <a:rPr lang="fr-FR" sz="1100" b="0" baseline="0">
              <a:ln>
                <a:noFill/>
              </a:ln>
              <a:solidFill>
                <a:sysClr val="windowText" lastClr="000000"/>
              </a:solidFill>
              <a:effectLst/>
              <a:latin typeface="+mn-lt"/>
              <a:ea typeface="+mn-ea"/>
              <a:cs typeface="+mn-cs"/>
            </a:rPr>
            <a:t> table, so you can see many #N/A lines. That done, Nline check shall turn green</a:t>
          </a:r>
        </a:p>
        <a:p>
          <a:pPr eaLnBrk="1" fontAlgn="auto" latinLnBrk="0" hangingPunct="1"/>
          <a:r>
            <a:rPr lang="fr-FR" sz="1100" b="0" baseline="0">
              <a:ln>
                <a:noFill/>
              </a:ln>
              <a:solidFill>
                <a:sysClr val="windowText" lastClr="000000"/>
              </a:solidFill>
              <a:effectLst/>
              <a:latin typeface="+mn-lt"/>
              <a:ea typeface="+mn-ea"/>
              <a:cs typeface="+mn-cs"/>
            </a:rPr>
            <a:t>- The Weight check only check the consistency with Recap tab weight.</a:t>
          </a:r>
        </a:p>
        <a:p>
          <a:pPr eaLnBrk="1" fontAlgn="auto" latinLnBrk="0" hangingPunct="1"/>
          <a:r>
            <a:rPr lang="fr-FR" sz="1100" b="0" baseline="0">
              <a:solidFill>
                <a:sysClr val="windowText" lastClr="000000"/>
              </a:solidFill>
              <a:effectLst/>
              <a:latin typeface="+mn-lt"/>
              <a:ea typeface="+mn-ea"/>
              <a:cs typeface="+mn-cs"/>
            </a:rPr>
            <a:t>-  The CoG Check,are not really mandatory to be green, itr is an helper to manually adjust parameters. It checkls that CoG is between 1/3 and 2/3 of the load repartition. But as the repartition is sample with FE size for computation, for small distribution length, CoG may be outside of this box. </a:t>
          </a:r>
          <a:endParaRPr lang="fr-FR">
            <a:solidFill>
              <a:sysClr val="windowText" lastClr="000000"/>
            </a:solidFill>
            <a:effectLst/>
          </a:endParaRPr>
        </a:p>
        <a:p>
          <a:pPr eaLnBrk="1" fontAlgn="auto" latinLnBrk="0" hangingPunct="1"/>
          <a:r>
            <a:rPr lang="fr-FR" sz="1100" b="0">
              <a:solidFill>
                <a:sysClr val="windowText" lastClr="000000"/>
              </a:solidFill>
              <a:effectLst/>
              <a:latin typeface="+mn-lt"/>
              <a:ea typeface="+mn-ea"/>
              <a:cs typeface="+mn-cs"/>
            </a:rPr>
            <a:t> - The repart position check shal</a:t>
          </a:r>
          <a:r>
            <a:rPr lang="fr-FR" sz="1100" b="0" baseline="0">
              <a:solidFill>
                <a:sysClr val="windowText" lastClr="000000"/>
              </a:solidFill>
              <a:effectLst/>
              <a:latin typeface="+mn-lt"/>
              <a:ea typeface="+mn-ea"/>
              <a:cs typeface="+mn-cs"/>
            </a:rPr>
            <a:t> be green</a:t>
          </a:r>
          <a:r>
            <a:rPr lang="fr-FR" sz="1100" b="0" i="0" baseline="0">
              <a:solidFill>
                <a:sysClr val="windowText" lastClr="000000"/>
              </a:solidFill>
              <a:effectLst/>
              <a:latin typeface="+mn-lt"/>
              <a:ea typeface="+mn-ea"/>
              <a:cs typeface="+mn-cs"/>
            </a:rPr>
            <a:t>. It checks that loads are applied bewteen 0 and Lpp. For example it prevent to put a load at CoG x=1m with a repartition of 10m, which will lead to a load applied between -9 mand +11m, so outside of the deck.</a:t>
          </a:r>
          <a:endParaRPr lang="fr-FR">
            <a:solidFill>
              <a:sysClr val="windowText" lastClr="000000"/>
            </a:solidFill>
            <a:effectLst/>
          </a:endParaRPr>
        </a:p>
        <a:p>
          <a:r>
            <a:rPr lang="fr-FR" sz="1100" i="0" baseline="0">
              <a:ln>
                <a:noFill/>
              </a:ln>
              <a:solidFill>
                <a:sysClr val="windowText" lastClr="000000"/>
              </a:solidFill>
              <a:effectLst/>
              <a:latin typeface="+mn-lt"/>
              <a:ea typeface="+mn-ea"/>
              <a:cs typeface="+mn-cs"/>
            </a:rPr>
            <a:t> </a:t>
          </a:r>
        </a:p>
        <a:p>
          <a:endParaRPr lang="fr-FR">
            <a:ln>
              <a:noFill/>
            </a:ln>
            <a:solidFill>
              <a:sysClr val="windowText" lastClr="000000"/>
            </a:solidFill>
            <a:effectLst/>
          </a:endParaRPr>
        </a:p>
        <a:p>
          <a:pPr algn="l"/>
          <a:endParaRPr lang="fr-FR" sz="1100" baseline="0">
            <a:ln>
              <a:noFill/>
            </a:ln>
            <a:solidFill>
              <a:sysClr val="windowText" lastClr="000000"/>
            </a:solidFill>
          </a:endParaRPr>
        </a:p>
        <a:p>
          <a:pPr algn="l"/>
          <a:endParaRPr lang="fr-FR" sz="1100">
            <a:ln>
              <a:noFill/>
            </a:ln>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258436</xdr:colOff>
      <xdr:row>11</xdr:row>
      <xdr:rowOff>153781</xdr:rowOff>
    </xdr:from>
    <xdr:to>
      <xdr:col>27</xdr:col>
      <xdr:colOff>95250</xdr:colOff>
      <xdr:row>30</xdr:row>
      <xdr:rowOff>88491</xdr:rowOff>
    </xdr:to>
    <xdr:pic>
      <xdr:nvPicPr>
        <xdr:cNvPr id="2" name="Image 1">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04905" y="2535031"/>
          <a:ext cx="8552189" cy="37804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226218</xdr:colOff>
      <xdr:row>11</xdr:row>
      <xdr:rowOff>142875</xdr:rowOff>
    </xdr:from>
    <xdr:to>
      <xdr:col>12</xdr:col>
      <xdr:colOff>631027</xdr:colOff>
      <xdr:row>45</xdr:row>
      <xdr:rowOff>130969</xdr:rowOff>
    </xdr:to>
    <xdr:sp macro="" textlink="">
      <xdr:nvSpPr>
        <xdr:cNvPr id="3" name="Rectangle à coins arrondis 2">
          <a:extLst>
            <a:ext uri="{FF2B5EF4-FFF2-40B4-BE49-F238E27FC236}">
              <a16:creationId xmlns:a16="http://schemas.microsoft.com/office/drawing/2014/main" id="{00000000-0008-0000-0B00-000003000000}"/>
            </a:ext>
          </a:extLst>
        </xdr:cNvPr>
        <xdr:cNvSpPr/>
      </xdr:nvSpPr>
      <xdr:spPr>
        <a:xfrm>
          <a:off x="226218" y="2524125"/>
          <a:ext cx="9477372" cy="6715125"/>
        </a:xfrm>
        <a:prstGeom prst="roundRect">
          <a:avLst>
            <a:gd name="adj" fmla="val 3174"/>
          </a:avLst>
        </a:prstGeom>
        <a:solidFill>
          <a:srgbClr val="BFBFBF">
            <a:alpha val="56000"/>
          </a:srgbClr>
        </a:solidFill>
        <a:ln w="28575">
          <a:solidFill>
            <a:srgbClr val="0061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1" u="sng">
              <a:ln>
                <a:noFill/>
              </a:ln>
              <a:solidFill>
                <a:sysClr val="windowText" lastClr="000000"/>
              </a:solidFill>
            </a:rPr>
            <a:t>Additional:</a:t>
          </a:r>
        </a:p>
        <a:p>
          <a:pPr algn="l"/>
          <a:r>
            <a:rPr lang="fr-FR" sz="1100">
              <a:ln>
                <a:noFill/>
              </a:ln>
              <a:solidFill>
                <a:sysClr val="windowText" lastClr="000000"/>
              </a:solidFill>
            </a:rPr>
            <a:t>This tab is used</a:t>
          </a:r>
          <a:r>
            <a:rPr lang="fr-FR" sz="1100" baseline="0">
              <a:ln>
                <a:noFill/>
              </a:ln>
              <a:solidFill>
                <a:sysClr val="windowText" lastClr="000000"/>
              </a:solidFill>
            </a:rPr>
            <a:t> as an helper for Horizontal cylindrical tanks. It compute all required data (volume, weight, free surface effect, ...) from the hullage survey, with a given tank geometry. You can add as many as tank as you need, by copying the 3 columns of one tanks, the very important thing is to keep 2 frees columns between 2 tank table (actually, data column step shall be 5: 3 data columns, 2 free columns). If you have another shape tank, you will have to adapt formulas in corresponding tank table, keeping the same row for exported results (rows are noted with grey italic numbers in </a:t>
          </a:r>
          <a:r>
            <a:rPr lang="fr-FR" sz="1100" b="0" i="1" baseline="0">
              <a:solidFill>
                <a:sysClr val="windowText" lastClr="000000"/>
              </a:solidFill>
              <a:effectLst/>
              <a:latin typeface="+mn-lt"/>
              <a:ea typeface="+mn-ea"/>
              <a:cs typeface="+mn-cs"/>
            </a:rPr>
            <a:t>Tbl_Deck_Tank</a:t>
          </a:r>
          <a:r>
            <a:rPr lang="fr-FR" sz="1100" b="0" baseline="0">
              <a:solidFill>
                <a:sysClr val="windowText" lastClr="000000"/>
              </a:solidFill>
              <a:effectLst/>
              <a:latin typeface="+mn-lt"/>
              <a:ea typeface="+mn-ea"/>
              <a:cs typeface="+mn-cs"/>
            </a:rPr>
            <a:t> table  headers).</a:t>
          </a:r>
          <a:endParaRPr lang="fr-FR" sz="1100" baseline="0">
            <a:ln>
              <a:noFill/>
            </a:ln>
            <a:solidFill>
              <a:sysClr val="windowText" lastClr="000000"/>
            </a:solidFill>
          </a:endParaRPr>
        </a:p>
        <a:p>
          <a:pPr algn="l"/>
          <a:endParaRPr lang="fr-FR" sz="1100" baseline="0">
            <a:ln>
              <a:noFill/>
            </a:ln>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1100" b="1" u="sng">
              <a:ln>
                <a:noFill/>
              </a:ln>
              <a:solidFill>
                <a:sysClr val="windowText" lastClr="000000"/>
              </a:solidFill>
              <a:effectLst/>
              <a:latin typeface="+mn-lt"/>
              <a:ea typeface="+mn-ea"/>
              <a:cs typeface="+mn-cs"/>
            </a:rPr>
            <a:t>Entry Field:</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a:ln>
                <a:noFill/>
              </a:ln>
              <a:solidFill>
                <a:sysClr val="windowText" lastClr="000000"/>
              </a:solidFill>
              <a:effectLst/>
              <a:latin typeface="+mn-lt"/>
              <a:ea typeface="+mn-ea"/>
              <a:cs typeface="+mn-cs"/>
            </a:rPr>
            <a:t>The entry</a:t>
          </a:r>
          <a:r>
            <a:rPr lang="fr-FR" sz="1100" b="0" u="none" baseline="0">
              <a:ln>
                <a:noFill/>
              </a:ln>
              <a:solidFill>
                <a:sysClr val="windowText" lastClr="000000"/>
              </a:solidFill>
              <a:effectLst/>
              <a:latin typeface="+mn-lt"/>
              <a:ea typeface="+mn-ea"/>
              <a:cs typeface="+mn-cs"/>
            </a:rPr>
            <a:t> shall only been done in the tank table on the right side of the sheet (3 columns tables)</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Index: enter a unique identifier index as 1,2,3, ... It will be used to bind data in </a:t>
          </a:r>
          <a:r>
            <a:rPr lang="fr-FR" sz="1100" b="0" i="1" u="none" baseline="0">
              <a:ln>
                <a:noFill/>
              </a:ln>
              <a:solidFill>
                <a:sysClr val="windowText" lastClr="000000"/>
              </a:solidFill>
              <a:effectLst/>
              <a:latin typeface="+mn-lt"/>
              <a:ea typeface="+mn-ea"/>
              <a:cs typeface="+mn-cs"/>
            </a:rPr>
            <a:t>the Tbl_Deck_Tank </a:t>
          </a:r>
          <a:r>
            <a:rPr lang="fr-FR" sz="1100" b="0" u="none" baseline="0">
              <a:ln>
                <a:noFill/>
              </a:ln>
              <a:solidFill>
                <a:sysClr val="windowText" lastClr="000000"/>
              </a:solidFill>
              <a:effectLst/>
              <a:latin typeface="+mn-lt"/>
              <a:ea typeface="+mn-ea"/>
              <a:cs typeface="+mn-cs"/>
            </a:rPr>
            <a:t>table (and so in the Recap tab)</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Tank Designation: enter a non ambiguous designation so that users can't mix tanks data in future entry</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Diameter: tank diameter. Note that the computation assume that is is a cylinder, bulged end neglected</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Length: length of the tank. As bulged end are neglected, it could be more than the cylindrical part of the tank</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Overall height: It it the upper apex line above the deck, including support. Used to computed CoG</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Tank deadweight: the weight of the tank and its accessories, empty.</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Specific weight of liquid: if you don't know what is is open a physics book</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u="none" baseline="0">
              <a:ln>
                <a:noFill/>
              </a:ln>
              <a:solidFill>
                <a:sysClr val="windowText" lastClr="000000"/>
              </a:solidFill>
              <a:effectLst/>
              <a:latin typeface="+mn-lt"/>
              <a:ea typeface="+mn-ea"/>
              <a:cs typeface="+mn-cs"/>
            </a:rPr>
            <a:t>- X: Cog of the tank. </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baseline="0">
              <a:solidFill>
                <a:sysClr val="windowText" lastClr="000000"/>
              </a:solidFill>
              <a:effectLst/>
              <a:latin typeface="+mn-lt"/>
              <a:ea typeface="+mn-ea"/>
              <a:cs typeface="+mn-cs"/>
            </a:rPr>
            <a:t>- Y: Cog of the tank. </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baseline="0">
              <a:solidFill>
                <a:sysClr val="windowText" lastClr="000000"/>
              </a:solidFill>
              <a:effectLst/>
              <a:latin typeface="+mn-lt"/>
              <a:ea typeface="+mn-ea"/>
              <a:cs typeface="+mn-cs"/>
            </a:rPr>
            <a:t>- Z: Level of tank support (level of upper apex - overall height). </a:t>
          </a:r>
          <a:r>
            <a:rPr lang="fr-FR" sz="1100" b="1" baseline="0">
              <a:solidFill>
                <a:sysClr val="windowText" lastClr="000000"/>
              </a:solidFill>
              <a:effectLst/>
              <a:latin typeface="+mn-lt"/>
              <a:ea typeface="+mn-ea"/>
              <a:cs typeface="+mn-cs"/>
            </a:rPr>
            <a:t>NOTE</a:t>
          </a:r>
          <a:r>
            <a:rPr lang="fr-FR" sz="1100" b="0" baseline="0">
              <a:solidFill>
                <a:sysClr val="windowText" lastClr="000000"/>
              </a:solidFill>
              <a:effectLst/>
              <a:latin typeface="+mn-lt"/>
              <a:ea typeface="+mn-ea"/>
              <a:cs typeface="+mn-cs"/>
            </a:rPr>
            <a:t> that CoG elevation is computed from there.</a:t>
          </a:r>
        </a:p>
        <a:p>
          <a:pPr marL="0" marR="0" lvl="0" indent="0" algn="l" defTabSz="914400" eaLnBrk="1" fontAlgn="auto" latinLnBrk="0" hangingPunct="1">
            <a:lnSpc>
              <a:spcPct val="100000"/>
            </a:lnSpc>
            <a:spcBef>
              <a:spcPts val="0"/>
            </a:spcBef>
            <a:spcAft>
              <a:spcPts val="0"/>
            </a:spcAft>
            <a:buClrTx/>
            <a:buSzTx/>
            <a:buFontTx/>
            <a:buNone/>
            <a:tabLst/>
            <a:defRPr/>
          </a:pPr>
          <a:r>
            <a:rPr lang="fr-FR" sz="1100" b="0" baseline="0">
              <a:solidFill>
                <a:sysClr val="windowText" lastClr="000000"/>
              </a:solidFill>
              <a:effectLst/>
              <a:latin typeface="+mn-lt"/>
              <a:ea typeface="+mn-ea"/>
              <a:cs typeface="+mn-cs"/>
            </a:rPr>
            <a:t>- Tank orientation A: alongside T: transverside, used to compute free surface effect.</a:t>
          </a:r>
          <a:endParaRPr lang="fr-FR">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fr-FR" sz="1100" b="0" u="none" baseline="0">
            <a:ln>
              <a:noFill/>
            </a:ln>
            <a:solidFill>
              <a:sysClr val="windowText" lastClr="000000"/>
            </a:solidFill>
            <a:effectLst/>
            <a:latin typeface="+mn-lt"/>
            <a:ea typeface="+mn-ea"/>
            <a:cs typeface="+mn-cs"/>
          </a:endParaRPr>
        </a:p>
        <a:p>
          <a:pPr algn="l"/>
          <a:endParaRPr lang="fr-FR" sz="1100" baseline="0">
            <a:ln>
              <a:noFill/>
            </a:ln>
            <a:solidFill>
              <a:sysClr val="windowText" lastClr="000000"/>
            </a:solidFill>
          </a:endParaRPr>
        </a:p>
        <a:p>
          <a:pPr eaLnBrk="1" fontAlgn="auto" latinLnBrk="0" hangingPunct="1"/>
          <a:r>
            <a:rPr lang="fr-FR" sz="1100" b="1" u="sng">
              <a:ln>
                <a:noFill/>
              </a:ln>
              <a:solidFill>
                <a:sysClr val="windowText" lastClr="000000"/>
              </a:solidFill>
              <a:effectLst/>
              <a:latin typeface="+mn-lt"/>
              <a:ea typeface="+mn-ea"/>
              <a:cs typeface="+mn-cs"/>
            </a:rPr>
            <a:t>Tab</a:t>
          </a:r>
          <a:r>
            <a:rPr lang="fr-FR" sz="1100" b="1" u="sng" baseline="0">
              <a:ln>
                <a:noFill/>
              </a:ln>
              <a:solidFill>
                <a:sysClr val="windowText" lastClr="000000"/>
              </a:solidFill>
              <a:effectLst/>
              <a:latin typeface="+mn-lt"/>
              <a:ea typeface="+mn-ea"/>
              <a:cs typeface="+mn-cs"/>
            </a:rPr>
            <a:t> process</a:t>
          </a:r>
          <a:r>
            <a:rPr lang="fr-FR" sz="1100" b="1" u="sng">
              <a:ln>
                <a:noFill/>
              </a:ln>
              <a:solidFill>
                <a:sysClr val="windowText" lastClr="000000"/>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fr-FR" sz="1100" b="0">
              <a:ln>
                <a:noFill/>
              </a:ln>
              <a:solidFill>
                <a:sysClr val="windowText" lastClr="000000"/>
              </a:solidFill>
              <a:effectLst/>
              <a:latin typeface="+mn-lt"/>
              <a:ea typeface="+mn-ea"/>
              <a:cs typeface="+mn-cs"/>
            </a:rPr>
            <a:t>- The</a:t>
          </a:r>
          <a:r>
            <a:rPr lang="fr-FR" sz="1100" b="0" baseline="0">
              <a:ln>
                <a:noFill/>
              </a:ln>
              <a:solidFill>
                <a:sysClr val="windowText" lastClr="000000"/>
              </a:solidFill>
              <a:effectLst/>
              <a:latin typeface="+mn-lt"/>
              <a:ea typeface="+mn-ea"/>
              <a:cs typeface="+mn-cs"/>
            </a:rPr>
            <a:t> </a:t>
          </a:r>
          <a:r>
            <a:rPr lang="fr-FR" sz="1100" b="0" i="1" baseline="0">
              <a:ln>
                <a:noFill/>
              </a:ln>
              <a:solidFill>
                <a:sysClr val="windowText" lastClr="000000"/>
              </a:solidFill>
              <a:effectLst/>
              <a:latin typeface="+mn-lt"/>
              <a:ea typeface="+mn-ea"/>
              <a:cs typeface="+mn-cs"/>
            </a:rPr>
            <a:t>Tbl_Deck_Tank</a:t>
          </a:r>
          <a:r>
            <a:rPr lang="fr-FR" sz="1100" b="0" baseline="0">
              <a:ln>
                <a:noFill/>
              </a:ln>
              <a:solidFill>
                <a:sysClr val="windowText" lastClr="000000"/>
              </a:solidFill>
              <a:effectLst/>
              <a:latin typeface="+mn-lt"/>
              <a:ea typeface="+mn-ea"/>
              <a:cs typeface="+mn-cs"/>
            </a:rPr>
            <a:t> table will collect data froms each tank tables and then collect Hullage from Recap tab. </a:t>
          </a:r>
        </a:p>
        <a:p>
          <a:pPr marL="0" marR="0" lvl="0" indent="0" defTabSz="914400" eaLnBrk="1" fontAlgn="auto" latinLnBrk="0" hangingPunct="1">
            <a:lnSpc>
              <a:spcPct val="100000"/>
            </a:lnSpc>
            <a:spcBef>
              <a:spcPts val="0"/>
            </a:spcBef>
            <a:spcAft>
              <a:spcPts val="0"/>
            </a:spcAft>
            <a:buClrTx/>
            <a:buSzTx/>
            <a:buFontTx/>
            <a:buNone/>
            <a:tabLst/>
            <a:defRPr/>
          </a:pPr>
          <a:r>
            <a:rPr lang="fr-FR" sz="1100" b="0" baseline="0">
              <a:ln>
                <a:noFill/>
              </a:ln>
              <a:solidFill>
                <a:sysClr val="windowText" lastClr="000000"/>
              </a:solidFill>
              <a:effectLst/>
              <a:latin typeface="+mn-lt"/>
              <a:ea typeface="+mn-ea"/>
              <a:cs typeface="+mn-cs"/>
            </a:rPr>
            <a:t>- Each tank table will collect (using its index) the correct hullage and compute required data (CoG, Volume, Weight, FSM)</a:t>
          </a:r>
        </a:p>
        <a:p>
          <a:pPr marL="0" marR="0" lvl="0" indent="0" defTabSz="914400" eaLnBrk="1" fontAlgn="auto" latinLnBrk="0" hangingPunct="1">
            <a:lnSpc>
              <a:spcPct val="100000"/>
            </a:lnSpc>
            <a:spcBef>
              <a:spcPts val="0"/>
            </a:spcBef>
            <a:spcAft>
              <a:spcPts val="0"/>
            </a:spcAft>
            <a:buClrTx/>
            <a:buSzTx/>
            <a:buFontTx/>
            <a:buNone/>
            <a:tabLst/>
            <a:defRPr/>
          </a:pPr>
          <a:r>
            <a:rPr lang="fr-FR" sz="1100" b="0">
              <a:solidFill>
                <a:sysClr val="windowText" lastClr="000000"/>
              </a:solidFill>
              <a:effectLst/>
              <a:latin typeface="+mn-lt"/>
              <a:ea typeface="+mn-ea"/>
              <a:cs typeface="+mn-cs"/>
            </a:rPr>
            <a:t>- The</a:t>
          </a:r>
          <a:r>
            <a:rPr lang="fr-FR" sz="1100" b="0" baseline="0">
              <a:solidFill>
                <a:sysClr val="windowText" lastClr="000000"/>
              </a:solidFill>
              <a:effectLst/>
              <a:latin typeface="+mn-lt"/>
              <a:ea typeface="+mn-ea"/>
              <a:cs typeface="+mn-cs"/>
            </a:rPr>
            <a:t> </a:t>
          </a:r>
          <a:r>
            <a:rPr lang="fr-FR" sz="1100" b="0" i="1" baseline="0">
              <a:solidFill>
                <a:sysClr val="windowText" lastClr="000000"/>
              </a:solidFill>
              <a:effectLst/>
              <a:latin typeface="+mn-lt"/>
              <a:ea typeface="+mn-ea"/>
              <a:cs typeface="+mn-cs"/>
            </a:rPr>
            <a:t>Tbl_Deck_Tank</a:t>
          </a:r>
          <a:r>
            <a:rPr lang="fr-FR" sz="1100" b="0" baseline="0">
              <a:solidFill>
                <a:sysClr val="windowText" lastClr="000000"/>
              </a:solidFill>
              <a:effectLst/>
              <a:latin typeface="+mn-lt"/>
              <a:ea typeface="+mn-ea"/>
              <a:cs typeface="+mn-cs"/>
            </a:rPr>
            <a:t> table will collect computed data from each tank table and comput load repartition.</a:t>
          </a:r>
        </a:p>
        <a:p>
          <a:pPr marL="0" marR="0" lvl="0" indent="0" defTabSz="914400" eaLnBrk="1" fontAlgn="auto" latinLnBrk="0" hangingPunct="1">
            <a:lnSpc>
              <a:spcPct val="100000"/>
            </a:lnSpc>
            <a:spcBef>
              <a:spcPts val="0"/>
            </a:spcBef>
            <a:spcAft>
              <a:spcPts val="0"/>
            </a:spcAft>
            <a:buClrTx/>
            <a:buSzTx/>
            <a:buFontTx/>
            <a:buNone/>
            <a:tabLst/>
            <a:defRPr/>
          </a:pPr>
          <a:r>
            <a:rPr lang="fr-FR" sz="1100" b="0">
              <a:solidFill>
                <a:sysClr val="windowText" lastClr="000000"/>
              </a:solidFill>
              <a:effectLst/>
              <a:latin typeface="+mn-lt"/>
              <a:ea typeface="+mn-ea"/>
              <a:cs typeface="+mn-cs"/>
            </a:rPr>
            <a:t>- Data are then exported to the Recap tab</a:t>
          </a:r>
          <a:r>
            <a:rPr lang="fr-FR" sz="1100" b="0" baseline="0">
              <a:solidFill>
                <a:sysClr val="windowText" lastClr="000000"/>
              </a:solidFill>
              <a:effectLst/>
              <a:latin typeface="+mn-lt"/>
              <a:ea typeface="+mn-ea"/>
              <a:cs typeface="+mn-cs"/>
            </a:rPr>
            <a:t> and load distribution tab.</a:t>
          </a:r>
          <a:endParaRPr lang="fr-FR">
            <a:solidFill>
              <a:sysClr val="windowText" lastClr="00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fr-FR" sz="1100" b="0" baseline="0">
            <a:ln>
              <a:noFill/>
            </a:ln>
            <a:solidFill>
              <a:sysClr val="windowText" lastClr="000000"/>
            </a:solidFill>
            <a:effectLst/>
            <a:latin typeface="+mn-lt"/>
            <a:ea typeface="+mn-ea"/>
            <a:cs typeface="+mn-cs"/>
          </a:endParaRPr>
        </a:p>
        <a:p>
          <a:endParaRPr lang="fr-FR" sz="1100" baseline="0">
            <a:ln>
              <a:noFill/>
            </a:ln>
            <a:solidFill>
              <a:sysClr val="windowText" lastClr="000000"/>
            </a:solidFill>
            <a:effectLst/>
            <a:latin typeface="+mn-lt"/>
            <a:ea typeface="+mn-ea"/>
            <a:cs typeface="+mn-cs"/>
          </a:endParaRPr>
        </a:p>
        <a:p>
          <a:pPr eaLnBrk="1" fontAlgn="auto" latinLnBrk="0" hangingPunct="1"/>
          <a:r>
            <a:rPr lang="fr-FR" sz="1100" b="1" u="sng">
              <a:ln>
                <a:noFill/>
              </a:ln>
              <a:solidFill>
                <a:sysClr val="windowText" lastClr="000000"/>
              </a:solidFill>
              <a:effectLst/>
              <a:latin typeface="+mn-lt"/>
              <a:ea typeface="+mn-ea"/>
              <a:cs typeface="+mn-cs"/>
            </a:rPr>
            <a:t>Checks:</a:t>
          </a:r>
          <a:endParaRPr lang="fr-FR">
            <a:ln>
              <a:noFill/>
            </a:ln>
            <a:solidFill>
              <a:sysClr val="windowText" lastClr="000000"/>
            </a:solidFill>
            <a:effectLst/>
          </a:endParaRPr>
        </a:p>
        <a:p>
          <a:pPr eaLnBrk="1" fontAlgn="auto" latinLnBrk="0" hangingPunct="1"/>
          <a:r>
            <a:rPr lang="fr-FR" sz="1100" b="0" baseline="0">
              <a:ln>
                <a:noFill/>
              </a:ln>
              <a:solidFill>
                <a:sysClr val="windowText" lastClr="000000"/>
              </a:solidFill>
              <a:effectLst/>
              <a:latin typeface="+mn-lt"/>
              <a:ea typeface="+mn-ea"/>
              <a:cs typeface="+mn-cs"/>
            </a:rPr>
            <a:t> - Check that ther is enough line in </a:t>
          </a:r>
          <a:r>
            <a:rPr lang="fr-FR" sz="1100" b="0" i="1" baseline="0">
              <a:solidFill>
                <a:sysClr val="windowText" lastClr="000000"/>
              </a:solidFill>
              <a:effectLst/>
              <a:latin typeface="+mn-lt"/>
              <a:ea typeface="+mn-ea"/>
              <a:cs typeface="+mn-cs"/>
            </a:rPr>
            <a:t>Tbl_Deck_Tank</a:t>
          </a:r>
          <a:r>
            <a:rPr lang="fr-FR" sz="1100" b="0" baseline="0">
              <a:ln>
                <a:noFill/>
              </a:ln>
              <a:solidFill>
                <a:sysClr val="windowText" lastClr="000000"/>
              </a:solidFill>
              <a:effectLst/>
              <a:latin typeface="+mn-lt"/>
              <a:ea typeface="+mn-ea"/>
              <a:cs typeface="+mn-cs"/>
            </a:rPr>
            <a:t> to cover all the tank you have.</a:t>
          </a:r>
        </a:p>
        <a:p>
          <a:pPr eaLnBrk="1" fontAlgn="auto" latinLnBrk="0" hangingPunct="1"/>
          <a:r>
            <a:rPr lang="fr-FR" sz="1100" b="0" baseline="0">
              <a:ln>
                <a:noFill/>
              </a:ln>
              <a:solidFill>
                <a:sysClr val="windowText" lastClr="000000"/>
              </a:solidFill>
              <a:effectLst/>
              <a:latin typeface="+mn-lt"/>
              <a:ea typeface="+mn-ea"/>
              <a:cs typeface="+mn-cs"/>
            </a:rPr>
            <a:t> - Check that the bind are correctly done, if not, adjust the origin cell in OFFSET formulas (DECALER in french)</a:t>
          </a:r>
        </a:p>
        <a:p>
          <a:pPr eaLnBrk="1" fontAlgn="auto" latinLnBrk="0" hangingPunct="1"/>
          <a:r>
            <a:rPr lang="fr-FR" sz="1100" b="0" baseline="0">
              <a:ln>
                <a:noFill/>
              </a:ln>
              <a:solidFill>
                <a:sysClr val="windowText" lastClr="000000"/>
              </a:solidFill>
              <a:effectLst/>
              <a:latin typeface="+mn-lt"/>
              <a:ea typeface="+mn-ea"/>
              <a:cs typeface="+mn-cs"/>
            </a:rPr>
            <a:t>- The Weight check only check the consistency with Recap tab weight.</a:t>
          </a:r>
        </a:p>
        <a:p>
          <a:pPr eaLnBrk="1" fontAlgn="auto" latinLnBrk="0" hangingPunct="1"/>
          <a:r>
            <a:rPr lang="fr-FR" sz="1100" b="0" baseline="0">
              <a:solidFill>
                <a:sysClr val="windowText" lastClr="000000"/>
              </a:solidFill>
              <a:effectLst/>
              <a:latin typeface="+mn-lt"/>
              <a:ea typeface="+mn-ea"/>
              <a:cs typeface="+mn-cs"/>
            </a:rPr>
            <a:t>-  The CoG Check,are not really mandatory to be green, itr is an helper to manually adjust parameters. It checkls that CoG is between 1/3 and 2/3 of the load repartition. But as the repartition is sample with FE size for computation, for small distribution length, CoG may be outside of this box. </a:t>
          </a:r>
          <a:endParaRPr lang="fr-FR">
            <a:solidFill>
              <a:sysClr val="windowText" lastClr="000000"/>
            </a:solidFill>
            <a:effectLst/>
          </a:endParaRPr>
        </a:p>
        <a:p>
          <a:pPr eaLnBrk="1" fontAlgn="auto" latinLnBrk="0" hangingPunct="1"/>
          <a:r>
            <a:rPr lang="fr-FR" sz="1100" b="0">
              <a:solidFill>
                <a:sysClr val="windowText" lastClr="000000"/>
              </a:solidFill>
              <a:effectLst/>
              <a:latin typeface="+mn-lt"/>
              <a:ea typeface="+mn-ea"/>
              <a:cs typeface="+mn-cs"/>
            </a:rPr>
            <a:t> - The repart position check shal</a:t>
          </a:r>
          <a:r>
            <a:rPr lang="fr-FR" sz="1100" b="0" baseline="0">
              <a:solidFill>
                <a:sysClr val="windowText" lastClr="000000"/>
              </a:solidFill>
              <a:effectLst/>
              <a:latin typeface="+mn-lt"/>
              <a:ea typeface="+mn-ea"/>
              <a:cs typeface="+mn-cs"/>
            </a:rPr>
            <a:t> be green</a:t>
          </a:r>
          <a:r>
            <a:rPr lang="fr-FR" sz="1100" b="0" i="0" baseline="0">
              <a:solidFill>
                <a:sysClr val="windowText" lastClr="000000"/>
              </a:solidFill>
              <a:effectLst/>
              <a:latin typeface="+mn-lt"/>
              <a:ea typeface="+mn-ea"/>
              <a:cs typeface="+mn-cs"/>
            </a:rPr>
            <a:t>. It checks that loads are applied bewteen 0 and Lpp. For example it prevent to put a load at CoG x=1m with a repartition of 10m, which will lead to a load applied between -9 mand +11m, so outside of the deck.</a:t>
          </a:r>
          <a:endParaRPr lang="fr-FR">
            <a:solidFill>
              <a:sysClr val="windowText" lastClr="000000"/>
            </a:solidFill>
            <a:effectLst/>
          </a:endParaRPr>
        </a:p>
        <a:p>
          <a:r>
            <a:rPr lang="fr-FR" sz="1100" i="0" baseline="0">
              <a:ln>
                <a:noFill/>
              </a:ln>
              <a:solidFill>
                <a:sysClr val="windowText" lastClr="000000"/>
              </a:solidFill>
              <a:effectLst/>
              <a:latin typeface="+mn-lt"/>
              <a:ea typeface="+mn-ea"/>
              <a:cs typeface="+mn-cs"/>
            </a:rPr>
            <a:t> </a:t>
          </a:r>
        </a:p>
        <a:p>
          <a:endParaRPr lang="fr-FR">
            <a:ln>
              <a:noFill/>
            </a:ln>
            <a:solidFill>
              <a:sysClr val="windowText" lastClr="000000"/>
            </a:solidFill>
            <a:effectLst/>
          </a:endParaRPr>
        </a:p>
        <a:p>
          <a:pPr algn="l"/>
          <a:endParaRPr lang="fr-FR" sz="1100" baseline="0">
            <a:ln>
              <a:noFill/>
            </a:ln>
            <a:solidFill>
              <a:sysClr val="windowText" lastClr="000000"/>
            </a:solidFill>
          </a:endParaRPr>
        </a:p>
        <a:p>
          <a:pPr algn="l"/>
          <a:endParaRPr lang="fr-FR" sz="1100">
            <a:ln>
              <a:noFill/>
            </a:ln>
            <a:solidFill>
              <a:sysClr val="windowText" lastClr="000000"/>
            </a:solidFill>
          </a:endParaRPr>
        </a:p>
      </xdr:txBody>
    </xdr:sp>
    <xdr:clientData/>
  </xdr:twoCellAnchor>
  <xdr:twoCellAnchor>
    <xdr:from>
      <xdr:col>0</xdr:col>
      <xdr:colOff>250031</xdr:colOff>
      <xdr:row>0</xdr:row>
      <xdr:rowOff>154782</xdr:rowOff>
    </xdr:from>
    <xdr:to>
      <xdr:col>40</xdr:col>
      <xdr:colOff>559592</xdr:colOff>
      <xdr:row>29</xdr:row>
      <xdr:rowOff>3403</xdr:rowOff>
    </xdr:to>
    <xdr:sp macro="" textlink="">
      <xdr:nvSpPr>
        <xdr:cNvPr id="5" name="Rectangle à coins arrondis 4">
          <a:extLst>
            <a:ext uri="{FF2B5EF4-FFF2-40B4-BE49-F238E27FC236}">
              <a16:creationId xmlns:a16="http://schemas.microsoft.com/office/drawing/2014/main" id="{00000000-0008-0000-0B00-000005000000}"/>
            </a:ext>
          </a:extLst>
        </xdr:cNvPr>
        <xdr:cNvSpPr/>
      </xdr:nvSpPr>
      <xdr:spPr>
        <a:xfrm>
          <a:off x="250031" y="154782"/>
          <a:ext cx="28586905" cy="5873184"/>
        </a:xfrm>
        <a:prstGeom prst="roundRect">
          <a:avLst>
            <a:gd name="adj" fmla="val 3174"/>
          </a:avLst>
        </a:prstGeom>
        <a:solidFill>
          <a:srgbClr val="BFBFBF">
            <a:alpha val="56000"/>
          </a:srgbClr>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5000">
              <a:solidFill>
                <a:srgbClr val="FF0000"/>
              </a:solidFill>
            </a:rPr>
            <a:t>Not used</a:t>
          </a:r>
          <a:r>
            <a:rPr lang="fr-FR" sz="5000" baseline="0">
              <a:solidFill>
                <a:srgbClr val="FF0000"/>
              </a:solidFill>
            </a:rPr>
            <a:t> in this file</a:t>
          </a:r>
          <a:endParaRPr lang="fr-FR" sz="5000">
            <a:solidFill>
              <a:srgbClr val="FF0000"/>
            </a:solidFill>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0000000}" name="Tbl_Load_distrib" displayName="Tbl_Load_distrib" ref="B5:U300" totalsRowShown="0" headerRowDxfId="348" dataDxfId="347" tableBorderDxfId="346">
  <autoFilter ref="B5:U300" xr:uid="{00000000-0009-0000-0100-00000E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autoFilter>
  <tableColumns count="20">
    <tableColumn id="1" xr3:uid="{00000000-0010-0000-0000-000001000000}" name="FR1" dataDxfId="345">
      <calculatedColumnFormula>IF(ISTEXT($B5),0,IF($B5+1&gt;Last_Frame,NA(),$B5+1))</calculatedColumnFormula>
    </tableColumn>
    <tableColumn id="3" xr3:uid="{00000000-0010-0000-0000-000003000000}" name="x" dataDxfId="344">
      <calculatedColumnFormula>IF(B6*FE_size&gt;Lpp,Lpp,B6*FE_size)</calculatedColumnFormula>
    </tableColumn>
    <tableColumn id="5" xr3:uid="{00000000-0010-0000-0000-000005000000}" name="Section Weight" dataDxfId="343">
      <calculatedColumnFormula>SUM(Tbl_Load_distrib[[#This Row],[Hull &amp; Structure]:[Reserved]])</calculatedColumnFormula>
    </tableColumn>
    <tableColumn id="6" xr3:uid="{00000000-0010-0000-0000-000006000000}" name="Hull &amp; Structure" dataDxfId="342">
      <calculatedColumnFormula>SUMIFS(Tbl_Hull_Structure[Spread],Tbl_Hull_Structure[L from],"&lt;"&amp;Tbl_Load_distrib[[#This Row],[x]],Tbl_Hull_Structure[L to],"&gt;"&amp;C5)*Tbl_Load_distrib[[#This Row],[L_elt]]</calculatedColumnFormula>
    </tableColumn>
    <tableColumn id="7" xr3:uid="{00000000-0010-0000-0000-000007000000}" name="Ballast" dataDxfId="341">
      <calculatedColumnFormula>SUMIFS(Tbl_Ballasts[Spread],Tbl_Ballasts[L from],"&lt;"&amp;Tbl_Load_distrib[[#This Row],[x]],Tbl_Ballasts[L to],"&gt;"&amp;C5)*Tbl_Load_distrib[[#This Row],[L_elt]]</calculatedColumnFormula>
    </tableColumn>
    <tableColumn id="8" xr3:uid="{00000000-0010-0000-0000-000008000000}" name="Lifting" dataDxfId="340">
      <calculatedColumnFormula>SUMIFS(Tbl_Lifting[Spread],Tbl_Lifting[L from],"&lt;"&amp;Tbl_Load_distrib[[#This Row],[x]],Tbl_Lifting[L to],"&gt;"&amp;C5)*Tbl_Load_distrib[[#This Row],[L_elt]]</calculatedColumnFormula>
    </tableColumn>
    <tableColumn id="9" xr3:uid="{00000000-0010-0000-0000-000009000000}" name="Additionals" dataDxfId="339">
      <calculatedColumnFormula>SUMIFS(Tbl_Additionals[Spread],Tbl_Additionals[L from],"&lt;"&amp;Tbl_Load_distrib[[#This Row],[x]],Tbl_Additionals[L to],"&gt;"&amp;C5)*Tbl_Load_distrib[[#This Row],[L_elt]]</calculatedColumnFormula>
    </tableColumn>
    <tableColumn id="10" xr3:uid="{00000000-0010-0000-0000-00000A000000}" name="Deck tanks" dataDxfId="338">
      <calculatedColumnFormula>SUMIFS(Tbl_Deck_Tank[Spread],Tbl_Deck_Tank[L from],"&lt;"&amp;Tbl_Load_distrib[[#This Row],[x]],Tbl_Deck_Tank[L to],"&gt;"&amp;C5)*Tbl_Load_distrib[[#This Row],[L_elt]]</calculatedColumnFormula>
    </tableColumn>
    <tableColumn id="11" xr3:uid="{00000000-0010-0000-0000-00000B000000}" name="Reserved" dataDxfId="337"/>
    <tableColumn id="12" xr3:uid="{00000000-0010-0000-0000-00000C000000}" name="H Deck-Bottom" dataDxfId="336">
      <calculatedColumnFormula>IFERROR(Tbl_Long_Section[[#This Row],[H Deck-Bottom]],NA())</calculatedColumnFormula>
    </tableColumn>
    <tableColumn id="21" xr3:uid="{00000000-0010-0000-0000-000015000000}" name="H Keel-Bottom" dataDxfId="335">
      <calculatedColumnFormula>M_depth-Tbl_Load_distrib[[#This Row],[H Deck-Bottom]]</calculatedColumnFormula>
    </tableColumn>
    <tableColumn id="20" xr3:uid="{00000000-0010-0000-0000-000014000000}" name="L_elt" dataDxfId="334">
      <calculatedColumnFormula>IFERROR(Tbl_Load_distrib[[#This Row],[x]]-C5,0)</calculatedColumnFormula>
    </tableColumn>
    <tableColumn id="19" xr3:uid="{00000000-0010-0000-0000-000013000000}" name="H waterline before corr." dataDxfId="333">
      <calculatedColumnFormula>IF(ISNA(Tbl_Load_distrib[[#This Row],[x]]),NA(),IF(ISTEXT(N5),0,IF(N5=0,$Z$3,N5-($Z$3-$AA$3)/(Lpp-FE_size)*Tbl_Load_distrib[[#This Row],[L_elt]])))</calculatedColumnFormula>
    </tableColumn>
    <tableColumn id="13" xr3:uid="{00000000-0010-0000-0000-00000D000000}" name="Elt Area before corr." dataDxfId="332">
      <calculatedColumnFormula>IF(ISNUMBER(O5),(IF((N5-L5)&lt;0,0,N5-L5)+IF((Tbl_Load_distrib[[#This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calculatedColumnFormula>
    </tableColumn>
    <tableColumn id="4" xr3:uid="{00000000-0010-0000-0000-000004000000}" name="H waterline corrected" dataDxfId="331">
      <calculatedColumnFormula>IF(ISNA(Tbl_Load_distrib[[#This Row],[x]]),NA(),IF(ISTEXT(P5),0,IF(P5=0,LongSection_DraftAft,P5-(LongSection_DraftAft-LongSection_DraftFore)/(Lpp-FE_size)*Tbl_Load_distrib[[#This Row],[L_elt]])))</calculatedColumnFormula>
    </tableColumn>
    <tableColumn id="14" xr3:uid="{00000000-0010-0000-0000-00000E000000}" name="Elt Area corrected" dataDxfId="330">
      <calculatedColumnFormula>IF(ISNUMBER(Q5),(IF((P5-L5)&lt;0,0,P5-L5)+IF((Tbl_Load_distrib[[#This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calculatedColumnFormula>
    </tableColumn>
    <tableColumn id="15" xr3:uid="{00000000-0010-0000-0000-00000F000000}" name="Floating Elt" dataDxfId="329">
      <calculatedColumnFormula>ρ_sw*Tbl_Load_distrib[[#This Row],[Elt Area corrected]]*B/k_depl</calculatedColumnFormula>
    </tableColumn>
    <tableColumn id="16" xr3:uid="{00000000-0010-0000-0000-000010000000}" name="Net force / Elt" dataDxfId="328">
      <calculatedColumnFormula>Tbl_Load_distrib[[#This Row],[Section Weight]]-Tbl_Load_distrib[[#This Row],[Floating Elt]]</calculatedColumnFormula>
    </tableColumn>
    <tableColumn id="17" xr3:uid="{00000000-0010-0000-0000-000011000000}" name="Shearing Force" dataDxfId="327">
      <calculatedColumnFormula>IF(ISTEXT($T5),0,$T5+Tbl_Load_distrib[[#This Row],[Net force / Elt]])</calculatedColumnFormula>
    </tableColumn>
    <tableColumn id="18" xr3:uid="{00000000-0010-0000-0000-000012000000}" name="Bending Moment" dataDxfId="326">
      <calculatedColumnFormula>IF(ISTEXT($U5),0,$U5+Tbl_Load_distrib[[#This Row],[Shearing Force]]*Tbl_Load_distrib[[#This Row],[L_elt]])</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bl_Hydrostatic" displayName="Tbl_Hydrostatic" ref="B9:J166" totalsRowShown="0" headerRowDxfId="322" dataDxfId="321" tableBorderDxfId="320">
  <autoFilter ref="B9:J166" xr:uid="{00000000-0009-0000-0100-00000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00000000-0010-0000-0100-000001000000}" name="Draught" dataDxfId="319"/>
    <tableColumn id="2" xr3:uid="{00000000-0010-0000-0100-000002000000}" name="Displ. F.W." dataDxfId="318">
      <calculatedColumnFormula>Tbl_Hydrostatic[[#This Row],[Displ. S.W.]]*$C$7/$D$7</calculatedColumnFormula>
    </tableColumn>
    <tableColumn id="3" xr3:uid="{00000000-0010-0000-0100-000003000000}" name="Displ. S.W." dataDxfId="317"/>
    <tableColumn id="4" xr3:uid="{00000000-0010-0000-0100-000004000000}" name="Immersion" dataDxfId="316"/>
    <tableColumn id="5" xr3:uid="{00000000-0010-0000-0100-000005000000}" name="M CT" dataDxfId="315"/>
    <tableColumn id="6" xr3:uid="{00000000-0010-0000-0100-000006000000}" name="LCB" dataDxfId="314"/>
    <tableColumn id="7" xr3:uid="{00000000-0010-0000-0100-000007000000}" name="TCB" dataDxfId="313"/>
    <tableColumn id="8" xr3:uid="{00000000-0010-0000-0100-000008000000}" name="LCF" dataDxfId="312"/>
    <tableColumn id="9" xr3:uid="{00000000-0010-0000-0100-000009000000}" name="KM transv" dataDxfId="311"/>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bl_KN" displayName="Tbl_KN" ref="J11:S342" totalsRowShown="0" headerRowDxfId="309" dataDxfId="308" tableBorderDxfId="307">
  <autoFilter ref="J11:S342" xr:uid="{00000000-0009-0000-0100-00000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0000000-0010-0000-0200-000001000000}" name="Displ." dataDxfId="306" dataCellStyle="Milliers"/>
    <tableColumn id="2" xr3:uid="{00000000-0010-0000-0200-000002000000}" name="Tφ=0" dataDxfId="305"/>
    <tableColumn id="3" xr3:uid="{00000000-0010-0000-0200-000003000000}" name="0,00" dataDxfId="304"/>
    <tableColumn id="4" xr3:uid="{00000000-0010-0000-0200-000004000000}" name="2,00" dataDxfId="303"/>
    <tableColumn id="5" xr3:uid="{00000000-0010-0000-0200-000005000000}" name="5,00" dataDxfId="302"/>
    <tableColumn id="6" xr3:uid="{00000000-0010-0000-0200-000006000000}" name="10,00" dataDxfId="301"/>
    <tableColumn id="7" xr3:uid="{00000000-0010-0000-0200-000007000000}" name="15,00" dataDxfId="300"/>
    <tableColumn id="8" xr3:uid="{00000000-0010-0000-0200-000008000000}" name="20,00" dataDxfId="299"/>
    <tableColumn id="10" xr3:uid="{00000000-0010-0000-0200-00000A000000}" name="30,00" dataDxfId="298"/>
    <tableColumn id="12" xr3:uid="{00000000-0010-0000-0200-00000C000000}" name="40,00" dataDxfId="297"/>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bl_KN_Charts" displayName="Tbl_KN_Charts" ref="B11:H33" totalsRowShown="0" headerRowDxfId="296" dataDxfId="295" tableBorderDxfId="294">
  <autoFilter ref="B11:H33" xr:uid="{00000000-0009-0000-0100-000006000000}">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00000000-0010-0000-0300-000001000000}" name="N" dataDxfId="293">
      <calculatedColumnFormula>IF(ISNUMBER($B11),$B11+1,1)</calculatedColumnFormula>
    </tableColumn>
    <tableColumn id="2" xr3:uid="{00000000-0010-0000-0300-000002000000}" name="List" dataDxfId="292">
      <calculatedColumnFormula>IF(INDEX($L$11:$ZI$11,Tbl_KN_Charts[[#This Row],[N]])&lt;&gt;"",VALUE(INDEX($L$11:$ZI$11,Tbl_KN_Charts[[#This Row],[N]])),NA())</calculatedColumnFormula>
    </tableColumn>
    <tableColumn id="6" xr3:uid="{00000000-0010-0000-0300-000006000000}" name="KN sin(φ) " dataDxfId="291">
      <calculatedColumnFormula>IF(INDEX($L$2:$ZP$2,Tbl_KN_Charts[[#This Row],[N]])&lt;&gt;"",VALUE(INDEX($L$2:$ZP$2,Tbl_KN_Charts[[#This Row],[N]])),NA())</calculatedColumnFormula>
    </tableColumn>
    <tableColumn id="3" xr3:uid="{00000000-0010-0000-0300-000003000000}" name="G'N sin(φ)" dataDxfId="290">
      <calculatedColumnFormula>Tbl_KN_Charts[[#This Row],[KN sin(φ) ]]-(KG+ixꙍ/Displacement)*SIN(Tbl_KN_Charts[[#This Row],[List]]*PI()/180)-TCG*SIN(Tbl_KN_Charts[[#This Row],[List]]*PI()/180)</calculatedColumnFormula>
    </tableColumn>
    <tableColumn id="4" xr3:uid="{00000000-0010-0000-0300-000004000000}" name="Trapeze" dataDxfId="289">
      <calculatedColumnFormula>IFERROR((E11+E12)/2*(C12-C11)*PI()/180,"")</calculatedColumnFormula>
    </tableColumn>
    <tableColumn id="5" xr3:uid="{00000000-0010-0000-0300-000005000000}" name="Tmax" dataDxfId="288">
      <calculatedColumnFormula>IF(Tbl_KN_Charts[[#This Row],[N]]&lt;=$B$9,Tbl_KN_Charts[[#This Row],[Trapeze]],"")</calculatedColumnFormula>
    </tableColumn>
    <tableColumn id="7" xr3:uid="{00000000-0010-0000-0300-000007000000}" name="flag" dataDxfId="287">
      <calculatedColumnFormula>IFERROR(IF(AND(Tbl_KN_Charts[[#This Row],[List]]&gt;=30,Tbl_KN_Charts[[#This Row],[List]]&lt;=40),1,0),0)</calculatedColumnFormula>
    </tableColumn>
  </tableColumns>
  <tableStyleInfo name="TableStyleLight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4000000}" name="Tbl_Long_Definition" displayName="Tbl_Long_Definition" ref="C5:F9" totalsRowShown="0" headerRowDxfId="282" tableBorderDxfId="281">
  <autoFilter ref="C5:F9" xr:uid="{00000000-0009-0000-0100-000001000000}">
    <filterColumn colId="0" hiddenButton="1"/>
    <filterColumn colId="1" hiddenButton="1"/>
    <filterColumn colId="2" hiddenButton="1"/>
    <filterColumn colId="3" hiddenButton="1"/>
  </autoFilter>
  <tableColumns count="4">
    <tableColumn id="1" xr3:uid="{00000000-0010-0000-0400-000001000000}" name="X" dataDxfId="280"/>
    <tableColumn id="2" xr3:uid="{00000000-0010-0000-0400-000002000000}" name="H Deck-Bott." dataDxfId="279"/>
    <tableColumn id="3" xr3:uid="{00000000-0010-0000-0400-000003000000}" name="Y" dataDxfId="278">
      <calculatedColumnFormula>-Tbl_Long_Definition[[#This Row],[H Deck-Bott.]]</calculatedColumnFormula>
    </tableColumn>
    <tableColumn id="4" xr3:uid="{00000000-0010-0000-0400-000004000000}" name="H k-bott" dataDxfId="277">
      <calculatedColumnFormula>M_depth-Tbl_Long_Definition[[#This Row],[H Deck-Bott.]]</calculatedColumnFormula>
    </tableColumn>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5000000}" name="Tbl_Long_Section" displayName="Tbl_Long_Section" ref="K5:S300" totalsRowShown="0" headerRowDxfId="276" dataDxfId="274" headerRowBorderDxfId="275" tableBorderDxfId="273">
  <autoFilter ref="K5:S300" xr:uid="{00000000-0009-0000-0100-00000A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00000000-0010-0000-0500-000001000000}" name="Fr." dataDxfId="272">
      <calculatedColumnFormula>IF(ISTEXT($K5),0,IF($K5+1&gt;Last_Frame,NA(),$K5+1))</calculatedColumnFormula>
    </tableColumn>
    <tableColumn id="2" xr3:uid="{00000000-0010-0000-0500-000002000000}" name="X" dataDxfId="271">
      <calculatedColumnFormula>IF(ISTEXT($L5),0,IF($L5+FE_size&gt;Lpp,IF($L5&lt;&gt;Lpp,Lpp,NA()),$L5+FE_size))</calculatedColumnFormula>
    </tableColumn>
    <tableColumn id="3" xr3:uid="{00000000-0010-0000-0500-000003000000}" name="Nline Prev" dataDxfId="270">
      <calculatedColumnFormula>MATCH(Tbl_Long_Section[[#This Row],[X]],Tbl_Long_Definition[X],1)</calculatedColumnFormula>
    </tableColumn>
    <tableColumn id="4" xr3:uid="{00000000-0010-0000-0500-000004000000}" name="Nline Next" dataDxfId="269">
      <calculatedColumnFormula>IF(Tbl_Long_Section[[#This Row],[Nline Prev]]&lt;COUNT(Tbl_Long_Definition[X]),Tbl_Long_Section[[#This Row],[Nline Prev]]+1,Tbl_Long_Section[[#This Row],[Nline Prev]])</calculatedColumnFormula>
    </tableColumn>
    <tableColumn id="5" xr3:uid="{00000000-0010-0000-0500-000005000000}" name="X Prev" dataDxfId="268">
      <calculatedColumnFormula>INDEX(Tbl_Long_Definition[X],Tbl_Long_Section[[#This Row],[Nline Prev]])</calculatedColumnFormula>
    </tableColumn>
    <tableColumn id="6" xr3:uid="{00000000-0010-0000-0500-000006000000}" name="X Next" dataDxfId="267">
      <calculatedColumnFormula>INDEX(Tbl_Long_Definition[X],Tbl_Long_Section[[#This Row],[Nline Next]])</calculatedColumnFormula>
    </tableColumn>
    <tableColumn id="7" xr3:uid="{00000000-0010-0000-0500-000007000000}" name="Y Prev" dataDxfId="266">
      <calculatedColumnFormula>INDEX(Tbl_Long_Definition[H Deck-Bott.],Tbl_Long_Section[[#This Row],[Nline Prev]])</calculatedColumnFormula>
    </tableColumn>
    <tableColumn id="8" xr3:uid="{00000000-0010-0000-0500-000008000000}" name="Y Next" dataDxfId="265">
      <calculatedColumnFormula>INDEX(Tbl_Long_Definition[H Deck-Bott.],Tbl_Long_Section[[#This Row],[Nline Next]])</calculatedColumnFormula>
    </tableColumn>
    <tableColumn id="9" xr3:uid="{00000000-0010-0000-0500-000009000000}" name="H Deck-Bottom" dataDxfId="264">
      <calculatedColumnFormula>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calculatedColumnFormula>
    </tableColumn>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6000000}" name="Tbl_Long_Hydro" displayName="Tbl_Long_Hydro" ref="V5:BH201" totalsRowShown="0" headerRowDxfId="263" dataDxfId="262" tableBorderDxfId="261">
  <autoFilter ref="V5:BH201"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autoFilter>
  <tableColumns count="39">
    <tableColumn id="1" xr3:uid="{00000000-0010-0000-0600-000001000000}" name="Draught" dataDxfId="260">
      <calculatedColumnFormula>IF(ISTEXT(V5),0,IF(V5+Δhydro&gt;M_depth,NA(),V5+Δhydro))</calculatedColumnFormula>
    </tableColumn>
    <tableColumn id="4" xr3:uid="{00000000-0010-0000-0600-000004000000}" name="Aft Nline prev" dataDxfId="259">
      <calculatedColumnFormula>MATCH(Tbl_Long_Hydro[[#This Row],[Draught]],Tbl_Long_Definition[H k-bott],-1)</calculatedColumnFormula>
    </tableColumn>
    <tableColumn id="3" xr3:uid="{00000000-0010-0000-0600-000003000000}" name="Aft Nline next" dataDxfId="258">
      <calculatedColumnFormula>IF(Tbl_Long_Hydro[[#This Row],[Aft Nline prev]]&lt;COUNT(Tbl_Long_Definition[H k-bott]),IF(INDEX(Tbl_Long_Definition[H k-bott],Tbl_Long_Hydro[[#This Row],[Aft Nline prev]])=Tbl_Long_Hydro[[#This Row],[Draught]],Tbl_Long_Hydro[[#This Row],[Aft Nline prev]],Tbl_Long_Hydro[[#This Row],[Aft Nline prev]]+1),Tbl_Long_Hydro[[#This Row],[Aft Nline prev]])</calculatedColumnFormula>
    </tableColumn>
    <tableColumn id="6" xr3:uid="{00000000-0010-0000-0600-000006000000}" name="Fore Nline prev" dataDxfId="257">
      <calculatedColumnFormula>MATCH(Tbl_Long_Hydro[[#This Row],[Draught]],Tbl_Long_Definition[H k-bott],1)</calculatedColumnFormula>
    </tableColumn>
    <tableColumn id="5" xr3:uid="{00000000-0010-0000-0600-000005000000}" name="Fore Nline next" dataDxfId="256">
      <calculatedColumnFormula>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calculatedColumnFormula>
    </tableColumn>
    <tableColumn id="11" xr3:uid="{00000000-0010-0000-0600-00000B000000}" name="Aft X prev" dataDxfId="255">
      <calculatedColumnFormula>IF(ISNA(Tbl_Long_Hydro[[#This Row],[Draught]]),NA(),IFERROR(INDEX(Tbl_Long_Definition[X],Tbl_Long_Hydro[[#This Row],[Aft Nline prev]]),0))</calculatedColumnFormula>
    </tableColumn>
    <tableColumn id="10" xr3:uid="{00000000-0010-0000-0600-00000A000000}" name="Aft X next" dataDxfId="254">
      <calculatedColumnFormula>IF(ISNA(Tbl_Long_Hydro[[#This Row],[Draught]]),NA(),IFERROR(INDEX(Tbl_Long_Definition[X],Tbl_Long_Hydro[[#This Row],[Aft Nline next]]),0))</calculatedColumnFormula>
    </tableColumn>
    <tableColumn id="9" xr3:uid="{00000000-0010-0000-0600-000009000000}" name="Aft Draft prev" dataDxfId="253">
      <calculatedColumnFormula>IF(ISNA(Tbl_Long_Hydro[[#This Row],[Draught]]),NA(),INDEX(Tbl_Long_Definition[H k-bott],Tbl_Long_Hydro[[#This Row],[Aft Nline prev]]))</calculatedColumnFormula>
    </tableColumn>
    <tableColumn id="8" xr3:uid="{00000000-0010-0000-0600-000008000000}" name="Aft Draft next" dataDxfId="252">
      <calculatedColumnFormula>IF(ISNA(Tbl_Long_Hydro[[#This Row],[Draught]]),NA(),INDEX(Tbl_Long_Definition[H k-bott],Tbl_Long_Hydro[[#This Row],[Aft Nline next]]))</calculatedColumnFormula>
    </tableColumn>
    <tableColumn id="18" xr3:uid="{00000000-0010-0000-0600-000012000000}" name="Fore X prev" dataDxfId="251">
      <calculatedColumnFormula>IF(ISNA(Tbl_Long_Hydro[[#This Row],[Draught]]),NA(),IFERROR(INDEX(Tbl_Long_Definition[X],Tbl_Long_Hydro[[#This Row],[Fore Nline prev]]),0))</calculatedColumnFormula>
    </tableColumn>
    <tableColumn id="19" xr3:uid="{00000000-0010-0000-0600-000013000000}" name="Fore X next" dataDxfId="250">
      <calculatedColumnFormula>IF(ISNA(Tbl_Long_Hydro[[#This Row],[Draught]]),NA(),IFERROR(INDEX(Tbl_Long_Definition[X],Tbl_Long_Hydro[[#This Row],[Fore Nline next]]),0))</calculatedColumnFormula>
    </tableColumn>
    <tableColumn id="16" xr3:uid="{00000000-0010-0000-0600-000010000000}" name="Fore Draft prev" dataDxfId="249">
      <calculatedColumnFormula>IF(ISNA(Tbl_Long_Hydro[[#This Row],[Draught]]),NA(),INDEX(Tbl_Long_Definition[H k-bott],Tbl_Long_Hydro[[#This Row],[Fore Nline prev]]))</calculatedColumnFormula>
    </tableColumn>
    <tableColumn id="17" xr3:uid="{00000000-0010-0000-0600-000011000000}" name="Fore Draft next" dataDxfId="248">
      <calculatedColumnFormula>IF(ISNA(Tbl_Long_Hydro[[#This Row],[Draught]]),NA(),INDEX(Tbl_Long_Definition[H k-bott],Tbl_Long_Hydro[[#This Row],[Fore Nline next]]))</calculatedColumnFormula>
    </tableColumn>
    <tableColumn id="12" xr3:uid="{00000000-0010-0000-0600-00000C000000}" name="Aft X" dataDxfId="247">
      <calculatedColumnFormula>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calculatedColumnFormula>
    </tableColumn>
    <tableColumn id="13" xr3:uid="{00000000-0010-0000-0600-00000D000000}" name="Fore X" dataDxfId="246">
      <calculatedColumnFormula>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calculatedColumnFormula>
    </tableColumn>
    <tableColumn id="24" xr3:uid="{00000000-0010-0000-0600-000018000000}" name="LX" dataDxfId="245">
      <calculatedColumnFormula>Tbl_Long_Hydro[[#This Row],[Fore X]]-Tbl_Long_Hydro[[#This Row],[Aft X]]</calculatedColumnFormula>
    </tableColumn>
    <tableColumn id="2" xr3:uid="{00000000-0010-0000-0600-000002000000}" name="Waterplane area" dataDxfId="244">
      <calculatedColumnFormula>Tbl_Long_Hydro[[#This Row],[LX]]*B</calculatedColumnFormula>
    </tableColumn>
    <tableColumn id="22" xr3:uid="{00000000-0010-0000-0600-000016000000}" name="Volume elt" dataDxfId="243">
      <calculatedColumnFormula>IF(ISNUMBER(AM5),(AK5+Tbl_Long_Hydro[[#This Row],[LX]])*(Tbl_Long_Hydro[[#This Row],[Draught]]-V5)/2*B,(Tbl_Long_Hydro[[#This Row],[LX]])*Tbl_Long_Hydro[[#This Row],[Draught]]*B)</calculatedColumnFormula>
    </tableColumn>
    <tableColumn id="25" xr3:uid="{00000000-0010-0000-0600-000019000000}" name="X CoG elt" dataDxfId="242">
      <calculatedColumnFormula>Tbl_Long_Hydro[[#This Row],[Aft X]]+Tbl_Long_Hydro[[#This Row],[LX]]/2</calculatedColumnFormula>
    </tableColumn>
    <tableColumn id="23" xr3:uid="{00000000-0010-0000-0600-000017000000}" name="Z CoG elt" dataDxfId="241">
      <calculatedColumnFormula>IF(ISNUMBER(AO5),(2*Tbl_Long_Hydro[[#This Row],[LX]]+AK5)/(Tbl_Long_Hydro[[#This Row],[LX]]+AK5)*(Tbl_Long_Hydro[[#This Row],[Draught]]-V5)/3+V5,Tbl_Long_Hydro[[#This Row],[Draught]]/2)</calculatedColumnFormula>
    </tableColumn>
    <tableColumn id="20" xr3:uid="{00000000-0010-0000-0600-000014000000}" name="Displacement" dataDxfId="240">
      <calculatedColumnFormula>IF(ISNUMBER(AP5),Tbl_Long_Hydro[[#This Row],[Volume elt]]+AP5,Tbl_Long_Hydro[[#This Row],[Volume elt]]*AO$4)</calculatedColumnFormula>
    </tableColumn>
    <tableColumn id="21" xr3:uid="{00000000-0010-0000-0600-000015000000}" name="Displac. SW" dataDxfId="239">
      <calculatedColumnFormula>IF(ISNUMBER(AQ5),Tbl_Long_Hydro[[#This Row],[Displacement]]*AQ$4,IF(ISNA(AQ5),NA(),0))</calculatedColumnFormula>
    </tableColumn>
    <tableColumn id="14" xr3:uid="{00000000-0010-0000-0600-00000E000000}" name="RMT" dataDxfId="238">
      <calculatedColumnFormula>IF(ISNA(Tbl_Long_Hydro[[#This Row],[Draught]]),NA(),IFERROR(Tbl_Long_Hydro[[#This Row],[LX]]*B^3/12/Tbl_Long_Hydro[[#This Row],[Displacement]],0))</calculatedColumnFormula>
    </tableColumn>
    <tableColumn id="28" xr3:uid="{00000000-0010-0000-0600-00001C000000}" name="RML" dataDxfId="237">
      <calculatedColumnFormula>IF(ISNA(Tbl_Long_Hydro[[#This Row],[Draught]]),NA(),IFERROR((B*Tbl_Long_Hydro[[#This Row],[LX]]^3/12+(Tbl_Long_Hydro[[#This Row],[LCF]]-Tbl_Long_Hydro[[#This Row],[LCB]])*Tbl_Long_Hydro[[#This Row],[Waterplane area]]*Tbl_Long_Hydro[[#This Row],[LCF]]^2)/Tbl_Long_Hydro[[#This Row],[Displacement]],0))</calculatedColumnFormula>
    </tableColumn>
    <tableColumn id="15" xr3:uid="{00000000-0010-0000-0600-00000F000000}" name="LCF" dataDxfId="236">
      <calculatedColumnFormula>Tbl_Long_Hydro[[#This Row],[Aft X]]+Tbl_Long_Hydro[[#This Row],[LX]]/2</calculatedColumnFormula>
    </tableColumn>
    <tableColumn id="26" xr3:uid="{00000000-0010-0000-0600-00001A000000}" name="LCB" dataDxfId="235">
      <calculatedColumnFormula>IF(ISNUMBER(AU5),(AU5*AP5+Tbl_Long_Hydro[[#This Row],[X CoG elt]]*Tbl_Long_Hydro[[#This Row],[Volume elt]])/Tbl_Long_Hydro[[#This Row],[Displacement]],Tbl_Long_Hydro[[#This Row],[X CoG elt]])</calculatedColumnFormula>
    </tableColumn>
    <tableColumn id="27" xr3:uid="{00000000-0010-0000-0600-00001B000000}" name="TCB" dataDxfId="234">
      <calculatedColumnFormula>IF(ISNA(Tbl_Long_Hydro[[#This Row],[Draught]]),NA(),0)</calculatedColumnFormula>
    </tableColumn>
    <tableColumn id="29" xr3:uid="{00000000-0010-0000-0600-00001D000000}" name="VCB" dataDxfId="233">
      <calculatedColumnFormula>IF(ISNUMBER(AW5),(AW5*AP5+Tbl_Long_Hydro[[#This Row],[Z CoG elt]]*Tbl_Long_Hydro[[#This Row],[Volume elt]])/Tbl_Long_Hydro[[#This Row],[Displacement]],Tbl_Long_Hydro[[#This Row],[Z CoG elt]])</calculatedColumnFormula>
    </tableColumn>
    <tableColumn id="30" xr3:uid="{00000000-0010-0000-0600-00001E000000}" name="KMT" dataDxfId="232">
      <calculatedColumnFormula>Tbl_Long_Hydro[[#This Row],[RMT]]+Tbl_Long_Hydro[[#This Row],[VCB]]</calculatedColumnFormula>
    </tableColumn>
    <tableColumn id="31" xr3:uid="{00000000-0010-0000-0600-00001F000000}" name="MCT" dataDxfId="231">
      <calculatedColumnFormula>Tbl_Long_Hydro[[#This Row],[Displacement]]*Tbl_Long_Hydro[[#This Row],[RML]]/(100*Lpp)</calculatedColumnFormula>
    </tableColumn>
    <tableColumn id="7" xr3:uid="{00000000-0010-0000-0600-000007000000}" name="_Draught" dataDxfId="230">
      <calculatedColumnFormula>Tbl_Long_Hydro[[#This Row],[Draught]]</calculatedColumnFormula>
    </tableColumn>
    <tableColumn id="32" xr3:uid="{00000000-0010-0000-0600-000020000000}" name="Displ. F.W." dataDxfId="229">
      <calculatedColumnFormula>Tbl_Long_Hydro[[#This Row],[Displacement]]</calculatedColumnFormula>
    </tableColumn>
    <tableColumn id="33" xr3:uid="{00000000-0010-0000-0600-000021000000}" name="Displ. S.W." dataDxfId="228">
      <calculatedColumnFormula>Tbl_Long_Hydro[[#This Row],[Displac. SW]]</calculatedColumnFormula>
    </tableColumn>
    <tableColumn id="34" xr3:uid="{00000000-0010-0000-0600-000022000000}" name="Immersion" dataDxfId="227">
      <calculatedColumnFormula>Tbl_Long_Hydro[[#This Row],[Waterplane area]]/100*$AQ$4</calculatedColumnFormula>
    </tableColumn>
    <tableColumn id="35" xr3:uid="{00000000-0010-0000-0600-000023000000}" name="M CT" dataDxfId="226">
      <calculatedColumnFormula>Tbl_Long_Hydro[[#This Row],[MCT]]</calculatedColumnFormula>
    </tableColumn>
    <tableColumn id="36" xr3:uid="{00000000-0010-0000-0600-000024000000}" name="_LCB" dataDxfId="225">
      <calculatedColumnFormula>Tbl_Long_Hydro[[#This Row],[LCB]]</calculatedColumnFormula>
    </tableColumn>
    <tableColumn id="37" xr3:uid="{00000000-0010-0000-0600-000025000000}" name="_TCB" dataDxfId="224">
      <calculatedColumnFormula>Tbl_Long_Hydro[[#This Row],[TCB]]</calculatedColumnFormula>
    </tableColumn>
    <tableColumn id="38" xr3:uid="{00000000-0010-0000-0600-000026000000}" name="_LCF" dataDxfId="223">
      <calculatedColumnFormula>Tbl_Long_Hydro[[#This Row],[LCF]]</calculatedColumnFormula>
    </tableColumn>
    <tableColumn id="39" xr3:uid="{00000000-0010-0000-0600-000027000000}" name="KM transv" dataDxfId="222">
      <calculatedColumnFormula>Tbl_Long_Hydro[[#This Row],[KMT]]</calculatedColumnFormula>
    </tableColumn>
  </tableColumns>
  <tableStyleInfo name="TableStyleLight3"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bl_Hull_Structure" displayName="Tbl_Hull_Structure" ref="B4:AJ82" totalsRowShown="0" headerRowDxfId="209" tableBorderDxfId="208">
  <autoFilter ref="B4:AJ82" xr:uid="{00000000-0009-0000-0100-000008000000}"/>
  <tableColumns count="35">
    <tableColumn id="1" xr3:uid="{00000000-0010-0000-0700-000001000000}" name="Head" dataDxfId="207">
      <calculatedColumnFormula>IF(NOT(ISBLANK(C5)),C5,B4)</calculatedColumnFormula>
    </tableColumn>
    <tableColumn id="2" xr3:uid="{00000000-0010-0000-0700-000002000000}" name="Group" dataDxfId="206"/>
    <tableColumn id="3" xr3:uid="{00000000-0010-0000-0700-000003000000}" name="Num" dataDxfId="205"/>
    <tableColumn id="4" xr3:uid="{00000000-0010-0000-0700-000004000000}" name="ITEM No" dataDxfId="204">
      <calculatedColumnFormula>IF(NOT(ISBLANK(Tbl_Hull_Structure[[#This Row],[Num]])),TEXT(Tbl_Hull_Structure[[#This Row],[Group]],"00")&amp;"-"&amp;TEXT(Tbl_Hull_Structure[[#This Row],[Num]],"000"),"")</calculatedColumnFormula>
    </tableColumn>
    <tableColumn id="5" xr3:uid="{00000000-0010-0000-0700-000005000000}" name="ITEM Title " dataDxfId="203"/>
    <tableColumn id="6" xr3:uid="{00000000-0010-0000-0700-000006000000}" name="Qty" dataDxfId="202"/>
    <tableColumn id="7" xr3:uid="{00000000-0010-0000-0700-000007000000}" name="Unitary " dataDxfId="201"/>
    <tableColumn id="8" xr3:uid="{00000000-0010-0000-0700-000008000000}" name="Total Op" dataDxfId="200">
      <calculatedColumnFormula>Tbl_Hull_Structure[[#This Row],[Qty]]*Tbl_Hull_Structure[[#This Row],[Unitary ]]</calculatedColumnFormula>
    </tableColumn>
    <tableColumn id="9" xr3:uid="{00000000-0010-0000-0700-000009000000}" name="Contingency " dataDxfId="199"/>
    <tableColumn id="10" xr3:uid="{00000000-0010-0000-0700-00000A000000}" name="Weight Op" dataDxfId="198">
      <calculatedColumnFormula>Tbl_Hull_Structure[[#This Row],[Contingency ]]*Tbl_Hull_Structure[[#This Row],[Total Op]]</calculatedColumnFormula>
    </tableColumn>
    <tableColumn id="11" xr3:uid="{00000000-0010-0000-0700-00000B000000}" name="X" dataDxfId="197"/>
    <tableColumn id="12" xr3:uid="{00000000-0010-0000-0700-00000C000000}" name="Y" dataDxfId="196"/>
    <tableColumn id="13" xr3:uid="{00000000-0010-0000-0700-00000D000000}" name="Z" dataDxfId="195"/>
    <tableColumn id="14" xr3:uid="{00000000-0010-0000-0700-00000E000000}" name="X distrib" dataDxfId="194"/>
    <tableColumn id="15" xr3:uid="{00000000-0010-0000-0700-00000F000000}" name="Source" dataDxfId="193"/>
    <tableColumn id="16" xr3:uid="{00000000-0010-0000-0700-000010000000}" name="Design stage" dataDxfId="192"/>
    <tableColumn id="17" xr3:uid="{00000000-0010-0000-0700-000011000000}" name="Comments" dataDxfId="191"/>
    <tableColumn id="18" xr3:uid="{00000000-0010-0000-0700-000012000000}" name="Mx" dataDxfId="190">
      <calculatedColumnFormula>IF(Tbl_Hull_Structure[[#This Row],[Weight Op]],Tbl_Hull_Structure[[#This Row],[Weight Op]]*Tbl_Hull_Structure[[#This Row],[X]],"")</calculatedColumnFormula>
    </tableColumn>
    <tableColumn id="19" xr3:uid="{00000000-0010-0000-0700-000013000000}" name="My" dataDxfId="189">
      <calculatedColumnFormula>IF(Tbl_Hull_Structure[[#This Row],[Weight Op]],Tbl_Hull_Structure[[#This Row],[Weight Op]]*Tbl_Hull_Structure[[#This Row],[Y]],"")</calculatedColumnFormula>
    </tableColumn>
    <tableColumn id="20" xr3:uid="{00000000-0010-0000-0700-000014000000}" name="Mz" dataDxfId="188">
      <calculatedColumnFormula>IF(Tbl_Hull_Structure[[#This Row],[Weight Op]],Tbl_Hull_Structure[[#This Row],[Weight Op]]*Tbl_Hull_Structure[[#This Row],[Z]],"")</calculatedColumnFormula>
    </tableColumn>
    <tableColumn id="21" xr3:uid="{00000000-0010-0000-0700-000015000000}" name="Weight Fact" dataDxfId="187">
      <calculatedColumnFormula>Tbl_Hull_Structure[[#This Row],[Weight Op]]</calculatedColumnFormula>
    </tableColumn>
    <tableColumn id="22" xr3:uid="{00000000-0010-0000-0700-000016000000}" name="COG x " dataDxfId="186">
      <calculatedColumnFormula>IF(Tbl_Hull_Structure[[#This Row],[Weight Fact]],Tbl_Hull_Structure[[#This Row],[X]],"")</calculatedColumnFormula>
    </tableColumn>
    <tableColumn id="23" xr3:uid="{00000000-0010-0000-0700-000017000000}" name="COG y " dataDxfId="185">
      <calculatedColumnFormula>IF(Tbl_Hull_Structure[[#This Row],[Weight Fact]],Tbl_Hull_Structure[[#This Row],[Y]],"")</calculatedColumnFormula>
    </tableColumn>
    <tableColumn id="24" xr3:uid="{00000000-0010-0000-0700-000018000000}" name="COG z " dataDxfId="184">
      <calculatedColumnFormula>IF(Tbl_Hull_Structure[[#This Row],[Weight Fact]],Tbl_Hull_Structure[[#This Row],[Z]],"")</calculatedColumnFormula>
    </tableColumn>
    <tableColumn id="34" xr3:uid="{00000000-0010-0000-0700-000022000000}" name="Distrib" dataDxfId="183">
      <calculatedColumnFormula>IF(Tbl_Hull_Structure[[#This Row],[Weight Fact]],Tbl_Hull_Structure[[#This Row],[X distrib]],"")</calculatedColumnFormula>
    </tableColumn>
    <tableColumn id="33" xr3:uid="{00000000-0010-0000-0700-000021000000}" name="AP from" dataDxfId="182">
      <calculatedColumnFormula>IF(Tbl_Hull_Structure[[#This Row],[Weight Fact]],Tbl_Hull_Structure[[#This Row],[COG x ]]-Tbl_Hull_Structure[[#This Row],[Distrib]]/2,"")</calculatedColumnFormula>
    </tableColumn>
    <tableColumn id="32" xr3:uid="{00000000-0010-0000-0700-000020000000}" name="AP to" dataDxfId="181">
      <calculatedColumnFormula>IF(Tbl_Hull_Structure[[#This Row],[Weight Fact]],Tbl_Hull_Structure[[#This Row],[COG x ]]+Tbl_Hull_Structure[[#This Row],[Distrib]]/2,"")</calculatedColumnFormula>
    </tableColumn>
    <tableColumn id="25" xr3:uid="{00000000-0010-0000-0700-000019000000}" name="Fr from" dataDxfId="180">
      <calculatedColumnFormula>IF(Tbl_Hull_Structure[[#This Row],[Weight Fact]],ROUND(Tbl_Hull_Structure[[#This Row],[AP from]]/FE_size,0),"")</calculatedColumnFormula>
    </tableColumn>
    <tableColumn id="26" xr3:uid="{00000000-0010-0000-0700-00001A000000}" name="Fr to" dataDxfId="179">
      <calculatedColumnFormula>IF(Tbl_Hull_Structure[[#This Row],[Weight Fact]],ROUND(Tbl_Hull_Structure[[#This Row],[AP to]]/FE_size,0),"")</calculatedColumnFormula>
    </tableColumn>
    <tableColumn id="35" xr3:uid="{00000000-0010-0000-0700-000023000000}" name="CoG Chk" dataDxfId="178">
      <calculatedColumnFormula>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calculatedColumnFormula>
    </tableColumn>
    <tableColumn id="27" xr3:uid="{00000000-0010-0000-0700-00001B000000}" name="L from" dataDxfId="177">
      <calculatedColumnFormula>IF(Tbl_Hull_Structure[[#This Row],[Weight Fact]],IF(Tbl_Hull_Structure[[#This Row],[Fr from]]*FE_size&lt;0,0,Tbl_Hull_Structure[[#This Row],[Fr from]]*FE_size),"")</calculatedColumnFormula>
    </tableColumn>
    <tableColumn id="28" xr3:uid="{00000000-0010-0000-0700-00001C000000}" name="L to" dataDxfId="176">
      <calculatedColumnFormula>IF(Tbl_Hull_Structure[[#This Row],[Weight Fact]],IF(Tbl_Hull_Structure[[#This Row],[Fr to]]*FE_size=Tbl_Hull_Structure[[#This Row],[L from]],Tbl_Hull_Structure[[#This Row],[L from]]+FE_size,IF(Tbl_Hull_Structure[[#This Row],[Fr to]]*FE_size&gt;Lpp,Lpp,Tbl_Hull_Structure[[#This Row],[Fr to]]*FE_size)),"")</calculatedColumnFormula>
    </tableColumn>
    <tableColumn id="31" xr3:uid="{00000000-0010-0000-0700-00001F000000}" name="Spread" dataDxfId="175">
      <calculatedColumnFormula>IFERROR(Tbl_Hull_Structure[[#This Row],[Weight Fact]]/(Tbl_Hull_Structure[[#This Row],[L to]]-Tbl_Hull_Structure[[#This Row],[L from]]),"")</calculatedColumnFormula>
    </tableColumn>
    <tableColumn id="36" xr3:uid="{00000000-0010-0000-0700-000024000000}" name="Δ weight" dataDxfId="174">
      <calculatedColumnFormula>IF(Tbl_Hull_Structure[[#This Row],[Weight Fact]],Tbl_Hull_Structure[[#This Row],[Spread]]*(Tbl_Hull_Structure[[#This Row],[L to]]-Tbl_Hull_Structure[[#This Row],[L from]])-Tbl_Hull_Structure[[#This Row],[Weight Fact]],"")</calculatedColumnFormula>
    </tableColumn>
    <tableColumn id="29" xr3:uid="{00000000-0010-0000-0700-00001D000000}" name="Repart position" dataDxfId="173">
      <calculatedColumnFormula>IF(AND(ISNUMBER(Tbl_Hull_Structure[[#This Row],[L from]]),ISNUMBER(Tbl_Hull_Structure[[#This Row],[L to]])),IF(AND(Tbl_Hull_Structure[[#This Row],[L from]]&gt;=0,Tbl_Hull_Structure[[#This Row],[L to]]&lt;=Lpp),"OK","KO"),"OK")</calculatedColumnFormula>
    </tableColumn>
  </tableColumns>
  <tableStyleInfo name="TableStyleLight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8000000}" name="Tbl_Ballasts" displayName="Tbl_Ballasts" ref="B9:X31" totalsRowShown="0">
  <autoFilter ref="B9:X31" xr:uid="{00000000-0009-0000-0100-00000B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00000000-0010-0000-0800-000001000000}" name="Index" dataDxfId="133">
      <calculatedColumnFormula>IF(ISNUMBER($B9),B9+1,0)</calculatedColumnFormula>
    </tableColumn>
    <tableColumn id="2" xr3:uid="{00000000-0010-0000-0800-000002000000}" name="Ballast" dataDxfId="132">
      <calculatedColumnFormula>INDEX($AA$1:$LC$6,C$5,C$6+Tbl_Ballasts[[#This Row],[Index]]*Ballasts_columns_step)</calculatedColumnFormula>
    </tableColumn>
    <tableColumn id="21" xr3:uid="{00000000-0010-0000-0800-000015000000}" name="Line check" dataDxfId="131">
      <calculatedColumnFormula>IFERROR(OFFSET($AA$1,D$5,D$6+Tbl_Ballasts[[#This Row],[Index]]*Ballasts_columns_step),0)</calculatedColumnFormula>
    </tableColumn>
    <tableColumn id="3" xr3:uid="{00000000-0010-0000-0800-000003000000}" name="Recap Row" dataDxfId="130" dataCellStyle="Satisfaisant"/>
    <tableColumn id="4" xr3:uid="{00000000-0010-0000-0800-000004000000}" name="Recap Col" dataDxfId="129"/>
    <tableColumn id="20" xr3:uid="{00000000-0010-0000-0800-000014000000}" name="Code" dataDxfId="128">
      <calculatedColumnFormula>TEXT(Tbl_Ballasts[[#This Row],[Recap Row]],"00")&amp;TEXT(Tbl_Ballasts[[#This Row],[Recap Col]],"00")</calculatedColumnFormula>
    </tableColumn>
    <tableColumn id="5" xr3:uid="{00000000-0010-0000-0800-000005000000}" name="Recap Entry" dataDxfId="127" dataCellStyle="Satisfaisant">
      <calculatedColumnFormula>INDEX(Recap_Ballasts,Tbl_Ballasts[[#This Row],[Recap Row]],Tbl_Ballasts[[#This Row],[Recap Col]])</calculatedColumnFormula>
    </tableColumn>
    <tableColumn id="22" xr3:uid="{00000000-0010-0000-0800-000016000000}" name="i*ꙍ" dataDxfId="126" dataCellStyle="Satisfaisant">
      <calculatedColumnFormula>IFERROR(OFFSET($AA$1,I$5,I$6+Tbl_Ballasts[[#This Row],[Index]]*Ballasts_columns_step),0)</calculatedColumnFormula>
    </tableColumn>
    <tableColumn id="6" xr3:uid="{00000000-0010-0000-0800-000006000000}" name="Weight Fact" dataDxfId="125">
      <calculatedColumnFormula>IFERROR(OFFSET($AA$1,J$5,J$6+Tbl_Ballasts[[#This Row],[Index]]*Ballasts_columns_step),0)</calculatedColumnFormula>
    </tableColumn>
    <tableColumn id="7" xr3:uid="{00000000-0010-0000-0800-000007000000}" name="COG x " dataDxfId="124">
      <calculatedColumnFormula>IFERROR(OFFSET($AA$1,K$5,K$6+Tbl_Ballasts[[#This Row],[Index]]*Ballasts_columns_step),0)</calculatedColumnFormula>
    </tableColumn>
    <tableColumn id="8" xr3:uid="{00000000-0010-0000-0800-000008000000}" name="COG y " dataDxfId="123">
      <calculatedColumnFormula>IFERROR(OFFSET($AA$1,L$5,L$6+Tbl_Ballasts[[#This Row],[Index]]*Ballasts_columns_step),0)</calculatedColumnFormula>
    </tableColumn>
    <tableColumn id="9" xr3:uid="{00000000-0010-0000-0800-000009000000}" name="COG z " dataDxfId="122">
      <calculatedColumnFormula>IFERROR(OFFSET($AA$1,M$5,M$6+Tbl_Ballasts[[#This Row],[Index]]*Ballasts_columns_step),0)</calculatedColumnFormula>
    </tableColumn>
    <tableColumn id="10" xr3:uid="{00000000-0010-0000-0800-00000A000000}" name="Distrib" dataDxfId="121">
      <calculatedColumnFormula>IFERROR(OFFSET($AA$1,N$5,N$6+Tbl_Ballasts[[#This Row],[Index]]*Ballasts_columns_step),0)</calculatedColumnFormula>
    </tableColumn>
    <tableColumn id="11" xr3:uid="{00000000-0010-0000-0800-00000B000000}" name="AP from" dataDxfId="120">
      <calculatedColumnFormula>IF(Tbl_Ballasts[[#This Row],[Weight Fact]],Tbl_Ballasts[[#This Row],[COG x ]]-Tbl_Ballasts[[#This Row],[Distrib]]/2,"")</calculatedColumnFormula>
    </tableColumn>
    <tableColumn id="12" xr3:uid="{00000000-0010-0000-0800-00000C000000}" name="AP to" dataDxfId="119">
      <calculatedColumnFormula>IF(Tbl_Ballasts[[#This Row],[Weight Fact]],Tbl_Ballasts[[#This Row],[COG x ]]+Tbl_Ballasts[[#This Row],[Distrib]]/2,"")</calculatedColumnFormula>
    </tableColumn>
    <tableColumn id="13" xr3:uid="{00000000-0010-0000-0800-00000D000000}" name="Fr from" dataDxfId="118">
      <calculatedColumnFormula>IF(Tbl_Ballasts[[#This Row],[Weight Fact]],ROUND(Tbl_Ballasts[[#This Row],[AP from]]/FE_size,0),"")</calculatedColumnFormula>
    </tableColumn>
    <tableColumn id="14" xr3:uid="{00000000-0010-0000-0800-00000E000000}" name="Fr to" dataDxfId="117">
      <calculatedColumnFormula>IF(Tbl_Ballasts[[#This Row],[Weight Fact]],ROUND(Tbl_Ballasts[[#This Row],[AP to]]/FE_size,0),"")</calculatedColumnFormula>
    </tableColumn>
    <tableColumn id="15" xr3:uid="{00000000-0010-0000-0800-00000F000000}" name="CoG Chk" dataDxfId="116">
      <calculatedColumnFormula>IF(Tbl_Ballasts[[#This Row],[Weight Fact]]=0,"",IF(AND(Tbl_Ballasts[[#This Row],[COG x ]]&gt;=(Tbl_Ballasts[[#This Row],[L to]]-Tbl_Ballasts[[#This Row],[L from]])/3+Tbl_Ballasts[[#This Row],[L from]],Tbl_Ballasts[[#This Row],[COG x ]]&lt;=(Tbl_Ballasts[[#This Row],[L to]]-Tbl_Ballasts[[#This Row],[L from]])*2/3+Tbl_Ballasts[[#This Row],[L from]],Tbl_Ballasts[[#This Row],[L to]]&gt;Tbl_Ballasts[[#This Row],[L from]]),"OK","KO"))</calculatedColumnFormula>
    </tableColumn>
    <tableColumn id="16" xr3:uid="{00000000-0010-0000-0800-000010000000}" name="L from" dataDxfId="115">
      <calculatedColumnFormula>IF(Tbl_Ballasts[[#This Row],[Weight Fact]],IF(Tbl_Ballasts[[#This Row],[Fr from]]*FE_size&lt;0,0,Tbl_Ballasts[[#This Row],[Fr from]]*FE_size),"")</calculatedColumnFormula>
    </tableColumn>
    <tableColumn id="17" xr3:uid="{00000000-0010-0000-0800-000011000000}" name="L to" dataDxfId="114">
      <calculatedColumnFormula>IF(Tbl_Ballasts[[#This Row],[Weight Fact]],IF(Tbl_Ballasts[[#This Row],[Fr to]]*FE_size=Tbl_Ballasts[[#This Row],[L from]],Tbl_Ballasts[[#This Row],[L from]]+FE_size,IF(Tbl_Ballasts[[#This Row],[Fr to]]*FE_size&gt;Lpp,Lpp,Tbl_Ballasts[[#This Row],[Fr to]]*FE_size)),"")</calculatedColumnFormula>
    </tableColumn>
    <tableColumn id="18" xr3:uid="{00000000-0010-0000-0800-000012000000}" name="Spread" dataDxfId="113">
      <calculatedColumnFormula>IFERROR(Tbl_Ballasts[[#This Row],[Weight Fact]]/(Tbl_Ballasts[[#This Row],[L to]]-Tbl_Ballasts[[#This Row],[L from]]),"")</calculatedColumnFormula>
    </tableColumn>
    <tableColumn id="19" xr3:uid="{00000000-0010-0000-0800-000013000000}" name="Δ weight" dataDxfId="112">
      <calculatedColumnFormula>IF(Tbl_Ballasts[[#This Row],[Weight Fact]],Tbl_Ballasts[[#This Row],[Spread]]*(Tbl_Ballasts[[#This Row],[L to]]-Tbl_Ballasts[[#This Row],[L from]])-Tbl_Ballasts[[#This Row],[Weight Fact]],"")</calculatedColumnFormula>
    </tableColumn>
    <tableColumn id="23" xr3:uid="{00000000-0010-0000-0800-000017000000}" name="Repart position" dataDxfId="111">
      <calculatedColumnFormula>IF(AND(ISNUMBER(Tbl_Ballasts[[#This Row],[L from]]),ISNUMBER(Tbl_Ballasts[[#This Row],[L to]])),IF(AND(Tbl_Ballasts[[#This Row],[L from]]&gt;=0,Tbl_Ballasts[[#This Row],[L to]]&lt;=Lpp),"OK","KO"),"OK")</calculatedColumnFormula>
    </tableColumn>
  </tableColumns>
  <tableStyleInfo name="TableStyleLight3"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9000000}" name="Tbl_Crane" displayName="Tbl_Crane" ref="B22:I44" totalsRowShown="0" headerRowBorderDxfId="100" tableBorderDxfId="99">
  <autoFilter ref="B22:I44" xr:uid="{00000000-0009-0000-0100-00000700000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0000000-0010-0000-0900-000001000000}" name="Head" dataDxfId="98">
      <calculatedColumnFormula>IF(NOT(ISBLANK(C23)),C23,B22)</calculatedColumnFormula>
    </tableColumn>
    <tableColumn id="2" xr3:uid="{00000000-0010-0000-0900-000002000000}" name="Group" dataDxfId="97"/>
    <tableColumn id="3" xr3:uid="{00000000-0010-0000-0900-000003000000}" name="Num" dataDxfId="96"/>
    <tableColumn id="4" xr3:uid="{00000000-0010-0000-0900-000004000000}" name="ITEM No" dataDxfId="95">
      <calculatedColumnFormula>IF(NOT(ISBLANK(Tbl_Crane[[#This Row],[Num]])),TEXT(Tbl_Crane[[#This Row],[Group]],"00")&amp;"-"&amp;TEXT(Tbl_Crane[[#This Row],[Num]],"000"),"")</calculatedColumnFormula>
    </tableColumn>
    <tableColumn id="5" xr3:uid="{00000000-0010-0000-0900-000005000000}" name="ITEM Title " dataDxfId="94"/>
    <tableColumn id="6" xr3:uid="{00000000-0010-0000-0900-000006000000}" name="Qty" dataDxfId="93"/>
    <tableColumn id="7" xr3:uid="{00000000-0010-0000-0900-000007000000}" name="Unitary " dataDxfId="92"/>
    <tableColumn id="8" xr3:uid="{00000000-0010-0000-0900-000008000000}" name="Total Op" dataDxfId="91">
      <calculatedColumnFormula>Tbl_Crane[[#This Row],[Qty]]*Tbl_Crane[[#This Row],[Unitary ]]</calculatedColumnFormula>
    </tableColumn>
  </tableColumns>
  <tableStyleInfo name="TableStyleLight3"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A000000}" name="Tbl_Lifting" displayName="Tbl_Lifting" ref="E5:Z9" totalsRowShown="0" tableBorderDxfId="90">
  <autoFilter ref="E5:Z9" xr:uid="{00000000-0009-0000-0100-00000C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autoFilter>
  <tableColumns count="22">
    <tableColumn id="1" xr3:uid="{00000000-0010-0000-0A00-000001000000}" name="Index" dataDxfId="89">
      <calculatedColumnFormula>IF(ISNUMBER($E5),E5+1,0)</calculatedColumnFormula>
    </tableColumn>
    <tableColumn id="2" xr3:uid="{00000000-0010-0000-0A00-000002000000}" name="Item" dataDxfId="88">
      <calculatedColumnFormula>INDEX(INDEX(Recap_Lifting,,F$4),Tbl_Lifting[[#This Row],[Recap Row]])</calculatedColumnFormula>
    </tableColumn>
    <tableColumn id="4" xr3:uid="{00000000-0010-0000-0A00-000004000000}" name="Recap Row" dataDxfId="87" dataCellStyle="Satisfaisant">
      <calculatedColumnFormula>MATCH(Tbl_Lifting[[#This Row],[Index]],INDEX(Recap_Lifting,,1),0)</calculatedColumnFormula>
    </tableColumn>
    <tableColumn id="6" xr3:uid="{00000000-0010-0000-0A00-000006000000}" name="Recap Weight" dataDxfId="86" dataCellStyle="Satisfaisant">
      <calculatedColumnFormula>INDEX(INDEX(Recap_Lifting,,H$4),Tbl_Lifting[[#This Row],[Recap Row]])</calculatedColumnFormula>
    </tableColumn>
    <tableColumn id="24" xr3:uid="{00000000-0010-0000-0A00-000018000000}" name="Recap X" dataDxfId="85" dataCellStyle="Satisfaisant">
      <calculatedColumnFormula>INDEX(INDEX(Recap_Lifting,,I$4),Tbl_Lifting[[#This Row],[Recap Row]])</calculatedColumnFormula>
    </tableColumn>
    <tableColumn id="25" xr3:uid="{00000000-0010-0000-0A00-000019000000}" name="Recap Y" dataDxfId="84" dataCellStyle="Satisfaisant">
      <calculatedColumnFormula>INDEX(INDEX(Recap_Lifting,,J$4),Tbl_Lifting[[#This Row],[Recap Row]])</calculatedColumnFormula>
    </tableColumn>
    <tableColumn id="23" xr3:uid="{00000000-0010-0000-0A00-000017000000}" name="Recap Z" dataDxfId="83" dataCellStyle="Satisfaisant">
      <calculatedColumnFormula>INDEX(INDEX(Recap_Lifting,,K$4),Tbl_Lifting[[#This Row],[Recap Row]])</calculatedColumnFormula>
    </tableColumn>
    <tableColumn id="8" xr3:uid="{00000000-0010-0000-0A00-000008000000}" name="Weight Fact" dataDxfId="82">
      <calculatedColumnFormula>Tbl_Lifting[[#This Row],[Recap Weight]]</calculatedColumnFormula>
    </tableColumn>
    <tableColumn id="9" xr3:uid="{00000000-0010-0000-0A00-000009000000}" name="COG x " dataDxfId="81">
      <calculatedColumnFormula>Tbl_Lifting[[#This Row],[Recap X]]</calculatedColumnFormula>
    </tableColumn>
    <tableColumn id="10" xr3:uid="{00000000-0010-0000-0A00-00000A000000}" name="COG y " dataDxfId="80">
      <calculatedColumnFormula>Tbl_Lifting[[#This Row],[Recap Y]]</calculatedColumnFormula>
    </tableColumn>
    <tableColumn id="11" xr3:uid="{00000000-0010-0000-0A00-00000B000000}" name="COG z " dataDxfId="79">
      <calculatedColumnFormula>Tbl_Lifting[[#This Row],[Recap Z]]</calculatedColumnFormula>
    </tableColumn>
    <tableColumn id="12" xr3:uid="{00000000-0010-0000-0A00-00000C000000}" name="Distrib" dataDxfId="78">
      <calculatedColumnFormula>Lifting_Track_Length</calculatedColumnFormula>
    </tableColumn>
    <tableColumn id="13" xr3:uid="{00000000-0010-0000-0A00-00000D000000}" name="AP from" dataDxfId="77">
      <calculatedColumnFormula>IF(Tbl_Lifting[[#This Row],[Weight Fact]],$I$3-Tbl_Lifting[[#This Row],[Distrib]]/2,"")</calculatedColumnFormula>
    </tableColumn>
    <tableColumn id="14" xr3:uid="{00000000-0010-0000-0A00-00000E000000}" name="AP to" dataDxfId="76">
      <calculatedColumnFormula>IF(Tbl_Lifting[[#This Row],[Weight Fact]],$I$3+Tbl_Lifting[[#This Row],[Distrib]]/2,"")</calculatedColumnFormula>
    </tableColumn>
    <tableColumn id="15" xr3:uid="{00000000-0010-0000-0A00-00000F000000}" name="Fr from" dataDxfId="75">
      <calculatedColumnFormula>IF(Tbl_Lifting[[#This Row],[Weight Fact]],ROUND(Tbl_Lifting[[#This Row],[AP from]]/FE_size,0),"")</calculatedColumnFormula>
    </tableColumn>
    <tableColumn id="16" xr3:uid="{00000000-0010-0000-0A00-000010000000}" name="Fr to" dataDxfId="74">
      <calculatedColumnFormula>IF(Tbl_Lifting[[#This Row],[Weight Fact]],ROUND(Tbl_Lifting[[#This Row],[AP to]]/FE_size,0),"")</calculatedColumnFormula>
    </tableColumn>
    <tableColumn id="17" xr3:uid="{00000000-0010-0000-0A00-000011000000}" name="CoG Chk" dataDxfId="73">
      <calculatedColumnFormula>IF(Tbl_Lifting[[#This Row],[Weight Fact]]=0,"",IF(AND(Tbl_Lifting[[#This Row],[COG x ]]&gt;=(Tbl_Lifting[[#This Row],[L to]]-Tbl_Lifting[[#This Row],[L from]])/3+Tbl_Lifting[[#This Row],[L from]],Tbl_Lifting[[#This Row],[COG x ]]&lt;=(Tbl_Lifting[[#This Row],[L to]]-Tbl_Lifting[[#This Row],[L from]])*2/3+Tbl_Lifting[[#This Row],[L from]],Tbl_Lifting[[#This Row],[L to]]&gt;Tbl_Lifting[[#This Row],[L from]]),"OK","KO"))</calculatedColumnFormula>
    </tableColumn>
    <tableColumn id="18" xr3:uid="{00000000-0010-0000-0A00-000012000000}" name="L from" dataDxfId="72">
      <calculatedColumnFormula>IF(Tbl_Lifting[[#This Row],[Weight Fact]],IF(Tbl_Lifting[[#This Row],[Fr from]]*FE_size&lt;0,0,Tbl_Lifting[[#This Row],[Fr from]]*FE_size),"")</calculatedColumnFormula>
    </tableColumn>
    <tableColumn id="19" xr3:uid="{00000000-0010-0000-0A00-000013000000}" name="L to" dataDxfId="71">
      <calculatedColumnFormula>IF(Tbl_Lifting[[#This Row],[Weight Fact]],IF(Tbl_Lifting[[#This Row],[Fr to]]*FE_size=Tbl_Lifting[[#This Row],[L from]],Tbl_Lifting[[#This Row],[L from]]+FE_size,IF(Tbl_Lifting[[#This Row],[Fr to]]*FE_size&gt;Lpp,Lpp,Tbl_Lifting[[#This Row],[Fr to]]*FE_size)),"")</calculatedColumnFormula>
    </tableColumn>
    <tableColumn id="20" xr3:uid="{00000000-0010-0000-0A00-000014000000}" name="Spread" dataDxfId="70">
      <calculatedColumnFormula>IFERROR(Tbl_Lifting[[#This Row],[Weight Fact]]/(Tbl_Lifting[[#This Row],[L to]]-Tbl_Lifting[[#This Row],[L from]]),"")</calculatedColumnFormula>
    </tableColumn>
    <tableColumn id="21" xr3:uid="{00000000-0010-0000-0A00-000015000000}" name="Δ weight" dataDxfId="69">
      <calculatedColumnFormula>IF(Tbl_Lifting[[#This Row],[Weight Fact]],Tbl_Lifting[[#This Row],[Spread]]*(Tbl_Lifting[[#This Row],[L to]]-Tbl_Lifting[[#This Row],[L from]])-Tbl_Lifting[[#This Row],[Weight Fact]],"")</calculatedColumnFormula>
    </tableColumn>
    <tableColumn id="3" xr3:uid="{00000000-0010-0000-0A00-000003000000}" name="Repart position" dataDxfId="68">
      <calculatedColumnFormula>IF(AND(ISNUMBER(Tbl_Lifting[[#This Row],[L from]]),ISNUMBER(Tbl_Lifting[[#This Row],[L to]])),IF(AND(Tbl_Lifting[[#This Row],[L from]]&gt;=0,Tbl_Lifting[[#This Row],[L to]]&lt;=Lpp),"OK","KO"),"OK")</calculatedColumnFormula>
    </tableColumn>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B000000}" name="Tbl_Additionals" displayName="Tbl_Additionals" ref="B4:S18" totalsRowShown="0" dataDxfId="59" tableBorderDxfId="58">
  <autoFilter ref="B4:S18" xr:uid="{00000000-0009-0000-0100-00000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1" xr3:uid="{00000000-0010-0000-0B00-000001000000}" name="N" dataDxfId="57">
      <calculatedColumnFormula>IF(ISNUMBER($B4),$B4+1,0)</calculatedColumnFormula>
    </tableColumn>
    <tableColumn id="17" xr3:uid="{00000000-0010-0000-0B00-000011000000}" name="Li" dataDxfId="56">
      <calculatedColumnFormula>MATCH($B5,INDEX(Recap_Additionals,,1),0)</calculatedColumnFormula>
    </tableColumn>
    <tableColumn id="2" xr3:uid="{00000000-0010-0000-0B00-000002000000}" name="Item" dataDxfId="55">
      <calculatedColumnFormula>IFERROR(INDEX(Recap_Additionals,Tbl_Additionals[[#This Row],[Li]],D$1),"")</calculatedColumnFormula>
    </tableColumn>
    <tableColumn id="3" xr3:uid="{00000000-0010-0000-0B00-000003000000}" name="Weight Fact" dataDxfId="54">
      <calculatedColumnFormula>IFERROR(INDEX(Recap_Additionals,Tbl_Additionals[[#This Row],[Li]],E$1),)</calculatedColumnFormula>
    </tableColumn>
    <tableColumn id="4" xr3:uid="{00000000-0010-0000-0B00-000004000000}" name="COG x " dataDxfId="53">
      <calculatedColumnFormula>IF(Tbl_Additionals[[#This Row],[Weight Fact]]&gt;0,INDEX(Recap_Additionals,Tbl_Additionals[[#This Row],[Li]],F$1),"")</calculatedColumnFormula>
    </tableColumn>
    <tableColumn id="5" xr3:uid="{00000000-0010-0000-0B00-000005000000}" name="COG y " dataDxfId="52">
      <calculatedColumnFormula>IF(Tbl_Additionals[[#This Row],[Weight Fact]]&gt;0,INDEX(Recap_Additionals,Tbl_Additionals[[#This Row],[Li]],G$1),"")</calculatedColumnFormula>
    </tableColumn>
    <tableColumn id="6" xr3:uid="{00000000-0010-0000-0B00-000006000000}" name="COG z " dataDxfId="51">
      <calculatedColumnFormula>IF(Tbl_Additionals[[#This Row],[Weight Fact]]&gt;0,INDEX(Recap_Additionals,Tbl_Additionals[[#This Row],[Li]],H$1),"")</calculatedColumnFormula>
    </tableColumn>
    <tableColumn id="7" xr3:uid="{00000000-0010-0000-0B00-000007000000}" name="Distrib" dataDxfId="50">
      <calculatedColumnFormula>IF(Tbl_Additionals[[#This Row],[Weight Fact]]&gt;0,INDEX(Recap_Additionals,Tbl_Additionals[[#This Row],[Li]],I$1),"")</calculatedColumnFormula>
    </tableColumn>
    <tableColumn id="8" xr3:uid="{00000000-0010-0000-0B00-000008000000}" name="AP from" dataDxfId="49">
      <calculatedColumnFormula>IF(Tbl_Additionals[[#This Row],[Weight Fact]],Tbl_Additionals[[#This Row],[COG x ]]-Tbl_Additionals[[#This Row],[Distrib]]/2,"")</calculatedColumnFormula>
    </tableColumn>
    <tableColumn id="9" xr3:uid="{00000000-0010-0000-0B00-000009000000}" name="AP to" dataDxfId="48">
      <calculatedColumnFormula>IF(Tbl_Additionals[[#This Row],[Weight Fact]],Tbl_Additionals[[#This Row],[COG x ]]+Tbl_Additionals[[#This Row],[Distrib]]/2,"")</calculatedColumnFormula>
    </tableColumn>
    <tableColumn id="10" xr3:uid="{00000000-0010-0000-0B00-00000A000000}" name="Fr from" dataDxfId="47">
      <calculatedColumnFormula>IF(Tbl_Additionals[[#This Row],[Weight Fact]],ROUND(Tbl_Additionals[[#This Row],[AP from]]/FE_size,0),"")</calculatedColumnFormula>
    </tableColumn>
    <tableColumn id="11" xr3:uid="{00000000-0010-0000-0B00-00000B000000}" name="Fr to" dataDxfId="46">
      <calculatedColumnFormula>IF(Tbl_Additionals[[#This Row],[Weight Fact]],ROUND(Tbl_Additionals[[#This Row],[AP to]]/FE_size,0),"")</calculatedColumnFormula>
    </tableColumn>
    <tableColumn id="12" xr3:uid="{00000000-0010-0000-0B00-00000C000000}" name="CoG Chk" dataDxfId="45">
      <calculatedColumnFormula>IF(Tbl_Additionals[[#This Row],[Weight Fact]]=0,"",IF(AND(Tbl_Additionals[[#This Row],[COG x ]]&gt;=(Tbl_Additionals[[#This Row],[L to]]-Tbl_Additionals[[#This Row],[L from]])/3+Tbl_Additionals[[#This Row],[L from]],Tbl_Additionals[[#This Row],[COG x ]]&lt;=(Tbl_Additionals[[#This Row],[L to]]-Tbl_Additionals[[#This Row],[L from]])*2/3+Tbl_Additionals[[#This Row],[L from]],Tbl_Additionals[[#This Row],[L to]]&gt;Tbl_Additionals[[#This Row],[L from]]),"OK","KO"))</calculatedColumnFormula>
    </tableColumn>
    <tableColumn id="13" xr3:uid="{00000000-0010-0000-0B00-00000D000000}" name="L from" dataDxfId="44">
      <calculatedColumnFormula>IF(Tbl_Additionals[[#This Row],[Weight Fact]],IF(Tbl_Additionals[[#This Row],[Fr from]]*FE_size&lt;0,0,Tbl_Additionals[[#This Row],[Fr from]]*FE_size),"")</calculatedColumnFormula>
    </tableColumn>
    <tableColumn id="14" xr3:uid="{00000000-0010-0000-0B00-00000E000000}" name="L to" dataDxfId="43">
      <calculatedColumnFormula>IF(Tbl_Additionals[[#This Row],[Weight Fact]],IF(Tbl_Additionals[[#This Row],[Fr to]]*FE_size=Tbl_Additionals[[#This Row],[L from]],Tbl_Additionals[[#This Row],[L from]]+FE_size,IF(Tbl_Additionals[[#This Row],[Fr to]]*FE_size&gt;Lpp,Lpp,Tbl_Additionals[[#This Row],[Fr to]]*FE_size)),"")</calculatedColumnFormula>
    </tableColumn>
    <tableColumn id="15" xr3:uid="{00000000-0010-0000-0B00-00000F000000}" name="Spread" dataDxfId="42">
      <calculatedColumnFormula>IFERROR(Tbl_Additionals[[#This Row],[Weight Fact]]/(Tbl_Additionals[[#This Row],[L to]]-Tbl_Additionals[[#This Row],[L from]]),"")</calculatedColumnFormula>
    </tableColumn>
    <tableColumn id="16" xr3:uid="{00000000-0010-0000-0B00-000010000000}" name="Δ weight" dataDxfId="41">
      <calculatedColumnFormula>IF(Tbl_Additionals[[#This Row],[Weight Fact]],Tbl_Additionals[[#This Row],[Spread]]*(Tbl_Additionals[[#This Row],[L to]]-Tbl_Additionals[[#This Row],[L from]])-Tbl_Additionals[[#This Row],[Weight Fact]],"")</calculatedColumnFormula>
    </tableColumn>
    <tableColumn id="18" xr3:uid="{00000000-0010-0000-0B00-000012000000}" name="Repart position" dataDxfId="40">
      <calculatedColumnFormula>IF(AND(ISNUMBER(Tbl_Additionals[[#This Row],[L from]]),ISNUMBER(Tbl_Additionals[[#This Row],[L to]])),IF(AND(Tbl_Additionals[[#This Row],[L from]]&gt;=0,Tbl_Additionals[[#This Row],[L to]]&lt;=Lpp),"OK","KO"),"OK")</calculatedColumnFormula>
    </tableColumn>
  </tableColumns>
  <tableStyleInfo name="TableStyleLight5"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bl_Deck_Tank" displayName="Tbl_Deck_Tank" ref="B6:AA10" totalsRowShown="0" tableBorderDxfId="26">
  <autoFilter ref="B6:AA10" xr:uid="{00000000-0009-0000-0100-00000D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autoFilter>
  <tableColumns count="26">
    <tableColumn id="1" xr3:uid="{00000000-0010-0000-0C00-000001000000}" name="Index" dataDxfId="25">
      <calculatedColumnFormula>IF(ISNUMBER($G6),B6+1,0)</calculatedColumnFormula>
    </tableColumn>
    <tableColumn id="2" xr3:uid="{00000000-0010-0000-0C00-000002000000}" name="Item" dataDxfId="24">
      <calculatedColumnFormula>OFFSET($AD$5,C$5,Tbl_Deck_Tank[[#This Row],[Index]]*DeckTank_column_step)</calculatedColumnFormula>
    </tableColumn>
    <tableColumn id="22" xr3:uid="{00000000-0010-0000-0C00-000016000000}" name="Diameter" dataDxfId="23">
      <calculatedColumnFormula>OFFSET($AD$5,D$5,Tbl_Deck_Tank[[#This Row],[Index]]*DeckTank_column_step+1)</calculatedColumnFormula>
    </tableColumn>
    <tableColumn id="3" xr3:uid="{00000000-0010-0000-0C00-000003000000}" name="Volume" dataDxfId="22" dataCellStyle="Satisfaisant">
      <calculatedColumnFormula>OFFSET($AD$5,E$5,Tbl_Deck_Tank[[#This Row],[Index]]*DeckTank_column_step+1)</calculatedColumnFormula>
    </tableColumn>
    <tableColumn id="26" xr3:uid="{00000000-0010-0000-0C00-00001A000000}" name="i*ꙍ" dataDxfId="21" dataCellStyle="Satisfaisant">
      <calculatedColumnFormula>OFFSET($AD$5,F$5,Tbl_Deck_Tank[[#This Row],[Index]]*DeckTank_column_step+1)</calculatedColumnFormula>
    </tableColumn>
    <tableColumn id="4" xr3:uid="{00000000-0010-0000-0C00-000004000000}" name="Recap Hullage" dataDxfId="20" dataCellStyle="Satisfaisant">
      <calculatedColumnFormula>INDEX(INDEX(Recap_Deck_Tank,,G$4),Tbl_Deck_Tank[[#This Row],[Index]]+1)</calculatedColumnFormula>
    </tableColumn>
    <tableColumn id="25" xr3:uid="{00000000-0010-0000-0C00-000019000000}" name="Computed weight" dataDxfId="19" dataCellStyle="Satisfaisant">
      <calculatedColumnFormula>OFFSET($AD$5,H$5,Tbl_Deck_Tank[[#This Row],[Index]]*DeckTank_column_step+1)</calculatedColumnFormula>
    </tableColumn>
    <tableColumn id="24" xr3:uid="{00000000-0010-0000-0C00-000018000000}" name="Comp. X" dataDxfId="18" dataCellStyle="Satisfaisant">
      <calculatedColumnFormula>OFFSET($AD$5,I$5,Tbl_Deck_Tank[[#This Row],[Index]]*DeckTank_column_step+1)</calculatedColumnFormula>
    </tableColumn>
    <tableColumn id="5" xr3:uid="{00000000-0010-0000-0C00-000005000000}" name="Comp. Y" dataDxfId="17" dataCellStyle="Satisfaisant">
      <calculatedColumnFormula>OFFSET($AD$5,J$5,Tbl_Deck_Tank[[#This Row],[Index]]*DeckTank_column_step+1)</calculatedColumnFormula>
    </tableColumn>
    <tableColumn id="6" xr3:uid="{00000000-0010-0000-0C00-000006000000}" name="Comp. Z" dataDxfId="16" dataCellStyle="Satisfaisant">
      <calculatedColumnFormula>OFFSET($AD$5,K$5,Tbl_Deck_Tank[[#This Row],[Index]]*DeckTank_column_step+1)</calculatedColumnFormula>
    </tableColumn>
    <tableColumn id="7" xr3:uid="{00000000-0010-0000-0C00-000007000000}" name="Repart." dataDxfId="15">
      <calculatedColumnFormula>IF(OFFSET($AD$5,L$5,Tbl_Deck_Tank[[#This Row],[Index]]*DeckTank_column_step+1)="T",OFFSET($AD$5,2,Tbl_Deck_Tank[[#This Row],[Index]]*DeckTank_column_step+1),OFFSET($AD$5,3,Tbl_Deck_Tank[[#This Row],[Index]]*DeckTank_column_step+1))</calculatedColumnFormula>
    </tableColumn>
    <tableColumn id="8" xr3:uid="{00000000-0010-0000-0C00-000008000000}" name="Weight Fact" dataDxfId="14">
      <calculatedColumnFormula>Tbl_Deck_Tank[[#This Row],[Computed weight]]</calculatedColumnFormula>
    </tableColumn>
    <tableColumn id="9" xr3:uid="{00000000-0010-0000-0C00-000009000000}" name="COG x " dataDxfId="13">
      <calculatedColumnFormula>Tbl_Deck_Tank[[#This Row],[Comp. X]]</calculatedColumnFormula>
    </tableColumn>
    <tableColumn id="10" xr3:uid="{00000000-0010-0000-0C00-00000A000000}" name="COG y " dataDxfId="12">
      <calculatedColumnFormula>Tbl_Deck_Tank[[#This Row],[Comp. Y]]</calculatedColumnFormula>
    </tableColumn>
    <tableColumn id="11" xr3:uid="{00000000-0010-0000-0C00-00000B000000}" name="COG z " dataDxfId="11">
      <calculatedColumnFormula>Tbl_Deck_Tank[[#This Row],[Comp. Z]]</calculatedColumnFormula>
    </tableColumn>
    <tableColumn id="12" xr3:uid="{00000000-0010-0000-0C00-00000C000000}" name="Distrib" dataDxfId="10">
      <calculatedColumnFormula>Tbl_Deck_Tank[[#This Row],[Repart.]]</calculatedColumnFormula>
    </tableColumn>
    <tableColumn id="13" xr3:uid="{00000000-0010-0000-0C00-00000D000000}" name="AP from" dataDxfId="9">
      <calculatedColumnFormula>IF(Tbl_Deck_Tank[[#This Row],[Weight Fact]],Tbl_Deck_Tank[[#This Row],[COG x ]]-Tbl_Deck_Tank[[#This Row],[Distrib]]/2,"")</calculatedColumnFormula>
    </tableColumn>
    <tableColumn id="14" xr3:uid="{00000000-0010-0000-0C00-00000E000000}" name="AP to" dataDxfId="8">
      <calculatedColumnFormula>IF(Tbl_Deck_Tank[[#This Row],[Weight Fact]],Tbl_Deck_Tank[[#This Row],[COG x ]]+Tbl_Deck_Tank[[#This Row],[Distrib]]/2,"")</calculatedColumnFormula>
    </tableColumn>
    <tableColumn id="15" xr3:uid="{00000000-0010-0000-0C00-00000F000000}" name="Fr from" dataDxfId="7">
      <calculatedColumnFormula>IF(Tbl_Deck_Tank[[#This Row],[Weight Fact]],ROUND(Tbl_Deck_Tank[[#This Row],[AP from]]/FE_size,0),"")</calculatedColumnFormula>
    </tableColumn>
    <tableColumn id="16" xr3:uid="{00000000-0010-0000-0C00-000010000000}" name="Fr to" dataDxfId="6">
      <calculatedColumnFormula>IF(Tbl_Deck_Tank[[#This Row],[Weight Fact]],ROUND(Tbl_Deck_Tank[[#This Row],[AP to]]/FE_size,0),"")</calculatedColumnFormula>
    </tableColumn>
    <tableColumn id="17" xr3:uid="{00000000-0010-0000-0C00-000011000000}" name="CoG Chk" dataDxfId="5">
      <calculatedColumnFormula>IF(Tbl_Deck_Tank[[#This Row],[Weight Fact]]=0,"",IF(AND(Tbl_Deck_Tank[[#This Row],[COG x ]]&gt;=(Tbl_Deck_Tank[[#This Row],[L to]]-Tbl_Deck_Tank[[#This Row],[L from]])/3+Tbl_Deck_Tank[[#This Row],[L from]],Tbl_Deck_Tank[[#This Row],[COG x ]]&lt;=(Tbl_Deck_Tank[[#This Row],[L to]]-Tbl_Deck_Tank[[#This Row],[L from]])*2/3+Tbl_Deck_Tank[[#This Row],[L from]],Tbl_Deck_Tank[[#This Row],[L to]]&gt;Tbl_Deck_Tank[[#This Row],[L from]]),"OK","KO"))</calculatedColumnFormula>
    </tableColumn>
    <tableColumn id="18" xr3:uid="{00000000-0010-0000-0C00-000012000000}" name="L from" dataDxfId="4">
      <calculatedColumnFormula>IF(Tbl_Deck_Tank[[#This Row],[Weight Fact]],IF(Tbl_Deck_Tank[[#This Row],[Fr from]]*FE_size&lt;0,0,Tbl_Deck_Tank[[#This Row],[Fr from]]*FE_size),"")</calculatedColumnFormula>
    </tableColumn>
    <tableColumn id="19" xr3:uid="{00000000-0010-0000-0C00-000013000000}" name="L to" dataDxfId="3">
      <calculatedColumnFormula>IF(Tbl_Deck_Tank[[#This Row],[Weight Fact]],IF(Tbl_Deck_Tank[[#This Row],[Fr to]]*FE_size=Tbl_Deck_Tank[[#This Row],[L from]],Tbl_Deck_Tank[[#This Row],[L from]]+FE_size,IF(Tbl_Deck_Tank[[#This Row],[Fr to]]*FE_size&gt;Lpp,Lpp,Tbl_Deck_Tank[[#This Row],[Fr to]]*FE_size)),"")</calculatedColumnFormula>
    </tableColumn>
    <tableColumn id="20" xr3:uid="{00000000-0010-0000-0C00-000014000000}" name="Spread" dataDxfId="2">
      <calculatedColumnFormula>IFERROR(Tbl_Deck_Tank[[#This Row],[Weight Fact]]/(Tbl_Deck_Tank[[#This Row],[L to]]-Tbl_Deck_Tank[[#This Row],[L from]]),"")</calculatedColumnFormula>
    </tableColumn>
    <tableColumn id="21" xr3:uid="{00000000-0010-0000-0C00-000015000000}" name="Δ weight" dataDxfId="1">
      <calculatedColumnFormula>IF(Tbl_Deck_Tank[[#This Row],[Weight Fact]],Tbl_Deck_Tank[[#This Row],[Spread]]*(Tbl_Deck_Tank[[#This Row],[L to]]-Tbl_Deck_Tank[[#This Row],[L from]])-Tbl_Deck_Tank[[#This Row],[Weight Fact]],"")</calculatedColumnFormula>
    </tableColumn>
    <tableColumn id="23" xr3:uid="{00000000-0010-0000-0C00-000017000000}" name="Repart position" dataDxfId="0">
      <calculatedColumnFormula>IF(AND(ISNUMBER(Tbl_Deck_Tank[[#This Row],[L from]]),ISNUMBER(Tbl_Deck_Tank[[#This Row],[L to]])),IF(AND(Tbl_Deck_Tank[[#This Row],[L from]]&gt;=0,Tbl_Deck_Tank[[#This Row],[L to]]&lt;=Lpp),"OK","KO"),"OK")</calculatedColumnFormula>
    </tableColumn>
  </tableColumns>
  <tableStyleInfo name="TableStyleLight3"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drawing" Target="../drawings/drawing5.xm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comments" Target="../comments3.xml"/><Relationship Id="rId2" Type="http://schemas.openxmlformats.org/officeDocument/2006/relationships/drawing" Target="../drawings/drawing7.xml"/><Relationship Id="rId1" Type="http://schemas.openxmlformats.org/officeDocument/2006/relationships/printerSettings" Target="../printerSettings/printerSettings5.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4.vml"/><Relationship Id="rId1" Type="http://schemas.openxmlformats.org/officeDocument/2006/relationships/drawing" Target="../drawings/drawing8.xml"/><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9.xml"/><Relationship Id="rId1" Type="http://schemas.openxmlformats.org/officeDocument/2006/relationships/printerSettings" Target="../printerSettings/printerSettings6.bin"/><Relationship Id="rId5" Type="http://schemas.openxmlformats.org/officeDocument/2006/relationships/comments" Target="../comments5.xml"/><Relationship Id="rId4"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printerSettings" Target="../printerSettings/printerSettings7.bin"/><Relationship Id="rId6" Type="http://schemas.openxmlformats.org/officeDocument/2006/relationships/comments" Target="../comments6.xml"/><Relationship Id="rId5" Type="http://schemas.openxmlformats.org/officeDocument/2006/relationships/table" Target="../tables/table11.xml"/><Relationship Id="rId4"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printerSettings" Target="../printerSettings/printerSettings8.bin"/><Relationship Id="rId5" Type="http://schemas.openxmlformats.org/officeDocument/2006/relationships/comments" Target="../comments7.xml"/><Relationship Id="rId4" Type="http://schemas.openxmlformats.org/officeDocument/2006/relationships/table" Target="../tables/table12.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2.xml"/><Relationship Id="rId1" Type="http://schemas.openxmlformats.org/officeDocument/2006/relationships/printerSettings" Target="../printerSettings/printerSettings9.bin"/><Relationship Id="rId5" Type="http://schemas.openxmlformats.org/officeDocument/2006/relationships/comments" Target="../comments8.xml"/><Relationship Id="rId4"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2">
    <tabColor theme="1"/>
  </sheetPr>
  <dimension ref="A1:Q65"/>
  <sheetViews>
    <sheetView zoomScale="80" zoomScaleNormal="80" workbookViewId="0">
      <selection activeCell="Q11" sqref="Q10:Q11"/>
    </sheetView>
  </sheetViews>
  <sheetFormatPr baseColWidth="10" defaultColWidth="11.42578125" defaultRowHeight="15" x14ac:dyDescent="0.25"/>
  <cols>
    <col min="1" max="1" width="7.5703125" style="6" customWidth="1"/>
    <col min="2" max="2" width="11.5703125" style="601" bestFit="1" customWidth="1"/>
    <col min="3" max="3" width="11.42578125" style="6" bestFit="1" customWidth="1"/>
    <col min="4" max="4" width="79" style="6" customWidth="1"/>
    <col min="5" max="5" width="11.42578125" style="5"/>
    <col min="6" max="7" width="11.42578125" style="6"/>
    <col min="8" max="8" width="9.42578125" style="6" bestFit="1" customWidth="1"/>
    <col min="9" max="9" width="11.42578125" style="4"/>
    <col min="10" max="16384" width="11.42578125" style="6"/>
  </cols>
  <sheetData>
    <row r="1" spans="1:17" x14ac:dyDescent="0.25">
      <c r="A1" s="2"/>
      <c r="B1" s="2"/>
      <c r="C1" s="2"/>
      <c r="D1" s="2"/>
    </row>
    <row r="2" spans="1:17" x14ac:dyDescent="0.25">
      <c r="A2" s="832" t="s">
        <v>22</v>
      </c>
      <c r="B2" s="833" t="s">
        <v>21</v>
      </c>
      <c r="C2" s="833" t="s">
        <v>425</v>
      </c>
      <c r="D2" s="834" t="s">
        <v>10</v>
      </c>
      <c r="E2" s="2"/>
      <c r="F2" s="2"/>
      <c r="G2" s="2"/>
      <c r="H2" s="2"/>
      <c r="K2" s="7"/>
      <c r="L2" s="7"/>
      <c r="M2" s="7"/>
      <c r="N2" s="7"/>
    </row>
    <row r="3" spans="1:17" x14ac:dyDescent="0.25">
      <c r="A3" s="40">
        <v>1</v>
      </c>
      <c r="B3" s="600">
        <v>44068</v>
      </c>
      <c r="C3" s="835" t="s">
        <v>25</v>
      </c>
      <c r="D3" s="29" t="s">
        <v>396</v>
      </c>
      <c r="E3" s="9"/>
      <c r="F3" s="10"/>
      <c r="G3" s="10"/>
      <c r="H3" s="10"/>
      <c r="K3" s="9"/>
      <c r="L3" s="11"/>
      <c r="M3" s="11"/>
      <c r="N3" s="11"/>
    </row>
    <row r="4" spans="1:17" x14ac:dyDescent="0.25">
      <c r="A4" s="40"/>
      <c r="B4" s="600"/>
      <c r="C4" s="835"/>
      <c r="D4" s="29"/>
      <c r="E4" s="9"/>
      <c r="F4" s="10"/>
      <c r="G4" s="10"/>
      <c r="H4" s="10"/>
      <c r="K4" s="9"/>
      <c r="L4" s="11"/>
      <c r="M4" s="11"/>
      <c r="N4" s="11"/>
    </row>
    <row r="5" spans="1:17" x14ac:dyDescent="0.25">
      <c r="A5" s="40"/>
      <c r="B5" s="600"/>
      <c r="C5" s="29"/>
      <c r="D5" s="29"/>
      <c r="E5" s="9"/>
      <c r="F5" s="12"/>
      <c r="G5" s="12"/>
      <c r="H5" s="12"/>
      <c r="K5" s="9"/>
      <c r="L5" s="13"/>
      <c r="M5" s="13"/>
      <c r="N5" s="13"/>
    </row>
    <row r="6" spans="1:17" x14ac:dyDescent="0.25">
      <c r="A6" s="40"/>
      <c r="B6" s="600"/>
      <c r="C6" s="29"/>
      <c r="D6" s="29"/>
      <c r="E6" s="15"/>
      <c r="F6" s="16"/>
      <c r="G6" s="16"/>
      <c r="H6" s="16"/>
      <c r="I6" s="15"/>
      <c r="J6" s="15"/>
      <c r="K6" s="15"/>
    </row>
    <row r="7" spans="1:17" x14ac:dyDescent="0.25">
      <c r="A7" s="40"/>
      <c r="B7" s="600"/>
      <c r="C7" s="29"/>
      <c r="D7" s="29"/>
      <c r="E7" s="4"/>
      <c r="F7" s="17"/>
      <c r="G7" s="17"/>
      <c r="H7" s="17"/>
      <c r="K7" s="4"/>
      <c r="L7" s="5"/>
      <c r="M7" s="5"/>
      <c r="N7" s="5"/>
    </row>
    <row r="8" spans="1:17" x14ac:dyDescent="0.25">
      <c r="A8" s="40"/>
      <c r="B8" s="600"/>
      <c r="C8" s="29"/>
      <c r="D8" s="29"/>
      <c r="E8" s="4"/>
      <c r="K8" s="4"/>
      <c r="L8" s="5"/>
      <c r="M8" s="5"/>
      <c r="N8" s="5"/>
    </row>
    <row r="9" spans="1:17" x14ac:dyDescent="0.25">
      <c r="A9" s="40"/>
      <c r="B9" s="600"/>
      <c r="C9" s="29"/>
      <c r="D9" s="29"/>
      <c r="E9" s="4"/>
      <c r="F9" s="17"/>
      <c r="G9" s="17"/>
      <c r="H9" s="17"/>
      <c r="K9" s="4"/>
      <c r="L9" s="5"/>
      <c r="M9" s="5"/>
      <c r="N9" s="5"/>
    </row>
    <row r="10" spans="1:17" x14ac:dyDescent="0.25">
      <c r="A10" s="40"/>
      <c r="B10" s="600"/>
      <c r="C10" s="29"/>
      <c r="D10" s="29"/>
      <c r="E10" s="4"/>
      <c r="F10" s="17"/>
      <c r="G10" s="17"/>
      <c r="H10" s="17"/>
      <c r="K10" s="4"/>
      <c r="L10" s="5"/>
      <c r="M10" s="5"/>
      <c r="N10" s="5"/>
    </row>
    <row r="11" spans="1:17" x14ac:dyDescent="0.25">
      <c r="A11" s="40"/>
      <c r="B11" s="600"/>
      <c r="C11" s="29"/>
      <c r="D11" s="29"/>
      <c r="E11" s="4"/>
      <c r="F11" s="17"/>
      <c r="G11" s="17"/>
      <c r="H11" s="17"/>
      <c r="K11" s="4"/>
      <c r="L11" s="5"/>
      <c r="M11" s="5"/>
      <c r="N11" s="5"/>
    </row>
    <row r="12" spans="1:17" x14ac:dyDescent="0.25">
      <c r="A12" s="40"/>
      <c r="B12" s="600"/>
      <c r="C12" s="29"/>
      <c r="D12" s="29"/>
      <c r="E12" s="4"/>
      <c r="K12" s="4"/>
      <c r="L12" s="5"/>
      <c r="M12" s="5"/>
      <c r="N12" s="5"/>
      <c r="Q12" s="4"/>
    </row>
    <row r="13" spans="1:17" x14ac:dyDescent="0.25">
      <c r="A13" s="40"/>
      <c r="B13" s="600"/>
      <c r="C13" s="29"/>
      <c r="D13" s="29"/>
      <c r="E13" s="4"/>
      <c r="F13" s="17"/>
      <c r="G13" s="17"/>
      <c r="H13" s="17"/>
      <c r="K13" s="4"/>
      <c r="L13" s="5"/>
      <c r="M13" s="5"/>
      <c r="N13" s="5"/>
    </row>
    <row r="14" spans="1:17" x14ac:dyDescent="0.25">
      <c r="A14" s="40"/>
      <c r="B14" s="600"/>
      <c r="C14" s="29"/>
      <c r="D14" s="29"/>
      <c r="E14" s="6"/>
      <c r="F14" s="17"/>
      <c r="K14" s="4"/>
      <c r="L14" s="5"/>
      <c r="M14" s="5"/>
      <c r="N14" s="5"/>
    </row>
    <row r="15" spans="1:17" x14ac:dyDescent="0.25">
      <c r="A15" s="40"/>
      <c r="B15" s="600"/>
      <c r="C15" s="29"/>
      <c r="D15" s="29"/>
      <c r="E15" s="6"/>
      <c r="F15" s="17"/>
      <c r="K15" s="4"/>
      <c r="L15" s="5"/>
      <c r="M15" s="5"/>
      <c r="N15" s="5"/>
    </row>
    <row r="16" spans="1:17" x14ac:dyDescent="0.25">
      <c r="A16" s="40"/>
      <c r="B16" s="600"/>
      <c r="C16" s="29"/>
      <c r="D16" s="29"/>
      <c r="E16" s="6"/>
      <c r="F16" s="17"/>
      <c r="K16" s="5"/>
      <c r="L16" s="5"/>
      <c r="M16" s="5"/>
    </row>
    <row r="17" spans="1:15" x14ac:dyDescent="0.25">
      <c r="A17" s="40"/>
      <c r="B17" s="600"/>
      <c r="C17" s="29"/>
      <c r="D17" s="29"/>
      <c r="E17" s="15"/>
      <c r="F17" s="16"/>
      <c r="G17" s="16"/>
      <c r="H17" s="16"/>
      <c r="I17" s="15"/>
      <c r="J17" s="15"/>
      <c r="N17" s="15"/>
    </row>
    <row r="18" spans="1:15" x14ac:dyDescent="0.25">
      <c r="A18" s="40"/>
      <c r="B18" s="42"/>
      <c r="C18" s="43"/>
      <c r="D18" s="41"/>
      <c r="E18" s="18"/>
      <c r="F18" s="18"/>
      <c r="G18" s="18"/>
      <c r="H18" s="18"/>
      <c r="I18" s="6"/>
      <c r="K18" s="2"/>
      <c r="L18" s="2"/>
      <c r="M18" s="2"/>
      <c r="N18" s="2"/>
    </row>
    <row r="19" spans="1:15" x14ac:dyDescent="0.25">
      <c r="A19" s="40"/>
      <c r="B19" s="600"/>
      <c r="C19" s="30"/>
      <c r="D19" s="30"/>
      <c r="E19" s="4"/>
      <c r="F19" s="17"/>
      <c r="G19" s="17"/>
      <c r="H19" s="5"/>
      <c r="I19" s="6"/>
      <c r="K19" s="4"/>
      <c r="L19" s="5"/>
      <c r="M19" s="5"/>
      <c r="N19" s="5"/>
    </row>
    <row r="20" spans="1:15" x14ac:dyDescent="0.25">
      <c r="A20" s="40"/>
      <c r="B20" s="600"/>
      <c r="C20" s="30"/>
      <c r="D20" s="30"/>
      <c r="E20" s="4"/>
      <c r="F20" s="17"/>
      <c r="G20" s="17"/>
      <c r="H20" s="5"/>
      <c r="I20" s="6"/>
      <c r="K20" s="4"/>
      <c r="L20" s="5"/>
      <c r="M20" s="5"/>
      <c r="N20" s="5"/>
    </row>
    <row r="21" spans="1:15" x14ac:dyDescent="0.25">
      <c r="A21" s="40"/>
      <c r="B21" s="600"/>
      <c r="C21" s="30"/>
      <c r="D21" s="30"/>
      <c r="E21" s="4"/>
      <c r="F21" s="17"/>
      <c r="G21" s="17"/>
      <c r="H21" s="5"/>
      <c r="I21" s="6"/>
      <c r="K21" s="4"/>
      <c r="L21" s="5"/>
      <c r="M21" s="5"/>
      <c r="N21" s="5"/>
    </row>
    <row r="22" spans="1:15" x14ac:dyDescent="0.25">
      <c r="A22" s="40"/>
      <c r="B22" s="600"/>
      <c r="C22" s="30"/>
      <c r="D22" s="30"/>
      <c r="E22" s="4"/>
      <c r="F22" s="17"/>
      <c r="G22" s="17"/>
      <c r="H22" s="5"/>
      <c r="I22" s="6"/>
      <c r="K22" s="4"/>
      <c r="L22" s="5"/>
      <c r="M22" s="5"/>
      <c r="N22" s="5"/>
    </row>
    <row r="23" spans="1:15" x14ac:dyDescent="0.25">
      <c r="A23" s="40"/>
      <c r="B23" s="600"/>
      <c r="C23" s="29"/>
      <c r="D23" s="29"/>
      <c r="E23" s="6"/>
      <c r="I23" s="19"/>
      <c r="K23" s="4"/>
      <c r="L23" s="5"/>
      <c r="M23" s="5"/>
      <c r="N23" s="5"/>
    </row>
    <row r="24" spans="1:15" x14ac:dyDescent="0.25">
      <c r="A24" s="40"/>
      <c r="B24" s="600"/>
      <c r="C24" s="29"/>
      <c r="D24" s="29"/>
      <c r="E24" s="15"/>
      <c r="F24" s="16"/>
      <c r="G24" s="16"/>
      <c r="H24" s="16"/>
      <c r="I24" s="15"/>
    </row>
    <row r="25" spans="1:15" x14ac:dyDescent="0.25">
      <c r="A25" s="40"/>
      <c r="B25" s="600"/>
      <c r="C25" s="29"/>
      <c r="D25" s="29"/>
      <c r="E25" s="6"/>
      <c r="G25" s="20"/>
      <c r="J25" s="5"/>
      <c r="K25" s="5"/>
      <c r="L25" s="5"/>
    </row>
    <row r="26" spans="1:15" x14ac:dyDescent="0.25">
      <c r="A26" s="40"/>
      <c r="B26" s="600"/>
      <c r="C26" s="30"/>
      <c r="D26" s="30"/>
      <c r="E26" s="4"/>
      <c r="I26" s="6"/>
      <c r="K26" s="4"/>
      <c r="L26" s="5"/>
      <c r="M26" s="5"/>
      <c r="N26" s="5"/>
    </row>
    <row r="27" spans="1:15" x14ac:dyDescent="0.25">
      <c r="A27" s="40"/>
      <c r="B27" s="600"/>
      <c r="C27" s="30"/>
      <c r="D27" s="30"/>
      <c r="E27" s="4"/>
      <c r="I27" s="6"/>
      <c r="K27" s="4"/>
      <c r="L27" s="5"/>
      <c r="M27" s="5"/>
      <c r="N27" s="5"/>
    </row>
    <row r="28" spans="1:15" x14ac:dyDescent="0.25">
      <c r="A28" s="40"/>
      <c r="B28" s="600"/>
      <c r="C28" s="30"/>
      <c r="D28" s="30"/>
      <c r="E28" s="4"/>
      <c r="I28" s="6"/>
      <c r="K28" s="4"/>
      <c r="L28" s="5"/>
      <c r="M28" s="5"/>
      <c r="N28" s="5"/>
    </row>
    <row r="29" spans="1:15" x14ac:dyDescent="0.25">
      <c r="A29" s="40"/>
      <c r="B29" s="600"/>
      <c r="C29" s="30"/>
      <c r="D29" s="30"/>
      <c r="E29" s="4"/>
      <c r="I29" s="6"/>
      <c r="K29" s="4"/>
      <c r="L29" s="5"/>
      <c r="M29" s="5"/>
      <c r="N29" s="5"/>
    </row>
    <row r="30" spans="1:15" x14ac:dyDescent="0.25">
      <c r="A30" s="40"/>
      <c r="B30" s="600"/>
      <c r="C30" s="30"/>
      <c r="D30" s="30"/>
      <c r="E30" s="4"/>
      <c r="I30" s="6"/>
      <c r="K30" s="4"/>
      <c r="L30" s="5"/>
      <c r="M30" s="5"/>
      <c r="N30" s="5"/>
    </row>
    <row r="31" spans="1:15" x14ac:dyDescent="0.25">
      <c r="A31" s="40"/>
      <c r="B31" s="600"/>
      <c r="C31" s="30"/>
      <c r="D31" s="30"/>
      <c r="E31" s="4"/>
      <c r="I31" s="6"/>
      <c r="K31" s="4"/>
      <c r="L31" s="5"/>
      <c r="M31" s="5"/>
      <c r="N31" s="5"/>
      <c r="O31" s="21"/>
    </row>
    <row r="32" spans="1:15" x14ac:dyDescent="0.25">
      <c r="A32" s="40"/>
      <c r="B32" s="600"/>
      <c r="C32" s="30"/>
      <c r="D32" s="30"/>
      <c r="E32" s="4"/>
      <c r="I32" s="6"/>
      <c r="K32" s="4"/>
      <c r="L32" s="5"/>
      <c r="M32" s="5"/>
      <c r="N32" s="5"/>
    </row>
    <row r="33" spans="1:14" x14ac:dyDescent="0.25">
      <c r="A33" s="40"/>
      <c r="B33" s="600"/>
      <c r="C33" s="30"/>
      <c r="D33" s="30"/>
      <c r="E33" s="4"/>
      <c r="I33" s="21"/>
      <c r="K33" s="4"/>
      <c r="L33" s="5"/>
      <c r="M33" s="5"/>
      <c r="N33" s="5"/>
    </row>
    <row r="34" spans="1:14" x14ac:dyDescent="0.25">
      <c r="A34" s="40"/>
      <c r="B34" s="600"/>
      <c r="C34" s="30"/>
      <c r="D34" s="30"/>
      <c r="E34" s="4"/>
      <c r="I34" s="21"/>
      <c r="L34" s="4"/>
    </row>
    <row r="35" spans="1:14" x14ac:dyDescent="0.25">
      <c r="A35" s="40"/>
      <c r="B35" s="600"/>
      <c r="C35" s="29"/>
      <c r="D35" s="29"/>
      <c r="E35" s="15"/>
      <c r="F35" s="16"/>
      <c r="G35" s="16"/>
      <c r="H35" s="16"/>
      <c r="I35" s="15"/>
    </row>
    <row r="36" spans="1:14" x14ac:dyDescent="0.25">
      <c r="A36" s="40"/>
      <c r="B36" s="600"/>
      <c r="C36" s="31"/>
      <c r="D36" s="28"/>
      <c r="E36" s="4"/>
      <c r="F36" s="5"/>
      <c r="G36" s="5"/>
      <c r="H36" s="5"/>
    </row>
    <row r="37" spans="1:14" x14ac:dyDescent="0.25">
      <c r="A37" s="40"/>
      <c r="B37" s="600"/>
      <c r="C37" s="28"/>
      <c r="D37" s="28"/>
      <c r="E37" s="15"/>
      <c r="F37" s="16"/>
      <c r="G37" s="16"/>
      <c r="H37" s="16"/>
    </row>
    <row r="38" spans="1:14" x14ac:dyDescent="0.25">
      <c r="A38" s="40"/>
      <c r="B38" s="600"/>
      <c r="C38" s="32"/>
      <c r="D38" s="32"/>
      <c r="E38" s="4"/>
      <c r="F38" s="5"/>
      <c r="G38" s="5"/>
      <c r="H38" s="5"/>
    </row>
    <row r="39" spans="1:14" x14ac:dyDescent="0.25">
      <c r="A39" s="40"/>
      <c r="B39" s="600"/>
      <c r="C39" s="32"/>
      <c r="D39" s="32"/>
      <c r="E39" s="4"/>
      <c r="F39" s="5"/>
      <c r="G39" s="5"/>
      <c r="H39" s="5"/>
    </row>
    <row r="40" spans="1:14" x14ac:dyDescent="0.25">
      <c r="A40" s="40"/>
      <c r="B40" s="600"/>
      <c r="C40" s="32"/>
      <c r="D40" s="32"/>
      <c r="E40" s="4"/>
      <c r="F40" s="5"/>
      <c r="G40" s="5"/>
      <c r="H40" s="5"/>
    </row>
    <row r="41" spans="1:14" x14ac:dyDescent="0.25">
      <c r="B41" s="22"/>
      <c r="C41" s="22"/>
      <c r="D41" s="22"/>
      <c r="E41" s="4"/>
      <c r="F41" s="5"/>
      <c r="G41" s="5"/>
      <c r="H41" s="5"/>
    </row>
    <row r="42" spans="1:14" x14ac:dyDescent="0.25">
      <c r="A42" s="23"/>
      <c r="B42" s="2"/>
      <c r="C42" s="2"/>
      <c r="D42" s="2"/>
      <c r="E42" s="4"/>
      <c r="F42" s="5"/>
      <c r="G42" s="5"/>
      <c r="H42" s="5"/>
    </row>
    <row r="43" spans="1:14" x14ac:dyDescent="0.25">
      <c r="A43" s="23"/>
      <c r="B43" s="22"/>
      <c r="C43" s="22"/>
      <c r="D43" s="22"/>
      <c r="E43" s="4"/>
      <c r="F43" s="5"/>
      <c r="G43" s="5"/>
      <c r="H43" s="5"/>
    </row>
    <row r="44" spans="1:14" x14ac:dyDescent="0.25">
      <c r="A44" s="23"/>
      <c r="B44" s="2"/>
      <c r="C44" s="2"/>
      <c r="E44" s="4"/>
      <c r="F44" s="5"/>
      <c r="G44" s="5"/>
      <c r="H44" s="5"/>
    </row>
    <row r="45" spans="1:14" x14ac:dyDescent="0.25">
      <c r="A45" s="23"/>
      <c r="B45" s="22"/>
      <c r="C45" s="22"/>
      <c r="E45" s="4"/>
      <c r="F45" s="5"/>
      <c r="G45" s="5"/>
      <c r="H45" s="5"/>
    </row>
    <row r="46" spans="1:14" x14ac:dyDescent="0.25">
      <c r="C46" s="8"/>
      <c r="E46" s="4"/>
      <c r="F46" s="5"/>
      <c r="G46" s="5"/>
      <c r="H46" s="5"/>
    </row>
    <row r="47" spans="1:14" x14ac:dyDescent="0.25">
      <c r="A47" s="14"/>
      <c r="E47" s="15"/>
      <c r="F47" s="16"/>
      <c r="G47" s="16"/>
      <c r="H47" s="16"/>
      <c r="I47" s="15"/>
    </row>
    <row r="48" spans="1:14" ht="15" customHeight="1" x14ac:dyDescent="0.25">
      <c r="A48" s="24"/>
      <c r="B48" s="3"/>
      <c r="C48" s="2"/>
      <c r="D48" s="2"/>
      <c r="E48" s="4"/>
      <c r="F48" s="5"/>
      <c r="G48" s="5"/>
      <c r="H48" s="5"/>
    </row>
    <row r="49" spans="1:9" ht="15" customHeight="1" x14ac:dyDescent="0.25">
      <c r="A49" s="24"/>
      <c r="B49" s="3"/>
      <c r="C49" s="2"/>
      <c r="D49" s="2"/>
      <c r="E49" s="4"/>
      <c r="F49" s="5"/>
      <c r="G49" s="5"/>
      <c r="H49" s="5"/>
    </row>
    <row r="50" spans="1:9" x14ac:dyDescent="0.25">
      <c r="C50" s="22"/>
      <c r="D50" s="22"/>
      <c r="E50" s="4"/>
      <c r="F50" s="5"/>
      <c r="G50" s="5"/>
      <c r="H50" s="5"/>
    </row>
    <row r="51" spans="1:9" x14ac:dyDescent="0.25">
      <c r="E51" s="4"/>
      <c r="F51" s="13"/>
      <c r="G51" s="13"/>
      <c r="H51" s="13"/>
    </row>
    <row r="52" spans="1:9" x14ac:dyDescent="0.25">
      <c r="C52" s="22"/>
      <c r="D52" s="22"/>
      <c r="E52" s="4"/>
      <c r="F52" s="5"/>
      <c r="G52" s="5"/>
      <c r="H52" s="5"/>
    </row>
    <row r="53" spans="1:9" x14ac:dyDescent="0.25">
      <c r="C53" s="22"/>
      <c r="D53" s="22"/>
      <c r="E53" s="4"/>
      <c r="F53" s="5"/>
      <c r="G53" s="5"/>
      <c r="H53" s="5"/>
    </row>
    <row r="54" spans="1:9" x14ac:dyDescent="0.25">
      <c r="E54" s="4"/>
      <c r="F54" s="5"/>
      <c r="G54" s="5"/>
      <c r="H54" s="5"/>
    </row>
    <row r="55" spans="1:9" x14ac:dyDescent="0.25">
      <c r="A55" s="14"/>
      <c r="E55" s="15"/>
      <c r="F55" s="16"/>
      <c r="G55" s="16"/>
      <c r="H55" s="16"/>
      <c r="I55" s="15"/>
    </row>
    <row r="56" spans="1:9" x14ac:dyDescent="0.25">
      <c r="A56" s="2"/>
      <c r="B56" s="25"/>
      <c r="F56" s="17"/>
    </row>
    <row r="57" spans="1:9" x14ac:dyDescent="0.25">
      <c r="B57" s="26"/>
      <c r="I57" s="6"/>
    </row>
    <row r="58" spans="1:9" x14ac:dyDescent="0.25">
      <c r="B58" s="26"/>
      <c r="I58" s="6"/>
    </row>
    <row r="59" spans="1:9" x14ac:dyDescent="0.25">
      <c r="B59" s="26"/>
      <c r="I59" s="6"/>
    </row>
    <row r="60" spans="1:9" x14ac:dyDescent="0.25">
      <c r="B60" s="26"/>
      <c r="I60" s="6"/>
    </row>
    <row r="61" spans="1:9" x14ac:dyDescent="0.25">
      <c r="B61" s="26"/>
      <c r="I61" s="6"/>
    </row>
    <row r="62" spans="1:9" x14ac:dyDescent="0.25">
      <c r="B62" s="26"/>
      <c r="I62" s="6"/>
    </row>
    <row r="63" spans="1:9" x14ac:dyDescent="0.25">
      <c r="I63" s="6"/>
    </row>
    <row r="64" spans="1:9" x14ac:dyDescent="0.25">
      <c r="I64" s="6"/>
    </row>
    <row r="65" spans="6:6" x14ac:dyDescent="0.25">
      <c r="F65" s="21"/>
    </row>
  </sheetData>
  <pageMargins left="0.7" right="0.7" top="0.75" bottom="0.75" header="0.3" footer="0.3"/>
  <pageSetup paperSize="9" orientation="portrait" verticalDpi="30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1">
    <tabColor rgb="FFFF0000"/>
    <pageSetUpPr fitToPage="1"/>
  </sheetPr>
  <dimension ref="A1:AF55"/>
  <sheetViews>
    <sheetView tabSelected="1" zoomScale="70" zoomScaleNormal="70" workbookViewId="0">
      <pane ySplit="7" topLeftCell="A8" activePane="bottomLeft" state="frozenSplit"/>
      <selection pane="bottomLeft" activeCell="D46" sqref="D46"/>
    </sheetView>
  </sheetViews>
  <sheetFormatPr baseColWidth="10" defaultColWidth="11.42578125" defaultRowHeight="15" x14ac:dyDescent="0.25"/>
  <cols>
    <col min="1" max="1" width="3.42578125" style="33" bestFit="1" customWidth="1"/>
    <col min="2" max="2" width="36.28515625" style="33" bestFit="1" customWidth="1"/>
    <col min="3" max="3" width="13.42578125" style="33" bestFit="1" customWidth="1"/>
    <col min="4" max="4" width="14.140625" style="33" customWidth="1"/>
    <col min="5" max="5" width="14.42578125" style="33" customWidth="1"/>
    <col min="6" max="6" width="12.7109375" style="34" customWidth="1"/>
    <col min="7" max="7" width="16" style="35" customWidth="1"/>
    <col min="8" max="8" width="12.140625" style="35" customWidth="1"/>
    <col min="9" max="9" width="14.28515625" style="35" bestFit="1" customWidth="1"/>
    <col min="10" max="10" width="12.140625" style="33" bestFit="1" customWidth="1"/>
    <col min="11" max="11" width="13" style="33" bestFit="1" customWidth="1"/>
    <col min="12" max="12" width="12.140625" style="33" bestFit="1" customWidth="1"/>
    <col min="13" max="13" width="11.42578125" style="34"/>
    <col min="14" max="14" width="12.140625" style="33" bestFit="1" customWidth="1"/>
    <col min="15" max="15" width="4.28515625" style="33" customWidth="1"/>
    <col min="16" max="16" width="10.7109375" style="33" customWidth="1"/>
    <col min="17" max="18" width="11.42578125" style="33"/>
    <col min="19" max="19" width="15.28515625" style="33" customWidth="1"/>
    <col min="20" max="20" width="9.85546875" style="33" customWidth="1"/>
    <col min="21" max="16384" width="11.42578125" style="33"/>
  </cols>
  <sheetData>
    <row r="1" spans="1:22" x14ac:dyDescent="0.25">
      <c r="B1" s="779" t="s">
        <v>400</v>
      </c>
      <c r="C1" s="785"/>
      <c r="D1" s="811" t="s">
        <v>17</v>
      </c>
      <c r="E1" s="812" t="s">
        <v>18</v>
      </c>
      <c r="F1" s="813" t="s">
        <v>19</v>
      </c>
      <c r="G1" s="810"/>
      <c r="H1" s="996" t="str">
        <f>"Stability "&amp;'01.General Data'!B4</f>
        <v>Stability Barge 60x20</v>
      </c>
      <c r="I1" s="997"/>
      <c r="J1" s="997"/>
      <c r="K1" s="997"/>
      <c r="L1" s="997"/>
      <c r="M1" s="998"/>
      <c r="R1" s="158" t="str">
        <f ca="1">'Load Distrib'!A1</f>
        <v>OK</v>
      </c>
      <c r="S1" s="770" t="s">
        <v>408</v>
      </c>
      <c r="T1" s="773"/>
    </row>
    <row r="2" spans="1:22" x14ac:dyDescent="0.25">
      <c r="B2" s="780">
        <f ca="1">SUM(I8,I19,I25,I36,I42)</f>
        <v>1060</v>
      </c>
      <c r="C2" s="786" t="s">
        <v>178</v>
      </c>
      <c r="D2" s="791">
        <f ca="1">(J8*$I$8+J19*$I$19+J25*$I$25+J36*$I$36+J42*$I$42)/Displacement</f>
        <v>30</v>
      </c>
      <c r="E2" s="792">
        <f ca="1">(K8*$I$8+K19*$I$19+K25*$I$25+K36*$I$36+K42*$I$42)/Displacement</f>
        <v>0</v>
      </c>
      <c r="F2" s="793">
        <f ca="1">(L8*$I$8+L19*$I$19+L25*$I$25+L36*$I$36+L42*$I$42)/Displacement</f>
        <v>4</v>
      </c>
      <c r="G2" s="789" t="s">
        <v>421</v>
      </c>
      <c r="H2" s="999"/>
      <c r="I2" s="1000"/>
      <c r="J2" s="1000"/>
      <c r="K2" s="1000"/>
      <c r="L2" s="1000"/>
      <c r="M2" s="1001"/>
      <c r="R2" s="114" t="str">
        <f>'04.Long. Section'!A1</f>
        <v>OK</v>
      </c>
      <c r="S2" s="771" t="s">
        <v>409</v>
      </c>
      <c r="T2" s="558"/>
    </row>
    <row r="3" spans="1:22" x14ac:dyDescent="0.25">
      <c r="B3" s="781" t="s">
        <v>401</v>
      </c>
      <c r="C3" s="787" t="s">
        <v>27</v>
      </c>
      <c r="D3" s="794">
        <f ca="1">LCB</f>
        <v>29.997245566166438</v>
      </c>
      <c r="E3" s="778">
        <f>0</f>
        <v>0</v>
      </c>
      <c r="F3" s="795"/>
      <c r="G3" s="790">
        <f ca="1">ATAN(-E4/(KM_T-Zcog))*180/PI()</f>
        <v>0</v>
      </c>
      <c r="H3" s="727" t="s">
        <v>406</v>
      </c>
      <c r="I3" s="257"/>
      <c r="J3" s="257"/>
      <c r="K3" s="257"/>
      <c r="L3" s="257"/>
      <c r="M3" s="728"/>
      <c r="R3" s="114" t="str">
        <f>'05.Hull &amp; Structure'!A1</f>
        <v>OK</v>
      </c>
      <c r="S3" s="771" t="s">
        <v>415</v>
      </c>
      <c r="T3" s="558"/>
    </row>
    <row r="4" spans="1:22" x14ac:dyDescent="0.25">
      <c r="B4" s="782">
        <f ca="1">KM_T-KG-ixꙍ/Displacement</f>
        <v>31.007979536152796</v>
      </c>
      <c r="C4" s="788" t="s">
        <v>273</v>
      </c>
      <c r="D4" s="796">
        <f ca="1">D2-D3</f>
        <v>2.7544338335623308E-3</v>
      </c>
      <c r="E4" s="797">
        <f ca="1">E2-E3</f>
        <v>0</v>
      </c>
      <c r="F4" s="798">
        <f ca="1">F2-F3</f>
        <v>4</v>
      </c>
      <c r="G4" s="809">
        <f ca="1">B*TAN(θlist*PI()/180)</f>
        <v>0</v>
      </c>
      <c r="H4" s="717"/>
      <c r="I4" s="718" t="s">
        <v>400</v>
      </c>
      <c r="J4" s="719" t="str">
        <f ca="1">IF(Displacement&lt;Displ_max,"OK","KO")</f>
        <v>OK</v>
      </c>
      <c r="K4" s="720" t="str">
        <f ca="1">'03.Cross Curves'!F5</f>
        <v>OK</v>
      </c>
      <c r="L4" s="721" t="s">
        <v>50</v>
      </c>
      <c r="M4" s="722"/>
      <c r="P4" s="191"/>
      <c r="R4" s="114" t="str">
        <f ca="1">'06.Ballasts'!A1</f>
        <v>OK</v>
      </c>
      <c r="S4" s="771" t="s">
        <v>410</v>
      </c>
      <c r="T4" s="558"/>
    </row>
    <row r="5" spans="1:22" x14ac:dyDescent="0.25">
      <c r="B5" s="781" t="s">
        <v>377</v>
      </c>
      <c r="C5" s="799"/>
      <c r="D5" s="803" t="s">
        <v>404</v>
      </c>
      <c r="E5" s="804" t="s">
        <v>171</v>
      </c>
      <c r="F5" s="804" t="s">
        <v>173</v>
      </c>
      <c r="G5" s="789" t="s">
        <v>420</v>
      </c>
      <c r="H5" s="723"/>
      <c r="I5" s="499" t="s">
        <v>405</v>
      </c>
      <c r="J5" s="141" t="str">
        <f ca="1">IF(GM&gt;1,"OK","KO")</f>
        <v>OK</v>
      </c>
      <c r="K5" s="149" t="str">
        <f ca="1">'03.Cross Curves'!F6</f>
        <v>OK</v>
      </c>
      <c r="L5" s="35" t="s">
        <v>49</v>
      </c>
      <c r="M5" s="724"/>
      <c r="O5" s="39"/>
      <c r="P5" s="39"/>
      <c r="R5" s="114" t="str">
        <f>'07.Lifting'!A1</f>
        <v>OK</v>
      </c>
      <c r="S5" s="771" t="s">
        <v>411</v>
      </c>
      <c r="T5" s="558"/>
    </row>
    <row r="6" spans="1:22" x14ac:dyDescent="0.25">
      <c r="B6" s="783">
        <f ca="1">(N19+N25)</f>
        <v>0</v>
      </c>
      <c r="C6" s="800" t="s">
        <v>402</v>
      </c>
      <c r="D6" s="805">
        <f ca="1">Draft</f>
        <v>1.0049113233287859</v>
      </c>
      <c r="E6" s="806">
        <f ca="1">F6+Δtrim</f>
        <v>1.0049113233287859</v>
      </c>
      <c r="F6" s="806">
        <f ca="1">Draft-Δtrim*(1-LCF/Lpp)</f>
        <v>1.005598668967157</v>
      </c>
      <c r="G6" s="790">
        <f ca="1">ATAN(G7/Lpp)*180/PI()</f>
        <v>-6.5636673572773126E-4</v>
      </c>
      <c r="H6" s="725"/>
      <c r="I6" s="711" t="s">
        <v>48</v>
      </c>
      <c r="J6" s="337" t="str">
        <f ca="1">'03.Cross Curves'!F4</f>
        <v>OK</v>
      </c>
      <c r="K6" s="712" t="str">
        <f ca="1">'03.Cross Curves'!F7</f>
        <v>OK</v>
      </c>
      <c r="L6" s="710" t="s">
        <v>51</v>
      </c>
      <c r="M6" s="726"/>
      <c r="O6" s="709"/>
      <c r="P6" s="817"/>
      <c r="R6" s="114" t="str">
        <f>'08.Additionnals'!A1</f>
        <v>OK</v>
      </c>
      <c r="S6" s="771" t="s">
        <v>412</v>
      </c>
      <c r="T6" s="558"/>
    </row>
    <row r="7" spans="1:22" x14ac:dyDescent="0.25">
      <c r="B7" s="784"/>
      <c r="C7" s="801" t="s">
        <v>403</v>
      </c>
      <c r="D7" s="807">
        <f ca="1">M_depth-Draft</f>
        <v>2.9950886766712141</v>
      </c>
      <c r="E7" s="808">
        <f ca="1">M_depth-E6</f>
        <v>2.9950886766712141</v>
      </c>
      <c r="F7" s="808">
        <f ca="1">M_depth-F6</f>
        <v>2.9944013310328428</v>
      </c>
      <c r="G7" s="802">
        <f ca="1">-D4*Displacement/(MCT*100)</f>
        <v>-6.8734563837105243E-4</v>
      </c>
      <c r="I7" s="713" t="s">
        <v>325</v>
      </c>
      <c r="J7" s="714" t="s">
        <v>270</v>
      </c>
      <c r="K7" s="715" t="s">
        <v>271</v>
      </c>
      <c r="L7" s="716" t="s">
        <v>272</v>
      </c>
      <c r="O7" s="775"/>
      <c r="P7" s="709"/>
      <c r="R7" s="774" t="str">
        <f ca="1">'09.Deck Tank'!A1</f>
        <v>OK</v>
      </c>
      <c r="S7" s="772" t="s">
        <v>413</v>
      </c>
      <c r="T7" s="728"/>
    </row>
    <row r="8" spans="1:22" x14ac:dyDescent="0.25">
      <c r="A8" s="670" t="s">
        <v>399</v>
      </c>
      <c r="B8" s="257" t="s">
        <v>398</v>
      </c>
      <c r="C8" s="257"/>
      <c r="D8" s="257"/>
      <c r="E8" s="257"/>
      <c r="F8" s="257"/>
      <c r="G8" s="257"/>
      <c r="H8" s="671"/>
      <c r="I8" s="672">
        <f>SUM(O9:O17)+SUM(I9:I15)</f>
        <v>560</v>
      </c>
      <c r="J8" s="673">
        <f>IFERROR((SUMPRODUCT($O$9:$O$17,Q9:Q17)+SUMPRODUCT($I$9:$I$17,J9:J17))/$I$8,0)</f>
        <v>30</v>
      </c>
      <c r="K8" s="673">
        <f ca="1">IFERROR((SUMPRODUCT($O$9:$O$17,R9:R17)+SUMPRODUCT($I$9:$I$17,K9:K17))/$I$8,0)</f>
        <v>0</v>
      </c>
      <c r="L8" s="673">
        <f>IFERROR((SUMPRODUCT($O$9:$O$17,S9:S17)+SUMPRODUCT($I$9:$I$17,L9:L17))/$I$8,0)</f>
        <v>4</v>
      </c>
      <c r="M8" s="674"/>
      <c r="N8" s="675"/>
      <c r="P8" s="822" t="s">
        <v>422</v>
      </c>
      <c r="R8" s="814" t="s">
        <v>173</v>
      </c>
      <c r="T8" s="823" t="s">
        <v>422</v>
      </c>
    </row>
    <row r="9" spans="1:22" x14ac:dyDescent="0.25">
      <c r="A9" s="622">
        <v>0</v>
      </c>
      <c r="B9" s="737" t="str">
        <f>INDEX(Tbl_Hull_Structure[[ITEM Title ]],MATCH(A9,Tbl_Hull_Structure[Group],0))</f>
        <v>Hull Structure &amp; Steel Outfitting</v>
      </c>
      <c r="I9" s="633">
        <f>SUMIF(Tbl_Hull_Structure[Head],$A9,Tbl_Hull_Structure[Weight Op])</f>
        <v>560</v>
      </c>
      <c r="J9" s="634">
        <f>IFERROR(SUMIF(Tbl_Hull_Structure[Head],$A9,Tbl_Hull_Structure[Mx])/$I9,0)</f>
        <v>30</v>
      </c>
      <c r="K9" s="635">
        <f>IFERROR(SUMIF(Tbl_Hull_Structure[Head],$A9,Tbl_Hull_Structure[My])/$I9,0)</f>
        <v>0</v>
      </c>
      <c r="L9" s="636">
        <f>IFERROR(SUMIF(Tbl_Hull_Structure[Head],$A9,Tbl_Hull_Structure[Mz])/$I9,0)</f>
        <v>4</v>
      </c>
      <c r="O9" s="34"/>
      <c r="P9" s="820">
        <f ca="1">$R$9-Δlist/2</f>
        <v>1.005598668967157</v>
      </c>
      <c r="Q9" s="816"/>
      <c r="R9" s="819">
        <f ca="1">Draft-Δtrim*(1-LCF/Lpp)</f>
        <v>1.005598668967157</v>
      </c>
      <c r="S9" s="816"/>
      <c r="T9" s="821">
        <f ca="1">$R$9+Δlist/2</f>
        <v>1.005598668967157</v>
      </c>
      <c r="V9" s="36"/>
    </row>
    <row r="10" spans="1:22" x14ac:dyDescent="0.25">
      <c r="A10" s="738">
        <v>1</v>
      </c>
      <c r="B10" s="739" t="str">
        <f>INDEX(Tbl_Hull_Structure[[ITEM Title ]],MATCH(A10,Tbl_Hull_Structure[Group],0))</f>
        <v>Winches</v>
      </c>
      <c r="I10" s="637">
        <f>SUMIF(Tbl_Hull_Structure[Head],$A10,Tbl_Hull_Structure[Weight Op])</f>
        <v>0</v>
      </c>
      <c r="J10" s="638">
        <f>IFERROR(SUMIF(Tbl_Hull_Structure[Head],$A10,Tbl_Hull_Structure[Mx])/$I10,0)</f>
        <v>0</v>
      </c>
      <c r="K10" s="639">
        <f>IFERROR(SUMIF(Tbl_Hull_Structure[Head],$A10,Tbl_Hull_Structure[My])/$I10,0)</f>
        <v>0</v>
      </c>
      <c r="L10" s="640">
        <f>IFERROR(SUMIF(Tbl_Hull_Structure[Head],$A10,Tbl_Hull_Structure[Mz])/$I10,0)</f>
        <v>0</v>
      </c>
      <c r="O10" s="34"/>
      <c r="P10" s="826"/>
      <c r="Q10" s="723"/>
      <c r="R10" s="826"/>
      <c r="S10" s="776"/>
      <c r="T10" s="826"/>
    </row>
    <row r="11" spans="1:22" x14ac:dyDescent="0.25">
      <c r="A11" s="738">
        <v>2</v>
      </c>
      <c r="B11" s="739" t="str">
        <f>INDEX(Tbl_Hull_Structure[[ITEM Title ]],MATCH(A11,Tbl_Hull_Structure[Group],0))</f>
        <v>Accomodations</v>
      </c>
      <c r="I11" s="637">
        <f>SUMIF(Tbl_Hull_Structure[Head],$A11,Tbl_Hull_Structure[Weight Op])</f>
        <v>0</v>
      </c>
      <c r="J11" s="638">
        <f>IFERROR(SUMIF(Tbl_Hull_Structure[Head],$A11,Tbl_Hull_Structure[Mx])/$I11,0)</f>
        <v>0</v>
      </c>
      <c r="K11" s="639">
        <f>IFERROR(SUMIF(Tbl_Hull_Structure[Head],$A11,Tbl_Hull_Structure[My])/$I11,0)</f>
        <v>0</v>
      </c>
      <c r="L11" s="640">
        <f>IFERROR(SUMIF(Tbl_Hull_Structure[Head],$A11,Tbl_Hull_Structure[Mz])/$I11,0)</f>
        <v>0</v>
      </c>
      <c r="O11" s="34"/>
      <c r="P11" s="34"/>
      <c r="Q11" s="723"/>
      <c r="R11" s="35"/>
      <c r="S11" s="776"/>
      <c r="T11" s="771"/>
    </row>
    <row r="12" spans="1:22" x14ac:dyDescent="0.25">
      <c r="A12" s="738">
        <v>3</v>
      </c>
      <c r="B12" s="739" t="str">
        <f>INDEX(Tbl_Hull_Structure[[ITEM Title ]],MATCH(A12,Tbl_Hull_Structure[Group],0))</f>
        <v>Deck Equipment &amp; hull outfitting</v>
      </c>
      <c r="I12" s="641">
        <f>SUMIF(Tbl_Hull_Structure[Head],$A12,Tbl_Hull_Structure[Weight Op])</f>
        <v>0</v>
      </c>
      <c r="J12" s="642">
        <f>IFERROR(SUMIF(Tbl_Hull_Structure[Head],$A12,Tbl_Hull_Structure[Mx])/$I12,0)</f>
        <v>0</v>
      </c>
      <c r="K12" s="643">
        <f>IFERROR(SUMIF(Tbl_Hull_Structure[Head],$A12,Tbl_Hull_Structure[My])/$I12,0)</f>
        <v>0</v>
      </c>
      <c r="L12" s="644">
        <f>IFERROR(SUMIF(Tbl_Hull_Structure[Head],$A12,Tbl_Hull_Structure[Mz])/$I12,0)</f>
        <v>0</v>
      </c>
      <c r="O12" s="34"/>
      <c r="P12" s="34"/>
      <c r="Q12" s="723"/>
      <c r="R12" s="35"/>
      <c r="S12" s="776"/>
      <c r="T12" s="771"/>
    </row>
    <row r="13" spans="1:22" x14ac:dyDescent="0.25">
      <c r="A13" s="738"/>
      <c r="B13" s="740"/>
      <c r="I13" s="34"/>
      <c r="J13" s="35"/>
      <c r="K13" s="35"/>
      <c r="L13" s="35"/>
      <c r="O13" s="34"/>
      <c r="P13" s="34"/>
      <c r="Q13" s="723"/>
      <c r="R13" s="35"/>
      <c r="S13" s="776"/>
      <c r="T13" s="771"/>
      <c r="U13" s="36"/>
    </row>
    <row r="14" spans="1:22" x14ac:dyDescent="0.25">
      <c r="A14" s="738"/>
      <c r="B14" s="740"/>
      <c r="I14" s="34"/>
      <c r="J14" s="35"/>
      <c r="K14" s="35"/>
      <c r="L14" s="35"/>
      <c r="O14" s="34"/>
      <c r="P14" s="34"/>
      <c r="Q14" s="723"/>
      <c r="R14" s="35"/>
      <c r="S14" s="776"/>
      <c r="T14" s="771"/>
      <c r="V14" s="34"/>
    </row>
    <row r="15" spans="1:22" x14ac:dyDescent="0.25">
      <c r="A15" s="738"/>
      <c r="B15" s="740"/>
      <c r="I15" s="34"/>
      <c r="J15" s="35"/>
      <c r="K15" s="35"/>
      <c r="L15" s="35"/>
      <c r="O15" s="34"/>
      <c r="P15" s="34"/>
      <c r="Q15" s="723"/>
      <c r="R15" s="35"/>
      <c r="S15" s="776"/>
      <c r="T15" s="771"/>
    </row>
    <row r="16" spans="1:22" x14ac:dyDescent="0.25">
      <c r="A16" s="738"/>
      <c r="B16" s="740"/>
      <c r="G16" s="33"/>
      <c r="H16" s="33"/>
      <c r="I16" s="33"/>
      <c r="J16" s="36"/>
      <c r="O16" s="34"/>
      <c r="P16" s="34"/>
      <c r="Q16" s="723"/>
      <c r="R16" s="35"/>
      <c r="S16" s="776"/>
      <c r="T16" s="771"/>
    </row>
    <row r="17" spans="1:32" x14ac:dyDescent="0.25">
      <c r="A17" s="741"/>
      <c r="B17" s="740"/>
      <c r="G17" s="33"/>
      <c r="H17" s="33"/>
      <c r="I17" s="33"/>
      <c r="J17" s="36"/>
      <c r="O17" s="34"/>
      <c r="P17" s="34"/>
      <c r="Q17" s="723"/>
      <c r="R17" s="35"/>
      <c r="S17" s="776"/>
      <c r="T17" s="771"/>
    </row>
    <row r="18" spans="1:32" x14ac:dyDescent="0.25">
      <c r="A18" s="742"/>
      <c r="B18" s="743"/>
      <c r="G18" s="33"/>
      <c r="H18" s="33"/>
      <c r="I18" s="33"/>
      <c r="J18" s="36"/>
      <c r="O18" s="35"/>
      <c r="P18" s="35"/>
      <c r="Q18" s="723"/>
      <c r="R18" s="35"/>
      <c r="S18" s="558"/>
      <c r="T18" s="771"/>
    </row>
    <row r="19" spans="1:32" x14ac:dyDescent="0.25">
      <c r="A19" s="664" t="s">
        <v>399</v>
      </c>
      <c r="B19" s="665" t="s">
        <v>222</v>
      </c>
      <c r="C19" s="665"/>
      <c r="D19" s="665"/>
      <c r="E19" s="665"/>
      <c r="F19" s="665"/>
      <c r="G19" s="665"/>
      <c r="H19" s="665"/>
      <c r="I19" s="666">
        <f ca="1">SUM(I21:I24)</f>
        <v>0</v>
      </c>
      <c r="J19" s="667">
        <f ca="1">IFERROR(SUMPRODUCT($I$21:$I$24,J21:J24)/$I$19,0)</f>
        <v>0</v>
      </c>
      <c r="K19" s="667">
        <f ca="1">IFERROR(SUMPRODUCT($I$21:$I$24,K21:K24)/$I$19,0)</f>
        <v>0</v>
      </c>
      <c r="L19" s="667">
        <f ca="1">IFERROR(SUMPRODUCT($I$21:$I$24,L21:L24)/$I$19,0)</f>
        <v>0</v>
      </c>
      <c r="M19" s="668" t="s">
        <v>366</v>
      </c>
      <c r="N19" s="669">
        <f ca="1">SUM(N21:N24)</f>
        <v>0</v>
      </c>
      <c r="Q19" s="445"/>
      <c r="S19" s="558"/>
      <c r="T19" s="771"/>
    </row>
    <row r="20" spans="1:32" x14ac:dyDescent="0.25">
      <c r="B20" s="686" t="s">
        <v>379</v>
      </c>
      <c r="D20" s="612" t="s">
        <v>365</v>
      </c>
      <c r="E20" s="265"/>
      <c r="F20" s="708" t="s">
        <v>380</v>
      </c>
      <c r="G20" s="708" t="s">
        <v>42</v>
      </c>
      <c r="H20" s="33"/>
      <c r="I20" s="1002"/>
      <c r="J20" s="1002"/>
      <c r="K20" s="1002"/>
      <c r="L20" s="1002"/>
      <c r="M20" s="33"/>
      <c r="N20" s="708" t="s">
        <v>377</v>
      </c>
      <c r="Q20" s="445"/>
      <c r="S20" s="558"/>
      <c r="T20" s="771"/>
    </row>
    <row r="21" spans="1:32" x14ac:dyDescent="0.25">
      <c r="A21" s="622">
        <v>0</v>
      </c>
      <c r="B21" s="737" t="str">
        <f ca="1">IF(A21="","",INDEX(Tbl_Deck_Tank[Item],A21+1))</f>
        <v>Horizontal MDO tank 15 000L</v>
      </c>
      <c r="C21" s="445"/>
      <c r="D21" s="695">
        <v>0</v>
      </c>
      <c r="E21" s="471"/>
      <c r="F21" s="696">
        <f ca="1">IF(A21="","",INDEX(Tbl_Deck_Tank[Diameter],$A21+1))</f>
        <v>2.2000000000000002</v>
      </c>
      <c r="G21" s="697">
        <f ca="1">IF(A21="","",INDEX(Tbl_Deck_Tank[Volume],$A21+1))</f>
        <v>0</v>
      </c>
      <c r="H21" s="39"/>
      <c r="I21" s="698">
        <f ca="1">IF($D21="","",INDEX(Tbl_Deck_Tank[Weight Fact],$A21+1))</f>
        <v>0</v>
      </c>
      <c r="J21" s="699">
        <f ca="1">IF($D21="","",INDEX(Tbl_Deck_Tank[[COG x ]],$A21+1))</f>
        <v>25</v>
      </c>
      <c r="K21" s="700">
        <f ca="1">IF($D21="","",INDEX(Tbl_Deck_Tank[[COG y ]],$A21+1))</f>
        <v>-7.0250000000000004</v>
      </c>
      <c r="L21" s="701">
        <f ca="1">IF($D21="","",INDEX(Tbl_Deck_Tank[[COG z ]],$A21+1))</f>
        <v>5.25</v>
      </c>
      <c r="M21" s="33"/>
      <c r="N21" s="702">
        <f ca="1">IF($D21="","",INDEX(Tbl_Deck_Tank[i*ꙍ],$A21+1))</f>
        <v>0</v>
      </c>
      <c r="Q21" s="445"/>
      <c r="S21" s="558"/>
      <c r="T21" s="771"/>
    </row>
    <row r="22" spans="1:32" x14ac:dyDescent="0.25">
      <c r="A22" s="738">
        <v>1</v>
      </c>
      <c r="B22" s="739" t="str">
        <f ca="1">IF(A22="","",INDEX(Tbl_Deck_Tank[Item],MATCH(A22,Tbl_Deck_Tank[Index],0)))</f>
        <v>Horizontal Fresh Water tank 5 000L</v>
      </c>
      <c r="C22" s="572"/>
      <c r="D22" s="747">
        <v>0</v>
      </c>
      <c r="E22" s="471"/>
      <c r="F22" s="748">
        <f ca="1">IF(A22="","",INDEX(Tbl_Deck_Tank[Diameter],$A22+1))</f>
        <v>1.4</v>
      </c>
      <c r="G22" s="749">
        <f ca="1">IF(A22="","",INDEX(Tbl_Deck_Tank[Volume],$A22+1))</f>
        <v>0</v>
      </c>
      <c r="H22" s="33"/>
      <c r="I22" s="753">
        <f ca="1">IF($D22="","",INDEX(Tbl_Deck_Tank[Weight Fact],$A22+1))</f>
        <v>0</v>
      </c>
      <c r="J22" s="754">
        <f ca="1">IF($D22="","",INDEX(Tbl_Deck_Tank[[COG x ]],$A22+1))</f>
        <v>35.25</v>
      </c>
      <c r="K22" s="755">
        <f ca="1">IF($D22="","",INDEX(Tbl_Deck_Tank[[COG y ]],$A22+1))</f>
        <v>12.2</v>
      </c>
      <c r="L22" s="756">
        <f ca="1">IF($D22="","",INDEX(Tbl_Deck_Tank[[COG z ]],$A22+1))</f>
        <v>0.5</v>
      </c>
      <c r="M22" s="33"/>
      <c r="N22" s="758">
        <f ca="1">IF($D22="","",INDEX(Tbl_Deck_Tank[i*ꙍ],$A22+1))</f>
        <v>0</v>
      </c>
      <c r="Q22" s="445"/>
      <c r="S22" s="558"/>
      <c r="T22" s="771"/>
    </row>
    <row r="23" spans="1:32" x14ac:dyDescent="0.25">
      <c r="A23" s="738">
        <v>2</v>
      </c>
      <c r="B23" s="739" t="str">
        <f ca="1">IF(A23="","",INDEX(Tbl_Deck_Tank[Item],MATCH(A23,Tbl_Deck_Tank[Index],0)))</f>
        <v>Not used</v>
      </c>
      <c r="C23" s="573"/>
      <c r="D23" s="747">
        <v>0</v>
      </c>
      <c r="F23" s="750">
        <f ca="1">IF(A23="","",INDEX(Tbl_Deck_Tank[Diameter],$A23+1))</f>
        <v>0</v>
      </c>
      <c r="G23" s="751">
        <f ca="1">IF(A23="","",INDEX(Tbl_Deck_Tank[Volume],$A23+1))</f>
        <v>0</v>
      </c>
      <c r="H23" s="33"/>
      <c r="I23" s="637">
        <f ca="1">IF($D23="","",INDEX(Tbl_Deck_Tank[Weight Fact],$A23+1))</f>
        <v>0</v>
      </c>
      <c r="J23" s="757">
        <f ca="1">IF($D23="","",INDEX(Tbl_Deck_Tank[[COG x ]],$A23+1))</f>
        <v>35.25</v>
      </c>
      <c r="K23" s="639">
        <f ca="1">IF($D23="","",INDEX(Tbl_Deck_Tank[[COG y ]],$A23+1))</f>
        <v>12.2</v>
      </c>
      <c r="L23" s="640">
        <f ca="1">IF($D23="","",INDEX(Tbl_Deck_Tank[[COG z ]],$A23+1))</f>
        <v>0.5</v>
      </c>
      <c r="M23" s="33"/>
      <c r="N23" s="759">
        <f ca="1">IF($D23="","",INDEX(Tbl_Deck_Tank[i*ꙍ],$A23+1))</f>
        <v>0</v>
      </c>
      <c r="Q23" s="445"/>
      <c r="S23" s="558"/>
      <c r="T23" s="771"/>
    </row>
    <row r="24" spans="1:32" x14ac:dyDescent="0.25">
      <c r="A24" s="738">
        <v>3</v>
      </c>
      <c r="B24" s="752" t="str">
        <f ca="1">IF(A24="","",INDEX(Tbl_Deck_Tank[Item],MATCH(A24,Tbl_Deck_Tank[Index],0)))</f>
        <v>Not used</v>
      </c>
      <c r="C24" s="37"/>
      <c r="D24" s="703">
        <v>0</v>
      </c>
      <c r="F24" s="704">
        <f ca="1">IF(A24="","",INDEX(Tbl_Deck_Tank[Diameter],$A24+1))</f>
        <v>0</v>
      </c>
      <c r="G24" s="705">
        <f ca="1">IF(A24="","",INDEX(Tbl_Deck_Tank[Volume],$A24+1))</f>
        <v>0</v>
      </c>
      <c r="H24" s="34"/>
      <c r="I24" s="641">
        <f ca="1">IF($D24="","",INDEX(Tbl_Deck_Tank[Weight Fact],$A24+1))</f>
        <v>0</v>
      </c>
      <c r="J24" s="706">
        <f ca="1">IF($D24="","",INDEX(Tbl_Deck_Tank[[COG x ]],$A24+1))</f>
        <v>35.25</v>
      </c>
      <c r="K24" s="643">
        <f ca="1">IF($D24="","",INDEX(Tbl_Deck_Tank[[COG y ]],$A24+1))</f>
        <v>12.2</v>
      </c>
      <c r="L24" s="644">
        <f ca="1">IF($D24="","",INDEX(Tbl_Deck_Tank[[COG z ]],$A24+1))</f>
        <v>0.5</v>
      </c>
      <c r="M24" s="33"/>
      <c r="N24" s="707">
        <f ca="1">IF($D24="","",INDEX(Tbl_Deck_Tank[i*ꙍ],$A24+1))</f>
        <v>0</v>
      </c>
      <c r="O24" s="34"/>
      <c r="Q24" s="445"/>
      <c r="S24" s="558"/>
      <c r="T24" s="771"/>
    </row>
    <row r="25" spans="1:32" x14ac:dyDescent="0.25">
      <c r="A25" s="664" t="s">
        <v>399</v>
      </c>
      <c r="B25" s="665" t="s">
        <v>378</v>
      </c>
      <c r="C25" s="665"/>
      <c r="D25" s="665"/>
      <c r="E25" s="665"/>
      <c r="F25" s="665"/>
      <c r="G25" s="665"/>
      <c r="H25" s="665"/>
      <c r="I25" s="666">
        <f ca="1">'06.Ballasts'!J3</f>
        <v>0</v>
      </c>
      <c r="J25" s="667">
        <f ca="1">'06.Ballasts'!K3</f>
        <v>0</v>
      </c>
      <c r="K25" s="667">
        <f ca="1">'06.Ballasts'!L3</f>
        <v>0</v>
      </c>
      <c r="L25" s="667">
        <f ca="1">'06.Ballasts'!M3</f>
        <v>0</v>
      </c>
      <c r="M25" s="668" t="s">
        <v>366</v>
      </c>
      <c r="N25" s="669">
        <f ca="1">'06.Ballasts'!I3</f>
        <v>0</v>
      </c>
      <c r="P25" s="822" t="s">
        <v>422</v>
      </c>
      <c r="Q25" s="723"/>
      <c r="R25" s="814" t="s">
        <v>423</v>
      </c>
      <c r="S25" s="776"/>
      <c r="T25" s="823" t="s">
        <v>418</v>
      </c>
    </row>
    <row r="26" spans="1:32" x14ac:dyDescent="0.25">
      <c r="B26" s="686" t="s">
        <v>379</v>
      </c>
      <c r="D26" s="1004" t="s">
        <v>417</v>
      </c>
      <c r="E26" s="1005"/>
      <c r="F26" s="1005" t="s">
        <v>418</v>
      </c>
      <c r="G26" s="1006"/>
      <c r="H26" s="33"/>
      <c r="I26" s="857">
        <f ca="1">SUM(J28:M35)</f>
        <v>0</v>
      </c>
      <c r="J26" s="858" t="s">
        <v>431</v>
      </c>
      <c r="K26" s="39"/>
      <c r="L26" s="39"/>
      <c r="M26" s="39"/>
      <c r="N26" s="39"/>
      <c r="O26" s="39"/>
      <c r="P26" s="820">
        <f ca="1">$R$26-Δlist/2</f>
        <v>1.0049113233287859</v>
      </c>
      <c r="Q26" s="445"/>
      <c r="R26" s="815">
        <f ca="1">Draft</f>
        <v>1.0049113233287859</v>
      </c>
      <c r="S26" s="558"/>
      <c r="T26" s="821">
        <f ca="1">$R$26+Δlist/2</f>
        <v>1.0049113233287859</v>
      </c>
      <c r="U26" s="39"/>
      <c r="V26" s="36"/>
      <c r="W26" s="39"/>
      <c r="X26" s="39"/>
      <c r="Y26" s="39"/>
      <c r="Z26" s="39"/>
      <c r="AA26" s="39"/>
      <c r="AB26" s="39"/>
      <c r="AC26" s="39"/>
      <c r="AD26" s="39"/>
      <c r="AE26" s="39"/>
    </row>
    <row r="27" spans="1:32" x14ac:dyDescent="0.25">
      <c r="B27" s="687" t="s">
        <v>378</v>
      </c>
      <c r="D27" s="689" t="s">
        <v>505</v>
      </c>
      <c r="E27" s="690" t="s">
        <v>506</v>
      </c>
      <c r="F27" s="690" t="s">
        <v>507</v>
      </c>
      <c r="G27" s="691" t="s">
        <v>508</v>
      </c>
      <c r="H27" s="34"/>
      <c r="I27" s="33"/>
      <c r="K27" s="498"/>
      <c r="L27" s="498"/>
      <c r="M27" s="498"/>
      <c r="N27" s="498"/>
      <c r="O27" s="498"/>
      <c r="P27" s="826"/>
      <c r="Q27" s="723"/>
      <c r="R27" s="498"/>
      <c r="S27" s="777"/>
      <c r="T27" s="826"/>
      <c r="U27" s="498"/>
      <c r="V27" s="498"/>
      <c r="W27" s="498"/>
      <c r="X27" s="498"/>
      <c r="Y27" s="498"/>
      <c r="Z27" s="498"/>
      <c r="AA27" s="498"/>
      <c r="AB27" s="498"/>
      <c r="AC27" s="498"/>
      <c r="AD27" s="498"/>
      <c r="AE27" s="498"/>
    </row>
    <row r="28" spans="1:32" x14ac:dyDescent="0.25">
      <c r="B28" s="64" t="s">
        <v>173</v>
      </c>
      <c r="C28" s="735" t="s">
        <v>504</v>
      </c>
      <c r="D28" s="1011">
        <v>0</v>
      </c>
      <c r="E28" s="1012"/>
      <c r="F28" s="1012"/>
      <c r="G28" s="1013"/>
      <c r="H28" s="607" t="s">
        <v>504</v>
      </c>
      <c r="I28" s="38"/>
      <c r="J28" s="1020">
        <f ca="1">IFERROR(INDEX(Tbl_Ballasts[Weight Fact],MATCH(TEXT(ROW()-ROW(Recap_Ballasts)+1,"00")&amp;TEXT(COLUMN()-COLUMN(Recap_Ballasts)-5,"00"),Tbl_Ballasts[Code],0)),0)</f>
        <v>0</v>
      </c>
      <c r="K28" s="1021"/>
      <c r="L28" s="1021"/>
      <c r="M28" s="1022"/>
      <c r="N28" s="501"/>
      <c r="O28" s="502"/>
      <c r="P28" s="502"/>
      <c r="Q28" s="723"/>
      <c r="R28" s="35"/>
      <c r="S28" s="776"/>
      <c r="T28" s="35"/>
      <c r="U28" s="65"/>
      <c r="V28" s="500"/>
      <c r="W28" s="501"/>
      <c r="X28" s="501"/>
      <c r="Y28" s="501"/>
      <c r="Z28" s="502"/>
      <c r="AA28" s="500"/>
      <c r="AB28" s="501"/>
      <c r="AC28" s="501"/>
      <c r="AD28" s="501"/>
      <c r="AE28" s="502"/>
      <c r="AF28" s="499"/>
    </row>
    <row r="29" spans="1:32" x14ac:dyDescent="0.25">
      <c r="B29" s="70" t="s">
        <v>430</v>
      </c>
      <c r="C29" s="736" t="s">
        <v>509</v>
      </c>
      <c r="D29" s="692">
        <v>0</v>
      </c>
      <c r="E29" s="693">
        <v>0</v>
      </c>
      <c r="F29" s="693">
        <v>0</v>
      </c>
      <c r="G29" s="694">
        <v>0</v>
      </c>
      <c r="H29" s="608" t="s">
        <v>515</v>
      </c>
      <c r="I29" s="38"/>
      <c r="J29" s="764">
        <f ca="1">IFERROR(INDEX(Tbl_Ballasts[Weight Fact],MATCH(TEXT(ROW()-ROW(Recap_Ballasts)+1,"00")&amp;TEXT(COLUMN()-COLUMN(Recap_Ballasts)-5,"00"),Tbl_Ballasts[Code],0)),0)</f>
        <v>0</v>
      </c>
      <c r="K29" s="765">
        <f ca="1">IFERROR(INDEX(Tbl_Ballasts[Weight Fact],MATCH(TEXT(ROW()-ROW(Recap_Ballasts)+1,"00")&amp;TEXT(COLUMN()-COLUMN(Recap_Ballasts)-5,"00"),Tbl_Ballasts[Code],0)),0)</f>
        <v>0</v>
      </c>
      <c r="L29" s="765">
        <f ca="1">IFERROR(INDEX(Tbl_Ballasts[Weight Fact],MATCH(TEXT(ROW()-ROW(Recap_Ballasts)+1,"00")&amp;TEXT(COLUMN()-COLUMN(Recap_Ballasts)-5,"00"),Tbl_Ballasts[Code],0)),0)</f>
        <v>0</v>
      </c>
      <c r="M29" s="766">
        <f ca="1">IFERROR(INDEX(Tbl_Ballasts[Weight Fact],MATCH(TEXT(ROW()-ROW(Recap_Ballasts)+1,"00")&amp;TEXT(COLUMN()-COLUMN(Recap_Ballasts)-5,"00"),Tbl_Ballasts[Code],0)),0)</f>
        <v>0</v>
      </c>
      <c r="N29" s="35"/>
      <c r="O29" s="65"/>
      <c r="P29" s="65"/>
      <c r="Q29" s="723"/>
      <c r="R29" s="35"/>
      <c r="S29" s="776"/>
      <c r="T29" s="35"/>
      <c r="U29" s="65"/>
      <c r="V29" s="503"/>
      <c r="W29" s="35"/>
      <c r="X29" s="35"/>
      <c r="Y29" s="35"/>
      <c r="Z29" s="65"/>
      <c r="AA29" s="503"/>
      <c r="AB29" s="35"/>
      <c r="AC29" s="35"/>
      <c r="AD29" s="35"/>
      <c r="AE29" s="65"/>
      <c r="AF29" s="499"/>
    </row>
    <row r="30" spans="1:32" x14ac:dyDescent="0.25">
      <c r="B30" s="55" t="s">
        <v>429</v>
      </c>
      <c r="C30" s="736" t="s">
        <v>510</v>
      </c>
      <c r="D30" s="692">
        <v>0</v>
      </c>
      <c r="E30" s="693">
        <v>0</v>
      </c>
      <c r="F30" s="693">
        <v>0</v>
      </c>
      <c r="G30" s="694">
        <v>0</v>
      </c>
      <c r="H30" s="608" t="s">
        <v>516</v>
      </c>
      <c r="I30" s="38"/>
      <c r="J30" s="764">
        <f ca="1">IFERROR(INDEX(Tbl_Ballasts[Weight Fact],MATCH(TEXT(ROW()-ROW(Recap_Ballasts)+1,"00")&amp;TEXT(COLUMN()-COLUMN(Recap_Ballasts)-5,"00"),Tbl_Ballasts[Code],0)),0)</f>
        <v>0</v>
      </c>
      <c r="K30" s="765">
        <f ca="1">IFERROR(INDEX(Tbl_Ballasts[Weight Fact],MATCH(TEXT(ROW()-ROW(Recap_Ballasts)+1,"00")&amp;TEXT(COLUMN()-COLUMN(Recap_Ballasts)-5,"00"),Tbl_Ballasts[Code],0)),0)</f>
        <v>0</v>
      </c>
      <c r="L30" s="765">
        <f ca="1">IFERROR(INDEX(Tbl_Ballasts[Weight Fact],MATCH(TEXT(ROW()-ROW(Recap_Ballasts)+1,"00")&amp;TEXT(COLUMN()-COLUMN(Recap_Ballasts)-5,"00"),Tbl_Ballasts[Code],0)),0)</f>
        <v>0</v>
      </c>
      <c r="M30" s="766">
        <f ca="1">IFERROR(INDEX(Tbl_Ballasts[Weight Fact],MATCH(TEXT(ROW()-ROW(Recap_Ballasts)+1,"00")&amp;TEXT(COLUMN()-COLUMN(Recap_Ballasts)-5,"00"),Tbl_Ballasts[Code],0)),0)</f>
        <v>0</v>
      </c>
      <c r="N30" s="35"/>
      <c r="O30" s="65"/>
      <c r="P30" s="65"/>
      <c r="Q30" s="723"/>
      <c r="R30" s="35"/>
      <c r="S30" s="776"/>
      <c r="T30" s="35"/>
      <c r="U30" s="65"/>
      <c r="V30" s="503"/>
      <c r="W30" s="35"/>
      <c r="X30" s="35"/>
      <c r="Y30" s="35"/>
      <c r="Z30" s="65"/>
      <c r="AA30" s="503"/>
      <c r="AB30" s="35"/>
      <c r="AC30" s="35"/>
      <c r="AD30" s="35"/>
      <c r="AE30" s="65"/>
      <c r="AF30" s="499"/>
    </row>
    <row r="31" spans="1:32" x14ac:dyDescent="0.25">
      <c r="B31" s="55" t="s">
        <v>429</v>
      </c>
      <c r="C31" s="736" t="s">
        <v>511</v>
      </c>
      <c r="D31" s="692">
        <v>0</v>
      </c>
      <c r="E31" s="693">
        <v>0</v>
      </c>
      <c r="F31" s="693">
        <v>0</v>
      </c>
      <c r="G31" s="694">
        <v>0</v>
      </c>
      <c r="H31" s="608" t="s">
        <v>517</v>
      </c>
      <c r="I31" s="38"/>
      <c r="J31" s="764">
        <f ca="1">IFERROR(INDEX(Tbl_Ballasts[Weight Fact],MATCH(TEXT(ROW()-ROW(Recap_Ballasts)+1,"00")&amp;TEXT(COLUMN()-COLUMN(Recap_Ballasts)-5,"00"),Tbl_Ballasts[Code],0)),0)</f>
        <v>0</v>
      </c>
      <c r="K31" s="765">
        <f ca="1">IFERROR(INDEX(Tbl_Ballasts[Weight Fact],MATCH(TEXT(ROW()-ROW(Recap_Ballasts)+1,"00")&amp;TEXT(COLUMN()-COLUMN(Recap_Ballasts)-5,"00"),Tbl_Ballasts[Code],0)),0)</f>
        <v>0</v>
      </c>
      <c r="L31" s="765">
        <f ca="1">IFERROR(INDEX(Tbl_Ballasts[Weight Fact],MATCH(TEXT(ROW()-ROW(Recap_Ballasts)+1,"00")&amp;TEXT(COLUMN()-COLUMN(Recap_Ballasts)-5,"00"),Tbl_Ballasts[Code],0)),0)</f>
        <v>0</v>
      </c>
      <c r="M31" s="766">
        <f ca="1">IFERROR(INDEX(Tbl_Ballasts[Weight Fact],MATCH(TEXT(ROW()-ROW(Recap_Ballasts)+1,"00")&amp;TEXT(COLUMN()-COLUMN(Recap_Ballasts)-5,"00"),Tbl_Ballasts[Code],0)),0)</f>
        <v>0</v>
      </c>
      <c r="N31" s="35"/>
      <c r="O31" s="65"/>
      <c r="P31" s="65"/>
      <c r="Q31" s="723"/>
      <c r="R31" s="35"/>
      <c r="S31" s="776"/>
      <c r="T31" s="35"/>
      <c r="U31" s="65"/>
      <c r="V31" s="503"/>
      <c r="W31" s="35"/>
      <c r="X31" s="35"/>
      <c r="Y31" s="35"/>
      <c r="Z31" s="65"/>
      <c r="AA31" s="503"/>
      <c r="AB31" s="35"/>
      <c r="AC31" s="35"/>
      <c r="AD31" s="35"/>
      <c r="AE31" s="65"/>
      <c r="AF31" s="499"/>
    </row>
    <row r="32" spans="1:32" x14ac:dyDescent="0.25">
      <c r="B32" s="55" t="s">
        <v>429</v>
      </c>
      <c r="C32" s="736" t="s">
        <v>512</v>
      </c>
      <c r="D32" s="692">
        <v>0</v>
      </c>
      <c r="E32" s="693">
        <v>0</v>
      </c>
      <c r="F32" s="693">
        <v>0</v>
      </c>
      <c r="G32" s="694">
        <v>0</v>
      </c>
      <c r="H32" s="608" t="s">
        <v>518</v>
      </c>
      <c r="I32" s="38"/>
      <c r="J32" s="764">
        <f ca="1">IFERROR(INDEX(Tbl_Ballasts[Weight Fact],MATCH(TEXT(ROW()-ROW(Recap_Ballasts)+1,"00")&amp;TEXT(COLUMN()-COLUMN(Recap_Ballasts)-5,"00"),Tbl_Ballasts[Code],0)),0)</f>
        <v>0</v>
      </c>
      <c r="K32" s="765">
        <f ca="1">IFERROR(INDEX(Tbl_Ballasts[Weight Fact],MATCH(TEXT(ROW()-ROW(Recap_Ballasts)+1,"00")&amp;TEXT(COLUMN()-COLUMN(Recap_Ballasts)-5,"00"),Tbl_Ballasts[Code],0)),0)</f>
        <v>0</v>
      </c>
      <c r="L32" s="765">
        <f ca="1">IFERROR(INDEX(Tbl_Ballasts[Weight Fact],MATCH(TEXT(ROW()-ROW(Recap_Ballasts)+1,"00")&amp;TEXT(COLUMN()-COLUMN(Recap_Ballasts)-5,"00"),Tbl_Ballasts[Code],0)),0)</f>
        <v>0</v>
      </c>
      <c r="M32" s="766">
        <f ca="1">IFERROR(INDEX(Tbl_Ballasts[Weight Fact],MATCH(TEXT(ROW()-ROW(Recap_Ballasts)+1,"00")&amp;TEXT(COLUMN()-COLUMN(Recap_Ballasts)-5,"00"),Tbl_Ballasts[Code],0)),0)</f>
        <v>0</v>
      </c>
      <c r="N32" s="35"/>
      <c r="O32" s="65"/>
      <c r="P32" s="65"/>
      <c r="Q32" s="723"/>
      <c r="R32" s="35"/>
      <c r="S32" s="776"/>
      <c r="T32" s="35"/>
      <c r="U32" s="65"/>
      <c r="V32" s="503"/>
      <c r="W32" s="35"/>
      <c r="X32" s="35"/>
      <c r="Y32" s="35"/>
      <c r="Z32" s="65"/>
      <c r="AA32" s="503"/>
      <c r="AB32" s="35"/>
      <c r="AC32" s="35"/>
      <c r="AD32" s="35"/>
      <c r="AE32" s="65"/>
      <c r="AF32" s="499"/>
    </row>
    <row r="33" spans="1:32" x14ac:dyDescent="0.25">
      <c r="B33" s="55" t="s">
        <v>429</v>
      </c>
      <c r="C33" s="736" t="s">
        <v>513</v>
      </c>
      <c r="D33" s="692">
        <v>0</v>
      </c>
      <c r="E33" s="993">
        <v>0</v>
      </c>
      <c r="F33" s="693">
        <v>0</v>
      </c>
      <c r="G33" s="694">
        <v>0</v>
      </c>
      <c r="H33" s="608" t="s">
        <v>519</v>
      </c>
      <c r="I33" s="38"/>
      <c r="J33" s="764">
        <f ca="1">IFERROR(INDEX(Tbl_Ballasts[Weight Fact],MATCH(TEXT(ROW()-ROW(Recap_Ballasts)+1,"00")&amp;TEXT(COLUMN()-COLUMN(Recap_Ballasts)-5,"00"),Tbl_Ballasts[Code],0)),0)</f>
        <v>0</v>
      </c>
      <c r="K33" s="765">
        <f ca="1">IFERROR(INDEX(Tbl_Ballasts[Weight Fact],MATCH(TEXT(ROW()-ROW(Recap_Ballasts)+1,"00")&amp;TEXT(COLUMN()-COLUMN(Recap_Ballasts)-5,"00"),Tbl_Ballasts[Code],0)),0)</f>
        <v>0</v>
      </c>
      <c r="L33" s="765">
        <f ca="1">IFERROR(INDEX(Tbl_Ballasts[Weight Fact],MATCH(TEXT(ROW()-ROW(Recap_Ballasts)+1,"00")&amp;TEXT(COLUMN()-COLUMN(Recap_Ballasts)-5,"00"),Tbl_Ballasts[Code],0)),0)</f>
        <v>0</v>
      </c>
      <c r="M33" s="766">
        <f ca="1">IFERROR(INDEX(Tbl_Ballasts[Weight Fact],MATCH(TEXT(ROW()-ROW(Recap_Ballasts)+1,"00")&amp;TEXT(COLUMN()-COLUMN(Recap_Ballasts)-5,"00"),Tbl_Ballasts[Code],0)),0)</f>
        <v>0</v>
      </c>
      <c r="N33" s="35"/>
      <c r="O33" s="65"/>
      <c r="P33" s="65"/>
      <c r="Q33" s="723"/>
      <c r="R33" s="35"/>
      <c r="S33" s="776"/>
      <c r="T33" s="35"/>
      <c r="U33" s="65"/>
      <c r="V33" s="503"/>
      <c r="W33" s="35"/>
      <c r="X33" s="35"/>
      <c r="Y33" s="35"/>
      <c r="Z33" s="65"/>
      <c r="AA33" s="503"/>
      <c r="AB33" s="35"/>
      <c r="AC33" s="35"/>
      <c r="AD33" s="35"/>
      <c r="AE33" s="65"/>
      <c r="AF33" s="499"/>
    </row>
    <row r="34" spans="1:32" x14ac:dyDescent="0.25">
      <c r="B34" s="55" t="s">
        <v>429</v>
      </c>
      <c r="C34" s="736" t="s">
        <v>514</v>
      </c>
      <c r="D34" s="1014">
        <v>0</v>
      </c>
      <c r="E34" s="1015"/>
      <c r="F34" s="1015"/>
      <c r="G34" s="1016"/>
      <c r="H34" s="608" t="s">
        <v>514</v>
      </c>
      <c r="I34" s="38"/>
      <c r="J34" s="1017">
        <f ca="1">IFERROR(INDEX(Tbl_Ballasts[Weight Fact],MATCH(TEXT(ROW()-ROW(Recap_Ballasts)+1,"00")&amp;TEXT(COLUMN()-COLUMN(Recap_Ballasts)-5,"00"),Tbl_Ballasts[Code],0)),0)</f>
        <v>0</v>
      </c>
      <c r="K34" s="1018"/>
      <c r="L34" s="1018"/>
      <c r="M34" s="1019"/>
      <c r="N34" s="35"/>
      <c r="O34" s="65"/>
      <c r="P34" s="65"/>
      <c r="Q34" s="723"/>
      <c r="R34" s="35"/>
      <c r="S34" s="776"/>
      <c r="T34" s="35"/>
      <c r="U34" s="65"/>
      <c r="V34" s="503"/>
      <c r="W34" s="35"/>
      <c r="X34" s="35"/>
      <c r="Y34" s="35"/>
      <c r="Z34" s="65"/>
      <c r="AA34" s="503"/>
      <c r="AB34" s="35"/>
      <c r="AC34" s="35"/>
      <c r="AD34" s="35"/>
      <c r="AE34" s="65"/>
      <c r="AF34" s="499"/>
    </row>
    <row r="35" spans="1:32" x14ac:dyDescent="0.25">
      <c r="B35" s="64" t="s">
        <v>171</v>
      </c>
      <c r="C35" s="736"/>
      <c r="D35" s="1007"/>
      <c r="E35" s="1008"/>
      <c r="F35" s="1009"/>
      <c r="G35" s="1010"/>
      <c r="H35" s="608"/>
      <c r="I35" s="38"/>
      <c r="J35" s="768"/>
      <c r="K35" s="767"/>
      <c r="L35" s="767"/>
      <c r="M35" s="769"/>
      <c r="N35" s="501"/>
      <c r="O35" s="502"/>
      <c r="P35" s="502"/>
      <c r="Q35" s="723"/>
      <c r="R35" s="35"/>
      <c r="S35" s="776"/>
      <c r="T35" s="35"/>
      <c r="U35" s="65"/>
      <c r="V35" s="500"/>
      <c r="W35" s="501"/>
      <c r="X35" s="501"/>
      <c r="Y35" s="501"/>
      <c r="Z35" s="502"/>
      <c r="AA35" s="500"/>
      <c r="AB35" s="501"/>
      <c r="AC35" s="501"/>
      <c r="AD35" s="501"/>
      <c r="AE35" s="502"/>
      <c r="AF35" s="499"/>
    </row>
    <row r="36" spans="1:32" x14ac:dyDescent="0.25">
      <c r="A36" s="688" t="s">
        <v>399</v>
      </c>
      <c r="B36" s="671" t="s">
        <v>221</v>
      </c>
      <c r="C36" s="671"/>
      <c r="D36" s="665"/>
      <c r="E36" s="665"/>
      <c r="F36" s="665"/>
      <c r="G36" s="665"/>
      <c r="H36" s="665"/>
      <c r="I36" s="666">
        <f>SUM(I37:I41)</f>
        <v>0</v>
      </c>
      <c r="J36" s="667">
        <f>IF($I$36=0,0,SUMPRODUCT($I$37:$I$41,J37:J41)/$I$36)</f>
        <v>0</v>
      </c>
      <c r="K36" s="667">
        <f>IF($I$36=0,0,SUMPRODUCT($I$37:$I$41,K37:K41)/$I$36)</f>
        <v>0</v>
      </c>
      <c r="L36" s="667">
        <f>IF($I$36=0,0,SUMPRODUCT($I$37:$I$41,L37:L41)/$I$36)</f>
        <v>0</v>
      </c>
      <c r="M36" s="668"/>
      <c r="N36" s="669"/>
      <c r="Q36" s="723"/>
      <c r="S36" s="558"/>
    </row>
    <row r="37" spans="1:32" x14ac:dyDescent="0.25">
      <c r="B37" s="615"/>
      <c r="D37" s="616" t="s">
        <v>17</v>
      </c>
      <c r="E37" s="616" t="s">
        <v>18</v>
      </c>
      <c r="F37" s="1003" t="s">
        <v>26</v>
      </c>
      <c r="G37" s="1003"/>
      <c r="I37" s="34"/>
      <c r="J37" s="35"/>
      <c r="K37" s="35"/>
      <c r="L37" s="35"/>
      <c r="M37" s="33"/>
      <c r="Q37" s="445"/>
      <c r="S37" s="558"/>
    </row>
    <row r="38" spans="1:32" x14ac:dyDescent="0.25">
      <c r="A38" s="618">
        <v>0</v>
      </c>
      <c r="B38" s="676" t="s">
        <v>498</v>
      </c>
      <c r="C38" s="680">
        <f>SUM(Tbl_Crane[Total Op])</f>
        <v>446.57</v>
      </c>
      <c r="D38" s="681">
        <v>9</v>
      </c>
      <c r="E38" s="682">
        <v>1.5</v>
      </c>
      <c r="F38" s="685">
        <v>8.83</v>
      </c>
      <c r="G38" s="685">
        <v>0.4</v>
      </c>
      <c r="H38" s="624" t="b">
        <v>0</v>
      </c>
      <c r="I38" s="625">
        <f>$H38*C38</f>
        <v>0</v>
      </c>
      <c r="J38" s="626">
        <f t="shared" ref="J38:K40" si="0">D38</f>
        <v>9</v>
      </c>
      <c r="K38" s="627">
        <f t="shared" si="0"/>
        <v>1.5</v>
      </c>
      <c r="L38" s="628">
        <f>M_depth+Lifting_Deck_Cover_Thk+Lifting_H_CoG_Crane</f>
        <v>7.9</v>
      </c>
      <c r="M38" s="606"/>
      <c r="N38" s="617"/>
      <c r="Q38" s="445"/>
      <c r="S38" s="558"/>
    </row>
    <row r="39" spans="1:32" x14ac:dyDescent="0.25">
      <c r="A39" s="622">
        <v>1</v>
      </c>
      <c r="B39" s="677" t="s">
        <v>499</v>
      </c>
      <c r="C39" s="683">
        <v>0</v>
      </c>
      <c r="D39" s="657">
        <v>-15</v>
      </c>
      <c r="E39" s="684">
        <v>7</v>
      </c>
      <c r="F39" s="659">
        <v>39.9</v>
      </c>
      <c r="G39" s="630" t="s">
        <v>57</v>
      </c>
      <c r="H39" s="621" t="b">
        <v>0</v>
      </c>
      <c r="I39" s="604">
        <f>$H39*C39</f>
        <v>0</v>
      </c>
      <c r="J39" s="605">
        <f t="shared" si="0"/>
        <v>-15</v>
      </c>
      <c r="K39" s="602">
        <f t="shared" si="0"/>
        <v>7</v>
      </c>
      <c r="L39" s="603">
        <f>M_depth+F39</f>
        <v>43.9</v>
      </c>
      <c r="Q39" s="445"/>
      <c r="S39" s="558"/>
    </row>
    <row r="40" spans="1:32" x14ac:dyDescent="0.25">
      <c r="A40" s="629">
        <v>2</v>
      </c>
      <c r="B40" s="678" t="s">
        <v>500</v>
      </c>
      <c r="C40" s="683">
        <v>0</v>
      </c>
      <c r="D40" s="657">
        <v>22.5</v>
      </c>
      <c r="E40" s="684">
        <v>26.5</v>
      </c>
      <c r="F40" s="659">
        <v>39.9</v>
      </c>
      <c r="G40" s="631" t="s">
        <v>332</v>
      </c>
      <c r="H40" s="609" t="b">
        <v>0</v>
      </c>
      <c r="I40" s="604">
        <f>$H40*C40</f>
        <v>0</v>
      </c>
      <c r="J40" s="605">
        <f t="shared" si="0"/>
        <v>22.5</v>
      </c>
      <c r="K40" s="602">
        <f t="shared" si="0"/>
        <v>26.5</v>
      </c>
      <c r="L40" s="603">
        <f>M_depth+F40</f>
        <v>43.9</v>
      </c>
      <c r="M40" s="606"/>
      <c r="N40" s="617"/>
      <c r="Q40" s="445"/>
      <c r="S40" s="558"/>
    </row>
    <row r="41" spans="1:32" x14ac:dyDescent="0.25">
      <c r="A41" s="623">
        <v>3</v>
      </c>
      <c r="B41" s="679" t="s">
        <v>501</v>
      </c>
      <c r="C41" s="683">
        <v>0</v>
      </c>
      <c r="D41" s="657">
        <v>-6</v>
      </c>
      <c r="E41" s="684">
        <v>22.4</v>
      </c>
      <c r="F41" s="659">
        <v>39.9</v>
      </c>
      <c r="G41" s="632" t="s">
        <v>333</v>
      </c>
      <c r="H41" s="610" t="b">
        <v>0</v>
      </c>
      <c r="I41" s="604">
        <f>$H41*C41</f>
        <v>0</v>
      </c>
      <c r="J41" s="605">
        <f>D41</f>
        <v>-6</v>
      </c>
      <c r="K41" s="602">
        <f>E41</f>
        <v>22.4</v>
      </c>
      <c r="L41" s="603">
        <f>M_depth+F41</f>
        <v>43.9</v>
      </c>
      <c r="Q41" s="445"/>
      <c r="S41" s="558"/>
    </row>
    <row r="42" spans="1:32" x14ac:dyDescent="0.25">
      <c r="A42" s="664" t="s">
        <v>399</v>
      </c>
      <c r="B42" s="665" t="s">
        <v>348</v>
      </c>
      <c r="C42" s="665"/>
      <c r="D42" s="665"/>
      <c r="E42" s="665"/>
      <c r="F42" s="665"/>
      <c r="G42" s="665"/>
      <c r="H42" s="665"/>
      <c r="I42" s="666">
        <f>SUM(I44:I55)</f>
        <v>500</v>
      </c>
      <c r="J42" s="667">
        <f>IF($I$42=0,0,SUMPRODUCT($I$44:$I$55,J44:J55)/$I$42)</f>
        <v>30</v>
      </c>
      <c r="K42" s="667">
        <f>IF($I$42=0,0,SUMPRODUCT($I$44:$I$55,K44:K55)/$I$42)</f>
        <v>0</v>
      </c>
      <c r="L42" s="667">
        <f>IF($I$42=0,0,SUMPRODUCT($I$44:$I$55,L44:L55)/$I$42)</f>
        <v>4</v>
      </c>
      <c r="M42" s="668"/>
      <c r="N42" s="669"/>
      <c r="Q42" s="723"/>
      <c r="S42" s="558"/>
    </row>
    <row r="43" spans="1:32" x14ac:dyDescent="0.25">
      <c r="I43" s="613" t="s">
        <v>325</v>
      </c>
      <c r="J43" s="56" t="s">
        <v>17</v>
      </c>
      <c r="K43" s="56" t="s">
        <v>18</v>
      </c>
      <c r="L43" s="56" t="s">
        <v>19</v>
      </c>
      <c r="M43" s="614" t="s">
        <v>345</v>
      </c>
      <c r="N43" s="39"/>
      <c r="Q43" s="445"/>
      <c r="S43" s="558"/>
    </row>
    <row r="44" spans="1:32" x14ac:dyDescent="0.25">
      <c r="A44" s="645">
        <v>0</v>
      </c>
      <c r="B44" s="649" t="s">
        <v>274</v>
      </c>
      <c r="C44" s="499" t="s">
        <v>275</v>
      </c>
      <c r="D44" s="646">
        <v>0</v>
      </c>
      <c r="E44" s="499" t="s">
        <v>438</v>
      </c>
      <c r="F44" s="647">
        <v>2000</v>
      </c>
      <c r="I44" s="652">
        <f>F44*D44</f>
        <v>0</v>
      </c>
      <c r="J44" s="653">
        <f>Lpp/2</f>
        <v>30</v>
      </c>
      <c r="K44" s="654">
        <v>0</v>
      </c>
      <c r="L44" s="654">
        <f>D44/2</f>
        <v>0</v>
      </c>
      <c r="M44" s="655">
        <v>60</v>
      </c>
      <c r="N44" s="851"/>
      <c r="Q44" s="734"/>
      <c r="S44" s="558"/>
    </row>
    <row r="45" spans="1:32" x14ac:dyDescent="0.25">
      <c r="A45" s="619">
        <v>1</v>
      </c>
      <c r="B45" s="650" t="s">
        <v>494</v>
      </c>
      <c r="C45" s="611" t="b">
        <v>1</v>
      </c>
      <c r="D45" s="537">
        <v>500</v>
      </c>
      <c r="E45" s="33" t="s">
        <v>20</v>
      </c>
      <c r="I45" s="656">
        <f>D45*C45</f>
        <v>500</v>
      </c>
      <c r="J45" s="657">
        <f>Loa/2</f>
        <v>30</v>
      </c>
      <c r="K45" s="658">
        <v>0</v>
      </c>
      <c r="L45" s="658">
        <f>M_depth</f>
        <v>4</v>
      </c>
      <c r="M45" s="659">
        <f>Loa</f>
        <v>60</v>
      </c>
      <c r="N45" s="851"/>
      <c r="Q45" s="445"/>
      <c r="S45" s="558"/>
    </row>
    <row r="46" spans="1:32" x14ac:dyDescent="0.25">
      <c r="A46" s="619">
        <v>2</v>
      </c>
      <c r="B46" s="650" t="s">
        <v>502</v>
      </c>
      <c r="C46" s="611" t="b">
        <v>0</v>
      </c>
      <c r="D46" s="537">
        <v>0</v>
      </c>
      <c r="E46" s="33" t="s">
        <v>20</v>
      </c>
      <c r="I46" s="656">
        <f>D46*C46</f>
        <v>0</v>
      </c>
      <c r="J46" s="657">
        <f>Loa-D38</f>
        <v>51</v>
      </c>
      <c r="K46" s="658">
        <v>0</v>
      </c>
      <c r="L46" s="658">
        <f>M_depth+7</f>
        <v>11</v>
      </c>
      <c r="M46" s="659">
        <v>10</v>
      </c>
      <c r="N46" s="851"/>
      <c r="P46" s="826"/>
      <c r="Q46" s="727"/>
      <c r="R46" s="826"/>
      <c r="S46" s="728"/>
      <c r="T46" s="826"/>
    </row>
    <row r="47" spans="1:32" x14ac:dyDescent="0.25">
      <c r="A47" s="619">
        <v>3</v>
      </c>
      <c r="B47" s="650" t="s">
        <v>276</v>
      </c>
      <c r="D47" s="537">
        <v>0</v>
      </c>
      <c r="E47" s="33" t="s">
        <v>20</v>
      </c>
      <c r="I47" s="656">
        <f>D47*C47</f>
        <v>0</v>
      </c>
      <c r="J47" s="657">
        <v>50</v>
      </c>
      <c r="K47" s="658">
        <v>9.25</v>
      </c>
      <c r="L47" s="658">
        <v>7.5</v>
      </c>
      <c r="M47" s="659">
        <v>0</v>
      </c>
      <c r="N47" s="851"/>
      <c r="P47" s="825">
        <f ca="1">$P$9+Δtrim</f>
        <v>1.0049113233287859</v>
      </c>
      <c r="R47" s="818">
        <f ca="1">$R$9+Δtrim</f>
        <v>1.0049113233287859</v>
      </c>
      <c r="T47" s="825">
        <f ca="1">$T$9+Δtrim</f>
        <v>1.0049113233287859</v>
      </c>
    </row>
    <row r="48" spans="1:32" x14ac:dyDescent="0.25">
      <c r="A48" s="619">
        <v>4</v>
      </c>
      <c r="B48" s="650" t="s">
        <v>277</v>
      </c>
      <c r="D48" s="537">
        <v>0</v>
      </c>
      <c r="E48" s="33" t="s">
        <v>20</v>
      </c>
      <c r="I48" s="656">
        <f>D48*C48</f>
        <v>0</v>
      </c>
      <c r="J48" s="657">
        <v>50</v>
      </c>
      <c r="K48" s="658">
        <v>10.199999999999999</v>
      </c>
      <c r="L48" s="658">
        <v>12</v>
      </c>
      <c r="M48" s="659">
        <v>0</v>
      </c>
      <c r="N48" s="851"/>
      <c r="P48" s="827" t="s">
        <v>422</v>
      </c>
      <c r="R48" s="824" t="s">
        <v>171</v>
      </c>
      <c r="T48" s="828" t="s">
        <v>418</v>
      </c>
    </row>
    <row r="49" spans="1:18" x14ac:dyDescent="0.25">
      <c r="A49" s="619">
        <v>5</v>
      </c>
      <c r="B49" s="650" t="s">
        <v>278</v>
      </c>
      <c r="C49" s="611" t="b">
        <v>0</v>
      </c>
      <c r="D49" s="537">
        <v>0</v>
      </c>
      <c r="E49" s="33" t="s">
        <v>20</v>
      </c>
      <c r="I49" s="656">
        <f>D49*C49</f>
        <v>0</v>
      </c>
      <c r="J49" s="657">
        <v>50</v>
      </c>
      <c r="K49" s="658">
        <v>2</v>
      </c>
      <c r="L49" s="658">
        <v>11.46</v>
      </c>
      <c r="M49" s="659">
        <v>1</v>
      </c>
      <c r="N49" s="851"/>
      <c r="R49" s="36"/>
    </row>
    <row r="50" spans="1:18" x14ac:dyDescent="0.25">
      <c r="A50" s="619">
        <v>6</v>
      </c>
      <c r="B50" s="650" t="s">
        <v>279</v>
      </c>
      <c r="D50" s="537">
        <v>0</v>
      </c>
      <c r="E50" s="33" t="s">
        <v>20</v>
      </c>
      <c r="I50" s="656">
        <f t="shared" ref="I50:I52" si="1">D50</f>
        <v>0</v>
      </c>
      <c r="J50" s="657">
        <v>50</v>
      </c>
      <c r="K50" s="658">
        <v>0</v>
      </c>
      <c r="L50" s="658">
        <v>9.68</v>
      </c>
      <c r="M50" s="659">
        <v>0</v>
      </c>
      <c r="N50" s="851"/>
    </row>
    <row r="51" spans="1:18" x14ac:dyDescent="0.25">
      <c r="A51" s="620"/>
      <c r="B51" s="651"/>
      <c r="D51" s="537"/>
      <c r="I51" s="656">
        <f t="shared" si="1"/>
        <v>0</v>
      </c>
      <c r="J51" s="657">
        <v>0</v>
      </c>
      <c r="K51" s="658">
        <v>0</v>
      </c>
      <c r="L51" s="658">
        <v>0</v>
      </c>
      <c r="M51" s="659">
        <v>0</v>
      </c>
      <c r="N51" s="851"/>
    </row>
    <row r="52" spans="1:18" x14ac:dyDescent="0.25">
      <c r="A52" s="620"/>
      <c r="B52" s="651"/>
      <c r="C52" s="648"/>
      <c r="D52" s="537"/>
      <c r="I52" s="656">
        <f t="shared" si="1"/>
        <v>0</v>
      </c>
      <c r="J52" s="657">
        <v>0</v>
      </c>
      <c r="K52" s="658">
        <v>0</v>
      </c>
      <c r="L52" s="658">
        <v>0</v>
      </c>
      <c r="M52" s="659">
        <v>0</v>
      </c>
      <c r="N52" s="851"/>
    </row>
    <row r="53" spans="1:18" x14ac:dyDescent="0.25">
      <c r="A53" s="620"/>
      <c r="B53" s="651"/>
      <c r="D53" s="537"/>
      <c r="I53" s="656">
        <v>0</v>
      </c>
      <c r="J53" s="657">
        <v>0</v>
      </c>
      <c r="K53" s="658">
        <v>0</v>
      </c>
      <c r="L53" s="658">
        <v>0</v>
      </c>
      <c r="M53" s="659">
        <v>0</v>
      </c>
      <c r="N53" s="851"/>
    </row>
    <row r="54" spans="1:18" x14ac:dyDescent="0.25">
      <c r="A54" s="620"/>
      <c r="B54" s="651"/>
      <c r="D54" s="537"/>
      <c r="I54" s="656">
        <v>0</v>
      </c>
      <c r="J54" s="657">
        <v>0</v>
      </c>
      <c r="K54" s="658">
        <v>0</v>
      </c>
      <c r="L54" s="658">
        <v>0</v>
      </c>
      <c r="M54" s="659">
        <v>0</v>
      </c>
      <c r="N54" s="851"/>
    </row>
    <row r="55" spans="1:18" x14ac:dyDescent="0.25">
      <c r="A55" s="620"/>
      <c r="B55" s="651"/>
      <c r="I55" s="660">
        <v>0</v>
      </c>
      <c r="J55" s="661">
        <v>0</v>
      </c>
      <c r="K55" s="662">
        <v>0</v>
      </c>
      <c r="L55" s="662">
        <v>0</v>
      </c>
      <c r="M55" s="663">
        <v>0</v>
      </c>
      <c r="N55" s="851"/>
    </row>
  </sheetData>
  <mergeCells count="11">
    <mergeCell ref="H1:M2"/>
    <mergeCell ref="I20:L20"/>
    <mergeCell ref="F37:G37"/>
    <mergeCell ref="D26:E26"/>
    <mergeCell ref="F26:G26"/>
    <mergeCell ref="D35:E35"/>
    <mergeCell ref="F35:G35"/>
    <mergeCell ref="D28:G28"/>
    <mergeCell ref="D34:G34"/>
    <mergeCell ref="J34:M34"/>
    <mergeCell ref="J28:M28"/>
  </mergeCells>
  <conditionalFormatting sqref="D6:F6">
    <cfRule type="cellIs" dxfId="374" priority="53" operator="greaterThan">
      <formula>Draft_max</formula>
    </cfRule>
  </conditionalFormatting>
  <conditionalFormatting sqref="A45:M45 N45:N55 A46:N55 A36:N37 A8:N27 A28:D28 A39:N44 A38 C38:N38 A34:D35 H35:N35 A29:C29 H29:N29 A30:N33 H34:J34 N34 H28:J28 N28">
    <cfRule type="expression" dxfId="373" priority="43" stopIfTrue="1">
      <formula>$A8="*"</formula>
    </cfRule>
    <cfRule type="expression" dxfId="372" priority="44">
      <formula>MOD(ROW(),2)</formula>
    </cfRule>
  </conditionalFormatting>
  <conditionalFormatting sqref="J4:K6 R1:R7">
    <cfRule type="cellIs" dxfId="371" priority="42" operator="equal">
      <formula>"OK"</formula>
    </cfRule>
  </conditionalFormatting>
  <conditionalFormatting sqref="J29:M33 J35:M35 J34 J28">
    <cfRule type="colorScale" priority="35">
      <colorScale>
        <cfvo type="min"/>
        <cfvo type="max"/>
        <color rgb="FFFCFCFF"/>
        <color rgb="FF63BE7B"/>
      </colorScale>
    </cfRule>
  </conditionalFormatting>
  <conditionalFormatting sqref="P9 R9 T9 P26 T26 P47 R47 T47">
    <cfRule type="colorScale" priority="21">
      <colorScale>
        <cfvo type="num" val="-0.5"/>
        <cfvo type="num" val="1"/>
        <cfvo type="num" val="3.8"/>
        <color theme="4" tint="0.39997558519241921"/>
        <color rgb="FF92D050"/>
        <color rgb="FFFF0000"/>
      </colorScale>
    </cfRule>
  </conditionalFormatting>
  <conditionalFormatting sqref="B38">
    <cfRule type="expression" dxfId="370" priority="11" stopIfTrue="1">
      <formula>$A38="*"</formula>
    </cfRule>
    <cfRule type="expression" dxfId="369" priority="12">
      <formula>MOD(ROW(),2)</formula>
    </cfRule>
  </conditionalFormatting>
  <conditionalFormatting sqref="F35">
    <cfRule type="expression" dxfId="368" priority="9" stopIfTrue="1">
      <formula>$A35="*"</formula>
    </cfRule>
    <cfRule type="expression" dxfId="367" priority="10">
      <formula>MOD(ROW(),2)</formula>
    </cfRule>
  </conditionalFormatting>
  <conditionalFormatting sqref="D29:G29">
    <cfRule type="expression" dxfId="366" priority="1" stopIfTrue="1">
      <formula>$A29="*"</formula>
    </cfRule>
    <cfRule type="expression" dxfId="365" priority="2">
      <formula>MOD(ROW(),2)</formula>
    </cfRule>
  </conditionalFormatting>
  <dataValidations xWindow="807" yWindow="666" count="3">
    <dataValidation type="list" allowBlank="1" showInputMessage="1" showErrorMessage="1" sqref="H38:H41 C45:C46 C49" xr:uid="{00000000-0002-0000-0100-000000000000}">
      <formula1>"VRAI,FAUX"</formula1>
    </dataValidation>
    <dataValidation allowBlank="1" sqref="J28:J35 K35:M35 K29:M33" xr:uid="{00000000-0002-0000-0100-000001000000}"/>
    <dataValidation type="decimal" allowBlank="1" showErrorMessage="1" promptTitle="Hullage" prompt="Ballasts hullage shall be in range [0...4m]" sqref="F35 D28:D35 E29:G33" xr:uid="{00000000-0002-0000-0100-000002000000}">
      <formula1>0</formula1>
      <formula2>M_depth</formula2>
    </dataValidation>
  </dataValidations>
  <pageMargins left="0.7" right="0.7" top="0.75" bottom="0.75" header="0.3" footer="0.3"/>
  <pageSetup paperSize="8" scale="72" orientation="landscape"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A1:AF300"/>
  <sheetViews>
    <sheetView zoomScale="80" zoomScaleNormal="80" workbookViewId="0">
      <pane xSplit="3" ySplit="5" topLeftCell="D6" activePane="bottomRight" state="frozenSplit"/>
      <selection pane="topRight" activeCell="E1" sqref="E1"/>
      <selection pane="bottomLeft" activeCell="A5" sqref="A5"/>
      <selection pane="bottomRight" activeCell="D3" sqref="D3"/>
    </sheetView>
  </sheetViews>
  <sheetFormatPr baseColWidth="10" defaultRowHeight="15" x14ac:dyDescent="0.25"/>
  <cols>
    <col min="1" max="1" width="4.7109375" style="33" customWidth="1"/>
    <col min="2" max="2" width="7" customWidth="1"/>
    <col min="3" max="3" width="9.5703125" customWidth="1"/>
    <col min="4" max="4" width="11.42578125" customWidth="1"/>
    <col min="5" max="5" width="10.7109375" customWidth="1"/>
    <col min="6" max="10" width="11.7109375" customWidth="1"/>
    <col min="13" max="13" width="10.140625" customWidth="1"/>
    <col min="15" max="15" width="12.7109375" customWidth="1"/>
    <col min="16" max="16" width="11.42578125" customWidth="1"/>
    <col min="18" max="18" width="10.7109375" customWidth="1"/>
    <col min="21" max="21" width="14.85546875" customWidth="1"/>
    <col min="22" max="22" width="4.28515625" style="33" customWidth="1"/>
    <col min="23" max="23" width="11.42578125" style="33"/>
    <col min="24" max="24" width="10.140625" style="33" customWidth="1"/>
    <col min="25" max="25" width="8.85546875" style="33" customWidth="1"/>
    <col min="26" max="27" width="10.140625" style="33" customWidth="1"/>
    <col min="28" max="28" width="5.28515625" style="33" customWidth="1"/>
    <col min="29" max="16384" width="11.42578125" style="33"/>
  </cols>
  <sheetData>
    <row r="1" spans="1:32" ht="18" customHeight="1" x14ac:dyDescent="0.25">
      <c r="A1" s="729" t="str">
        <f ca="1">IF(COUNTIF(C3:S3,"OK")=COUNTA(C3:S3),"OK","KO")</f>
        <v>OK</v>
      </c>
      <c r="B1" s="33"/>
      <c r="C1" s="33"/>
      <c r="D1" s="931" t="s">
        <v>480</v>
      </c>
      <c r="E1" s="932">
        <f t="array" ref="E1">IFERROR(SUMPRODUCT(Tbl_Load_distrib[Hull &amp; Structure],IF(ISNA(Tbl_Load_distrib[x]),,Tbl_Load_distrib[x]))/E$2,0)</f>
        <v>30.25</v>
      </c>
      <c r="F1" s="933">
        <f t="array" aca="1" ref="F1" ca="1">IFERROR(SUMPRODUCT(Tbl_Load_distrib[Ballast],IF(ISNA(Tbl_Load_distrib[x]),,Tbl_Load_distrib[x]))/F$2,0)</f>
        <v>0</v>
      </c>
      <c r="G1" s="933">
        <f t="array" ref="G1">IFERROR(SUMPRODUCT(Tbl_Load_distrib[Lifting],IF(ISNA(Tbl_Load_distrib[x]),,Tbl_Load_distrib[x]))/G$2,0)</f>
        <v>0</v>
      </c>
      <c r="H1" s="933">
        <f t="array" ref="H1">IFERROR(SUMPRODUCT(Tbl_Load_distrib[Additionals],IF(ISNA(Tbl_Load_distrib[x]),,Tbl_Load_distrib[x]))/H$2,0)</f>
        <v>30.25</v>
      </c>
      <c r="I1" s="933">
        <f t="array" aca="1" ref="I1" ca="1">IFERROR(SUMPRODUCT(Tbl_Load_distrib[Deck tanks],IF(ISNA(Tbl_Load_distrib[x]),,Tbl_Load_distrib[x]))/I$2,0)</f>
        <v>0</v>
      </c>
      <c r="J1" s="934">
        <f t="array" ref="J1">IFERROR(SUMPRODUCT(Tbl_Load_distrib[Reserved],IF(ISNA(Tbl_Load_distrib[x]),,Tbl_Load_distrib[x]))/J$2,0)</f>
        <v>0</v>
      </c>
      <c r="K1" s="33"/>
      <c r="L1" s="33"/>
      <c r="M1" s="33"/>
      <c r="N1" s="33"/>
      <c r="O1" s="33"/>
      <c r="P1" s="33"/>
      <c r="Q1" s="33"/>
      <c r="R1" s="33"/>
      <c r="S1" s="33"/>
      <c r="T1" s="33"/>
      <c r="U1" s="33"/>
    </row>
    <row r="2" spans="1:32" s="184" customFormat="1" ht="36" customHeight="1" x14ac:dyDescent="0.25">
      <c r="B2" s="1023" t="s">
        <v>223</v>
      </c>
      <c r="C2" s="205" t="s">
        <v>233</v>
      </c>
      <c r="D2" s="206">
        <f ca="1">Displacement</f>
        <v>1060</v>
      </c>
      <c r="E2" s="206">
        <f>Recap!I8</f>
        <v>560</v>
      </c>
      <c r="F2" s="207">
        <f ca="1">Recap!I25</f>
        <v>0</v>
      </c>
      <c r="G2" s="207">
        <f>Recap!I36</f>
        <v>0</v>
      </c>
      <c r="H2" s="207">
        <f>Recap!I42</f>
        <v>500</v>
      </c>
      <c r="I2" s="207">
        <f ca="1">Recap!I19</f>
        <v>0</v>
      </c>
      <c r="J2" s="208">
        <f>Recap!N8</f>
        <v>0</v>
      </c>
      <c r="K2" s="209" t="s">
        <v>264</v>
      </c>
      <c r="L2" s="264" t="s">
        <v>485</v>
      </c>
      <c r="M2" s="209" t="s">
        <v>481</v>
      </c>
      <c r="N2" s="264" t="s">
        <v>475</v>
      </c>
      <c r="O2" s="264" t="s">
        <v>477</v>
      </c>
      <c r="P2" s="264"/>
      <c r="Q2" s="209" t="s">
        <v>166</v>
      </c>
      <c r="R2" s="209" t="s">
        <v>235</v>
      </c>
      <c r="S2" s="210" t="s">
        <v>174</v>
      </c>
      <c r="T2" s="211" t="s">
        <v>175</v>
      </c>
      <c r="U2" s="212" t="s">
        <v>176</v>
      </c>
      <c r="W2" s="945"/>
      <c r="X2" s="908" t="s">
        <v>470</v>
      </c>
      <c r="Y2" s="946" t="s">
        <v>484</v>
      </c>
      <c r="Z2" s="908" t="s">
        <v>466</v>
      </c>
      <c r="AA2" s="913" t="s">
        <v>467</v>
      </c>
      <c r="AC2" s="729" t="str">
        <f ca="1">IF(COUNTIF(Recap!$R$2:$R$7,"OK")=COUNTA(Recap!$R$2:$R$7),"OK","KO")</f>
        <v>OK</v>
      </c>
      <c r="AD2" s="852" t="str">
        <f ca="1">IF(AC2&lt;&gt;"OK","Check the 'Recap' tab to know what tab is on error","")</f>
        <v/>
      </c>
    </row>
    <row r="3" spans="1:32" x14ac:dyDescent="0.25">
      <c r="B3" s="1024"/>
      <c r="C3" s="141" t="str">
        <f>IF(C4=Lpp,"OK","KO")</f>
        <v>OK</v>
      </c>
      <c r="D3" s="149" t="str">
        <f t="shared" ref="D3:J3" ca="1" si="0">IF(ABS(D4-D2)&lt;Δ_calc,"OK","KO")</f>
        <v>OK</v>
      </c>
      <c r="E3" s="149" t="str">
        <f t="shared" si="0"/>
        <v>OK</v>
      </c>
      <c r="F3" s="170" t="str">
        <f t="shared" ca="1" si="0"/>
        <v>OK</v>
      </c>
      <c r="G3" s="170" t="str">
        <f t="shared" si="0"/>
        <v>OK</v>
      </c>
      <c r="H3" s="170" t="str">
        <f t="shared" si="0"/>
        <v>OK</v>
      </c>
      <c r="I3" s="170" t="str">
        <f t="shared" ca="1" si="0"/>
        <v>OK</v>
      </c>
      <c r="J3" s="173" t="str">
        <f t="shared" si="0"/>
        <v>OK</v>
      </c>
      <c r="K3" s="258" t="str">
        <f>IF(K4-Last_Frame-1=0,"OK","KO")</f>
        <v>OK</v>
      </c>
      <c r="L3" s="170" t="str">
        <f>'04.Long. Section'!L2</f>
        <v>OK</v>
      </c>
      <c r="M3" s="177" t="str">
        <f>IF(M4=Lpp,"OK","KO")</f>
        <v>OK</v>
      </c>
      <c r="N3" s="170" t="str">
        <f ca="1">IF(ABS(N4)&lt;Δ_calc,"OK","KO")</f>
        <v>OK</v>
      </c>
      <c r="O3" s="952"/>
      <c r="P3" s="952"/>
      <c r="Q3" s="170" t="str">
        <f ca="1">IF(ABS(k_depl-1)&lt;10%,"OK","KO")</f>
        <v>OK</v>
      </c>
      <c r="R3" s="170" t="str">
        <f ca="1">IF(ABS(R4-D4)&lt;Δ_calc,"OK","KO")</f>
        <v>OK</v>
      </c>
      <c r="S3" s="177" t="str">
        <f ca="1">IF(ABS(S4)&lt;Δ_calc,"OK","KO")</f>
        <v>OK</v>
      </c>
      <c r="T3" s="181">
        <f t="array" aca="1" ref="T3" ca="1">MIN(IF(ISNA(Tbl_Load_distrib[Shearing Force]),,Tbl_Load_distrib[Shearing Force]))</f>
        <v>-69.760818636948073</v>
      </c>
      <c r="U3" s="197">
        <f t="array" aca="1" ref="U3" ca="1">MIN(IF(ISNA(Tbl_Load_distrib[Bending Moment]),,Tbl_Load_distrib[Bending Moment]))</f>
        <v>-4.9681909194678822</v>
      </c>
      <c r="W3" s="895" t="s">
        <v>476</v>
      </c>
      <c r="X3" s="941">
        <f ca="1">IFERROR(SUMPRODUCT(E1:J1,E2:J2)/D2,0)</f>
        <v>30.25</v>
      </c>
      <c r="Y3" s="942">
        <f ca="1">Lpp*(LongSection_LCB-X3)/(LongSection_RML+LongSection_VCB-KG)</f>
        <v>-6.1413210440163943E-2</v>
      </c>
      <c r="Z3" s="942">
        <f ca="1">LongSection_Draft+Y3/Lpp*LongSection_LCB</f>
        <v>0.96782508578244664</v>
      </c>
      <c r="AA3" s="947">
        <f ca="1">Z3-Y3</f>
        <v>1.0292382962226105</v>
      </c>
    </row>
    <row r="4" spans="1:32" ht="15.75" thickBot="1" x14ac:dyDescent="0.3">
      <c r="B4" s="954">
        <f>ROUND(Lpp/FE_size,0)</f>
        <v>120</v>
      </c>
      <c r="C4" s="142">
        <f t="array" ref="C4">MAX(IF(ISNA(Tbl_Load_distrib[x]),,Tbl_Load_distrib[x]))</f>
        <v>60</v>
      </c>
      <c r="D4" s="153">
        <f ca="1">SUMIF(Tbl_Load_distrib[Section Weight],"&lt;&gt;#N/A")</f>
        <v>1060.0000000000014</v>
      </c>
      <c r="E4" s="150">
        <f>SUMIF(Tbl_Load_distrib[Hull &amp; Structure],"&lt;&gt;#N/A")</f>
        <v>560.00000000000045</v>
      </c>
      <c r="F4" s="171">
        <f ca="1">SUMIF(Tbl_Load_distrib[Ballast],"&lt;&gt;#N/A")</f>
        <v>0</v>
      </c>
      <c r="G4" s="171">
        <f>SUMIF(Tbl_Load_distrib[Lifting],"&lt;&gt;#N/A")</f>
        <v>0</v>
      </c>
      <c r="H4" s="171">
        <f>SUMIF(Tbl_Load_distrib[Additionals],"&lt;&gt;#N/A")</f>
        <v>500.00000000000085</v>
      </c>
      <c r="I4" s="171">
        <f ca="1">SUMIF(Tbl_Load_distrib[Deck tanks],"&lt;&gt;#N/A")</f>
        <v>0</v>
      </c>
      <c r="J4" s="174">
        <f>SUMIF(Tbl_Load_distrib[Reserved],"&lt;&gt;#N/A")</f>
        <v>0</v>
      </c>
      <c r="K4" s="259">
        <f>COUNT(Tbl_Load_distrib[x])</f>
        <v>121</v>
      </c>
      <c r="L4" s="919"/>
      <c r="M4" s="831">
        <f>SUMIF(Tbl_Load_distrib[L_elt],"&lt;&gt;#N/A")</f>
        <v>60</v>
      </c>
      <c r="N4" s="830">
        <f ca="1">INDEX(Tbl_Load_distrib[H waterline before corr.],MATCH(9^9,Tbl_Load_distrib[H waterline before corr.],1))-$N$7+$Y$3</f>
        <v>-4.8572257327350599E-16</v>
      </c>
      <c r="O4" s="953">
        <f t="array" aca="1" ref="O4" ca="1">SUMPRODUCT(IF(ISNA(Tbl_Load_distrib[Elt Area before corr.]),,Tbl_Load_distrib[Elt Area before corr.]),IF(ISNA(Tbl_Load_distrib[x]),,Tbl_Load_distrib[x]))/SUMIF(Tbl_Load_distrib[Elt Area before corr.],"&lt;&gt;#N/A")</f>
        <v>30.504603478404093</v>
      </c>
      <c r="P4" s="64" t="s">
        <v>407</v>
      </c>
      <c r="Q4" s="176">
        <f ca="1">SUMIF(Tbl_Load_distrib[Elt Area corrected],"&lt;&gt;#N/A")*ρ_sw*B/$D$4</f>
        <v>1.0006649465256521</v>
      </c>
      <c r="R4" s="168">
        <f ca="1">SUMIF(Tbl_Load_distrib[Floating Elt],"&lt;&gt;#N/A")</f>
        <v>1060.0000000000011</v>
      </c>
      <c r="S4" s="178">
        <f ca="1">SUMIF(Tbl_Load_distrib[Net force / Elt],"&lt;&gt;#N/A")</f>
        <v>-1.1688428003253648E-12</v>
      </c>
      <c r="T4" s="181">
        <f t="array" aca="1" ref="T4" ca="1">MAX(IF(ISNA(Tbl_Load_distrib[Shearing Force]),,Tbl_Load_distrib[Shearing Force]))</f>
        <v>69.725581169268565</v>
      </c>
      <c r="U4" s="197">
        <f t="array" aca="1" ref="U4" ca="1">MAX(IF(ISNA(Tbl_Load_distrib[Bending Moment]),,Tbl_Load_distrib[Bending Moment]))</f>
        <v>1078.2875938712409</v>
      </c>
      <c r="W4" s="895" t="s">
        <v>478</v>
      </c>
      <c r="X4" s="943">
        <f ca="1">O4-X3</f>
        <v>0.2546034784040927</v>
      </c>
      <c r="Y4" s="188"/>
      <c r="Z4" s="188"/>
      <c r="AA4" s="948"/>
      <c r="AC4" s="921" t="s">
        <v>267</v>
      </c>
      <c r="AD4" s="922"/>
      <c r="AE4" s="923">
        <f>Displ_max*Lpp/30</f>
        <v>4944</v>
      </c>
      <c r="AF4" s="924" t="s">
        <v>47</v>
      </c>
    </row>
    <row r="5" spans="1:32" ht="38.25" customHeight="1" x14ac:dyDescent="0.25">
      <c r="B5" s="138" t="s">
        <v>159</v>
      </c>
      <c r="C5" s="138" t="s">
        <v>469</v>
      </c>
      <c r="D5" s="148" t="s">
        <v>177</v>
      </c>
      <c r="E5" s="135" t="s">
        <v>160</v>
      </c>
      <c r="F5" s="71" t="s">
        <v>16</v>
      </c>
      <c r="G5" s="71" t="s">
        <v>221</v>
      </c>
      <c r="H5" s="71" t="s">
        <v>347</v>
      </c>
      <c r="I5" s="71" t="s">
        <v>222</v>
      </c>
      <c r="J5" s="175" t="s">
        <v>220</v>
      </c>
      <c r="K5" s="172" t="s">
        <v>432</v>
      </c>
      <c r="L5" s="172" t="s">
        <v>468</v>
      </c>
      <c r="M5" s="172" t="s">
        <v>424</v>
      </c>
      <c r="N5" s="172" t="s">
        <v>471</v>
      </c>
      <c r="O5" s="928" t="s">
        <v>472</v>
      </c>
      <c r="P5" s="172" t="s">
        <v>474</v>
      </c>
      <c r="Q5" s="151" t="s">
        <v>473</v>
      </c>
      <c r="R5" s="151" t="s">
        <v>436</v>
      </c>
      <c r="S5" s="179" t="s">
        <v>437</v>
      </c>
      <c r="T5" s="182" t="s">
        <v>237</v>
      </c>
      <c r="U5" s="151" t="s">
        <v>236</v>
      </c>
      <c r="W5" s="949" t="s">
        <v>479</v>
      </c>
      <c r="X5" s="951">
        <f ca="1">X3-X4</f>
        <v>29.995396521595907</v>
      </c>
      <c r="Y5" s="944">
        <f ca="1">LongSection_ΔT</f>
        <v>1.1308575519474021E-3</v>
      </c>
      <c r="Z5" s="944">
        <f ca="1">LongSection_DraftAft</f>
        <v>0.99909711977850224</v>
      </c>
      <c r="AA5" s="950">
        <f ca="1">LongSection_DraftFore</f>
        <v>0.99796626222655482</v>
      </c>
      <c r="AC5" s="925" t="s">
        <v>268</v>
      </c>
      <c r="AD5" s="926"/>
      <c r="AE5" s="926"/>
      <c r="AF5" s="927"/>
    </row>
    <row r="6" spans="1:32" x14ac:dyDescent="0.25">
      <c r="B6" s="136">
        <f t="shared" ref="B6:B69" si="1">IF(ISTEXT($B5),0,IF($B5+1&gt;Last_Frame,NA(),$B5+1))</f>
        <v>0</v>
      </c>
      <c r="C6" s="140">
        <f t="shared" ref="C6:C69" si="2">IF(B6*FE_size&gt;Lpp,Lpp,B6*FE_size)</f>
        <v>0</v>
      </c>
      <c r="D6" s="152">
        <f ca="1">SUM(Tbl_Load_distrib[[#This Row],[Hull &amp; Structure]:[Reserved]])</f>
        <v>0</v>
      </c>
      <c r="E6" s="147">
        <f>SUMIFS(Tbl_Hull_Structure[Spread],Tbl_Hull_Structure[L from],"&lt;"&amp;Tbl_Load_distrib[[#This Row],[x]],Tbl_Hull_Structure[L to],"&gt;"&amp;C5)*Tbl_Load_distrib[[#This Row],[L_elt]]</f>
        <v>0</v>
      </c>
      <c r="F6" s="260">
        <f ca="1">SUMIFS(Tbl_Ballasts[Spread],Tbl_Ballasts[L from],"&lt;"&amp;Tbl_Load_distrib[[#This Row],[x]],Tbl_Ballasts[L to],"&gt;"&amp;C5)*Tbl_Load_distrib[[#This Row],[L_elt]]</f>
        <v>0</v>
      </c>
      <c r="G6" s="260">
        <f>SUMIFS(Tbl_Lifting[Spread],Tbl_Lifting[L from],"&lt;"&amp;Tbl_Load_distrib[[#This Row],[x]],Tbl_Lifting[L to],"&gt;"&amp;C5)*Tbl_Load_distrib[[#This Row],[L_elt]]</f>
        <v>0</v>
      </c>
      <c r="H6" s="260">
        <f>SUMIFS(Tbl_Additionals[Spread],Tbl_Additionals[L from],"&lt;"&amp;Tbl_Load_distrib[[#This Row],[x]],Tbl_Additionals[L to],"&gt;"&amp;C5)*Tbl_Load_distrib[[#This Row],[L_elt]]</f>
        <v>0</v>
      </c>
      <c r="I6" s="260">
        <f ca="1">SUMIFS(Tbl_Deck_Tank[Spread],Tbl_Deck_Tank[L from],"&lt;"&amp;Tbl_Load_distrib[[#This Row],[x]],Tbl_Deck_Tank[L to],"&gt;"&amp;C5)*Tbl_Load_distrib[[#This Row],[L_elt]]</f>
        <v>0</v>
      </c>
      <c r="J6" s="137"/>
      <c r="K6" s="165">
        <f>IFERROR(Tbl_Long_Section[[#This Row],[H Deck-Bottom]],NA())</f>
        <v>1.2</v>
      </c>
      <c r="L6" s="829">
        <f>M_depth-Tbl_Load_distrib[[#This Row],[H Deck-Bottom]]</f>
        <v>2.8</v>
      </c>
      <c r="M6" s="929">
        <f>IFERROR(Tbl_Load_distrib[[#This Row],[x]]-C5,0)</f>
        <v>0</v>
      </c>
      <c r="N6" s="929">
        <f>IF(ISNA(Tbl_Load_distrib[[#This Row],[x]]),NA(),IF(ISTEXT(N5),0,IF(N5=0,$Z$3,N5-($Z$3-$AA$3)/(Lpp-FE_size)*Tbl_Load_distrib[[#This Row],[L_elt]])))</f>
        <v>0</v>
      </c>
      <c r="O6" s="166">
        <f>IF(ISNUMBER(O5),(IF((N5-L5)&lt;0,0,N5-L5)+IF((Tbl_Load_distrib[[#This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v>
      </c>
      <c r="P6" s="929">
        <f>IF(ISNA(Tbl_Load_distrib[[#This Row],[x]]),NA(),IF(ISTEXT(P5),0,IF(P5=0,LongSection_DraftAft,P5-(LongSection_DraftAft-LongSection_DraftFore)/(Lpp-FE_size)*Tbl_Load_distrib[[#This Row],[L_elt]])))</f>
        <v>0</v>
      </c>
      <c r="Q6" s="166">
        <f>IF(ISNUMBER(Q5),(IF((P5-L5)&lt;0,0,P5-L5)+IF((Tbl_Load_distrib[[#This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v>
      </c>
      <c r="R6" s="167">
        <f ca="1">ρ_sw*Tbl_Load_distrib[[#This Row],[Elt Area corrected]]*B/k_depl</f>
        <v>0</v>
      </c>
      <c r="S6" s="180">
        <f ca="1">Tbl_Load_distrib[[#This Row],[Section Weight]]-Tbl_Load_distrib[[#This Row],[Floating Elt]]</f>
        <v>0</v>
      </c>
      <c r="T6" s="183">
        <f>IF(ISTEXT($T5),0,$T5+Tbl_Load_distrib[[#This Row],[Net force / Elt]])</f>
        <v>0</v>
      </c>
      <c r="U6" s="169">
        <f>IF(ISTEXT($U5),0,$U5+Tbl_Load_distrib[[#This Row],[Shearing Force]]*Tbl_Load_distrib[[#This Row],[L_elt]])</f>
        <v>0</v>
      </c>
    </row>
    <row r="7" spans="1:32" x14ac:dyDescent="0.25">
      <c r="B7" s="136">
        <f t="shared" si="1"/>
        <v>1</v>
      </c>
      <c r="C7" s="140">
        <f t="shared" si="2"/>
        <v>0.5</v>
      </c>
      <c r="D7" s="152">
        <f ca="1">SUM(Tbl_Load_distrib[[#This Row],[Hull &amp; Structure]:[Reserved]])</f>
        <v>8.8333333333333339</v>
      </c>
      <c r="E7" s="147">
        <f>SUMIFS(Tbl_Hull_Structure[Spread],Tbl_Hull_Structure[L from],"&lt;"&amp;Tbl_Load_distrib[[#This Row],[x]],Tbl_Hull_Structure[L to],"&gt;"&amp;C6)*Tbl_Load_distrib[[#This Row],[L_elt]]</f>
        <v>4.666666666666667</v>
      </c>
      <c r="F7" s="260">
        <f ca="1">SUMIFS(Tbl_Ballasts[Spread],Tbl_Ballasts[L from],"&lt;"&amp;Tbl_Load_distrib[[#This Row],[x]],Tbl_Ballasts[L to],"&gt;"&amp;C6)*Tbl_Load_distrib[[#This Row],[L_elt]]</f>
        <v>0</v>
      </c>
      <c r="G7" s="260">
        <f>SUMIFS(Tbl_Lifting[Spread],Tbl_Lifting[L from],"&lt;"&amp;Tbl_Load_distrib[[#This Row],[x]],Tbl_Lifting[L to],"&gt;"&amp;C6)*Tbl_Load_distrib[[#This Row],[L_elt]]</f>
        <v>0</v>
      </c>
      <c r="H7" s="260">
        <f>SUMIFS(Tbl_Additionals[Spread],Tbl_Additionals[L from],"&lt;"&amp;Tbl_Load_distrib[[#This Row],[x]],Tbl_Additionals[L to],"&gt;"&amp;C6)*Tbl_Load_distrib[[#This Row],[L_elt]]</f>
        <v>4.166666666666667</v>
      </c>
      <c r="I7" s="260">
        <f ca="1">SUMIFS(Tbl_Deck_Tank[Spread],Tbl_Deck_Tank[L from],"&lt;"&amp;Tbl_Load_distrib[[#This Row],[x]],Tbl_Deck_Tank[L to],"&gt;"&amp;C6)*Tbl_Load_distrib[[#This Row],[L_elt]]</f>
        <v>0</v>
      </c>
      <c r="J7" s="137"/>
      <c r="K7" s="165">
        <f>IFERROR(Tbl_Long_Section[[#This Row],[H Deck-Bottom]],NA())</f>
        <v>1.48</v>
      </c>
      <c r="L7" s="829">
        <f>M_depth-Tbl_Load_distrib[[#This Row],[H Deck-Bottom]]</f>
        <v>2.52</v>
      </c>
      <c r="M7" s="929">
        <f>IFERROR(Tbl_Load_distrib[[#This Row],[x]]-C6,0)</f>
        <v>0.5</v>
      </c>
      <c r="N7" s="929">
        <f ca="1">IF(ISNA(Tbl_Load_distrib[[#This Row],[x]]),NA(),IF(ISTEXT(N6),0,IF(N6=0,$Z$3,N6-($Z$3-$AA$3)/(Lpp-FE_size)*Tbl_Load_distrib[[#This Row],[L_elt]])))</f>
        <v>0.96782508578244664</v>
      </c>
      <c r="O7" s="166">
        <f ca="1">IF(ISNUMBER(O6),(IF((N6-L6)&lt;0,0,N6-L6)+IF((Tbl_Load_distrib[[#This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v>
      </c>
      <c r="P7" s="929">
        <f ca="1">IF(ISNA(Tbl_Load_distrib[[#This Row],[x]]),NA(),IF(ISTEXT(P6),0,IF(P6=0,LongSection_DraftAft,P6-(LongSection_DraftAft-LongSection_DraftFore)/(Lpp-FE_size)*Tbl_Load_distrib[[#This Row],[L_elt]])))</f>
        <v>0.99909711977850224</v>
      </c>
      <c r="Q7" s="920">
        <f ca="1">IF(ISNUMBER(Q6),(IF((P6-L6)&lt;0,0,P6-L6)+IF((Tbl_Load_distrib[[#This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v>
      </c>
      <c r="R7" s="167">
        <f ca="1">ρ_sw*Tbl_Load_distrib[[#This Row],[Elt Area corrected]]*B/k_depl</f>
        <v>0</v>
      </c>
      <c r="S7" s="180">
        <f ca="1">Tbl_Load_distrib[[#This Row],[Section Weight]]-Tbl_Load_distrib[[#This Row],[Floating Elt]]</f>
        <v>8.8333333333333339</v>
      </c>
      <c r="T7" s="183">
        <f ca="1">IF(ISTEXT($T6),0,$T6+Tbl_Load_distrib[[#This Row],[Net force / Elt]])</f>
        <v>8.8333333333333339</v>
      </c>
      <c r="U7" s="169">
        <f ca="1">IF(ISTEXT($U6),0,$U6+Tbl_Load_distrib[[#This Row],[Shearing Force]]*Tbl_Load_distrib[[#This Row],[L_elt]])</f>
        <v>4.416666666666667</v>
      </c>
    </row>
    <row r="8" spans="1:32" x14ac:dyDescent="0.25">
      <c r="B8" s="136">
        <f t="shared" si="1"/>
        <v>2</v>
      </c>
      <c r="C8" s="140">
        <f t="shared" si="2"/>
        <v>1</v>
      </c>
      <c r="D8" s="152">
        <f ca="1">SUM(Tbl_Load_distrib[[#This Row],[Hull &amp; Structure]:[Reserved]])</f>
        <v>8.8333333333333339</v>
      </c>
      <c r="E8" s="147">
        <f>SUMIFS(Tbl_Hull_Structure[Spread],Tbl_Hull_Structure[L from],"&lt;"&amp;Tbl_Load_distrib[[#This Row],[x]],Tbl_Hull_Structure[L to],"&gt;"&amp;C7)*Tbl_Load_distrib[[#This Row],[L_elt]]</f>
        <v>4.666666666666667</v>
      </c>
      <c r="F8" s="260">
        <f ca="1">SUMIFS(Tbl_Ballasts[Spread],Tbl_Ballasts[L from],"&lt;"&amp;Tbl_Load_distrib[[#This Row],[x]],Tbl_Ballasts[L to],"&gt;"&amp;C7)*Tbl_Load_distrib[[#This Row],[L_elt]]</f>
        <v>0</v>
      </c>
      <c r="G8" s="260">
        <f>SUMIFS(Tbl_Lifting[Spread],Tbl_Lifting[L from],"&lt;"&amp;Tbl_Load_distrib[[#This Row],[x]],Tbl_Lifting[L to],"&gt;"&amp;C7)*Tbl_Load_distrib[[#This Row],[L_elt]]</f>
        <v>0</v>
      </c>
      <c r="H8" s="260">
        <f>SUMIFS(Tbl_Additionals[Spread],Tbl_Additionals[L from],"&lt;"&amp;Tbl_Load_distrib[[#This Row],[x]],Tbl_Additionals[L to],"&gt;"&amp;C7)*Tbl_Load_distrib[[#This Row],[L_elt]]</f>
        <v>4.166666666666667</v>
      </c>
      <c r="I8" s="260">
        <f ca="1">SUMIFS(Tbl_Deck_Tank[Spread],Tbl_Deck_Tank[L from],"&lt;"&amp;Tbl_Load_distrib[[#This Row],[x]],Tbl_Deck_Tank[L to],"&gt;"&amp;C7)*Tbl_Load_distrib[[#This Row],[L_elt]]</f>
        <v>0</v>
      </c>
      <c r="J8" s="137"/>
      <c r="K8" s="165">
        <f>IFERROR(Tbl_Long_Section[[#This Row],[H Deck-Bottom]],NA())</f>
        <v>1.76</v>
      </c>
      <c r="L8" s="829">
        <f>M_depth-Tbl_Load_distrib[[#This Row],[H Deck-Bottom]]</f>
        <v>2.2400000000000002</v>
      </c>
      <c r="M8" s="929">
        <f>IFERROR(Tbl_Load_distrib[[#This Row],[x]]-C7,0)</f>
        <v>0.5</v>
      </c>
      <c r="N8" s="929">
        <f ca="1">IF(ISNA(Tbl_Load_distrib[[#This Row],[x]]),NA(),IF(ISTEXT(N7),0,IF(N7=0,$Z$3,N7-($Z$3-$AA$3)/(Lpp-FE_size)*Tbl_Load_distrib[[#This Row],[L_elt]])))</f>
        <v>0.96834116318110353</v>
      </c>
      <c r="O8" s="166">
        <f ca="1">IF(ISNUMBER(O7),(IF((N7-L7)&lt;0,0,N7-L7)+IF((Tbl_Load_distrib[[#This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v>
      </c>
      <c r="P8" s="929">
        <f ca="1">IF(ISNA(Tbl_Load_distrib[[#This Row],[x]]),NA(),IF(ISTEXT(P7),0,IF(P7=0,LongSection_DraftAft,P7-(LongSection_DraftAft-LongSection_DraftFore)/(Lpp-FE_size)*Tbl_Load_distrib[[#This Row],[L_elt]])))</f>
        <v>0.99908761677386404</v>
      </c>
      <c r="Q8" s="166">
        <f ca="1">IF(ISNUMBER(Q7),(IF((P7-L7)&lt;0,0,P7-L7)+IF((Tbl_Load_distrib[[#This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v>
      </c>
      <c r="R8" s="167">
        <f ca="1">ρ_sw*Tbl_Load_distrib[[#This Row],[Elt Area corrected]]*B/k_depl</f>
        <v>0</v>
      </c>
      <c r="S8" s="180">
        <f ca="1">Tbl_Load_distrib[[#This Row],[Section Weight]]-Tbl_Load_distrib[[#This Row],[Floating Elt]]</f>
        <v>8.8333333333333339</v>
      </c>
      <c r="T8" s="183">
        <f ca="1">IF(ISTEXT($T7),0,$T7+Tbl_Load_distrib[[#This Row],[Net force / Elt]])</f>
        <v>17.666666666666668</v>
      </c>
      <c r="U8" s="169">
        <f ca="1">IF(ISTEXT($U7),0,$U7+Tbl_Load_distrib[[#This Row],[Shearing Force]]*Tbl_Load_distrib[[#This Row],[L_elt]])</f>
        <v>13.25</v>
      </c>
    </row>
    <row r="9" spans="1:32" x14ac:dyDescent="0.25">
      <c r="B9" s="136">
        <f t="shared" si="1"/>
        <v>3</v>
      </c>
      <c r="C9" s="140">
        <f t="shared" si="2"/>
        <v>1.5</v>
      </c>
      <c r="D9" s="152">
        <f ca="1">SUM(Tbl_Load_distrib[[#This Row],[Hull &amp; Structure]:[Reserved]])</f>
        <v>8.8333333333333339</v>
      </c>
      <c r="E9" s="147">
        <f>SUMIFS(Tbl_Hull_Structure[Spread],Tbl_Hull_Structure[L from],"&lt;"&amp;Tbl_Load_distrib[[#This Row],[x]],Tbl_Hull_Structure[L to],"&gt;"&amp;C8)*Tbl_Load_distrib[[#This Row],[L_elt]]</f>
        <v>4.666666666666667</v>
      </c>
      <c r="F9" s="260">
        <f ca="1">SUMIFS(Tbl_Ballasts[Spread],Tbl_Ballasts[L from],"&lt;"&amp;Tbl_Load_distrib[[#This Row],[x]],Tbl_Ballasts[L to],"&gt;"&amp;C8)*Tbl_Load_distrib[[#This Row],[L_elt]]</f>
        <v>0</v>
      </c>
      <c r="G9" s="260">
        <f>SUMIFS(Tbl_Lifting[Spread],Tbl_Lifting[L from],"&lt;"&amp;Tbl_Load_distrib[[#This Row],[x]],Tbl_Lifting[L to],"&gt;"&amp;C8)*Tbl_Load_distrib[[#This Row],[L_elt]]</f>
        <v>0</v>
      </c>
      <c r="H9" s="260">
        <f>SUMIFS(Tbl_Additionals[Spread],Tbl_Additionals[L from],"&lt;"&amp;Tbl_Load_distrib[[#This Row],[x]],Tbl_Additionals[L to],"&gt;"&amp;C8)*Tbl_Load_distrib[[#This Row],[L_elt]]</f>
        <v>4.166666666666667</v>
      </c>
      <c r="I9" s="260">
        <f ca="1">SUMIFS(Tbl_Deck_Tank[Spread],Tbl_Deck_Tank[L from],"&lt;"&amp;Tbl_Load_distrib[[#This Row],[x]],Tbl_Deck_Tank[L to],"&gt;"&amp;C8)*Tbl_Load_distrib[[#This Row],[L_elt]]</f>
        <v>0</v>
      </c>
      <c r="J9" s="137"/>
      <c r="K9" s="165">
        <f>IFERROR(Tbl_Long_Section[[#This Row],[H Deck-Bottom]],NA())</f>
        <v>2.04</v>
      </c>
      <c r="L9" s="829">
        <f>M_depth-Tbl_Load_distrib[[#This Row],[H Deck-Bottom]]</f>
        <v>1.96</v>
      </c>
      <c r="M9" s="929">
        <f>IFERROR(Tbl_Load_distrib[[#This Row],[x]]-C8,0)</f>
        <v>0.5</v>
      </c>
      <c r="N9" s="929">
        <f ca="1">IF(ISNA(Tbl_Load_distrib[[#This Row],[x]]),NA(),IF(ISTEXT(N8),0,IF(N8=0,$Z$3,N8-($Z$3-$AA$3)/(Lpp-FE_size)*Tbl_Load_distrib[[#This Row],[L_elt]])))</f>
        <v>0.96885724057976041</v>
      </c>
      <c r="O9" s="166">
        <f ca="1">IF(ISNUMBER(O8),(IF((N8-L8)&lt;0,0,N8-L8)+IF((Tbl_Load_distrib[[#This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v>
      </c>
      <c r="P9" s="929">
        <f ca="1">IF(ISNA(Tbl_Load_distrib[[#This Row],[x]]),NA(),IF(ISTEXT(P8),0,IF(P8=0,LongSection_DraftAft,P8-(LongSection_DraftAft-LongSection_DraftFore)/(Lpp-FE_size)*Tbl_Load_distrib[[#This Row],[L_elt]])))</f>
        <v>0.99907811376922584</v>
      </c>
      <c r="Q9" s="166">
        <f ca="1">IF(ISNUMBER(Q8),(IF((P8-L8)&lt;0,0,P8-L8)+IF((Tbl_Load_distrib[[#This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v>
      </c>
      <c r="R9" s="167">
        <f ca="1">ρ_sw*Tbl_Load_distrib[[#This Row],[Elt Area corrected]]*B/k_depl</f>
        <v>0</v>
      </c>
      <c r="S9" s="180">
        <f ca="1">Tbl_Load_distrib[[#This Row],[Section Weight]]-Tbl_Load_distrib[[#This Row],[Floating Elt]]</f>
        <v>8.8333333333333339</v>
      </c>
      <c r="T9" s="183">
        <f ca="1">IF(ISTEXT($T8),0,$T8+Tbl_Load_distrib[[#This Row],[Net force / Elt]])</f>
        <v>26.5</v>
      </c>
      <c r="U9" s="169">
        <f ca="1">IF(ISTEXT($U8),0,$U8+Tbl_Load_distrib[[#This Row],[Shearing Force]]*Tbl_Load_distrib[[#This Row],[L_elt]])</f>
        <v>26.5</v>
      </c>
      <c r="X9" s="930"/>
    </row>
    <row r="10" spans="1:32" x14ac:dyDescent="0.25">
      <c r="B10" s="136">
        <f t="shared" si="1"/>
        <v>4</v>
      </c>
      <c r="C10" s="140">
        <f t="shared" si="2"/>
        <v>2</v>
      </c>
      <c r="D10" s="152">
        <f ca="1">SUM(Tbl_Load_distrib[[#This Row],[Hull &amp; Structure]:[Reserved]])</f>
        <v>8.8333333333333339</v>
      </c>
      <c r="E10" s="147">
        <f>SUMIFS(Tbl_Hull_Structure[Spread],Tbl_Hull_Structure[L from],"&lt;"&amp;Tbl_Load_distrib[[#This Row],[x]],Tbl_Hull_Structure[L to],"&gt;"&amp;C9)*Tbl_Load_distrib[[#This Row],[L_elt]]</f>
        <v>4.666666666666667</v>
      </c>
      <c r="F10" s="260">
        <f ca="1">SUMIFS(Tbl_Ballasts[Spread],Tbl_Ballasts[L from],"&lt;"&amp;Tbl_Load_distrib[[#This Row],[x]],Tbl_Ballasts[L to],"&gt;"&amp;C9)*Tbl_Load_distrib[[#This Row],[L_elt]]</f>
        <v>0</v>
      </c>
      <c r="G10" s="260">
        <f>SUMIFS(Tbl_Lifting[Spread],Tbl_Lifting[L from],"&lt;"&amp;Tbl_Load_distrib[[#This Row],[x]],Tbl_Lifting[L to],"&gt;"&amp;C9)*Tbl_Load_distrib[[#This Row],[L_elt]]</f>
        <v>0</v>
      </c>
      <c r="H10" s="260">
        <f>SUMIFS(Tbl_Additionals[Spread],Tbl_Additionals[L from],"&lt;"&amp;Tbl_Load_distrib[[#This Row],[x]],Tbl_Additionals[L to],"&gt;"&amp;C9)*Tbl_Load_distrib[[#This Row],[L_elt]]</f>
        <v>4.166666666666667</v>
      </c>
      <c r="I10" s="260">
        <f ca="1">SUMIFS(Tbl_Deck_Tank[Spread],Tbl_Deck_Tank[L from],"&lt;"&amp;Tbl_Load_distrib[[#This Row],[x]],Tbl_Deck_Tank[L to],"&gt;"&amp;C9)*Tbl_Load_distrib[[#This Row],[L_elt]]</f>
        <v>0</v>
      </c>
      <c r="J10" s="137"/>
      <c r="K10" s="165">
        <f>IFERROR(Tbl_Long_Section[[#This Row],[H Deck-Bottom]],NA())</f>
        <v>2.3200000000000003</v>
      </c>
      <c r="L10" s="829">
        <f>M_depth-Tbl_Load_distrib[[#This Row],[H Deck-Bottom]]</f>
        <v>1.6799999999999997</v>
      </c>
      <c r="M10" s="929">
        <f>IFERROR(Tbl_Load_distrib[[#This Row],[x]]-C9,0)</f>
        <v>0.5</v>
      </c>
      <c r="N10" s="929">
        <f ca="1">IF(ISNA(Tbl_Load_distrib[[#This Row],[x]]),NA(),IF(ISTEXT(N9),0,IF(N9=0,$Z$3,N9-($Z$3-$AA$3)/(Lpp-FE_size)*Tbl_Load_distrib[[#This Row],[L_elt]])))</f>
        <v>0.9693733179784173</v>
      </c>
      <c r="O10" s="166">
        <f ca="1">IF(ISNUMBER(O9),(IF((N9-L9)&lt;0,0,N9-L9)+IF((Tbl_Load_distrib[[#This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v>
      </c>
      <c r="P10" s="929">
        <f ca="1">IF(ISNA(Tbl_Load_distrib[[#This Row],[x]]),NA(),IF(ISTEXT(P9),0,IF(P9=0,LongSection_DraftAft,P9-(LongSection_DraftAft-LongSection_DraftFore)/(Lpp-FE_size)*Tbl_Load_distrib[[#This Row],[L_elt]])))</f>
        <v>0.99906861076458764</v>
      </c>
      <c r="Q10" s="166">
        <f ca="1">IF(ISNUMBER(Q9),(IF((P9-L9)&lt;0,0,P9-L9)+IF((Tbl_Load_distrib[[#This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v>
      </c>
      <c r="R10" s="167">
        <f ca="1">ρ_sw*Tbl_Load_distrib[[#This Row],[Elt Area corrected]]*B/k_depl</f>
        <v>0</v>
      </c>
      <c r="S10" s="180">
        <f ca="1">Tbl_Load_distrib[[#This Row],[Section Weight]]-Tbl_Load_distrib[[#This Row],[Floating Elt]]</f>
        <v>8.8333333333333339</v>
      </c>
      <c r="T10" s="183">
        <f ca="1">IF(ISTEXT($T9),0,$T9+Tbl_Load_distrib[[#This Row],[Net force / Elt]])</f>
        <v>35.333333333333336</v>
      </c>
      <c r="U10" s="169">
        <f ca="1">IF(ISTEXT($U9),0,$U9+Tbl_Load_distrib[[#This Row],[Shearing Force]]*Tbl_Load_distrib[[#This Row],[L_elt]])</f>
        <v>44.166666666666671</v>
      </c>
      <c r="X10" s="930"/>
    </row>
    <row r="11" spans="1:32" x14ac:dyDescent="0.25">
      <c r="B11" s="136">
        <f t="shared" si="1"/>
        <v>5</v>
      </c>
      <c r="C11" s="140">
        <f t="shared" si="2"/>
        <v>2.5</v>
      </c>
      <c r="D11" s="152">
        <f ca="1">SUM(Tbl_Load_distrib[[#This Row],[Hull &amp; Structure]:[Reserved]])</f>
        <v>8.8333333333333339</v>
      </c>
      <c r="E11" s="147">
        <f>SUMIFS(Tbl_Hull_Structure[Spread],Tbl_Hull_Structure[L from],"&lt;"&amp;Tbl_Load_distrib[[#This Row],[x]],Tbl_Hull_Structure[L to],"&gt;"&amp;C10)*Tbl_Load_distrib[[#This Row],[L_elt]]</f>
        <v>4.666666666666667</v>
      </c>
      <c r="F11" s="260">
        <f ca="1">SUMIFS(Tbl_Ballasts[Spread],Tbl_Ballasts[L from],"&lt;"&amp;Tbl_Load_distrib[[#This Row],[x]],Tbl_Ballasts[L to],"&gt;"&amp;C10)*Tbl_Load_distrib[[#This Row],[L_elt]]</f>
        <v>0</v>
      </c>
      <c r="G11" s="260">
        <f>SUMIFS(Tbl_Lifting[Spread],Tbl_Lifting[L from],"&lt;"&amp;Tbl_Load_distrib[[#This Row],[x]],Tbl_Lifting[L to],"&gt;"&amp;C10)*Tbl_Load_distrib[[#This Row],[L_elt]]</f>
        <v>0</v>
      </c>
      <c r="H11" s="260">
        <f>SUMIFS(Tbl_Additionals[Spread],Tbl_Additionals[L from],"&lt;"&amp;Tbl_Load_distrib[[#This Row],[x]],Tbl_Additionals[L to],"&gt;"&amp;C10)*Tbl_Load_distrib[[#This Row],[L_elt]]</f>
        <v>4.166666666666667</v>
      </c>
      <c r="I11" s="260">
        <f ca="1">SUMIFS(Tbl_Deck_Tank[Spread],Tbl_Deck_Tank[L from],"&lt;"&amp;Tbl_Load_distrib[[#This Row],[x]],Tbl_Deck_Tank[L to],"&gt;"&amp;C10)*Tbl_Load_distrib[[#This Row],[L_elt]]</f>
        <v>0</v>
      </c>
      <c r="J11" s="137"/>
      <c r="K11" s="165">
        <f>IFERROR(Tbl_Long_Section[[#This Row],[H Deck-Bottom]],NA())</f>
        <v>2.6</v>
      </c>
      <c r="L11" s="829">
        <f>M_depth-Tbl_Load_distrib[[#This Row],[H Deck-Bottom]]</f>
        <v>1.4</v>
      </c>
      <c r="M11" s="929">
        <f>IFERROR(Tbl_Load_distrib[[#This Row],[x]]-C10,0)</f>
        <v>0.5</v>
      </c>
      <c r="N11" s="929">
        <f ca="1">IF(ISNA(Tbl_Load_distrib[[#This Row],[x]]),NA(),IF(ISTEXT(N10),0,IF(N10=0,$Z$3,N10-($Z$3-$AA$3)/(Lpp-FE_size)*Tbl_Load_distrib[[#This Row],[L_elt]])))</f>
        <v>0.96988939537707419</v>
      </c>
      <c r="O11" s="166">
        <f ca="1">IF(ISNUMBER(O10),(IF((N10-L10)&lt;0,0,N10-L10)+IF((Tbl_Load_distrib[[#This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v>
      </c>
      <c r="P11" s="929">
        <f ca="1">IF(ISNA(Tbl_Load_distrib[[#This Row],[x]]),NA(),IF(ISTEXT(P10),0,IF(P10=0,LongSection_DraftAft,P10-(LongSection_DraftAft-LongSection_DraftFore)/(Lpp-FE_size)*Tbl_Load_distrib[[#This Row],[L_elt]])))</f>
        <v>0.99905910775994944</v>
      </c>
      <c r="Q11" s="166">
        <f ca="1">IF(ISNUMBER(Q10),(IF((P10-L10)&lt;0,0,P10-L10)+IF((Tbl_Load_distrib[[#This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v>
      </c>
      <c r="R11" s="167">
        <f ca="1">ρ_sw*Tbl_Load_distrib[[#This Row],[Elt Area corrected]]*B/k_depl</f>
        <v>0</v>
      </c>
      <c r="S11" s="180">
        <f ca="1">Tbl_Load_distrib[[#This Row],[Section Weight]]-Tbl_Load_distrib[[#This Row],[Floating Elt]]</f>
        <v>8.8333333333333339</v>
      </c>
      <c r="T11" s="183">
        <f ca="1">IF(ISTEXT($T10),0,$T10+Tbl_Load_distrib[[#This Row],[Net force / Elt]])</f>
        <v>44.166666666666671</v>
      </c>
      <c r="U11" s="169">
        <f ca="1">IF(ISTEXT($U10),0,$U10+Tbl_Load_distrib[[#This Row],[Shearing Force]]*Tbl_Load_distrib[[#This Row],[L_elt]])</f>
        <v>66.25</v>
      </c>
    </row>
    <row r="12" spans="1:32" x14ac:dyDescent="0.25">
      <c r="B12" s="136">
        <f t="shared" si="1"/>
        <v>6</v>
      </c>
      <c r="C12" s="140">
        <f t="shared" si="2"/>
        <v>3</v>
      </c>
      <c r="D12" s="152">
        <f ca="1">SUM(Tbl_Load_distrib[[#This Row],[Hull &amp; Structure]:[Reserved]])</f>
        <v>8.8333333333333339</v>
      </c>
      <c r="E12" s="147">
        <f>SUMIFS(Tbl_Hull_Structure[Spread],Tbl_Hull_Structure[L from],"&lt;"&amp;Tbl_Load_distrib[[#This Row],[x]],Tbl_Hull_Structure[L to],"&gt;"&amp;C11)*Tbl_Load_distrib[[#This Row],[L_elt]]</f>
        <v>4.666666666666667</v>
      </c>
      <c r="F12" s="260">
        <f ca="1">SUMIFS(Tbl_Ballasts[Spread],Tbl_Ballasts[L from],"&lt;"&amp;Tbl_Load_distrib[[#This Row],[x]],Tbl_Ballasts[L to],"&gt;"&amp;C11)*Tbl_Load_distrib[[#This Row],[L_elt]]</f>
        <v>0</v>
      </c>
      <c r="G12" s="260">
        <f>SUMIFS(Tbl_Lifting[Spread],Tbl_Lifting[L from],"&lt;"&amp;Tbl_Load_distrib[[#This Row],[x]],Tbl_Lifting[L to],"&gt;"&amp;C11)*Tbl_Load_distrib[[#This Row],[L_elt]]</f>
        <v>0</v>
      </c>
      <c r="H12" s="260">
        <f>SUMIFS(Tbl_Additionals[Spread],Tbl_Additionals[L from],"&lt;"&amp;Tbl_Load_distrib[[#This Row],[x]],Tbl_Additionals[L to],"&gt;"&amp;C11)*Tbl_Load_distrib[[#This Row],[L_elt]]</f>
        <v>4.166666666666667</v>
      </c>
      <c r="I12" s="260">
        <f ca="1">SUMIFS(Tbl_Deck_Tank[Spread],Tbl_Deck_Tank[L from],"&lt;"&amp;Tbl_Load_distrib[[#This Row],[x]],Tbl_Deck_Tank[L to],"&gt;"&amp;C11)*Tbl_Load_distrib[[#This Row],[L_elt]]</f>
        <v>0</v>
      </c>
      <c r="J12" s="137"/>
      <c r="K12" s="165">
        <f>IFERROR(Tbl_Long_Section[[#This Row],[H Deck-Bottom]],NA())</f>
        <v>2.88</v>
      </c>
      <c r="L12" s="829">
        <f>M_depth-Tbl_Load_distrib[[#This Row],[H Deck-Bottom]]</f>
        <v>1.1200000000000001</v>
      </c>
      <c r="M12" s="929">
        <f>IFERROR(Tbl_Load_distrib[[#This Row],[x]]-C11,0)</f>
        <v>0.5</v>
      </c>
      <c r="N12" s="929">
        <f ca="1">IF(ISNA(Tbl_Load_distrib[[#This Row],[x]]),NA(),IF(ISTEXT(N11),0,IF(N11=0,$Z$3,N11-($Z$3-$AA$3)/(Lpp-FE_size)*Tbl_Load_distrib[[#This Row],[L_elt]])))</f>
        <v>0.97040547277573108</v>
      </c>
      <c r="O12" s="166">
        <f ca="1">IF(ISNUMBER(O11),(IF((N11-L11)&lt;0,0,N11-L11)+IF((Tbl_Load_distrib[[#This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v>
      </c>
      <c r="P12" s="929">
        <f ca="1">IF(ISNA(Tbl_Load_distrib[[#This Row],[x]]),NA(),IF(ISTEXT(P11),0,IF(P11=0,LongSection_DraftAft,P11-(LongSection_DraftAft-LongSection_DraftFore)/(Lpp-FE_size)*Tbl_Load_distrib[[#This Row],[L_elt]])))</f>
        <v>0.99904960475531124</v>
      </c>
      <c r="Q12" s="166">
        <f ca="1">IF(ISNUMBER(Q11),(IF((P11-L11)&lt;0,0,P11-L11)+IF((Tbl_Load_distrib[[#This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v>
      </c>
      <c r="R12" s="167">
        <f ca="1">ρ_sw*Tbl_Load_distrib[[#This Row],[Elt Area corrected]]*B/k_depl</f>
        <v>0</v>
      </c>
      <c r="S12" s="180">
        <f ca="1">Tbl_Load_distrib[[#This Row],[Section Weight]]-Tbl_Load_distrib[[#This Row],[Floating Elt]]</f>
        <v>8.8333333333333339</v>
      </c>
      <c r="T12" s="183">
        <f ca="1">IF(ISTEXT($T11),0,$T11+Tbl_Load_distrib[[#This Row],[Net force / Elt]])</f>
        <v>53.000000000000007</v>
      </c>
      <c r="U12" s="169">
        <f ca="1">IF(ISTEXT($U11),0,$U11+Tbl_Load_distrib[[#This Row],[Shearing Force]]*Tbl_Load_distrib[[#This Row],[L_elt]])</f>
        <v>92.75</v>
      </c>
    </row>
    <row r="13" spans="1:32" x14ac:dyDescent="0.25">
      <c r="B13" s="136">
        <f t="shared" si="1"/>
        <v>7</v>
      </c>
      <c r="C13" s="140">
        <f t="shared" si="2"/>
        <v>3.5</v>
      </c>
      <c r="D13" s="152">
        <f ca="1">SUM(Tbl_Load_distrib[[#This Row],[Hull &amp; Structure]:[Reserved]])</f>
        <v>8.8333333333333339</v>
      </c>
      <c r="E13" s="147">
        <f>SUMIFS(Tbl_Hull_Structure[Spread],Tbl_Hull_Structure[L from],"&lt;"&amp;Tbl_Load_distrib[[#This Row],[x]],Tbl_Hull_Structure[L to],"&gt;"&amp;C12)*Tbl_Load_distrib[[#This Row],[L_elt]]</f>
        <v>4.666666666666667</v>
      </c>
      <c r="F13" s="260">
        <f ca="1">SUMIFS(Tbl_Ballasts[Spread],Tbl_Ballasts[L from],"&lt;"&amp;Tbl_Load_distrib[[#This Row],[x]],Tbl_Ballasts[L to],"&gt;"&amp;C12)*Tbl_Load_distrib[[#This Row],[L_elt]]</f>
        <v>0</v>
      </c>
      <c r="G13" s="260">
        <f>SUMIFS(Tbl_Lifting[Spread],Tbl_Lifting[L from],"&lt;"&amp;Tbl_Load_distrib[[#This Row],[x]],Tbl_Lifting[L to],"&gt;"&amp;C12)*Tbl_Load_distrib[[#This Row],[L_elt]]</f>
        <v>0</v>
      </c>
      <c r="H13" s="260">
        <f>SUMIFS(Tbl_Additionals[Spread],Tbl_Additionals[L from],"&lt;"&amp;Tbl_Load_distrib[[#This Row],[x]],Tbl_Additionals[L to],"&gt;"&amp;C12)*Tbl_Load_distrib[[#This Row],[L_elt]]</f>
        <v>4.166666666666667</v>
      </c>
      <c r="I13" s="260">
        <f ca="1">SUMIFS(Tbl_Deck_Tank[Spread],Tbl_Deck_Tank[L from],"&lt;"&amp;Tbl_Load_distrib[[#This Row],[x]],Tbl_Deck_Tank[L to],"&gt;"&amp;C12)*Tbl_Load_distrib[[#This Row],[L_elt]]</f>
        <v>0</v>
      </c>
      <c r="J13" s="137"/>
      <c r="K13" s="165">
        <f>IFERROR(Tbl_Long_Section[[#This Row],[H Deck-Bottom]],NA())</f>
        <v>3.1599999999999997</v>
      </c>
      <c r="L13" s="829">
        <f>M_depth-Tbl_Load_distrib[[#This Row],[H Deck-Bottom]]</f>
        <v>0.8400000000000003</v>
      </c>
      <c r="M13" s="929">
        <f>IFERROR(Tbl_Load_distrib[[#This Row],[x]]-C12,0)</f>
        <v>0.5</v>
      </c>
      <c r="N13" s="929">
        <f ca="1">IF(ISNA(Tbl_Load_distrib[[#This Row],[x]]),NA(),IF(ISTEXT(N12),0,IF(N12=0,$Z$3,N12-($Z$3-$AA$3)/(Lpp-FE_size)*Tbl_Load_distrib[[#This Row],[L_elt]])))</f>
        <v>0.97092155017438797</v>
      </c>
      <c r="O13" s="166">
        <f ca="1">IF(ISNUMBER(O12),(IF((N12-L12)&lt;0,0,N12-L12)+IF((Tbl_Load_distrib[[#This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3.2730387543596917E-2</v>
      </c>
      <c r="P13" s="929">
        <f ca="1">IF(ISNA(Tbl_Load_distrib[[#This Row],[x]]),NA(),IF(ISTEXT(P12),0,IF(P12=0,LongSection_DraftAft,P12-(LongSection_DraftAft-LongSection_DraftFore)/(Lpp-FE_size)*Tbl_Load_distrib[[#This Row],[L_elt]])))</f>
        <v>0.99904010175067304</v>
      </c>
      <c r="Q13" s="166">
        <f ca="1">IF(ISNUMBER(Q12),(IF((P12-L12)&lt;0,0,P12-L12)+IF((Tbl_Load_distrib[[#This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3.9760025437668184E-2</v>
      </c>
      <c r="R13" s="167">
        <f ca="1">ρ_sw*Tbl_Load_distrib[[#This Row],[Elt Area corrected]]*B/k_depl</f>
        <v>0.8145388966628534</v>
      </c>
      <c r="S13" s="180">
        <f ca="1">Tbl_Load_distrib[[#This Row],[Section Weight]]-Tbl_Load_distrib[[#This Row],[Floating Elt]]</f>
        <v>8.0187944366704809</v>
      </c>
      <c r="T13" s="183">
        <f ca="1">IF(ISTEXT($T12),0,$T12+Tbl_Load_distrib[[#This Row],[Net force / Elt]])</f>
        <v>61.01879443667049</v>
      </c>
      <c r="U13" s="169">
        <f ca="1">IF(ISTEXT($U12),0,$U12+Tbl_Load_distrib[[#This Row],[Shearing Force]]*Tbl_Load_distrib[[#This Row],[L_elt]])</f>
        <v>123.25939721833524</v>
      </c>
    </row>
    <row r="14" spans="1:32" x14ac:dyDescent="0.25">
      <c r="B14" s="136">
        <f t="shared" si="1"/>
        <v>8</v>
      </c>
      <c r="C14" s="140">
        <f t="shared" si="2"/>
        <v>4</v>
      </c>
      <c r="D14" s="152">
        <f ca="1">SUM(Tbl_Load_distrib[[#This Row],[Hull &amp; Structure]:[Reserved]])</f>
        <v>8.8333333333333339</v>
      </c>
      <c r="E14" s="147">
        <f>SUMIFS(Tbl_Hull_Structure[Spread],Tbl_Hull_Structure[L from],"&lt;"&amp;Tbl_Load_distrib[[#This Row],[x]],Tbl_Hull_Structure[L to],"&gt;"&amp;C13)*Tbl_Load_distrib[[#This Row],[L_elt]]</f>
        <v>4.666666666666667</v>
      </c>
      <c r="F14" s="260">
        <f ca="1">SUMIFS(Tbl_Ballasts[Spread],Tbl_Ballasts[L from],"&lt;"&amp;Tbl_Load_distrib[[#This Row],[x]],Tbl_Ballasts[L to],"&gt;"&amp;C13)*Tbl_Load_distrib[[#This Row],[L_elt]]</f>
        <v>0</v>
      </c>
      <c r="G14" s="260">
        <f>SUMIFS(Tbl_Lifting[Spread],Tbl_Lifting[L from],"&lt;"&amp;Tbl_Load_distrib[[#This Row],[x]],Tbl_Lifting[L to],"&gt;"&amp;C13)*Tbl_Load_distrib[[#This Row],[L_elt]]</f>
        <v>0</v>
      </c>
      <c r="H14" s="260">
        <f>SUMIFS(Tbl_Additionals[Spread],Tbl_Additionals[L from],"&lt;"&amp;Tbl_Load_distrib[[#This Row],[x]],Tbl_Additionals[L to],"&gt;"&amp;C13)*Tbl_Load_distrib[[#This Row],[L_elt]]</f>
        <v>4.166666666666667</v>
      </c>
      <c r="I14" s="260">
        <f ca="1">SUMIFS(Tbl_Deck_Tank[Spread],Tbl_Deck_Tank[L from],"&lt;"&amp;Tbl_Load_distrib[[#This Row],[x]],Tbl_Deck_Tank[L to],"&gt;"&amp;C13)*Tbl_Load_distrib[[#This Row],[L_elt]]</f>
        <v>0</v>
      </c>
      <c r="J14" s="137"/>
      <c r="K14" s="165">
        <f>IFERROR(Tbl_Long_Section[[#This Row],[H Deck-Bottom]],NA())</f>
        <v>3.4400000000000004</v>
      </c>
      <c r="L14" s="829">
        <f>M_depth-Tbl_Load_distrib[[#This Row],[H Deck-Bottom]]</f>
        <v>0.55999999999999961</v>
      </c>
      <c r="M14" s="929">
        <f>IFERROR(Tbl_Load_distrib[[#This Row],[x]]-C13,0)</f>
        <v>0.5</v>
      </c>
      <c r="N14" s="929">
        <f ca="1">IF(ISNA(Tbl_Load_distrib[[#This Row],[x]]),NA(),IF(ISTEXT(N13),0,IF(N13=0,$Z$3,N13-($Z$3-$AA$3)/(Lpp-FE_size)*Tbl_Load_distrib[[#This Row],[L_elt]])))</f>
        <v>0.97143762757304486</v>
      </c>
      <c r="O14" s="166">
        <f ca="1">IF(ISNUMBER(O13),(IF((N13-L13)&lt;0,0,N13-L13)+IF((Tbl_Load_distrib[[#This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0.13558979443685823</v>
      </c>
      <c r="P14" s="929">
        <f ca="1">IF(ISNA(Tbl_Load_distrib[[#This Row],[x]]),NA(),IF(ISTEXT(P13),0,IF(P13=0,LongSection_DraftAft,P13-(LongSection_DraftAft-LongSection_DraftFore)/(Lpp-FE_size)*Tbl_Load_distrib[[#This Row],[L_elt]])))</f>
        <v>0.99903059874603484</v>
      </c>
      <c r="Q14" s="166">
        <f ca="1">IF(ISNUMBER(Q13),(IF((P13-L13)&lt;0,0,P13-L13)+IF((Tbl_Load_distrib[[#This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0.14951767512417699</v>
      </c>
      <c r="R14" s="167">
        <f ca="1">ρ_sw*Tbl_Load_distrib[[#This Row],[Elt Area corrected]]*B/k_depl</f>
        <v>3.0630755585951306</v>
      </c>
      <c r="S14" s="180">
        <f ca="1">Tbl_Load_distrib[[#This Row],[Section Weight]]-Tbl_Load_distrib[[#This Row],[Floating Elt]]</f>
        <v>5.7702577747382033</v>
      </c>
      <c r="T14" s="183">
        <f ca="1">IF(ISTEXT($T13),0,$T13+Tbl_Load_distrib[[#This Row],[Net force / Elt]])</f>
        <v>66.789052211408688</v>
      </c>
      <c r="U14" s="169">
        <f ca="1">IF(ISTEXT($U13),0,$U13+Tbl_Load_distrib[[#This Row],[Shearing Force]]*Tbl_Load_distrib[[#This Row],[L_elt]])</f>
        <v>156.65392332403957</v>
      </c>
    </row>
    <row r="15" spans="1:32" x14ac:dyDescent="0.25">
      <c r="B15" s="136">
        <f t="shared" si="1"/>
        <v>9</v>
      </c>
      <c r="C15" s="140">
        <f t="shared" si="2"/>
        <v>4.5</v>
      </c>
      <c r="D15" s="152">
        <f ca="1">SUM(Tbl_Load_distrib[[#This Row],[Hull &amp; Structure]:[Reserved]])</f>
        <v>8.8333333333333339</v>
      </c>
      <c r="E15" s="147">
        <f>SUMIFS(Tbl_Hull_Structure[Spread],Tbl_Hull_Structure[L from],"&lt;"&amp;Tbl_Load_distrib[[#This Row],[x]],Tbl_Hull_Structure[L to],"&gt;"&amp;C14)*Tbl_Load_distrib[[#This Row],[L_elt]]</f>
        <v>4.666666666666667</v>
      </c>
      <c r="F15" s="260">
        <f ca="1">SUMIFS(Tbl_Ballasts[Spread],Tbl_Ballasts[L from],"&lt;"&amp;Tbl_Load_distrib[[#This Row],[x]],Tbl_Ballasts[L to],"&gt;"&amp;C14)*Tbl_Load_distrib[[#This Row],[L_elt]]</f>
        <v>0</v>
      </c>
      <c r="G15" s="260">
        <f>SUMIFS(Tbl_Lifting[Spread],Tbl_Lifting[L from],"&lt;"&amp;Tbl_Load_distrib[[#This Row],[x]],Tbl_Lifting[L to],"&gt;"&amp;C14)*Tbl_Load_distrib[[#This Row],[L_elt]]</f>
        <v>0</v>
      </c>
      <c r="H15" s="260">
        <f>SUMIFS(Tbl_Additionals[Spread],Tbl_Additionals[L from],"&lt;"&amp;Tbl_Load_distrib[[#This Row],[x]],Tbl_Additionals[L to],"&gt;"&amp;C14)*Tbl_Load_distrib[[#This Row],[L_elt]]</f>
        <v>4.166666666666667</v>
      </c>
      <c r="I15" s="260">
        <f ca="1">SUMIFS(Tbl_Deck_Tank[Spread],Tbl_Deck_Tank[L from],"&lt;"&amp;Tbl_Load_distrib[[#This Row],[x]],Tbl_Deck_Tank[L to],"&gt;"&amp;C14)*Tbl_Load_distrib[[#This Row],[L_elt]]</f>
        <v>0</v>
      </c>
      <c r="J15" s="137"/>
      <c r="K15" s="165">
        <f>IFERROR(Tbl_Long_Section[[#This Row],[H Deck-Bottom]],NA())</f>
        <v>3.72</v>
      </c>
      <c r="L15" s="829">
        <f>M_depth-Tbl_Load_distrib[[#This Row],[H Deck-Bottom]]</f>
        <v>0.2799999999999998</v>
      </c>
      <c r="M15" s="929">
        <f>IFERROR(Tbl_Load_distrib[[#This Row],[x]]-C14,0)</f>
        <v>0.5</v>
      </c>
      <c r="N15" s="929">
        <f ca="1">IF(ISNA(Tbl_Load_distrib[[#This Row],[x]]),NA(),IF(ISTEXT(N14),0,IF(N14=0,$Z$3,N14-($Z$3-$AA$3)/(Lpp-FE_size)*Tbl_Load_distrib[[#This Row],[L_elt]])))</f>
        <v>0.97195370497170175</v>
      </c>
      <c r="O15" s="166">
        <f ca="1">IF(ISNUMBER(O14),(IF((N14-L14)&lt;0,0,N14-L14)+IF((Tbl_Load_distrib[[#This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0.27584783313618677</v>
      </c>
      <c r="P15" s="929">
        <f ca="1">IF(ISNA(Tbl_Load_distrib[[#This Row],[x]]),NA(),IF(ISTEXT(P14),0,IF(P14=0,LongSection_DraftAft,P14-(LongSection_DraftAft-LongSection_DraftFore)/(Lpp-FE_size)*Tbl_Load_distrib[[#This Row],[L_elt]])))</f>
        <v>0.99902109574139664</v>
      </c>
      <c r="Q15" s="166">
        <f ca="1">IF(ISNUMBER(Q14),(IF((P14-L14)&lt;0,0,P14-L14)+IF((Tbl_Load_distrib[[#This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0.28951292362185799</v>
      </c>
      <c r="R15" s="167">
        <f ca="1">ρ_sw*Tbl_Load_distrib[[#This Row],[Elt Area corrected]]*B/k_depl</f>
        <v>5.9310710891339733</v>
      </c>
      <c r="S15" s="180">
        <f ca="1">Tbl_Load_distrib[[#This Row],[Section Weight]]-Tbl_Load_distrib[[#This Row],[Floating Elt]]</f>
        <v>2.9022622441993606</v>
      </c>
      <c r="T15" s="183">
        <f ca="1">IF(ISTEXT($T14),0,$T14+Tbl_Load_distrib[[#This Row],[Net force / Elt]])</f>
        <v>69.691314455608051</v>
      </c>
      <c r="U15" s="169">
        <f ca="1">IF(ISTEXT($U14),0,$U14+Tbl_Load_distrib[[#This Row],[Shearing Force]]*Tbl_Load_distrib[[#This Row],[L_elt]])</f>
        <v>191.49958055184359</v>
      </c>
    </row>
    <row r="16" spans="1:32" x14ac:dyDescent="0.25">
      <c r="B16" s="136">
        <f t="shared" si="1"/>
        <v>10</v>
      </c>
      <c r="C16" s="140">
        <f t="shared" si="2"/>
        <v>5</v>
      </c>
      <c r="D16" s="152">
        <f ca="1">SUM(Tbl_Load_distrib[[#This Row],[Hull &amp; Structure]:[Reserved]])</f>
        <v>8.8333333333333339</v>
      </c>
      <c r="E16" s="147">
        <f>SUMIFS(Tbl_Hull_Structure[Spread],Tbl_Hull_Structure[L from],"&lt;"&amp;Tbl_Load_distrib[[#This Row],[x]],Tbl_Hull_Structure[L to],"&gt;"&amp;C15)*Tbl_Load_distrib[[#This Row],[L_elt]]</f>
        <v>4.666666666666667</v>
      </c>
      <c r="F16" s="260">
        <f ca="1">SUMIFS(Tbl_Ballasts[Spread],Tbl_Ballasts[L from],"&lt;"&amp;Tbl_Load_distrib[[#This Row],[x]],Tbl_Ballasts[L to],"&gt;"&amp;C15)*Tbl_Load_distrib[[#This Row],[L_elt]]</f>
        <v>0</v>
      </c>
      <c r="G16" s="260">
        <f>SUMIFS(Tbl_Lifting[Spread],Tbl_Lifting[L from],"&lt;"&amp;Tbl_Load_distrib[[#This Row],[x]],Tbl_Lifting[L to],"&gt;"&amp;C15)*Tbl_Load_distrib[[#This Row],[L_elt]]</f>
        <v>0</v>
      </c>
      <c r="H16" s="260">
        <f>SUMIFS(Tbl_Additionals[Spread],Tbl_Additionals[L from],"&lt;"&amp;Tbl_Load_distrib[[#This Row],[x]],Tbl_Additionals[L to],"&gt;"&amp;C15)*Tbl_Load_distrib[[#This Row],[L_elt]]</f>
        <v>4.166666666666667</v>
      </c>
      <c r="I16" s="260">
        <f ca="1">SUMIFS(Tbl_Deck_Tank[Spread],Tbl_Deck_Tank[L from],"&lt;"&amp;Tbl_Load_distrib[[#This Row],[x]],Tbl_Deck_Tank[L to],"&gt;"&amp;C15)*Tbl_Load_distrib[[#This Row],[L_elt]]</f>
        <v>0</v>
      </c>
      <c r="J16" s="137"/>
      <c r="K16" s="165">
        <f>IFERROR(Tbl_Long_Section[[#This Row],[H Deck-Bottom]],NA())</f>
        <v>4</v>
      </c>
      <c r="L16" s="829">
        <f>M_depth-Tbl_Load_distrib[[#This Row],[H Deck-Bottom]]</f>
        <v>0</v>
      </c>
      <c r="M16" s="929">
        <f>IFERROR(Tbl_Load_distrib[[#This Row],[x]]-C15,0)</f>
        <v>0.5</v>
      </c>
      <c r="N16" s="929">
        <f ca="1">IF(ISNA(Tbl_Load_distrib[[#This Row],[x]]),NA(),IF(ISTEXT(N15),0,IF(N15=0,$Z$3,N15-($Z$3-$AA$3)/(Lpp-FE_size)*Tbl_Load_distrib[[#This Row],[L_elt]])))</f>
        <v>0.97246978237035864</v>
      </c>
      <c r="O16" s="166">
        <f ca="1">IF(ISNUMBER(O15),(IF((N15-L15)&lt;0,0,N15-L15)+IF((Tbl_Load_distrib[[#This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0.41610587183551517</v>
      </c>
      <c r="P16" s="929">
        <f ca="1">IF(ISNA(Tbl_Load_distrib[[#This Row],[x]]),NA(),IF(ISTEXT(P15),0,IF(P15=0,LongSection_DraftAft,P15-(LongSection_DraftAft-LongSection_DraftFore)/(Lpp-FE_size)*Tbl_Load_distrib[[#This Row],[L_elt]])))</f>
        <v>0.99901159273675844</v>
      </c>
      <c r="Q16" s="166">
        <f ca="1">IF(ISNUMBER(Q15),(IF((P15-L15)&lt;0,0,P15-L15)+IF((Tbl_Load_distrib[[#This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0.42950817211953884</v>
      </c>
      <c r="R16" s="167">
        <f ca="1">ρ_sw*Tbl_Load_distrib[[#This Row],[Elt Area corrected]]*B/k_depl</f>
        <v>8.7990666196728125</v>
      </c>
      <c r="S16" s="180">
        <f ca="1">Tbl_Load_distrib[[#This Row],[Section Weight]]-Tbl_Load_distrib[[#This Row],[Floating Elt]]</f>
        <v>3.4266713660521475E-2</v>
      </c>
      <c r="T16" s="183">
        <f ca="1">IF(ISTEXT($T15),0,$T15+Tbl_Load_distrib[[#This Row],[Net force / Elt]])</f>
        <v>69.725581169268565</v>
      </c>
      <c r="U16" s="169">
        <f ca="1">IF(ISTEXT($U15),0,$U15+Tbl_Load_distrib[[#This Row],[Shearing Force]]*Tbl_Load_distrib[[#This Row],[L_elt]])</f>
        <v>226.36237113647786</v>
      </c>
    </row>
    <row r="17" spans="2:21" x14ac:dyDescent="0.25">
      <c r="B17" s="136">
        <f t="shared" si="1"/>
        <v>11</v>
      </c>
      <c r="C17" s="140">
        <f t="shared" si="2"/>
        <v>5.5</v>
      </c>
      <c r="D17" s="152">
        <f ca="1">SUM(Tbl_Load_distrib[[#This Row],[Hull &amp; Structure]:[Reserved]])</f>
        <v>8.8333333333333339</v>
      </c>
      <c r="E17" s="147">
        <f>SUMIFS(Tbl_Hull_Structure[Spread],Tbl_Hull_Structure[L from],"&lt;"&amp;Tbl_Load_distrib[[#This Row],[x]],Tbl_Hull_Structure[L to],"&gt;"&amp;C16)*Tbl_Load_distrib[[#This Row],[L_elt]]</f>
        <v>4.666666666666667</v>
      </c>
      <c r="F17" s="260">
        <f ca="1">SUMIFS(Tbl_Ballasts[Spread],Tbl_Ballasts[L from],"&lt;"&amp;Tbl_Load_distrib[[#This Row],[x]],Tbl_Ballasts[L to],"&gt;"&amp;C16)*Tbl_Load_distrib[[#This Row],[L_elt]]</f>
        <v>0</v>
      </c>
      <c r="G17" s="260">
        <f>SUMIFS(Tbl_Lifting[Spread],Tbl_Lifting[L from],"&lt;"&amp;Tbl_Load_distrib[[#This Row],[x]],Tbl_Lifting[L to],"&gt;"&amp;C16)*Tbl_Load_distrib[[#This Row],[L_elt]]</f>
        <v>0</v>
      </c>
      <c r="H17" s="260">
        <f>SUMIFS(Tbl_Additionals[Spread],Tbl_Additionals[L from],"&lt;"&amp;Tbl_Load_distrib[[#This Row],[x]],Tbl_Additionals[L to],"&gt;"&amp;C16)*Tbl_Load_distrib[[#This Row],[L_elt]]</f>
        <v>4.166666666666667</v>
      </c>
      <c r="I17" s="260">
        <f ca="1">SUMIFS(Tbl_Deck_Tank[Spread],Tbl_Deck_Tank[L from],"&lt;"&amp;Tbl_Load_distrib[[#This Row],[x]],Tbl_Deck_Tank[L to],"&gt;"&amp;C16)*Tbl_Load_distrib[[#This Row],[L_elt]]</f>
        <v>0</v>
      </c>
      <c r="J17" s="137"/>
      <c r="K17" s="165">
        <f>IFERROR(Tbl_Long_Section[[#This Row],[H Deck-Bottom]],NA())</f>
        <v>4</v>
      </c>
      <c r="L17" s="829">
        <f>M_depth-Tbl_Load_distrib[[#This Row],[H Deck-Bottom]]</f>
        <v>0</v>
      </c>
      <c r="M17" s="929">
        <f>IFERROR(Tbl_Load_distrib[[#This Row],[x]]-C16,0)</f>
        <v>0.5</v>
      </c>
      <c r="N17" s="929">
        <f ca="1">IF(ISNA(Tbl_Load_distrib[[#This Row],[x]]),NA(),IF(ISTEXT(N16),0,IF(N16=0,$Z$3,N16-($Z$3-$AA$3)/(Lpp-FE_size)*Tbl_Load_distrib[[#This Row],[L_elt]])))</f>
        <v>0.97298585976901553</v>
      </c>
      <c r="O17" s="166">
        <f ca="1">IF(ISNUMBER(O16),(IF((N16-L16)&lt;0,0,N16-L16)+IF((Tbl_Load_distrib[[#This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0.48636391053484351</v>
      </c>
      <c r="P17" s="929">
        <f ca="1">IF(ISNA(Tbl_Load_distrib[[#This Row],[x]]),NA(),IF(ISTEXT(P16),0,IF(P16=0,LongSection_DraftAft,P16-(LongSection_DraftAft-LongSection_DraftFore)/(Lpp-FE_size)*Tbl_Load_distrib[[#This Row],[L_elt]])))</f>
        <v>0.99900208973212024</v>
      </c>
      <c r="Q17" s="166">
        <f ca="1">IF(ISNUMBER(Q16),(IF((P16-L16)&lt;0,0,P16-L16)+IF((Tbl_Load_distrib[[#This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0.49950342061721964</v>
      </c>
      <c r="R17" s="167">
        <f ca="1">ρ_sw*Tbl_Load_distrib[[#This Row],[Elt Area corrected]]*B/k_depl</f>
        <v>10.233015714406765</v>
      </c>
      <c r="S17" s="180">
        <f ca="1">Tbl_Load_distrib[[#This Row],[Section Weight]]-Tbl_Load_distrib[[#This Row],[Floating Elt]]</f>
        <v>-1.3996823810734309</v>
      </c>
      <c r="T17" s="183">
        <f ca="1">IF(ISTEXT($T16),0,$T16+Tbl_Load_distrib[[#This Row],[Net force / Elt]])</f>
        <v>68.325898788195133</v>
      </c>
      <c r="U17" s="169">
        <f ca="1">IF(ISTEXT($U16),0,$U16+Tbl_Load_distrib[[#This Row],[Shearing Force]]*Tbl_Load_distrib[[#This Row],[L_elt]])</f>
        <v>260.52532053057541</v>
      </c>
    </row>
    <row r="18" spans="2:21" x14ac:dyDescent="0.25">
      <c r="B18" s="136">
        <f t="shared" si="1"/>
        <v>12</v>
      </c>
      <c r="C18" s="140">
        <f t="shared" si="2"/>
        <v>6</v>
      </c>
      <c r="D18" s="152">
        <f ca="1">SUM(Tbl_Load_distrib[[#This Row],[Hull &amp; Structure]:[Reserved]])</f>
        <v>8.8333333333333339</v>
      </c>
      <c r="E18" s="147">
        <f>SUMIFS(Tbl_Hull_Structure[Spread],Tbl_Hull_Structure[L from],"&lt;"&amp;Tbl_Load_distrib[[#This Row],[x]],Tbl_Hull_Structure[L to],"&gt;"&amp;C17)*Tbl_Load_distrib[[#This Row],[L_elt]]</f>
        <v>4.666666666666667</v>
      </c>
      <c r="F18" s="260">
        <f ca="1">SUMIFS(Tbl_Ballasts[Spread],Tbl_Ballasts[L from],"&lt;"&amp;Tbl_Load_distrib[[#This Row],[x]],Tbl_Ballasts[L to],"&gt;"&amp;C17)*Tbl_Load_distrib[[#This Row],[L_elt]]</f>
        <v>0</v>
      </c>
      <c r="G18" s="260">
        <f>SUMIFS(Tbl_Lifting[Spread],Tbl_Lifting[L from],"&lt;"&amp;Tbl_Load_distrib[[#This Row],[x]],Tbl_Lifting[L to],"&gt;"&amp;C17)*Tbl_Load_distrib[[#This Row],[L_elt]]</f>
        <v>0</v>
      </c>
      <c r="H18" s="260">
        <f>SUMIFS(Tbl_Additionals[Spread],Tbl_Additionals[L from],"&lt;"&amp;Tbl_Load_distrib[[#This Row],[x]],Tbl_Additionals[L to],"&gt;"&amp;C17)*Tbl_Load_distrib[[#This Row],[L_elt]]</f>
        <v>4.166666666666667</v>
      </c>
      <c r="I18" s="260">
        <f ca="1">SUMIFS(Tbl_Deck_Tank[Spread],Tbl_Deck_Tank[L from],"&lt;"&amp;Tbl_Load_distrib[[#This Row],[x]],Tbl_Deck_Tank[L to],"&gt;"&amp;C17)*Tbl_Load_distrib[[#This Row],[L_elt]]</f>
        <v>0</v>
      </c>
      <c r="J18" s="137"/>
      <c r="K18" s="165">
        <f>IFERROR(Tbl_Long_Section[[#This Row],[H Deck-Bottom]],NA())</f>
        <v>4</v>
      </c>
      <c r="L18" s="829">
        <f>M_depth-Tbl_Load_distrib[[#This Row],[H Deck-Bottom]]</f>
        <v>0</v>
      </c>
      <c r="M18" s="929">
        <f>IFERROR(Tbl_Load_distrib[[#This Row],[x]]-C17,0)</f>
        <v>0.5</v>
      </c>
      <c r="N18" s="929">
        <f ca="1">IF(ISNA(Tbl_Load_distrib[[#This Row],[x]]),NA(),IF(ISTEXT(N17),0,IF(N17=0,$Z$3,N17-($Z$3-$AA$3)/(Lpp-FE_size)*Tbl_Load_distrib[[#This Row],[L_elt]])))</f>
        <v>0.97350193716767242</v>
      </c>
      <c r="O18" s="166">
        <f ca="1">IF(ISNUMBER(O17),(IF((N17-L17)&lt;0,0,N17-L17)+IF((Tbl_Load_distrib[[#This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0.48662194923417201</v>
      </c>
      <c r="P18" s="929">
        <f ca="1">IF(ISNA(Tbl_Load_distrib[[#This Row],[x]]),NA(),IF(ISTEXT(P17),0,IF(P17=0,LongSection_DraftAft,P17-(LongSection_DraftAft-LongSection_DraftFore)/(Lpp-FE_size)*Tbl_Load_distrib[[#This Row],[L_elt]])))</f>
        <v>0.99899258672748203</v>
      </c>
      <c r="Q18" s="166">
        <f ca="1">IF(ISNUMBER(Q17),(IF((P17-L17)&lt;0,0,P17-L17)+IF((Tbl_Load_distrib[[#This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0.4994986691149006</v>
      </c>
      <c r="R18" s="167">
        <f ca="1">ρ_sw*Tbl_Load_distrib[[#This Row],[Elt Area corrected]]*B/k_depl</f>
        <v>10.23291837333583</v>
      </c>
      <c r="S18" s="180">
        <f ca="1">Tbl_Load_distrib[[#This Row],[Section Weight]]-Tbl_Load_distrib[[#This Row],[Floating Elt]]</f>
        <v>-1.3995850400024956</v>
      </c>
      <c r="T18" s="183">
        <f ca="1">IF(ISTEXT($T17),0,$T17+Tbl_Load_distrib[[#This Row],[Net force / Elt]])</f>
        <v>66.926313748192641</v>
      </c>
      <c r="U18" s="169">
        <f ca="1">IF(ISTEXT($U17),0,$U17+Tbl_Load_distrib[[#This Row],[Shearing Force]]*Tbl_Load_distrib[[#This Row],[L_elt]])</f>
        <v>293.98847740467176</v>
      </c>
    </row>
    <row r="19" spans="2:21" x14ac:dyDescent="0.25">
      <c r="B19" s="136">
        <f t="shared" si="1"/>
        <v>13</v>
      </c>
      <c r="C19" s="140">
        <f t="shared" si="2"/>
        <v>6.5</v>
      </c>
      <c r="D19" s="152">
        <f ca="1">SUM(Tbl_Load_distrib[[#This Row],[Hull &amp; Structure]:[Reserved]])</f>
        <v>8.8333333333333339</v>
      </c>
      <c r="E19" s="147">
        <f>SUMIFS(Tbl_Hull_Structure[Spread],Tbl_Hull_Structure[L from],"&lt;"&amp;Tbl_Load_distrib[[#This Row],[x]],Tbl_Hull_Structure[L to],"&gt;"&amp;C18)*Tbl_Load_distrib[[#This Row],[L_elt]]</f>
        <v>4.666666666666667</v>
      </c>
      <c r="F19" s="260">
        <f ca="1">SUMIFS(Tbl_Ballasts[Spread],Tbl_Ballasts[L from],"&lt;"&amp;Tbl_Load_distrib[[#This Row],[x]],Tbl_Ballasts[L to],"&gt;"&amp;C18)*Tbl_Load_distrib[[#This Row],[L_elt]]</f>
        <v>0</v>
      </c>
      <c r="G19" s="260">
        <f>SUMIFS(Tbl_Lifting[Spread],Tbl_Lifting[L from],"&lt;"&amp;Tbl_Load_distrib[[#This Row],[x]],Tbl_Lifting[L to],"&gt;"&amp;C18)*Tbl_Load_distrib[[#This Row],[L_elt]]</f>
        <v>0</v>
      </c>
      <c r="H19" s="260">
        <f>SUMIFS(Tbl_Additionals[Spread],Tbl_Additionals[L from],"&lt;"&amp;Tbl_Load_distrib[[#This Row],[x]],Tbl_Additionals[L to],"&gt;"&amp;C18)*Tbl_Load_distrib[[#This Row],[L_elt]]</f>
        <v>4.166666666666667</v>
      </c>
      <c r="I19" s="260">
        <f ca="1">SUMIFS(Tbl_Deck_Tank[Spread],Tbl_Deck_Tank[L from],"&lt;"&amp;Tbl_Load_distrib[[#This Row],[x]],Tbl_Deck_Tank[L to],"&gt;"&amp;C18)*Tbl_Load_distrib[[#This Row],[L_elt]]</f>
        <v>0</v>
      </c>
      <c r="J19" s="137"/>
      <c r="K19" s="165">
        <f>IFERROR(Tbl_Long_Section[[#This Row],[H Deck-Bottom]],NA())</f>
        <v>4</v>
      </c>
      <c r="L19" s="829">
        <f>M_depth-Tbl_Load_distrib[[#This Row],[H Deck-Bottom]]</f>
        <v>0</v>
      </c>
      <c r="M19" s="929">
        <f>IFERROR(Tbl_Load_distrib[[#This Row],[x]]-C18,0)</f>
        <v>0.5</v>
      </c>
      <c r="N19" s="929">
        <f ca="1">IF(ISNA(Tbl_Load_distrib[[#This Row],[x]]),NA(),IF(ISTEXT(N18),0,IF(N18=0,$Z$3,N18-($Z$3-$AA$3)/(Lpp-FE_size)*Tbl_Load_distrib[[#This Row],[L_elt]])))</f>
        <v>0.9740180145663293</v>
      </c>
      <c r="O19" s="166">
        <f ca="1">IF(ISNUMBER(O18),(IF((N18-L18)&lt;0,0,N18-L18)+IF((Tbl_Load_distrib[[#This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0.4868799879335004</v>
      </c>
      <c r="P19" s="929">
        <f ca="1">IF(ISNA(Tbl_Load_distrib[[#This Row],[x]]),NA(),IF(ISTEXT(P18),0,IF(P18=0,LongSection_DraftAft,P18-(LongSection_DraftAft-LongSection_DraftFore)/(Lpp-FE_size)*Tbl_Load_distrib[[#This Row],[L_elt]])))</f>
        <v>0.99898308372284383</v>
      </c>
      <c r="Q19" s="166">
        <f ca="1">IF(ISNUMBER(Q18),(IF((P18-L18)&lt;0,0,P18-L18)+IF((Tbl_Load_distrib[[#This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0.49949391761258144</v>
      </c>
      <c r="R19" s="167">
        <f ca="1">ρ_sw*Tbl_Load_distrib[[#This Row],[Elt Area corrected]]*B/k_depl</f>
        <v>10.232821032264892</v>
      </c>
      <c r="S19" s="180">
        <f ca="1">Tbl_Load_distrib[[#This Row],[Section Weight]]-Tbl_Load_distrib[[#This Row],[Floating Elt]]</f>
        <v>-1.3994876989315586</v>
      </c>
      <c r="T19" s="183">
        <f ca="1">IF(ISTEXT($T18),0,$T18+Tbl_Load_distrib[[#This Row],[Net force / Elt]])</f>
        <v>65.526826049261075</v>
      </c>
      <c r="U19" s="169">
        <f ca="1">IF(ISTEXT($U18),0,$U18+Tbl_Load_distrib[[#This Row],[Shearing Force]]*Tbl_Load_distrib[[#This Row],[L_elt]])</f>
        <v>326.75189042930231</v>
      </c>
    </row>
    <row r="20" spans="2:21" x14ac:dyDescent="0.25">
      <c r="B20" s="136">
        <f t="shared" si="1"/>
        <v>14</v>
      </c>
      <c r="C20" s="140">
        <f t="shared" si="2"/>
        <v>7</v>
      </c>
      <c r="D20" s="152">
        <f ca="1">SUM(Tbl_Load_distrib[[#This Row],[Hull &amp; Structure]:[Reserved]])</f>
        <v>8.8333333333333339</v>
      </c>
      <c r="E20" s="147">
        <f>SUMIFS(Tbl_Hull_Structure[Spread],Tbl_Hull_Structure[L from],"&lt;"&amp;Tbl_Load_distrib[[#This Row],[x]],Tbl_Hull_Structure[L to],"&gt;"&amp;C19)*Tbl_Load_distrib[[#This Row],[L_elt]]</f>
        <v>4.666666666666667</v>
      </c>
      <c r="F20" s="260">
        <f ca="1">SUMIFS(Tbl_Ballasts[Spread],Tbl_Ballasts[L from],"&lt;"&amp;Tbl_Load_distrib[[#This Row],[x]],Tbl_Ballasts[L to],"&gt;"&amp;C19)*Tbl_Load_distrib[[#This Row],[L_elt]]</f>
        <v>0</v>
      </c>
      <c r="G20" s="260">
        <f>SUMIFS(Tbl_Lifting[Spread],Tbl_Lifting[L from],"&lt;"&amp;Tbl_Load_distrib[[#This Row],[x]],Tbl_Lifting[L to],"&gt;"&amp;C19)*Tbl_Load_distrib[[#This Row],[L_elt]]</f>
        <v>0</v>
      </c>
      <c r="H20" s="260">
        <f>SUMIFS(Tbl_Additionals[Spread],Tbl_Additionals[L from],"&lt;"&amp;Tbl_Load_distrib[[#This Row],[x]],Tbl_Additionals[L to],"&gt;"&amp;C19)*Tbl_Load_distrib[[#This Row],[L_elt]]</f>
        <v>4.166666666666667</v>
      </c>
      <c r="I20" s="260">
        <f ca="1">SUMIFS(Tbl_Deck_Tank[Spread],Tbl_Deck_Tank[L from],"&lt;"&amp;Tbl_Load_distrib[[#This Row],[x]],Tbl_Deck_Tank[L to],"&gt;"&amp;C19)*Tbl_Load_distrib[[#This Row],[L_elt]]</f>
        <v>0</v>
      </c>
      <c r="J20" s="137"/>
      <c r="K20" s="165">
        <f>IFERROR(Tbl_Long_Section[[#This Row],[H Deck-Bottom]],NA())</f>
        <v>4</v>
      </c>
      <c r="L20" s="829">
        <f>M_depth-Tbl_Load_distrib[[#This Row],[H Deck-Bottom]]</f>
        <v>0</v>
      </c>
      <c r="M20" s="929">
        <f>IFERROR(Tbl_Load_distrib[[#This Row],[x]]-C19,0)</f>
        <v>0.5</v>
      </c>
      <c r="N20" s="929">
        <f ca="1">IF(ISNA(Tbl_Load_distrib[[#This Row],[x]]),NA(),IF(ISTEXT(N19),0,IF(N19=0,$Z$3,N19-($Z$3-$AA$3)/(Lpp-FE_size)*Tbl_Load_distrib[[#This Row],[L_elt]])))</f>
        <v>0.97453409196498619</v>
      </c>
      <c r="O20" s="166">
        <f ca="1">IF(ISNUMBER(O19),(IF((N19-L19)&lt;0,0,N19-L19)+IF((Tbl_Load_distrib[[#This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0.4871380266328289</v>
      </c>
      <c r="P20" s="929">
        <f ca="1">IF(ISNA(Tbl_Load_distrib[[#This Row],[x]]),NA(),IF(ISTEXT(P19),0,IF(P19=0,LongSection_DraftAft,P19-(LongSection_DraftAft-LongSection_DraftFore)/(Lpp-FE_size)*Tbl_Load_distrib[[#This Row],[L_elt]])))</f>
        <v>0.99897358071820563</v>
      </c>
      <c r="Q20" s="166">
        <f ca="1">IF(ISNUMBER(Q19),(IF((P19-L19)&lt;0,0,P19-L19)+IF((Tbl_Load_distrib[[#This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0.49948916611026239</v>
      </c>
      <c r="R20" s="167">
        <f ca="1">ρ_sw*Tbl_Load_distrib[[#This Row],[Elt Area corrected]]*B/k_depl</f>
        <v>10.232723691193961</v>
      </c>
      <c r="S20" s="180">
        <f ca="1">Tbl_Load_distrib[[#This Row],[Section Weight]]-Tbl_Load_distrib[[#This Row],[Floating Elt]]</f>
        <v>-1.3993903578606268</v>
      </c>
      <c r="T20" s="183">
        <f ca="1">IF(ISTEXT($T19),0,$T19+Tbl_Load_distrib[[#This Row],[Net force / Elt]])</f>
        <v>64.12743569140045</v>
      </c>
      <c r="U20" s="169">
        <f ca="1">IF(ISTEXT($U19),0,$U19+Tbl_Load_distrib[[#This Row],[Shearing Force]]*Tbl_Load_distrib[[#This Row],[L_elt]])</f>
        <v>358.81560827500255</v>
      </c>
    </row>
    <row r="21" spans="2:21" x14ac:dyDescent="0.25">
      <c r="B21" s="136">
        <f t="shared" si="1"/>
        <v>15</v>
      </c>
      <c r="C21" s="140">
        <f t="shared" si="2"/>
        <v>7.5</v>
      </c>
      <c r="D21" s="152">
        <f ca="1">SUM(Tbl_Load_distrib[[#This Row],[Hull &amp; Structure]:[Reserved]])</f>
        <v>8.8333333333333339</v>
      </c>
      <c r="E21" s="147">
        <f>SUMIFS(Tbl_Hull_Structure[Spread],Tbl_Hull_Structure[L from],"&lt;"&amp;Tbl_Load_distrib[[#This Row],[x]],Tbl_Hull_Structure[L to],"&gt;"&amp;C20)*Tbl_Load_distrib[[#This Row],[L_elt]]</f>
        <v>4.666666666666667</v>
      </c>
      <c r="F21" s="260">
        <f ca="1">SUMIFS(Tbl_Ballasts[Spread],Tbl_Ballasts[L from],"&lt;"&amp;Tbl_Load_distrib[[#This Row],[x]],Tbl_Ballasts[L to],"&gt;"&amp;C20)*Tbl_Load_distrib[[#This Row],[L_elt]]</f>
        <v>0</v>
      </c>
      <c r="G21" s="260">
        <f>SUMIFS(Tbl_Lifting[Spread],Tbl_Lifting[L from],"&lt;"&amp;Tbl_Load_distrib[[#This Row],[x]],Tbl_Lifting[L to],"&gt;"&amp;C20)*Tbl_Load_distrib[[#This Row],[L_elt]]</f>
        <v>0</v>
      </c>
      <c r="H21" s="260">
        <f>SUMIFS(Tbl_Additionals[Spread],Tbl_Additionals[L from],"&lt;"&amp;Tbl_Load_distrib[[#This Row],[x]],Tbl_Additionals[L to],"&gt;"&amp;C20)*Tbl_Load_distrib[[#This Row],[L_elt]]</f>
        <v>4.166666666666667</v>
      </c>
      <c r="I21" s="260">
        <f ca="1">SUMIFS(Tbl_Deck_Tank[Spread],Tbl_Deck_Tank[L from],"&lt;"&amp;Tbl_Load_distrib[[#This Row],[x]],Tbl_Deck_Tank[L to],"&gt;"&amp;C20)*Tbl_Load_distrib[[#This Row],[L_elt]]</f>
        <v>0</v>
      </c>
      <c r="J21" s="137"/>
      <c r="K21" s="165">
        <f>IFERROR(Tbl_Long_Section[[#This Row],[H Deck-Bottom]],NA())</f>
        <v>4</v>
      </c>
      <c r="L21" s="829">
        <f>M_depth-Tbl_Load_distrib[[#This Row],[H Deck-Bottom]]</f>
        <v>0</v>
      </c>
      <c r="M21" s="929">
        <f>IFERROR(Tbl_Load_distrib[[#This Row],[x]]-C20,0)</f>
        <v>0.5</v>
      </c>
      <c r="N21" s="929">
        <f ca="1">IF(ISNA(Tbl_Load_distrib[[#This Row],[x]]),NA(),IF(ISTEXT(N20),0,IF(N20=0,$Z$3,N20-($Z$3-$AA$3)/(Lpp-FE_size)*Tbl_Load_distrib[[#This Row],[L_elt]])))</f>
        <v>0.97505016936364308</v>
      </c>
      <c r="O21" s="166">
        <f ca="1">IF(ISNUMBER(O20),(IF((N20-L20)&lt;0,0,N20-L20)+IF((Tbl_Load_distrib[[#This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0.48739606533215729</v>
      </c>
      <c r="P21" s="929">
        <f ca="1">IF(ISNA(Tbl_Load_distrib[[#This Row],[x]]),NA(),IF(ISTEXT(P20),0,IF(P20=0,LongSection_DraftAft,P20-(LongSection_DraftAft-LongSection_DraftFore)/(Lpp-FE_size)*Tbl_Load_distrib[[#This Row],[L_elt]])))</f>
        <v>0.99896407771356743</v>
      </c>
      <c r="Q21" s="166">
        <f ca="1">IF(ISNUMBER(Q20),(IF((P20-L20)&lt;0,0,P20-L20)+IF((Tbl_Load_distrib[[#This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0.49948441460794324</v>
      </c>
      <c r="R21" s="167">
        <f ca="1">ρ_sw*Tbl_Load_distrib[[#This Row],[Elt Area corrected]]*B/k_depl</f>
        <v>10.232626350123025</v>
      </c>
      <c r="S21" s="180">
        <f ca="1">Tbl_Load_distrib[[#This Row],[Section Weight]]-Tbl_Load_distrib[[#This Row],[Floating Elt]]</f>
        <v>-1.3992930167896915</v>
      </c>
      <c r="T21" s="183">
        <f ca="1">IF(ISTEXT($T20),0,$T20+Tbl_Load_distrib[[#This Row],[Net force / Elt]])</f>
        <v>62.728142674610758</v>
      </c>
      <c r="U21" s="169">
        <f ca="1">IF(ISTEXT($U20),0,$U20+Tbl_Load_distrib[[#This Row],[Shearing Force]]*Tbl_Load_distrib[[#This Row],[L_elt]])</f>
        <v>390.17967961230795</v>
      </c>
    </row>
    <row r="22" spans="2:21" x14ac:dyDescent="0.25">
      <c r="B22" s="136">
        <f t="shared" si="1"/>
        <v>16</v>
      </c>
      <c r="C22" s="140">
        <f t="shared" si="2"/>
        <v>8</v>
      </c>
      <c r="D22" s="152">
        <f ca="1">SUM(Tbl_Load_distrib[[#This Row],[Hull &amp; Structure]:[Reserved]])</f>
        <v>8.8333333333333339</v>
      </c>
      <c r="E22" s="147">
        <f>SUMIFS(Tbl_Hull_Structure[Spread],Tbl_Hull_Structure[L from],"&lt;"&amp;Tbl_Load_distrib[[#This Row],[x]],Tbl_Hull_Structure[L to],"&gt;"&amp;C21)*Tbl_Load_distrib[[#This Row],[L_elt]]</f>
        <v>4.666666666666667</v>
      </c>
      <c r="F22" s="260">
        <f ca="1">SUMIFS(Tbl_Ballasts[Spread],Tbl_Ballasts[L from],"&lt;"&amp;Tbl_Load_distrib[[#This Row],[x]],Tbl_Ballasts[L to],"&gt;"&amp;C21)*Tbl_Load_distrib[[#This Row],[L_elt]]</f>
        <v>0</v>
      </c>
      <c r="G22" s="260">
        <f>SUMIFS(Tbl_Lifting[Spread],Tbl_Lifting[L from],"&lt;"&amp;Tbl_Load_distrib[[#This Row],[x]],Tbl_Lifting[L to],"&gt;"&amp;C21)*Tbl_Load_distrib[[#This Row],[L_elt]]</f>
        <v>0</v>
      </c>
      <c r="H22" s="260">
        <f>SUMIFS(Tbl_Additionals[Spread],Tbl_Additionals[L from],"&lt;"&amp;Tbl_Load_distrib[[#This Row],[x]],Tbl_Additionals[L to],"&gt;"&amp;C21)*Tbl_Load_distrib[[#This Row],[L_elt]]</f>
        <v>4.166666666666667</v>
      </c>
      <c r="I22" s="260">
        <f ca="1">SUMIFS(Tbl_Deck_Tank[Spread],Tbl_Deck_Tank[L from],"&lt;"&amp;Tbl_Load_distrib[[#This Row],[x]],Tbl_Deck_Tank[L to],"&gt;"&amp;C21)*Tbl_Load_distrib[[#This Row],[L_elt]]</f>
        <v>0</v>
      </c>
      <c r="J22" s="137"/>
      <c r="K22" s="165">
        <f>IFERROR(Tbl_Long_Section[[#This Row],[H Deck-Bottom]],NA())</f>
        <v>4</v>
      </c>
      <c r="L22" s="829">
        <f>M_depth-Tbl_Load_distrib[[#This Row],[H Deck-Bottom]]</f>
        <v>0</v>
      </c>
      <c r="M22" s="929">
        <f>IFERROR(Tbl_Load_distrib[[#This Row],[x]]-C21,0)</f>
        <v>0.5</v>
      </c>
      <c r="N22" s="929">
        <f ca="1">IF(ISNA(Tbl_Load_distrib[[#This Row],[x]]),NA(),IF(ISTEXT(N21),0,IF(N21=0,$Z$3,N21-($Z$3-$AA$3)/(Lpp-FE_size)*Tbl_Load_distrib[[#This Row],[L_elt]])))</f>
        <v>0.97556624676229997</v>
      </c>
      <c r="O22" s="166">
        <f ca="1">IF(ISNUMBER(O21),(IF((N21-L21)&lt;0,0,N21-L21)+IF((Tbl_Load_distrib[[#This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0.48765410403148579</v>
      </c>
      <c r="P22" s="929">
        <f ca="1">IF(ISNA(Tbl_Load_distrib[[#This Row],[x]]),NA(),IF(ISTEXT(P21),0,IF(P21=0,LongSection_DraftAft,P21-(LongSection_DraftAft-LongSection_DraftFore)/(Lpp-FE_size)*Tbl_Load_distrib[[#This Row],[L_elt]])))</f>
        <v>0.99895457470892923</v>
      </c>
      <c r="Q22" s="166">
        <f ca="1">IF(ISNUMBER(Q21),(IF((P21-L21)&lt;0,0,P21-L21)+IF((Tbl_Load_distrib[[#This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0.49947966310562419</v>
      </c>
      <c r="R22" s="167">
        <f ca="1">ρ_sw*Tbl_Load_distrib[[#This Row],[Elt Area corrected]]*B/k_depl</f>
        <v>10.232529009052092</v>
      </c>
      <c r="S22" s="180">
        <f ca="1">Tbl_Load_distrib[[#This Row],[Section Weight]]-Tbl_Load_distrib[[#This Row],[Floating Elt]]</f>
        <v>-1.399195675718758</v>
      </c>
      <c r="T22" s="183">
        <f ca="1">IF(ISTEXT($T21),0,$T21+Tbl_Load_distrib[[#This Row],[Net force / Elt]])</f>
        <v>61.328946998892</v>
      </c>
      <c r="U22" s="169">
        <f ca="1">IF(ISTEXT($U21),0,$U21+Tbl_Load_distrib[[#This Row],[Shearing Force]]*Tbl_Load_distrib[[#This Row],[L_elt]])</f>
        <v>420.84415311175394</v>
      </c>
    </row>
    <row r="23" spans="2:21" x14ac:dyDescent="0.25">
      <c r="B23" s="136">
        <f t="shared" si="1"/>
        <v>17</v>
      </c>
      <c r="C23" s="140">
        <f t="shared" si="2"/>
        <v>8.5</v>
      </c>
      <c r="D23" s="152">
        <f ca="1">SUM(Tbl_Load_distrib[[#This Row],[Hull &amp; Structure]:[Reserved]])</f>
        <v>8.8333333333333339</v>
      </c>
      <c r="E23" s="147">
        <f>SUMIFS(Tbl_Hull_Structure[Spread],Tbl_Hull_Structure[L from],"&lt;"&amp;Tbl_Load_distrib[[#This Row],[x]],Tbl_Hull_Structure[L to],"&gt;"&amp;C22)*Tbl_Load_distrib[[#This Row],[L_elt]]</f>
        <v>4.666666666666667</v>
      </c>
      <c r="F23" s="260">
        <f ca="1">SUMIFS(Tbl_Ballasts[Spread],Tbl_Ballasts[L from],"&lt;"&amp;Tbl_Load_distrib[[#This Row],[x]],Tbl_Ballasts[L to],"&gt;"&amp;C22)*Tbl_Load_distrib[[#This Row],[L_elt]]</f>
        <v>0</v>
      </c>
      <c r="G23" s="260">
        <f>SUMIFS(Tbl_Lifting[Spread],Tbl_Lifting[L from],"&lt;"&amp;Tbl_Load_distrib[[#This Row],[x]],Tbl_Lifting[L to],"&gt;"&amp;C22)*Tbl_Load_distrib[[#This Row],[L_elt]]</f>
        <v>0</v>
      </c>
      <c r="H23" s="260">
        <f>SUMIFS(Tbl_Additionals[Spread],Tbl_Additionals[L from],"&lt;"&amp;Tbl_Load_distrib[[#This Row],[x]],Tbl_Additionals[L to],"&gt;"&amp;C22)*Tbl_Load_distrib[[#This Row],[L_elt]]</f>
        <v>4.166666666666667</v>
      </c>
      <c r="I23" s="260">
        <f ca="1">SUMIFS(Tbl_Deck_Tank[Spread],Tbl_Deck_Tank[L from],"&lt;"&amp;Tbl_Load_distrib[[#This Row],[x]],Tbl_Deck_Tank[L to],"&gt;"&amp;C22)*Tbl_Load_distrib[[#This Row],[L_elt]]</f>
        <v>0</v>
      </c>
      <c r="J23" s="137"/>
      <c r="K23" s="165">
        <f>IFERROR(Tbl_Long_Section[[#This Row],[H Deck-Bottom]],NA())</f>
        <v>4</v>
      </c>
      <c r="L23" s="829">
        <f>M_depth-Tbl_Load_distrib[[#This Row],[H Deck-Bottom]]</f>
        <v>0</v>
      </c>
      <c r="M23" s="929">
        <f>IFERROR(Tbl_Load_distrib[[#This Row],[x]]-C22,0)</f>
        <v>0.5</v>
      </c>
      <c r="N23" s="929">
        <f ca="1">IF(ISNA(Tbl_Load_distrib[[#This Row],[x]]),NA(),IF(ISTEXT(N22),0,IF(N22=0,$Z$3,N22-($Z$3-$AA$3)/(Lpp-FE_size)*Tbl_Load_distrib[[#This Row],[L_elt]])))</f>
        <v>0.97608232416095686</v>
      </c>
      <c r="O23" s="166">
        <f ca="1">IF(ISNUMBER(O22),(IF((N22-L22)&lt;0,0,N22-L22)+IF((Tbl_Load_distrib[[#This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0.48791214273081418</v>
      </c>
      <c r="P23" s="929">
        <f ca="1">IF(ISNA(Tbl_Load_distrib[[#This Row],[x]]),NA(),IF(ISTEXT(P22),0,IF(P22=0,LongSection_DraftAft,P22-(LongSection_DraftAft-LongSection_DraftFore)/(Lpp-FE_size)*Tbl_Load_distrib[[#This Row],[L_elt]])))</f>
        <v>0.99894507170429103</v>
      </c>
      <c r="Q23" s="166">
        <f ca="1">IF(ISNUMBER(Q22),(IF((P22-L22)&lt;0,0,P22-L22)+IF((Tbl_Load_distrib[[#This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0.49947491160330504</v>
      </c>
      <c r="R23" s="167">
        <f ca="1">ρ_sw*Tbl_Load_distrib[[#This Row],[Elt Area corrected]]*B/k_depl</f>
        <v>10.232431667981155</v>
      </c>
      <c r="S23" s="180">
        <f ca="1">Tbl_Load_distrib[[#This Row],[Section Weight]]-Tbl_Load_distrib[[#This Row],[Floating Elt]]</f>
        <v>-1.399098334647821</v>
      </c>
      <c r="T23" s="183">
        <f ca="1">IF(ISTEXT($T22),0,$T22+Tbl_Load_distrib[[#This Row],[Net force / Elt]])</f>
        <v>59.929848664244176</v>
      </c>
      <c r="U23" s="169">
        <f ca="1">IF(ISTEXT($U22),0,$U22+Tbl_Load_distrib[[#This Row],[Shearing Force]]*Tbl_Load_distrib[[#This Row],[L_elt]])</f>
        <v>450.80907744387605</v>
      </c>
    </row>
    <row r="24" spans="2:21" x14ac:dyDescent="0.25">
      <c r="B24" s="136">
        <f t="shared" si="1"/>
        <v>18</v>
      </c>
      <c r="C24" s="140">
        <f t="shared" si="2"/>
        <v>9</v>
      </c>
      <c r="D24" s="152">
        <f ca="1">SUM(Tbl_Load_distrib[[#This Row],[Hull &amp; Structure]:[Reserved]])</f>
        <v>8.8333333333333339</v>
      </c>
      <c r="E24" s="147">
        <f>SUMIFS(Tbl_Hull_Structure[Spread],Tbl_Hull_Structure[L from],"&lt;"&amp;Tbl_Load_distrib[[#This Row],[x]],Tbl_Hull_Structure[L to],"&gt;"&amp;C23)*Tbl_Load_distrib[[#This Row],[L_elt]]</f>
        <v>4.666666666666667</v>
      </c>
      <c r="F24" s="260">
        <f ca="1">SUMIFS(Tbl_Ballasts[Spread],Tbl_Ballasts[L from],"&lt;"&amp;Tbl_Load_distrib[[#This Row],[x]],Tbl_Ballasts[L to],"&gt;"&amp;C23)*Tbl_Load_distrib[[#This Row],[L_elt]]</f>
        <v>0</v>
      </c>
      <c r="G24" s="260">
        <f>SUMIFS(Tbl_Lifting[Spread],Tbl_Lifting[L from],"&lt;"&amp;Tbl_Load_distrib[[#This Row],[x]],Tbl_Lifting[L to],"&gt;"&amp;C23)*Tbl_Load_distrib[[#This Row],[L_elt]]</f>
        <v>0</v>
      </c>
      <c r="H24" s="260">
        <f>SUMIFS(Tbl_Additionals[Spread],Tbl_Additionals[L from],"&lt;"&amp;Tbl_Load_distrib[[#This Row],[x]],Tbl_Additionals[L to],"&gt;"&amp;C23)*Tbl_Load_distrib[[#This Row],[L_elt]]</f>
        <v>4.166666666666667</v>
      </c>
      <c r="I24" s="260">
        <f ca="1">SUMIFS(Tbl_Deck_Tank[Spread],Tbl_Deck_Tank[L from],"&lt;"&amp;Tbl_Load_distrib[[#This Row],[x]],Tbl_Deck_Tank[L to],"&gt;"&amp;C23)*Tbl_Load_distrib[[#This Row],[L_elt]]</f>
        <v>0</v>
      </c>
      <c r="J24" s="137"/>
      <c r="K24" s="165">
        <f>IFERROR(Tbl_Long_Section[[#This Row],[H Deck-Bottom]],NA())</f>
        <v>4</v>
      </c>
      <c r="L24" s="829">
        <f>M_depth-Tbl_Load_distrib[[#This Row],[H Deck-Bottom]]</f>
        <v>0</v>
      </c>
      <c r="M24" s="929">
        <f>IFERROR(Tbl_Load_distrib[[#This Row],[x]]-C23,0)</f>
        <v>0.5</v>
      </c>
      <c r="N24" s="929">
        <f ca="1">IF(ISNA(Tbl_Load_distrib[[#This Row],[x]]),NA(),IF(ISTEXT(N23),0,IF(N23=0,$Z$3,N23-($Z$3-$AA$3)/(Lpp-FE_size)*Tbl_Load_distrib[[#This Row],[L_elt]])))</f>
        <v>0.97659840155961375</v>
      </c>
      <c r="O24" s="166">
        <f ca="1">IF(ISNUMBER(O23),(IF((N23-L23)&lt;0,0,N23-L23)+IF((Tbl_Load_distrib[[#This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0.48817018143014268</v>
      </c>
      <c r="P24" s="929">
        <f ca="1">IF(ISNA(Tbl_Load_distrib[[#This Row],[x]]),NA(),IF(ISTEXT(P23),0,IF(P23=0,LongSection_DraftAft,P23-(LongSection_DraftAft-LongSection_DraftFore)/(Lpp-FE_size)*Tbl_Load_distrib[[#This Row],[L_elt]])))</f>
        <v>0.99893556869965283</v>
      </c>
      <c r="Q24" s="166">
        <f ca="1">IF(ISNUMBER(Q23),(IF((P23-L23)&lt;0,0,P23-L23)+IF((Tbl_Load_distrib[[#This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0.49947016010098599</v>
      </c>
      <c r="R24" s="167">
        <f ca="1">ρ_sw*Tbl_Load_distrib[[#This Row],[Elt Area corrected]]*B/k_depl</f>
        <v>10.232334326910223</v>
      </c>
      <c r="S24" s="180">
        <f ca="1">Tbl_Load_distrib[[#This Row],[Section Weight]]-Tbl_Load_distrib[[#This Row],[Floating Elt]]</f>
        <v>-1.3990009935768892</v>
      </c>
      <c r="T24" s="183">
        <f ca="1">IF(ISTEXT($T23),0,$T23+Tbl_Load_distrib[[#This Row],[Net force / Elt]])</f>
        <v>58.530847670667285</v>
      </c>
      <c r="U24" s="169">
        <f ca="1">IF(ISTEXT($U23),0,$U23+Tbl_Load_distrib[[#This Row],[Shearing Force]]*Tbl_Load_distrib[[#This Row],[L_elt]])</f>
        <v>480.0745012792097</v>
      </c>
    </row>
    <row r="25" spans="2:21" x14ac:dyDescent="0.25">
      <c r="B25" s="136">
        <f t="shared" si="1"/>
        <v>19</v>
      </c>
      <c r="C25" s="140">
        <f t="shared" si="2"/>
        <v>9.5</v>
      </c>
      <c r="D25" s="152">
        <f ca="1">SUM(Tbl_Load_distrib[[#This Row],[Hull &amp; Structure]:[Reserved]])</f>
        <v>8.8333333333333339</v>
      </c>
      <c r="E25" s="147">
        <f>SUMIFS(Tbl_Hull_Structure[Spread],Tbl_Hull_Structure[L from],"&lt;"&amp;Tbl_Load_distrib[[#This Row],[x]],Tbl_Hull_Structure[L to],"&gt;"&amp;C24)*Tbl_Load_distrib[[#This Row],[L_elt]]</f>
        <v>4.666666666666667</v>
      </c>
      <c r="F25" s="260">
        <f ca="1">SUMIFS(Tbl_Ballasts[Spread],Tbl_Ballasts[L from],"&lt;"&amp;Tbl_Load_distrib[[#This Row],[x]],Tbl_Ballasts[L to],"&gt;"&amp;C24)*Tbl_Load_distrib[[#This Row],[L_elt]]</f>
        <v>0</v>
      </c>
      <c r="G25" s="260">
        <f>SUMIFS(Tbl_Lifting[Spread],Tbl_Lifting[L from],"&lt;"&amp;Tbl_Load_distrib[[#This Row],[x]],Tbl_Lifting[L to],"&gt;"&amp;C24)*Tbl_Load_distrib[[#This Row],[L_elt]]</f>
        <v>0</v>
      </c>
      <c r="H25" s="260">
        <f>SUMIFS(Tbl_Additionals[Spread],Tbl_Additionals[L from],"&lt;"&amp;Tbl_Load_distrib[[#This Row],[x]],Tbl_Additionals[L to],"&gt;"&amp;C24)*Tbl_Load_distrib[[#This Row],[L_elt]]</f>
        <v>4.166666666666667</v>
      </c>
      <c r="I25" s="260">
        <f ca="1">SUMIFS(Tbl_Deck_Tank[Spread],Tbl_Deck_Tank[L from],"&lt;"&amp;Tbl_Load_distrib[[#This Row],[x]],Tbl_Deck_Tank[L to],"&gt;"&amp;C24)*Tbl_Load_distrib[[#This Row],[L_elt]]</f>
        <v>0</v>
      </c>
      <c r="J25" s="137"/>
      <c r="K25" s="165">
        <f>IFERROR(Tbl_Long_Section[[#This Row],[H Deck-Bottom]],NA())</f>
        <v>4</v>
      </c>
      <c r="L25" s="829">
        <f>M_depth-Tbl_Load_distrib[[#This Row],[H Deck-Bottom]]</f>
        <v>0</v>
      </c>
      <c r="M25" s="929">
        <f>IFERROR(Tbl_Load_distrib[[#This Row],[x]]-C24,0)</f>
        <v>0.5</v>
      </c>
      <c r="N25" s="929">
        <f ca="1">IF(ISNA(Tbl_Load_distrib[[#This Row],[x]]),NA(),IF(ISTEXT(N24),0,IF(N24=0,$Z$3,N24-($Z$3-$AA$3)/(Lpp-FE_size)*Tbl_Load_distrib[[#This Row],[L_elt]])))</f>
        <v>0.97711447895827064</v>
      </c>
      <c r="O25" s="166">
        <f ca="1">IF(ISNUMBER(O24),(IF((N24-L24)&lt;0,0,N24-L24)+IF((Tbl_Load_distrib[[#This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0.48842822012947107</v>
      </c>
      <c r="P25" s="929">
        <f ca="1">IF(ISNA(Tbl_Load_distrib[[#This Row],[x]]),NA(),IF(ISTEXT(P24),0,IF(P24=0,LongSection_DraftAft,P24-(LongSection_DraftAft-LongSection_DraftFore)/(Lpp-FE_size)*Tbl_Load_distrib[[#This Row],[L_elt]])))</f>
        <v>0.99892606569501463</v>
      </c>
      <c r="Q25" s="166">
        <f ca="1">IF(ISNUMBER(Q24),(IF((P24-L24)&lt;0,0,P24-L24)+IF((Tbl_Load_distrib[[#This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0.49946540859866684</v>
      </c>
      <c r="R25" s="167">
        <f ca="1">ρ_sw*Tbl_Load_distrib[[#This Row],[Elt Area corrected]]*B/k_depl</f>
        <v>10.232236985839288</v>
      </c>
      <c r="S25" s="180">
        <f ca="1">Tbl_Load_distrib[[#This Row],[Section Weight]]-Tbl_Load_distrib[[#This Row],[Floating Elt]]</f>
        <v>-1.3989036525059539</v>
      </c>
      <c r="T25" s="183">
        <f ca="1">IF(ISTEXT($T24),0,$T24+Tbl_Load_distrib[[#This Row],[Net force / Elt]])</f>
        <v>57.131944018161334</v>
      </c>
      <c r="U25" s="169">
        <f ca="1">IF(ISTEXT($U24),0,$U24+Tbl_Load_distrib[[#This Row],[Shearing Force]]*Tbl_Load_distrib[[#This Row],[L_elt]])</f>
        <v>508.64047328829037</v>
      </c>
    </row>
    <row r="26" spans="2:21" x14ac:dyDescent="0.25">
      <c r="B26" s="136">
        <f t="shared" si="1"/>
        <v>20</v>
      </c>
      <c r="C26" s="140">
        <f t="shared" si="2"/>
        <v>10</v>
      </c>
      <c r="D26" s="152">
        <f ca="1">SUM(Tbl_Load_distrib[[#This Row],[Hull &amp; Structure]:[Reserved]])</f>
        <v>8.8333333333333339</v>
      </c>
      <c r="E26" s="147">
        <f>SUMIFS(Tbl_Hull_Structure[Spread],Tbl_Hull_Structure[L from],"&lt;"&amp;Tbl_Load_distrib[[#This Row],[x]],Tbl_Hull_Structure[L to],"&gt;"&amp;C25)*Tbl_Load_distrib[[#This Row],[L_elt]]</f>
        <v>4.666666666666667</v>
      </c>
      <c r="F26" s="260">
        <f ca="1">SUMIFS(Tbl_Ballasts[Spread],Tbl_Ballasts[L from],"&lt;"&amp;Tbl_Load_distrib[[#This Row],[x]],Tbl_Ballasts[L to],"&gt;"&amp;C25)*Tbl_Load_distrib[[#This Row],[L_elt]]</f>
        <v>0</v>
      </c>
      <c r="G26" s="260">
        <f>SUMIFS(Tbl_Lifting[Spread],Tbl_Lifting[L from],"&lt;"&amp;Tbl_Load_distrib[[#This Row],[x]],Tbl_Lifting[L to],"&gt;"&amp;C25)*Tbl_Load_distrib[[#This Row],[L_elt]]</f>
        <v>0</v>
      </c>
      <c r="H26" s="260">
        <f>SUMIFS(Tbl_Additionals[Spread],Tbl_Additionals[L from],"&lt;"&amp;Tbl_Load_distrib[[#This Row],[x]],Tbl_Additionals[L to],"&gt;"&amp;C25)*Tbl_Load_distrib[[#This Row],[L_elt]]</f>
        <v>4.166666666666667</v>
      </c>
      <c r="I26" s="260">
        <f ca="1">SUMIFS(Tbl_Deck_Tank[Spread],Tbl_Deck_Tank[L from],"&lt;"&amp;Tbl_Load_distrib[[#This Row],[x]],Tbl_Deck_Tank[L to],"&gt;"&amp;C25)*Tbl_Load_distrib[[#This Row],[L_elt]]</f>
        <v>0</v>
      </c>
      <c r="J26" s="137"/>
      <c r="K26" s="165">
        <f>IFERROR(Tbl_Long_Section[[#This Row],[H Deck-Bottom]],NA())</f>
        <v>4</v>
      </c>
      <c r="L26" s="829">
        <f>M_depth-Tbl_Load_distrib[[#This Row],[H Deck-Bottom]]</f>
        <v>0</v>
      </c>
      <c r="M26" s="929">
        <f>IFERROR(Tbl_Load_distrib[[#This Row],[x]]-C25,0)</f>
        <v>0.5</v>
      </c>
      <c r="N26" s="929">
        <f ca="1">IF(ISNA(Tbl_Load_distrib[[#This Row],[x]]),NA(),IF(ISTEXT(N25),0,IF(N25=0,$Z$3,N25-($Z$3-$AA$3)/(Lpp-FE_size)*Tbl_Load_distrib[[#This Row],[L_elt]])))</f>
        <v>0.97763055635692753</v>
      </c>
      <c r="O26" s="166">
        <f ca="1">IF(ISNUMBER(O25),(IF((N25-L25)&lt;0,0,N25-L25)+IF((Tbl_Load_distrib[[#This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0.48868625882879957</v>
      </c>
      <c r="P26" s="929">
        <f ca="1">IF(ISNA(Tbl_Load_distrib[[#This Row],[x]]),NA(),IF(ISTEXT(P25),0,IF(P25=0,LongSection_DraftAft,P25-(LongSection_DraftAft-LongSection_DraftFore)/(Lpp-FE_size)*Tbl_Load_distrib[[#This Row],[L_elt]])))</f>
        <v>0.99891656269037643</v>
      </c>
      <c r="Q26" s="166">
        <f ca="1">IF(ISNUMBER(Q25),(IF((P25-L25)&lt;0,0,P25-L25)+IF((Tbl_Load_distrib[[#This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0.49946065709634779</v>
      </c>
      <c r="R26" s="167">
        <f ca="1">ρ_sw*Tbl_Load_distrib[[#This Row],[Elt Area corrected]]*B/k_depl</f>
        <v>10.232139644768353</v>
      </c>
      <c r="S26" s="180">
        <f ca="1">Tbl_Load_distrib[[#This Row],[Section Weight]]-Tbl_Load_distrib[[#This Row],[Floating Elt]]</f>
        <v>-1.3988063114350187</v>
      </c>
      <c r="T26" s="183">
        <f ca="1">IF(ISTEXT($T25),0,$T25+Tbl_Load_distrib[[#This Row],[Net force / Elt]])</f>
        <v>55.733137706726318</v>
      </c>
      <c r="U26" s="169">
        <f ca="1">IF(ISTEXT($U25),0,$U25+Tbl_Load_distrib[[#This Row],[Shearing Force]]*Tbl_Load_distrib[[#This Row],[L_elt]])</f>
        <v>536.50704214165353</v>
      </c>
    </row>
    <row r="27" spans="2:21" x14ac:dyDescent="0.25">
      <c r="B27" s="136">
        <f t="shared" si="1"/>
        <v>21</v>
      </c>
      <c r="C27" s="140">
        <f t="shared" si="2"/>
        <v>10.5</v>
      </c>
      <c r="D27" s="152">
        <f ca="1">SUM(Tbl_Load_distrib[[#This Row],[Hull &amp; Structure]:[Reserved]])</f>
        <v>8.8333333333333339</v>
      </c>
      <c r="E27" s="147">
        <f>SUMIFS(Tbl_Hull_Structure[Spread],Tbl_Hull_Structure[L from],"&lt;"&amp;Tbl_Load_distrib[[#This Row],[x]],Tbl_Hull_Structure[L to],"&gt;"&amp;C26)*Tbl_Load_distrib[[#This Row],[L_elt]]</f>
        <v>4.666666666666667</v>
      </c>
      <c r="F27" s="260">
        <f ca="1">SUMIFS(Tbl_Ballasts[Spread],Tbl_Ballasts[L from],"&lt;"&amp;Tbl_Load_distrib[[#This Row],[x]],Tbl_Ballasts[L to],"&gt;"&amp;C26)*Tbl_Load_distrib[[#This Row],[L_elt]]</f>
        <v>0</v>
      </c>
      <c r="G27" s="260">
        <f>SUMIFS(Tbl_Lifting[Spread],Tbl_Lifting[L from],"&lt;"&amp;Tbl_Load_distrib[[#This Row],[x]],Tbl_Lifting[L to],"&gt;"&amp;C26)*Tbl_Load_distrib[[#This Row],[L_elt]]</f>
        <v>0</v>
      </c>
      <c r="H27" s="260">
        <f>SUMIFS(Tbl_Additionals[Spread],Tbl_Additionals[L from],"&lt;"&amp;Tbl_Load_distrib[[#This Row],[x]],Tbl_Additionals[L to],"&gt;"&amp;C26)*Tbl_Load_distrib[[#This Row],[L_elt]]</f>
        <v>4.166666666666667</v>
      </c>
      <c r="I27" s="260">
        <f ca="1">SUMIFS(Tbl_Deck_Tank[Spread],Tbl_Deck_Tank[L from],"&lt;"&amp;Tbl_Load_distrib[[#This Row],[x]],Tbl_Deck_Tank[L to],"&gt;"&amp;C26)*Tbl_Load_distrib[[#This Row],[L_elt]]</f>
        <v>0</v>
      </c>
      <c r="J27" s="137"/>
      <c r="K27" s="165">
        <f>IFERROR(Tbl_Long_Section[[#This Row],[H Deck-Bottom]],NA())</f>
        <v>4</v>
      </c>
      <c r="L27" s="829">
        <f>M_depth-Tbl_Load_distrib[[#This Row],[H Deck-Bottom]]</f>
        <v>0</v>
      </c>
      <c r="M27" s="929">
        <f>IFERROR(Tbl_Load_distrib[[#This Row],[x]]-C26,0)</f>
        <v>0.5</v>
      </c>
      <c r="N27" s="929">
        <f ca="1">IF(ISNA(Tbl_Load_distrib[[#This Row],[x]]),NA(),IF(ISTEXT(N26),0,IF(N26=0,$Z$3,N26-($Z$3-$AA$3)/(Lpp-FE_size)*Tbl_Load_distrib[[#This Row],[L_elt]])))</f>
        <v>0.97814663375558442</v>
      </c>
      <c r="O27" s="166">
        <f ca="1">IF(ISNUMBER(O26),(IF((N26-L26)&lt;0,0,N26-L26)+IF((Tbl_Load_distrib[[#This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0.48894429752812796</v>
      </c>
      <c r="P27" s="929">
        <f ca="1">IF(ISNA(Tbl_Load_distrib[[#This Row],[x]]),NA(),IF(ISTEXT(P26),0,IF(P26=0,LongSection_DraftAft,P26-(LongSection_DraftAft-LongSection_DraftFore)/(Lpp-FE_size)*Tbl_Load_distrib[[#This Row],[L_elt]])))</f>
        <v>0.99890705968573823</v>
      </c>
      <c r="Q27" s="166">
        <f ca="1">IF(ISNUMBER(Q26),(IF((P26-L26)&lt;0,0,P26-L26)+IF((Tbl_Load_distrib[[#This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0.49945590559402864</v>
      </c>
      <c r="R27" s="167">
        <f ca="1">ρ_sw*Tbl_Load_distrib[[#This Row],[Elt Area corrected]]*B/k_depl</f>
        <v>10.232042303697417</v>
      </c>
      <c r="S27" s="180">
        <f ca="1">Tbl_Load_distrib[[#This Row],[Section Weight]]-Tbl_Load_distrib[[#This Row],[Floating Elt]]</f>
        <v>-1.3987089703640834</v>
      </c>
      <c r="T27" s="183">
        <f ca="1">IF(ISTEXT($T26),0,$T26+Tbl_Load_distrib[[#This Row],[Net force / Elt]])</f>
        <v>54.334428736362234</v>
      </c>
      <c r="U27" s="169">
        <f ca="1">IF(ISTEXT($U26),0,$U26+Tbl_Load_distrib[[#This Row],[Shearing Force]]*Tbl_Load_distrib[[#This Row],[L_elt]])</f>
        <v>563.67425650983466</v>
      </c>
    </row>
    <row r="28" spans="2:21" x14ac:dyDescent="0.25">
      <c r="B28" s="136">
        <f t="shared" si="1"/>
        <v>22</v>
      </c>
      <c r="C28" s="140">
        <f t="shared" si="2"/>
        <v>11</v>
      </c>
      <c r="D28" s="152">
        <f ca="1">SUM(Tbl_Load_distrib[[#This Row],[Hull &amp; Structure]:[Reserved]])</f>
        <v>8.8333333333333339</v>
      </c>
      <c r="E28" s="147">
        <f>SUMIFS(Tbl_Hull_Structure[Spread],Tbl_Hull_Structure[L from],"&lt;"&amp;Tbl_Load_distrib[[#This Row],[x]],Tbl_Hull_Structure[L to],"&gt;"&amp;C27)*Tbl_Load_distrib[[#This Row],[L_elt]]</f>
        <v>4.666666666666667</v>
      </c>
      <c r="F28" s="260">
        <f ca="1">SUMIFS(Tbl_Ballasts[Spread],Tbl_Ballasts[L from],"&lt;"&amp;Tbl_Load_distrib[[#This Row],[x]],Tbl_Ballasts[L to],"&gt;"&amp;C27)*Tbl_Load_distrib[[#This Row],[L_elt]]</f>
        <v>0</v>
      </c>
      <c r="G28" s="260">
        <f>SUMIFS(Tbl_Lifting[Spread],Tbl_Lifting[L from],"&lt;"&amp;Tbl_Load_distrib[[#This Row],[x]],Tbl_Lifting[L to],"&gt;"&amp;C27)*Tbl_Load_distrib[[#This Row],[L_elt]]</f>
        <v>0</v>
      </c>
      <c r="H28" s="260">
        <f>SUMIFS(Tbl_Additionals[Spread],Tbl_Additionals[L from],"&lt;"&amp;Tbl_Load_distrib[[#This Row],[x]],Tbl_Additionals[L to],"&gt;"&amp;C27)*Tbl_Load_distrib[[#This Row],[L_elt]]</f>
        <v>4.166666666666667</v>
      </c>
      <c r="I28" s="260">
        <f ca="1">SUMIFS(Tbl_Deck_Tank[Spread],Tbl_Deck_Tank[L from],"&lt;"&amp;Tbl_Load_distrib[[#This Row],[x]],Tbl_Deck_Tank[L to],"&gt;"&amp;C27)*Tbl_Load_distrib[[#This Row],[L_elt]]</f>
        <v>0</v>
      </c>
      <c r="J28" s="137"/>
      <c r="K28" s="165">
        <f>IFERROR(Tbl_Long_Section[[#This Row],[H Deck-Bottom]],NA())</f>
        <v>4</v>
      </c>
      <c r="L28" s="829">
        <f>M_depth-Tbl_Load_distrib[[#This Row],[H Deck-Bottom]]</f>
        <v>0</v>
      </c>
      <c r="M28" s="929">
        <f>IFERROR(Tbl_Load_distrib[[#This Row],[x]]-C27,0)</f>
        <v>0.5</v>
      </c>
      <c r="N28" s="929">
        <f ca="1">IF(ISNA(Tbl_Load_distrib[[#This Row],[x]]),NA(),IF(ISTEXT(N27),0,IF(N27=0,$Z$3,N27-($Z$3-$AA$3)/(Lpp-FE_size)*Tbl_Load_distrib[[#This Row],[L_elt]])))</f>
        <v>0.9786627111542413</v>
      </c>
      <c r="O28" s="166">
        <f ca="1">IF(ISNUMBER(O27),(IF((N27-L27)&lt;0,0,N27-L27)+IF((Tbl_Load_distrib[[#This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0.48920233622745646</v>
      </c>
      <c r="P28" s="929">
        <f ca="1">IF(ISNA(Tbl_Load_distrib[[#This Row],[x]]),NA(),IF(ISTEXT(P27),0,IF(P27=0,LongSection_DraftAft,P27-(LongSection_DraftAft-LongSection_DraftFore)/(Lpp-FE_size)*Tbl_Load_distrib[[#This Row],[L_elt]])))</f>
        <v>0.99889755668110003</v>
      </c>
      <c r="Q28" s="166">
        <f ca="1">IF(ISNUMBER(Q27),(IF((P27-L27)&lt;0,0,P27-L27)+IF((Tbl_Load_distrib[[#This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0.49945115409170959</v>
      </c>
      <c r="R28" s="167">
        <f ca="1">ρ_sw*Tbl_Load_distrib[[#This Row],[Elt Area corrected]]*B/k_depl</f>
        <v>10.231944962626484</v>
      </c>
      <c r="S28" s="180">
        <f ca="1">Tbl_Load_distrib[[#This Row],[Section Weight]]-Tbl_Load_distrib[[#This Row],[Floating Elt]]</f>
        <v>-1.3986116292931499</v>
      </c>
      <c r="T28" s="183">
        <f ca="1">IF(ISTEXT($T27),0,$T27+Tbl_Load_distrib[[#This Row],[Net force / Elt]])</f>
        <v>52.935817107069084</v>
      </c>
      <c r="U28" s="169">
        <f ca="1">IF(ISTEXT($U27),0,$U27+Tbl_Load_distrib[[#This Row],[Shearing Force]]*Tbl_Load_distrib[[#This Row],[L_elt]])</f>
        <v>590.14216506336925</v>
      </c>
    </row>
    <row r="29" spans="2:21" x14ac:dyDescent="0.25">
      <c r="B29" s="136">
        <f t="shared" si="1"/>
        <v>23</v>
      </c>
      <c r="C29" s="140">
        <f t="shared" si="2"/>
        <v>11.5</v>
      </c>
      <c r="D29" s="152">
        <f ca="1">SUM(Tbl_Load_distrib[[#This Row],[Hull &amp; Structure]:[Reserved]])</f>
        <v>8.8333333333333339</v>
      </c>
      <c r="E29" s="147">
        <f>SUMIFS(Tbl_Hull_Structure[Spread],Tbl_Hull_Structure[L from],"&lt;"&amp;Tbl_Load_distrib[[#This Row],[x]],Tbl_Hull_Structure[L to],"&gt;"&amp;C28)*Tbl_Load_distrib[[#This Row],[L_elt]]</f>
        <v>4.666666666666667</v>
      </c>
      <c r="F29" s="260">
        <f ca="1">SUMIFS(Tbl_Ballasts[Spread],Tbl_Ballasts[L from],"&lt;"&amp;Tbl_Load_distrib[[#This Row],[x]],Tbl_Ballasts[L to],"&gt;"&amp;C28)*Tbl_Load_distrib[[#This Row],[L_elt]]</f>
        <v>0</v>
      </c>
      <c r="G29" s="260">
        <f>SUMIFS(Tbl_Lifting[Spread],Tbl_Lifting[L from],"&lt;"&amp;Tbl_Load_distrib[[#This Row],[x]],Tbl_Lifting[L to],"&gt;"&amp;C28)*Tbl_Load_distrib[[#This Row],[L_elt]]</f>
        <v>0</v>
      </c>
      <c r="H29" s="260">
        <f>SUMIFS(Tbl_Additionals[Spread],Tbl_Additionals[L from],"&lt;"&amp;Tbl_Load_distrib[[#This Row],[x]],Tbl_Additionals[L to],"&gt;"&amp;C28)*Tbl_Load_distrib[[#This Row],[L_elt]]</f>
        <v>4.166666666666667</v>
      </c>
      <c r="I29" s="260">
        <f ca="1">SUMIFS(Tbl_Deck_Tank[Spread],Tbl_Deck_Tank[L from],"&lt;"&amp;Tbl_Load_distrib[[#This Row],[x]],Tbl_Deck_Tank[L to],"&gt;"&amp;C28)*Tbl_Load_distrib[[#This Row],[L_elt]]</f>
        <v>0</v>
      </c>
      <c r="J29" s="137"/>
      <c r="K29" s="165">
        <f>IFERROR(Tbl_Long_Section[[#This Row],[H Deck-Bottom]],NA())</f>
        <v>4</v>
      </c>
      <c r="L29" s="829">
        <f>M_depth-Tbl_Load_distrib[[#This Row],[H Deck-Bottom]]</f>
        <v>0</v>
      </c>
      <c r="M29" s="929">
        <f>IFERROR(Tbl_Load_distrib[[#This Row],[x]]-C28,0)</f>
        <v>0.5</v>
      </c>
      <c r="N29" s="929">
        <f ca="1">IF(ISNA(Tbl_Load_distrib[[#This Row],[x]]),NA(),IF(ISTEXT(N28),0,IF(N28=0,$Z$3,N28-($Z$3-$AA$3)/(Lpp-FE_size)*Tbl_Load_distrib[[#This Row],[L_elt]])))</f>
        <v>0.97917878855289819</v>
      </c>
      <c r="O29" s="166">
        <f ca="1">IF(ISNUMBER(O28),(IF((N28-L28)&lt;0,0,N28-L28)+IF((Tbl_Load_distrib[[#This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0.48946037492678485</v>
      </c>
      <c r="P29" s="929">
        <f ca="1">IF(ISNA(Tbl_Load_distrib[[#This Row],[x]]),NA(),IF(ISTEXT(P28),0,IF(P28=0,LongSection_DraftAft,P28-(LongSection_DraftAft-LongSection_DraftFore)/(Lpp-FE_size)*Tbl_Load_distrib[[#This Row],[L_elt]])))</f>
        <v>0.99888805367646183</v>
      </c>
      <c r="Q29" s="166">
        <f ca="1">IF(ISNUMBER(Q28),(IF((P28-L28)&lt;0,0,P28-L28)+IF((Tbl_Load_distrib[[#This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0.49944640258939044</v>
      </c>
      <c r="R29" s="167">
        <f ca="1">ρ_sw*Tbl_Load_distrib[[#This Row],[Elt Area corrected]]*B/k_depl</f>
        <v>10.231847621555547</v>
      </c>
      <c r="S29" s="180">
        <f ca="1">Tbl_Load_distrib[[#This Row],[Section Weight]]-Tbl_Load_distrib[[#This Row],[Floating Elt]]</f>
        <v>-1.3985142882222128</v>
      </c>
      <c r="T29" s="183">
        <f ca="1">IF(ISTEXT($T28),0,$T28+Tbl_Load_distrib[[#This Row],[Net force / Elt]])</f>
        <v>51.537302818846868</v>
      </c>
      <c r="U29" s="169">
        <f ca="1">IF(ISTEXT($U28),0,$U28+Tbl_Load_distrib[[#This Row],[Shearing Force]]*Tbl_Load_distrib[[#This Row],[L_elt]])</f>
        <v>615.9108164727927</v>
      </c>
    </row>
    <row r="30" spans="2:21" x14ac:dyDescent="0.25">
      <c r="B30" s="136">
        <f t="shared" si="1"/>
        <v>24</v>
      </c>
      <c r="C30" s="140">
        <f t="shared" si="2"/>
        <v>12</v>
      </c>
      <c r="D30" s="152">
        <f ca="1">SUM(Tbl_Load_distrib[[#This Row],[Hull &amp; Structure]:[Reserved]])</f>
        <v>8.8333333333333339</v>
      </c>
      <c r="E30" s="147">
        <f>SUMIFS(Tbl_Hull_Structure[Spread],Tbl_Hull_Structure[L from],"&lt;"&amp;Tbl_Load_distrib[[#This Row],[x]],Tbl_Hull_Structure[L to],"&gt;"&amp;C29)*Tbl_Load_distrib[[#This Row],[L_elt]]</f>
        <v>4.666666666666667</v>
      </c>
      <c r="F30" s="260">
        <f ca="1">SUMIFS(Tbl_Ballasts[Spread],Tbl_Ballasts[L from],"&lt;"&amp;Tbl_Load_distrib[[#This Row],[x]],Tbl_Ballasts[L to],"&gt;"&amp;C29)*Tbl_Load_distrib[[#This Row],[L_elt]]</f>
        <v>0</v>
      </c>
      <c r="G30" s="260">
        <f>SUMIFS(Tbl_Lifting[Spread],Tbl_Lifting[L from],"&lt;"&amp;Tbl_Load_distrib[[#This Row],[x]],Tbl_Lifting[L to],"&gt;"&amp;C29)*Tbl_Load_distrib[[#This Row],[L_elt]]</f>
        <v>0</v>
      </c>
      <c r="H30" s="260">
        <f>SUMIFS(Tbl_Additionals[Spread],Tbl_Additionals[L from],"&lt;"&amp;Tbl_Load_distrib[[#This Row],[x]],Tbl_Additionals[L to],"&gt;"&amp;C29)*Tbl_Load_distrib[[#This Row],[L_elt]]</f>
        <v>4.166666666666667</v>
      </c>
      <c r="I30" s="260">
        <f ca="1">SUMIFS(Tbl_Deck_Tank[Spread],Tbl_Deck_Tank[L from],"&lt;"&amp;Tbl_Load_distrib[[#This Row],[x]],Tbl_Deck_Tank[L to],"&gt;"&amp;C29)*Tbl_Load_distrib[[#This Row],[L_elt]]</f>
        <v>0</v>
      </c>
      <c r="J30" s="137"/>
      <c r="K30" s="165">
        <f>IFERROR(Tbl_Long_Section[[#This Row],[H Deck-Bottom]],NA())</f>
        <v>4</v>
      </c>
      <c r="L30" s="829">
        <f>M_depth-Tbl_Load_distrib[[#This Row],[H Deck-Bottom]]</f>
        <v>0</v>
      </c>
      <c r="M30" s="929">
        <f>IFERROR(Tbl_Load_distrib[[#This Row],[x]]-C29,0)</f>
        <v>0.5</v>
      </c>
      <c r="N30" s="929">
        <f ca="1">IF(ISNA(Tbl_Load_distrib[[#This Row],[x]]),NA(),IF(ISTEXT(N29),0,IF(N29=0,$Z$3,N29-($Z$3-$AA$3)/(Lpp-FE_size)*Tbl_Load_distrib[[#This Row],[L_elt]])))</f>
        <v>0.97969486595155508</v>
      </c>
      <c r="O30" s="166">
        <f ca="1">IF(ISNUMBER(O29),(IF((N29-L29)&lt;0,0,N29-L29)+IF((Tbl_Load_distrib[[#This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0.48971841362611335</v>
      </c>
      <c r="P30" s="929">
        <f ca="1">IF(ISNA(Tbl_Load_distrib[[#This Row],[x]]),NA(),IF(ISTEXT(P29),0,IF(P29=0,LongSection_DraftAft,P29-(LongSection_DraftAft-LongSection_DraftFore)/(Lpp-FE_size)*Tbl_Load_distrib[[#This Row],[L_elt]])))</f>
        <v>0.99887855067182363</v>
      </c>
      <c r="Q30" s="166">
        <f ca="1">IF(ISNUMBER(Q29),(IF((P29-L29)&lt;0,0,P29-L29)+IF((Tbl_Load_distrib[[#This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0.49944165108707139</v>
      </c>
      <c r="R30" s="167">
        <f ca="1">ρ_sw*Tbl_Load_distrib[[#This Row],[Elt Area corrected]]*B/k_depl</f>
        <v>10.231750280484615</v>
      </c>
      <c r="S30" s="180">
        <f ca="1">Tbl_Load_distrib[[#This Row],[Section Weight]]-Tbl_Load_distrib[[#This Row],[Floating Elt]]</f>
        <v>-1.3984169471512811</v>
      </c>
      <c r="T30" s="183">
        <f ca="1">IF(ISTEXT($T29),0,$T29+Tbl_Load_distrib[[#This Row],[Net force / Elt]])</f>
        <v>50.138885871695585</v>
      </c>
      <c r="U30" s="169">
        <f ca="1">IF(ISTEXT($U29),0,$U29+Tbl_Load_distrib[[#This Row],[Shearing Force]]*Tbl_Load_distrib[[#This Row],[L_elt]])</f>
        <v>640.98025940864045</v>
      </c>
    </row>
    <row r="31" spans="2:21" x14ac:dyDescent="0.25">
      <c r="B31" s="136">
        <f t="shared" si="1"/>
        <v>25</v>
      </c>
      <c r="C31" s="140">
        <f t="shared" si="2"/>
        <v>12.5</v>
      </c>
      <c r="D31" s="152">
        <f ca="1">SUM(Tbl_Load_distrib[[#This Row],[Hull &amp; Structure]:[Reserved]])</f>
        <v>8.8333333333333339</v>
      </c>
      <c r="E31" s="147">
        <f>SUMIFS(Tbl_Hull_Structure[Spread],Tbl_Hull_Structure[L from],"&lt;"&amp;Tbl_Load_distrib[[#This Row],[x]],Tbl_Hull_Structure[L to],"&gt;"&amp;C30)*Tbl_Load_distrib[[#This Row],[L_elt]]</f>
        <v>4.666666666666667</v>
      </c>
      <c r="F31" s="260">
        <f ca="1">SUMIFS(Tbl_Ballasts[Spread],Tbl_Ballasts[L from],"&lt;"&amp;Tbl_Load_distrib[[#This Row],[x]],Tbl_Ballasts[L to],"&gt;"&amp;C30)*Tbl_Load_distrib[[#This Row],[L_elt]]</f>
        <v>0</v>
      </c>
      <c r="G31" s="260">
        <f>SUMIFS(Tbl_Lifting[Spread],Tbl_Lifting[L from],"&lt;"&amp;Tbl_Load_distrib[[#This Row],[x]],Tbl_Lifting[L to],"&gt;"&amp;C30)*Tbl_Load_distrib[[#This Row],[L_elt]]</f>
        <v>0</v>
      </c>
      <c r="H31" s="260">
        <f>SUMIFS(Tbl_Additionals[Spread],Tbl_Additionals[L from],"&lt;"&amp;Tbl_Load_distrib[[#This Row],[x]],Tbl_Additionals[L to],"&gt;"&amp;C30)*Tbl_Load_distrib[[#This Row],[L_elt]]</f>
        <v>4.166666666666667</v>
      </c>
      <c r="I31" s="260">
        <f ca="1">SUMIFS(Tbl_Deck_Tank[Spread],Tbl_Deck_Tank[L from],"&lt;"&amp;Tbl_Load_distrib[[#This Row],[x]],Tbl_Deck_Tank[L to],"&gt;"&amp;C30)*Tbl_Load_distrib[[#This Row],[L_elt]]</f>
        <v>0</v>
      </c>
      <c r="J31" s="137"/>
      <c r="K31" s="165">
        <f>IFERROR(Tbl_Long_Section[[#This Row],[H Deck-Bottom]],NA())</f>
        <v>4</v>
      </c>
      <c r="L31" s="829">
        <f>M_depth-Tbl_Load_distrib[[#This Row],[H Deck-Bottom]]</f>
        <v>0</v>
      </c>
      <c r="M31" s="929">
        <f>IFERROR(Tbl_Load_distrib[[#This Row],[x]]-C30,0)</f>
        <v>0.5</v>
      </c>
      <c r="N31" s="929">
        <f ca="1">IF(ISNA(Tbl_Load_distrib[[#This Row],[x]]),NA(),IF(ISTEXT(N30),0,IF(N30=0,$Z$3,N30-($Z$3-$AA$3)/(Lpp-FE_size)*Tbl_Load_distrib[[#This Row],[L_elt]])))</f>
        <v>0.98021094335021197</v>
      </c>
      <c r="O31" s="166">
        <f ca="1">IF(ISNUMBER(O30),(IF((N30-L30)&lt;0,0,N30-L30)+IF((Tbl_Load_distrib[[#This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0.48997645232544174</v>
      </c>
      <c r="P31" s="929">
        <f ca="1">IF(ISNA(Tbl_Load_distrib[[#This Row],[x]]),NA(),IF(ISTEXT(P30),0,IF(P30=0,LongSection_DraftAft,P30-(LongSection_DraftAft-LongSection_DraftFore)/(Lpp-FE_size)*Tbl_Load_distrib[[#This Row],[L_elt]])))</f>
        <v>0.99886904766718543</v>
      </c>
      <c r="Q31" s="166">
        <f ca="1">IF(ISNUMBER(Q30),(IF((P30-L30)&lt;0,0,P30-L30)+IF((Tbl_Load_distrib[[#This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0.49943689958475224</v>
      </c>
      <c r="R31" s="167">
        <f ca="1">ρ_sw*Tbl_Load_distrib[[#This Row],[Elt Area corrected]]*B/k_depl</f>
        <v>10.23165293941368</v>
      </c>
      <c r="S31" s="180">
        <f ca="1">Tbl_Load_distrib[[#This Row],[Section Weight]]-Tbl_Load_distrib[[#This Row],[Floating Elt]]</f>
        <v>-1.3983196060803458</v>
      </c>
      <c r="T31" s="183">
        <f ca="1">IF(ISTEXT($T30),0,$T30+Tbl_Load_distrib[[#This Row],[Net force / Elt]])</f>
        <v>48.740566265615243</v>
      </c>
      <c r="U31" s="169">
        <f ca="1">IF(ISTEXT($U30),0,$U30+Tbl_Load_distrib[[#This Row],[Shearing Force]]*Tbl_Load_distrib[[#This Row],[L_elt]])</f>
        <v>665.35054254144802</v>
      </c>
    </row>
    <row r="32" spans="2:21" x14ac:dyDescent="0.25">
      <c r="B32" s="136">
        <f t="shared" si="1"/>
        <v>26</v>
      </c>
      <c r="C32" s="140">
        <f t="shared" si="2"/>
        <v>13</v>
      </c>
      <c r="D32" s="152">
        <f ca="1">SUM(Tbl_Load_distrib[[#This Row],[Hull &amp; Structure]:[Reserved]])</f>
        <v>8.8333333333333339</v>
      </c>
      <c r="E32" s="147">
        <f>SUMIFS(Tbl_Hull_Structure[Spread],Tbl_Hull_Structure[L from],"&lt;"&amp;Tbl_Load_distrib[[#This Row],[x]],Tbl_Hull_Structure[L to],"&gt;"&amp;C31)*Tbl_Load_distrib[[#This Row],[L_elt]]</f>
        <v>4.666666666666667</v>
      </c>
      <c r="F32" s="260">
        <f ca="1">SUMIFS(Tbl_Ballasts[Spread],Tbl_Ballasts[L from],"&lt;"&amp;Tbl_Load_distrib[[#This Row],[x]],Tbl_Ballasts[L to],"&gt;"&amp;C31)*Tbl_Load_distrib[[#This Row],[L_elt]]</f>
        <v>0</v>
      </c>
      <c r="G32" s="260">
        <f>SUMIFS(Tbl_Lifting[Spread],Tbl_Lifting[L from],"&lt;"&amp;Tbl_Load_distrib[[#This Row],[x]],Tbl_Lifting[L to],"&gt;"&amp;C31)*Tbl_Load_distrib[[#This Row],[L_elt]]</f>
        <v>0</v>
      </c>
      <c r="H32" s="260">
        <f>SUMIFS(Tbl_Additionals[Spread],Tbl_Additionals[L from],"&lt;"&amp;Tbl_Load_distrib[[#This Row],[x]],Tbl_Additionals[L to],"&gt;"&amp;C31)*Tbl_Load_distrib[[#This Row],[L_elt]]</f>
        <v>4.166666666666667</v>
      </c>
      <c r="I32" s="260">
        <f ca="1">SUMIFS(Tbl_Deck_Tank[Spread],Tbl_Deck_Tank[L from],"&lt;"&amp;Tbl_Load_distrib[[#This Row],[x]],Tbl_Deck_Tank[L to],"&gt;"&amp;C31)*Tbl_Load_distrib[[#This Row],[L_elt]]</f>
        <v>0</v>
      </c>
      <c r="J32" s="137"/>
      <c r="K32" s="165">
        <f>IFERROR(Tbl_Long_Section[[#This Row],[H Deck-Bottom]],NA())</f>
        <v>4</v>
      </c>
      <c r="L32" s="829">
        <f>M_depth-Tbl_Load_distrib[[#This Row],[H Deck-Bottom]]</f>
        <v>0</v>
      </c>
      <c r="M32" s="929">
        <f>IFERROR(Tbl_Load_distrib[[#This Row],[x]]-C31,0)</f>
        <v>0.5</v>
      </c>
      <c r="N32" s="929">
        <f ca="1">IF(ISNA(Tbl_Load_distrib[[#This Row],[x]]),NA(),IF(ISTEXT(N31),0,IF(N31=0,$Z$3,N31-($Z$3-$AA$3)/(Lpp-FE_size)*Tbl_Load_distrib[[#This Row],[L_elt]])))</f>
        <v>0.98072702074886886</v>
      </c>
      <c r="O32" s="166">
        <f ca="1">IF(ISNUMBER(O31),(IF((N31-L31)&lt;0,0,N31-L31)+IF((Tbl_Load_distrib[[#This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0.49023449102477024</v>
      </c>
      <c r="P32" s="929">
        <f ca="1">IF(ISNA(Tbl_Load_distrib[[#This Row],[x]]),NA(),IF(ISTEXT(P31),0,IF(P31=0,LongSection_DraftAft,P31-(LongSection_DraftAft-LongSection_DraftFore)/(Lpp-FE_size)*Tbl_Load_distrib[[#This Row],[L_elt]])))</f>
        <v>0.99885954466254723</v>
      </c>
      <c r="Q32" s="166">
        <f ca="1">IF(ISNUMBER(Q31),(IF((P31-L31)&lt;0,0,P31-L31)+IF((Tbl_Load_distrib[[#This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0.49943214808243319</v>
      </c>
      <c r="R32" s="167">
        <f ca="1">ρ_sw*Tbl_Load_distrib[[#This Row],[Elt Area corrected]]*B/k_depl</f>
        <v>10.231555598342744</v>
      </c>
      <c r="S32" s="180">
        <f ca="1">Tbl_Load_distrib[[#This Row],[Section Weight]]-Tbl_Load_distrib[[#This Row],[Floating Elt]]</f>
        <v>-1.3982222650094105</v>
      </c>
      <c r="T32" s="183">
        <f ca="1">IF(ISTEXT($T31),0,$T31+Tbl_Load_distrib[[#This Row],[Net force / Elt]])</f>
        <v>47.342344000605834</v>
      </c>
      <c r="U32" s="169">
        <f ca="1">IF(ISTEXT($U31),0,$U31+Tbl_Load_distrib[[#This Row],[Shearing Force]]*Tbl_Load_distrib[[#This Row],[L_elt]])</f>
        <v>689.02171454175095</v>
      </c>
    </row>
    <row r="33" spans="2:21" x14ac:dyDescent="0.25">
      <c r="B33" s="136">
        <f t="shared" si="1"/>
        <v>27</v>
      </c>
      <c r="C33" s="140">
        <f t="shared" si="2"/>
        <v>13.5</v>
      </c>
      <c r="D33" s="152">
        <f ca="1">SUM(Tbl_Load_distrib[[#This Row],[Hull &amp; Structure]:[Reserved]])</f>
        <v>8.8333333333333339</v>
      </c>
      <c r="E33" s="147">
        <f>SUMIFS(Tbl_Hull_Structure[Spread],Tbl_Hull_Structure[L from],"&lt;"&amp;Tbl_Load_distrib[[#This Row],[x]],Tbl_Hull_Structure[L to],"&gt;"&amp;C32)*Tbl_Load_distrib[[#This Row],[L_elt]]</f>
        <v>4.666666666666667</v>
      </c>
      <c r="F33" s="260">
        <f ca="1">SUMIFS(Tbl_Ballasts[Spread],Tbl_Ballasts[L from],"&lt;"&amp;Tbl_Load_distrib[[#This Row],[x]],Tbl_Ballasts[L to],"&gt;"&amp;C32)*Tbl_Load_distrib[[#This Row],[L_elt]]</f>
        <v>0</v>
      </c>
      <c r="G33" s="260">
        <f>SUMIFS(Tbl_Lifting[Spread],Tbl_Lifting[L from],"&lt;"&amp;Tbl_Load_distrib[[#This Row],[x]],Tbl_Lifting[L to],"&gt;"&amp;C32)*Tbl_Load_distrib[[#This Row],[L_elt]]</f>
        <v>0</v>
      </c>
      <c r="H33" s="260">
        <f>SUMIFS(Tbl_Additionals[Spread],Tbl_Additionals[L from],"&lt;"&amp;Tbl_Load_distrib[[#This Row],[x]],Tbl_Additionals[L to],"&gt;"&amp;C32)*Tbl_Load_distrib[[#This Row],[L_elt]]</f>
        <v>4.166666666666667</v>
      </c>
      <c r="I33" s="260">
        <f ca="1">SUMIFS(Tbl_Deck_Tank[Spread],Tbl_Deck_Tank[L from],"&lt;"&amp;Tbl_Load_distrib[[#This Row],[x]],Tbl_Deck_Tank[L to],"&gt;"&amp;C32)*Tbl_Load_distrib[[#This Row],[L_elt]]</f>
        <v>0</v>
      </c>
      <c r="J33" s="137"/>
      <c r="K33" s="165">
        <f>IFERROR(Tbl_Long_Section[[#This Row],[H Deck-Bottom]],NA())</f>
        <v>4</v>
      </c>
      <c r="L33" s="829">
        <f>M_depth-Tbl_Load_distrib[[#This Row],[H Deck-Bottom]]</f>
        <v>0</v>
      </c>
      <c r="M33" s="929">
        <f>IFERROR(Tbl_Load_distrib[[#This Row],[x]]-C32,0)</f>
        <v>0.5</v>
      </c>
      <c r="N33" s="929">
        <f ca="1">IF(ISNA(Tbl_Load_distrib[[#This Row],[x]]),NA(),IF(ISTEXT(N32),0,IF(N32=0,$Z$3,N32-($Z$3-$AA$3)/(Lpp-FE_size)*Tbl_Load_distrib[[#This Row],[L_elt]])))</f>
        <v>0.98124309814752575</v>
      </c>
      <c r="O33" s="166">
        <f ca="1">IF(ISNUMBER(O32),(IF((N32-L32)&lt;0,0,N32-L32)+IF((Tbl_Load_distrib[[#This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0.49049252972409862</v>
      </c>
      <c r="P33" s="929">
        <f ca="1">IF(ISNA(Tbl_Load_distrib[[#This Row],[x]]),NA(),IF(ISTEXT(P32),0,IF(P32=0,LongSection_DraftAft,P32-(LongSection_DraftAft-LongSection_DraftFore)/(Lpp-FE_size)*Tbl_Load_distrib[[#This Row],[L_elt]])))</f>
        <v>0.99885004165790903</v>
      </c>
      <c r="Q33" s="166">
        <f ca="1">IF(ISNUMBER(Q32),(IF((P32-L32)&lt;0,0,P32-L32)+IF((Tbl_Load_distrib[[#This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0.49942739658011404</v>
      </c>
      <c r="R33" s="167">
        <f ca="1">ρ_sw*Tbl_Load_distrib[[#This Row],[Elt Area corrected]]*B/k_depl</f>
        <v>10.231458257271811</v>
      </c>
      <c r="S33" s="180">
        <f ca="1">Tbl_Load_distrib[[#This Row],[Section Weight]]-Tbl_Load_distrib[[#This Row],[Floating Elt]]</f>
        <v>-1.398124923938477</v>
      </c>
      <c r="T33" s="183">
        <f ca="1">IF(ISTEXT($T32),0,$T32+Tbl_Load_distrib[[#This Row],[Net force / Elt]])</f>
        <v>45.944219076667359</v>
      </c>
      <c r="U33" s="169">
        <f ca="1">IF(ISTEXT($U32),0,$U32+Tbl_Load_distrib[[#This Row],[Shearing Force]]*Tbl_Load_distrib[[#This Row],[L_elt]])</f>
        <v>711.99382408008466</v>
      </c>
    </row>
    <row r="34" spans="2:21" x14ac:dyDescent="0.25">
      <c r="B34" s="136">
        <f t="shared" si="1"/>
        <v>28</v>
      </c>
      <c r="C34" s="140">
        <f t="shared" si="2"/>
        <v>14</v>
      </c>
      <c r="D34" s="152">
        <f ca="1">SUM(Tbl_Load_distrib[[#This Row],[Hull &amp; Structure]:[Reserved]])</f>
        <v>8.8333333333333339</v>
      </c>
      <c r="E34" s="147">
        <f>SUMIFS(Tbl_Hull_Structure[Spread],Tbl_Hull_Structure[L from],"&lt;"&amp;Tbl_Load_distrib[[#This Row],[x]],Tbl_Hull_Structure[L to],"&gt;"&amp;C33)*Tbl_Load_distrib[[#This Row],[L_elt]]</f>
        <v>4.666666666666667</v>
      </c>
      <c r="F34" s="260">
        <f ca="1">SUMIFS(Tbl_Ballasts[Spread],Tbl_Ballasts[L from],"&lt;"&amp;Tbl_Load_distrib[[#This Row],[x]],Tbl_Ballasts[L to],"&gt;"&amp;C33)*Tbl_Load_distrib[[#This Row],[L_elt]]</f>
        <v>0</v>
      </c>
      <c r="G34" s="260">
        <f>SUMIFS(Tbl_Lifting[Spread],Tbl_Lifting[L from],"&lt;"&amp;Tbl_Load_distrib[[#This Row],[x]],Tbl_Lifting[L to],"&gt;"&amp;C33)*Tbl_Load_distrib[[#This Row],[L_elt]]</f>
        <v>0</v>
      </c>
      <c r="H34" s="260">
        <f>SUMIFS(Tbl_Additionals[Spread],Tbl_Additionals[L from],"&lt;"&amp;Tbl_Load_distrib[[#This Row],[x]],Tbl_Additionals[L to],"&gt;"&amp;C33)*Tbl_Load_distrib[[#This Row],[L_elt]]</f>
        <v>4.166666666666667</v>
      </c>
      <c r="I34" s="260">
        <f ca="1">SUMIFS(Tbl_Deck_Tank[Spread],Tbl_Deck_Tank[L from],"&lt;"&amp;Tbl_Load_distrib[[#This Row],[x]],Tbl_Deck_Tank[L to],"&gt;"&amp;C33)*Tbl_Load_distrib[[#This Row],[L_elt]]</f>
        <v>0</v>
      </c>
      <c r="J34" s="137"/>
      <c r="K34" s="165">
        <f>IFERROR(Tbl_Long_Section[[#This Row],[H Deck-Bottom]],NA())</f>
        <v>4</v>
      </c>
      <c r="L34" s="829">
        <f>M_depth-Tbl_Load_distrib[[#This Row],[H Deck-Bottom]]</f>
        <v>0</v>
      </c>
      <c r="M34" s="929">
        <f>IFERROR(Tbl_Load_distrib[[#This Row],[x]]-C33,0)</f>
        <v>0.5</v>
      </c>
      <c r="N34" s="929">
        <f ca="1">IF(ISNA(Tbl_Load_distrib[[#This Row],[x]]),NA(),IF(ISTEXT(N33),0,IF(N33=0,$Z$3,N33-($Z$3-$AA$3)/(Lpp-FE_size)*Tbl_Load_distrib[[#This Row],[L_elt]])))</f>
        <v>0.98175917554618264</v>
      </c>
      <c r="O34" s="166">
        <f ca="1">IF(ISNUMBER(O33),(IF((N33-L33)&lt;0,0,N33-L33)+IF((Tbl_Load_distrib[[#This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0.49075056842342712</v>
      </c>
      <c r="P34" s="929">
        <f ca="1">IF(ISNA(Tbl_Load_distrib[[#This Row],[x]]),NA(),IF(ISTEXT(P33),0,IF(P33=0,LongSection_DraftAft,P33-(LongSection_DraftAft-LongSection_DraftFore)/(Lpp-FE_size)*Tbl_Load_distrib[[#This Row],[L_elt]])))</f>
        <v>0.99884053865327083</v>
      </c>
      <c r="Q34" s="166">
        <f ca="1">IF(ISNUMBER(Q33),(IF((P33-L33)&lt;0,0,P33-L33)+IF((Tbl_Load_distrib[[#This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0.49942264507779499</v>
      </c>
      <c r="R34" s="167">
        <f ca="1">ρ_sw*Tbl_Load_distrib[[#This Row],[Elt Area corrected]]*B/k_depl</f>
        <v>10.231360916200877</v>
      </c>
      <c r="S34" s="180">
        <f ca="1">Tbl_Load_distrib[[#This Row],[Section Weight]]-Tbl_Load_distrib[[#This Row],[Floating Elt]]</f>
        <v>-1.3980275828675435</v>
      </c>
      <c r="T34" s="183">
        <f ca="1">IF(ISTEXT($T33),0,$T33+Tbl_Load_distrib[[#This Row],[Net force / Elt]])</f>
        <v>44.546191493799817</v>
      </c>
      <c r="U34" s="169">
        <f ca="1">IF(ISTEXT($U33),0,$U33+Tbl_Load_distrib[[#This Row],[Shearing Force]]*Tbl_Load_distrib[[#This Row],[L_elt]])</f>
        <v>734.26691982698458</v>
      </c>
    </row>
    <row r="35" spans="2:21" x14ac:dyDescent="0.25">
      <c r="B35" s="136">
        <f t="shared" si="1"/>
        <v>29</v>
      </c>
      <c r="C35" s="140">
        <f t="shared" si="2"/>
        <v>14.5</v>
      </c>
      <c r="D35" s="152">
        <f ca="1">SUM(Tbl_Load_distrib[[#This Row],[Hull &amp; Structure]:[Reserved]])</f>
        <v>8.8333333333333339</v>
      </c>
      <c r="E35" s="147">
        <f>SUMIFS(Tbl_Hull_Structure[Spread],Tbl_Hull_Structure[L from],"&lt;"&amp;Tbl_Load_distrib[[#This Row],[x]],Tbl_Hull_Structure[L to],"&gt;"&amp;C34)*Tbl_Load_distrib[[#This Row],[L_elt]]</f>
        <v>4.666666666666667</v>
      </c>
      <c r="F35" s="260">
        <f ca="1">SUMIFS(Tbl_Ballasts[Spread],Tbl_Ballasts[L from],"&lt;"&amp;Tbl_Load_distrib[[#This Row],[x]],Tbl_Ballasts[L to],"&gt;"&amp;C34)*Tbl_Load_distrib[[#This Row],[L_elt]]</f>
        <v>0</v>
      </c>
      <c r="G35" s="260">
        <f>SUMIFS(Tbl_Lifting[Spread],Tbl_Lifting[L from],"&lt;"&amp;Tbl_Load_distrib[[#This Row],[x]],Tbl_Lifting[L to],"&gt;"&amp;C34)*Tbl_Load_distrib[[#This Row],[L_elt]]</f>
        <v>0</v>
      </c>
      <c r="H35" s="260">
        <f>SUMIFS(Tbl_Additionals[Spread],Tbl_Additionals[L from],"&lt;"&amp;Tbl_Load_distrib[[#This Row],[x]],Tbl_Additionals[L to],"&gt;"&amp;C34)*Tbl_Load_distrib[[#This Row],[L_elt]]</f>
        <v>4.166666666666667</v>
      </c>
      <c r="I35" s="260">
        <f ca="1">SUMIFS(Tbl_Deck_Tank[Spread],Tbl_Deck_Tank[L from],"&lt;"&amp;Tbl_Load_distrib[[#This Row],[x]],Tbl_Deck_Tank[L to],"&gt;"&amp;C34)*Tbl_Load_distrib[[#This Row],[L_elt]]</f>
        <v>0</v>
      </c>
      <c r="J35" s="137"/>
      <c r="K35" s="165">
        <f>IFERROR(Tbl_Long_Section[[#This Row],[H Deck-Bottom]],NA())</f>
        <v>4</v>
      </c>
      <c r="L35" s="829">
        <f>M_depth-Tbl_Load_distrib[[#This Row],[H Deck-Bottom]]</f>
        <v>0</v>
      </c>
      <c r="M35" s="929">
        <f>IFERROR(Tbl_Load_distrib[[#This Row],[x]]-C34,0)</f>
        <v>0.5</v>
      </c>
      <c r="N35" s="929">
        <f ca="1">IF(ISNA(Tbl_Load_distrib[[#This Row],[x]]),NA(),IF(ISTEXT(N34),0,IF(N34=0,$Z$3,N34-($Z$3-$AA$3)/(Lpp-FE_size)*Tbl_Load_distrib[[#This Row],[L_elt]])))</f>
        <v>0.98227525294483953</v>
      </c>
      <c r="O35" s="166">
        <f ca="1">IF(ISNUMBER(O34),(IF((N34-L34)&lt;0,0,N34-L34)+IF((Tbl_Load_distrib[[#This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0.49100860712275551</v>
      </c>
      <c r="P35" s="929">
        <f ca="1">IF(ISNA(Tbl_Load_distrib[[#This Row],[x]]),NA(),IF(ISTEXT(P34),0,IF(P34=0,LongSection_DraftAft,P34-(LongSection_DraftAft-LongSection_DraftFore)/(Lpp-FE_size)*Tbl_Load_distrib[[#This Row],[L_elt]])))</f>
        <v>0.99883103564863263</v>
      </c>
      <c r="Q35" s="166">
        <f ca="1">IF(ISNUMBER(Q34),(IF((P34-L34)&lt;0,0,P34-L34)+IF((Tbl_Load_distrib[[#This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0.49941789357547584</v>
      </c>
      <c r="R35" s="167">
        <f ca="1">ρ_sw*Tbl_Load_distrib[[#This Row],[Elt Area corrected]]*B/k_depl</f>
        <v>10.23126357512994</v>
      </c>
      <c r="S35" s="180">
        <f ca="1">Tbl_Load_distrib[[#This Row],[Section Weight]]-Tbl_Load_distrib[[#This Row],[Floating Elt]]</f>
        <v>-1.3979302417966064</v>
      </c>
      <c r="T35" s="183">
        <f ca="1">IF(ISTEXT($T34),0,$T34+Tbl_Load_distrib[[#This Row],[Net force / Elt]])</f>
        <v>43.148261252003209</v>
      </c>
      <c r="U35" s="169">
        <f ca="1">IF(ISTEXT($U34),0,$U34+Tbl_Load_distrib[[#This Row],[Shearing Force]]*Tbl_Load_distrib[[#This Row],[L_elt]])</f>
        <v>755.84105045298622</v>
      </c>
    </row>
    <row r="36" spans="2:21" x14ac:dyDescent="0.25">
      <c r="B36" s="136">
        <f t="shared" si="1"/>
        <v>30</v>
      </c>
      <c r="C36" s="140">
        <f t="shared" si="2"/>
        <v>15</v>
      </c>
      <c r="D36" s="152">
        <f ca="1">SUM(Tbl_Load_distrib[[#This Row],[Hull &amp; Structure]:[Reserved]])</f>
        <v>8.8333333333333339</v>
      </c>
      <c r="E36" s="147">
        <f>SUMIFS(Tbl_Hull_Structure[Spread],Tbl_Hull_Structure[L from],"&lt;"&amp;Tbl_Load_distrib[[#This Row],[x]],Tbl_Hull_Structure[L to],"&gt;"&amp;C35)*Tbl_Load_distrib[[#This Row],[L_elt]]</f>
        <v>4.666666666666667</v>
      </c>
      <c r="F36" s="260">
        <f ca="1">SUMIFS(Tbl_Ballasts[Spread],Tbl_Ballasts[L from],"&lt;"&amp;Tbl_Load_distrib[[#This Row],[x]],Tbl_Ballasts[L to],"&gt;"&amp;C35)*Tbl_Load_distrib[[#This Row],[L_elt]]</f>
        <v>0</v>
      </c>
      <c r="G36" s="260">
        <f>SUMIFS(Tbl_Lifting[Spread],Tbl_Lifting[L from],"&lt;"&amp;Tbl_Load_distrib[[#This Row],[x]],Tbl_Lifting[L to],"&gt;"&amp;C35)*Tbl_Load_distrib[[#This Row],[L_elt]]</f>
        <v>0</v>
      </c>
      <c r="H36" s="260">
        <f>SUMIFS(Tbl_Additionals[Spread],Tbl_Additionals[L from],"&lt;"&amp;Tbl_Load_distrib[[#This Row],[x]],Tbl_Additionals[L to],"&gt;"&amp;C35)*Tbl_Load_distrib[[#This Row],[L_elt]]</f>
        <v>4.166666666666667</v>
      </c>
      <c r="I36" s="260">
        <f ca="1">SUMIFS(Tbl_Deck_Tank[Spread],Tbl_Deck_Tank[L from],"&lt;"&amp;Tbl_Load_distrib[[#This Row],[x]],Tbl_Deck_Tank[L to],"&gt;"&amp;C35)*Tbl_Load_distrib[[#This Row],[L_elt]]</f>
        <v>0</v>
      </c>
      <c r="J36" s="137"/>
      <c r="K36" s="165">
        <f>IFERROR(Tbl_Long_Section[[#This Row],[H Deck-Bottom]],NA())</f>
        <v>4</v>
      </c>
      <c r="L36" s="829">
        <f>M_depth-Tbl_Load_distrib[[#This Row],[H Deck-Bottom]]</f>
        <v>0</v>
      </c>
      <c r="M36" s="929">
        <f>IFERROR(Tbl_Load_distrib[[#This Row],[x]]-C35,0)</f>
        <v>0.5</v>
      </c>
      <c r="N36" s="929">
        <f ca="1">IF(ISNA(Tbl_Load_distrib[[#This Row],[x]]),NA(),IF(ISTEXT(N35),0,IF(N35=0,$Z$3,N35-($Z$3-$AA$3)/(Lpp-FE_size)*Tbl_Load_distrib[[#This Row],[L_elt]])))</f>
        <v>0.98279133034349642</v>
      </c>
      <c r="O36" s="166">
        <f ca="1">IF(ISNUMBER(O35),(IF((N35-L35)&lt;0,0,N35-L35)+IF((Tbl_Load_distrib[[#This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0.49126664582208401</v>
      </c>
      <c r="P36" s="929">
        <f ca="1">IF(ISNA(Tbl_Load_distrib[[#This Row],[x]]),NA(),IF(ISTEXT(P35),0,IF(P35=0,LongSection_DraftAft,P35-(LongSection_DraftAft-LongSection_DraftFore)/(Lpp-FE_size)*Tbl_Load_distrib[[#This Row],[L_elt]])))</f>
        <v>0.99882153264399443</v>
      </c>
      <c r="Q36" s="166">
        <f ca="1">IF(ISNUMBER(Q35),(IF((P35-L35)&lt;0,0,P35-L35)+IF((Tbl_Load_distrib[[#This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0.49941314207315679</v>
      </c>
      <c r="R36" s="167">
        <f ca="1">ρ_sw*Tbl_Load_distrib[[#This Row],[Elt Area corrected]]*B/k_depl</f>
        <v>10.231166234059005</v>
      </c>
      <c r="S36" s="180">
        <f ca="1">Tbl_Load_distrib[[#This Row],[Section Weight]]-Tbl_Load_distrib[[#This Row],[Floating Elt]]</f>
        <v>-1.3978329007256711</v>
      </c>
      <c r="T36" s="183">
        <f ca="1">IF(ISTEXT($T35),0,$T35+Tbl_Load_distrib[[#This Row],[Net force / Elt]])</f>
        <v>41.750428351277534</v>
      </c>
      <c r="U36" s="169">
        <f ca="1">IF(ISTEXT($U35),0,$U35+Tbl_Load_distrib[[#This Row],[Shearing Force]]*Tbl_Load_distrib[[#This Row],[L_elt]])</f>
        <v>776.71626462862503</v>
      </c>
    </row>
    <row r="37" spans="2:21" x14ac:dyDescent="0.25">
      <c r="B37" s="136">
        <f t="shared" si="1"/>
        <v>31</v>
      </c>
      <c r="C37" s="140">
        <f t="shared" si="2"/>
        <v>15.5</v>
      </c>
      <c r="D37" s="152">
        <f ca="1">SUM(Tbl_Load_distrib[[#This Row],[Hull &amp; Structure]:[Reserved]])</f>
        <v>8.8333333333333339</v>
      </c>
      <c r="E37" s="147">
        <f>SUMIFS(Tbl_Hull_Structure[Spread],Tbl_Hull_Structure[L from],"&lt;"&amp;Tbl_Load_distrib[[#This Row],[x]],Tbl_Hull_Structure[L to],"&gt;"&amp;C36)*Tbl_Load_distrib[[#This Row],[L_elt]]</f>
        <v>4.666666666666667</v>
      </c>
      <c r="F37" s="260">
        <f ca="1">SUMIFS(Tbl_Ballasts[Spread],Tbl_Ballasts[L from],"&lt;"&amp;Tbl_Load_distrib[[#This Row],[x]],Tbl_Ballasts[L to],"&gt;"&amp;C36)*Tbl_Load_distrib[[#This Row],[L_elt]]</f>
        <v>0</v>
      </c>
      <c r="G37" s="260">
        <f>SUMIFS(Tbl_Lifting[Spread],Tbl_Lifting[L from],"&lt;"&amp;Tbl_Load_distrib[[#This Row],[x]],Tbl_Lifting[L to],"&gt;"&amp;C36)*Tbl_Load_distrib[[#This Row],[L_elt]]</f>
        <v>0</v>
      </c>
      <c r="H37" s="260">
        <f>SUMIFS(Tbl_Additionals[Spread],Tbl_Additionals[L from],"&lt;"&amp;Tbl_Load_distrib[[#This Row],[x]],Tbl_Additionals[L to],"&gt;"&amp;C36)*Tbl_Load_distrib[[#This Row],[L_elt]]</f>
        <v>4.166666666666667</v>
      </c>
      <c r="I37" s="260">
        <f ca="1">SUMIFS(Tbl_Deck_Tank[Spread],Tbl_Deck_Tank[L from],"&lt;"&amp;Tbl_Load_distrib[[#This Row],[x]],Tbl_Deck_Tank[L to],"&gt;"&amp;C36)*Tbl_Load_distrib[[#This Row],[L_elt]]</f>
        <v>0</v>
      </c>
      <c r="J37" s="137"/>
      <c r="K37" s="165">
        <f>IFERROR(Tbl_Long_Section[[#This Row],[H Deck-Bottom]],NA())</f>
        <v>4</v>
      </c>
      <c r="L37" s="829">
        <f>M_depth-Tbl_Load_distrib[[#This Row],[H Deck-Bottom]]</f>
        <v>0</v>
      </c>
      <c r="M37" s="929">
        <f>IFERROR(Tbl_Load_distrib[[#This Row],[x]]-C36,0)</f>
        <v>0.5</v>
      </c>
      <c r="N37" s="929">
        <f ca="1">IF(ISNA(Tbl_Load_distrib[[#This Row],[x]]),NA(),IF(ISTEXT(N36),0,IF(N36=0,$Z$3,N36-($Z$3-$AA$3)/(Lpp-FE_size)*Tbl_Load_distrib[[#This Row],[L_elt]])))</f>
        <v>0.98330740774215331</v>
      </c>
      <c r="O37" s="166">
        <f ca="1">IF(ISNUMBER(O36),(IF((N36-L36)&lt;0,0,N36-L36)+IF((Tbl_Load_distrib[[#This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0.4915246845214124</v>
      </c>
      <c r="P37" s="929">
        <f ca="1">IF(ISNA(Tbl_Load_distrib[[#This Row],[x]]),NA(),IF(ISTEXT(P36),0,IF(P36=0,LongSection_DraftAft,P36-(LongSection_DraftAft-LongSection_DraftFore)/(Lpp-FE_size)*Tbl_Load_distrib[[#This Row],[L_elt]])))</f>
        <v>0.99881202963935622</v>
      </c>
      <c r="Q37" s="166">
        <f ca="1">IF(ISNUMBER(Q36),(IF((P36-L36)&lt;0,0,P36-L36)+IF((Tbl_Load_distrib[[#This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0.49940839057083763</v>
      </c>
      <c r="R37" s="167">
        <f ca="1">ρ_sw*Tbl_Load_distrib[[#This Row],[Elt Area corrected]]*B/k_depl</f>
        <v>10.231068892988072</v>
      </c>
      <c r="S37" s="180">
        <f ca="1">Tbl_Load_distrib[[#This Row],[Section Weight]]-Tbl_Load_distrib[[#This Row],[Floating Elt]]</f>
        <v>-1.3977355596547376</v>
      </c>
      <c r="T37" s="183">
        <f ca="1">IF(ISTEXT($T36),0,$T36+Tbl_Load_distrib[[#This Row],[Net force / Elt]])</f>
        <v>40.3526927916228</v>
      </c>
      <c r="U37" s="169">
        <f ca="1">IF(ISTEXT($U36),0,$U36+Tbl_Load_distrib[[#This Row],[Shearing Force]]*Tbl_Load_distrib[[#This Row],[L_elt]])</f>
        <v>796.89261102443641</v>
      </c>
    </row>
    <row r="38" spans="2:21" x14ac:dyDescent="0.25">
      <c r="B38" s="136">
        <f t="shared" si="1"/>
        <v>32</v>
      </c>
      <c r="C38" s="140">
        <f t="shared" si="2"/>
        <v>16</v>
      </c>
      <c r="D38" s="152">
        <f ca="1">SUM(Tbl_Load_distrib[[#This Row],[Hull &amp; Structure]:[Reserved]])</f>
        <v>8.8333333333333339</v>
      </c>
      <c r="E38" s="147">
        <f>SUMIFS(Tbl_Hull_Structure[Spread],Tbl_Hull_Structure[L from],"&lt;"&amp;Tbl_Load_distrib[[#This Row],[x]],Tbl_Hull_Structure[L to],"&gt;"&amp;C37)*Tbl_Load_distrib[[#This Row],[L_elt]]</f>
        <v>4.666666666666667</v>
      </c>
      <c r="F38" s="260">
        <f ca="1">SUMIFS(Tbl_Ballasts[Spread],Tbl_Ballasts[L from],"&lt;"&amp;Tbl_Load_distrib[[#This Row],[x]],Tbl_Ballasts[L to],"&gt;"&amp;C37)*Tbl_Load_distrib[[#This Row],[L_elt]]</f>
        <v>0</v>
      </c>
      <c r="G38" s="260">
        <f>SUMIFS(Tbl_Lifting[Spread],Tbl_Lifting[L from],"&lt;"&amp;Tbl_Load_distrib[[#This Row],[x]],Tbl_Lifting[L to],"&gt;"&amp;C37)*Tbl_Load_distrib[[#This Row],[L_elt]]</f>
        <v>0</v>
      </c>
      <c r="H38" s="260">
        <f>SUMIFS(Tbl_Additionals[Spread],Tbl_Additionals[L from],"&lt;"&amp;Tbl_Load_distrib[[#This Row],[x]],Tbl_Additionals[L to],"&gt;"&amp;C37)*Tbl_Load_distrib[[#This Row],[L_elt]]</f>
        <v>4.166666666666667</v>
      </c>
      <c r="I38" s="260">
        <f ca="1">SUMIFS(Tbl_Deck_Tank[Spread],Tbl_Deck_Tank[L from],"&lt;"&amp;Tbl_Load_distrib[[#This Row],[x]],Tbl_Deck_Tank[L to],"&gt;"&amp;C37)*Tbl_Load_distrib[[#This Row],[L_elt]]</f>
        <v>0</v>
      </c>
      <c r="J38" s="137"/>
      <c r="K38" s="165">
        <f>IFERROR(Tbl_Long_Section[[#This Row],[H Deck-Bottom]],NA())</f>
        <v>4</v>
      </c>
      <c r="L38" s="829">
        <f>M_depth-Tbl_Load_distrib[[#This Row],[H Deck-Bottom]]</f>
        <v>0</v>
      </c>
      <c r="M38" s="929">
        <f>IFERROR(Tbl_Load_distrib[[#This Row],[x]]-C37,0)</f>
        <v>0.5</v>
      </c>
      <c r="N38" s="929">
        <f ca="1">IF(ISNA(Tbl_Load_distrib[[#This Row],[x]]),NA(),IF(ISTEXT(N37),0,IF(N37=0,$Z$3,N37-($Z$3-$AA$3)/(Lpp-FE_size)*Tbl_Load_distrib[[#This Row],[L_elt]])))</f>
        <v>0.98382348514081019</v>
      </c>
      <c r="O38" s="166">
        <f ca="1">IF(ISNUMBER(O37),(IF((N37-L37)&lt;0,0,N37-L37)+IF((Tbl_Load_distrib[[#This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0.4917827232207409</v>
      </c>
      <c r="P38" s="929">
        <f ca="1">IF(ISNA(Tbl_Load_distrib[[#This Row],[x]]),NA(),IF(ISTEXT(P37),0,IF(P37=0,LongSection_DraftAft,P37-(LongSection_DraftAft-LongSection_DraftFore)/(Lpp-FE_size)*Tbl_Load_distrib[[#This Row],[L_elt]])))</f>
        <v>0.99880252663471802</v>
      </c>
      <c r="Q38" s="166">
        <f ca="1">IF(ISNUMBER(Q37),(IF((P37-L37)&lt;0,0,P37-L37)+IF((Tbl_Load_distrib[[#This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0.49940363906851859</v>
      </c>
      <c r="R38" s="167">
        <f ca="1">ρ_sw*Tbl_Load_distrib[[#This Row],[Elt Area corrected]]*B/k_depl</f>
        <v>10.230971551917136</v>
      </c>
      <c r="S38" s="180">
        <f ca="1">Tbl_Load_distrib[[#This Row],[Section Weight]]-Tbl_Load_distrib[[#This Row],[Floating Elt]]</f>
        <v>-1.3976382185838023</v>
      </c>
      <c r="T38" s="183">
        <f ca="1">IF(ISTEXT($T37),0,$T37+Tbl_Load_distrib[[#This Row],[Net force / Elt]])</f>
        <v>38.955054573039</v>
      </c>
      <c r="U38" s="169">
        <f ca="1">IF(ISTEXT($U37),0,$U37+Tbl_Load_distrib[[#This Row],[Shearing Force]]*Tbl_Load_distrib[[#This Row],[L_elt]])</f>
        <v>816.37013831095589</v>
      </c>
    </row>
    <row r="39" spans="2:21" x14ac:dyDescent="0.25">
      <c r="B39" s="136">
        <f t="shared" si="1"/>
        <v>33</v>
      </c>
      <c r="C39" s="140">
        <f t="shared" si="2"/>
        <v>16.5</v>
      </c>
      <c r="D39" s="152">
        <f ca="1">SUM(Tbl_Load_distrib[[#This Row],[Hull &amp; Structure]:[Reserved]])</f>
        <v>8.8333333333333339</v>
      </c>
      <c r="E39" s="147">
        <f>SUMIFS(Tbl_Hull_Structure[Spread],Tbl_Hull_Structure[L from],"&lt;"&amp;Tbl_Load_distrib[[#This Row],[x]],Tbl_Hull_Structure[L to],"&gt;"&amp;C38)*Tbl_Load_distrib[[#This Row],[L_elt]]</f>
        <v>4.666666666666667</v>
      </c>
      <c r="F39" s="260">
        <f ca="1">SUMIFS(Tbl_Ballasts[Spread],Tbl_Ballasts[L from],"&lt;"&amp;Tbl_Load_distrib[[#This Row],[x]],Tbl_Ballasts[L to],"&gt;"&amp;C38)*Tbl_Load_distrib[[#This Row],[L_elt]]</f>
        <v>0</v>
      </c>
      <c r="G39" s="260">
        <f>SUMIFS(Tbl_Lifting[Spread],Tbl_Lifting[L from],"&lt;"&amp;Tbl_Load_distrib[[#This Row],[x]],Tbl_Lifting[L to],"&gt;"&amp;C38)*Tbl_Load_distrib[[#This Row],[L_elt]]</f>
        <v>0</v>
      </c>
      <c r="H39" s="260">
        <f>SUMIFS(Tbl_Additionals[Spread],Tbl_Additionals[L from],"&lt;"&amp;Tbl_Load_distrib[[#This Row],[x]],Tbl_Additionals[L to],"&gt;"&amp;C38)*Tbl_Load_distrib[[#This Row],[L_elt]]</f>
        <v>4.166666666666667</v>
      </c>
      <c r="I39" s="260">
        <f ca="1">SUMIFS(Tbl_Deck_Tank[Spread],Tbl_Deck_Tank[L from],"&lt;"&amp;Tbl_Load_distrib[[#This Row],[x]],Tbl_Deck_Tank[L to],"&gt;"&amp;C38)*Tbl_Load_distrib[[#This Row],[L_elt]]</f>
        <v>0</v>
      </c>
      <c r="J39" s="137"/>
      <c r="K39" s="165">
        <f>IFERROR(Tbl_Long_Section[[#This Row],[H Deck-Bottom]],NA())</f>
        <v>4</v>
      </c>
      <c r="L39" s="829">
        <f>M_depth-Tbl_Load_distrib[[#This Row],[H Deck-Bottom]]</f>
        <v>0</v>
      </c>
      <c r="M39" s="929">
        <f>IFERROR(Tbl_Load_distrib[[#This Row],[x]]-C38,0)</f>
        <v>0.5</v>
      </c>
      <c r="N39" s="929">
        <f ca="1">IF(ISNA(Tbl_Load_distrib[[#This Row],[x]]),NA(),IF(ISTEXT(N38),0,IF(N38=0,$Z$3,N38-($Z$3-$AA$3)/(Lpp-FE_size)*Tbl_Load_distrib[[#This Row],[L_elt]])))</f>
        <v>0.98433956253946708</v>
      </c>
      <c r="O39" s="166">
        <f ca="1">IF(ISNUMBER(O38),(IF((N38-L38)&lt;0,0,N38-L38)+IF((Tbl_Load_distrib[[#This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0.49204076192006929</v>
      </c>
      <c r="P39" s="929">
        <f ca="1">IF(ISNA(Tbl_Load_distrib[[#This Row],[x]]),NA(),IF(ISTEXT(P38),0,IF(P38=0,LongSection_DraftAft,P38-(LongSection_DraftAft-LongSection_DraftFore)/(Lpp-FE_size)*Tbl_Load_distrib[[#This Row],[L_elt]])))</f>
        <v>0.99879302363007982</v>
      </c>
      <c r="Q39" s="166">
        <f ca="1">IF(ISNUMBER(Q38),(IF((P38-L38)&lt;0,0,P38-L38)+IF((Tbl_Load_distrib[[#This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0.49939888756619943</v>
      </c>
      <c r="R39" s="167">
        <f ca="1">ρ_sw*Tbl_Load_distrib[[#This Row],[Elt Area corrected]]*B/k_depl</f>
        <v>10.230874210846201</v>
      </c>
      <c r="S39" s="180">
        <f ca="1">Tbl_Load_distrib[[#This Row],[Section Weight]]-Tbl_Load_distrib[[#This Row],[Floating Elt]]</f>
        <v>-1.397540877512867</v>
      </c>
      <c r="T39" s="183">
        <f ca="1">IF(ISTEXT($T38),0,$T38+Tbl_Load_distrib[[#This Row],[Net force / Elt]])</f>
        <v>37.557513695526133</v>
      </c>
      <c r="U39" s="169">
        <f ca="1">IF(ISTEXT($U38),0,$U38+Tbl_Load_distrib[[#This Row],[Shearing Force]]*Tbl_Load_distrib[[#This Row],[L_elt]])</f>
        <v>835.14889515871891</v>
      </c>
    </row>
    <row r="40" spans="2:21" x14ac:dyDescent="0.25">
      <c r="B40" s="136">
        <f t="shared" si="1"/>
        <v>34</v>
      </c>
      <c r="C40" s="140">
        <f t="shared" si="2"/>
        <v>17</v>
      </c>
      <c r="D40" s="152">
        <f ca="1">SUM(Tbl_Load_distrib[[#This Row],[Hull &amp; Structure]:[Reserved]])</f>
        <v>8.8333333333333339</v>
      </c>
      <c r="E40" s="147">
        <f>SUMIFS(Tbl_Hull_Structure[Spread],Tbl_Hull_Structure[L from],"&lt;"&amp;Tbl_Load_distrib[[#This Row],[x]],Tbl_Hull_Structure[L to],"&gt;"&amp;C39)*Tbl_Load_distrib[[#This Row],[L_elt]]</f>
        <v>4.666666666666667</v>
      </c>
      <c r="F40" s="260">
        <f ca="1">SUMIFS(Tbl_Ballasts[Spread],Tbl_Ballasts[L from],"&lt;"&amp;Tbl_Load_distrib[[#This Row],[x]],Tbl_Ballasts[L to],"&gt;"&amp;C39)*Tbl_Load_distrib[[#This Row],[L_elt]]</f>
        <v>0</v>
      </c>
      <c r="G40" s="260">
        <f>SUMIFS(Tbl_Lifting[Spread],Tbl_Lifting[L from],"&lt;"&amp;Tbl_Load_distrib[[#This Row],[x]],Tbl_Lifting[L to],"&gt;"&amp;C39)*Tbl_Load_distrib[[#This Row],[L_elt]]</f>
        <v>0</v>
      </c>
      <c r="H40" s="260">
        <f>SUMIFS(Tbl_Additionals[Spread],Tbl_Additionals[L from],"&lt;"&amp;Tbl_Load_distrib[[#This Row],[x]],Tbl_Additionals[L to],"&gt;"&amp;C39)*Tbl_Load_distrib[[#This Row],[L_elt]]</f>
        <v>4.166666666666667</v>
      </c>
      <c r="I40" s="260">
        <f ca="1">SUMIFS(Tbl_Deck_Tank[Spread],Tbl_Deck_Tank[L from],"&lt;"&amp;Tbl_Load_distrib[[#This Row],[x]],Tbl_Deck_Tank[L to],"&gt;"&amp;C39)*Tbl_Load_distrib[[#This Row],[L_elt]]</f>
        <v>0</v>
      </c>
      <c r="J40" s="137"/>
      <c r="K40" s="165">
        <f>IFERROR(Tbl_Long_Section[[#This Row],[H Deck-Bottom]],NA())</f>
        <v>4</v>
      </c>
      <c r="L40" s="829">
        <f>M_depth-Tbl_Load_distrib[[#This Row],[H Deck-Bottom]]</f>
        <v>0</v>
      </c>
      <c r="M40" s="929">
        <f>IFERROR(Tbl_Load_distrib[[#This Row],[x]]-C39,0)</f>
        <v>0.5</v>
      </c>
      <c r="N40" s="929">
        <f ca="1">IF(ISNA(Tbl_Load_distrib[[#This Row],[x]]),NA(),IF(ISTEXT(N39),0,IF(N39=0,$Z$3,N39-($Z$3-$AA$3)/(Lpp-FE_size)*Tbl_Load_distrib[[#This Row],[L_elt]])))</f>
        <v>0.98485563993812397</v>
      </c>
      <c r="O40" s="166">
        <f ca="1">IF(ISNUMBER(O39),(IF((N39-L39)&lt;0,0,N39-L39)+IF((Tbl_Load_distrib[[#This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0.49229880061939779</v>
      </c>
      <c r="P40" s="929">
        <f ca="1">IF(ISNA(Tbl_Load_distrib[[#This Row],[x]]),NA(),IF(ISTEXT(P39),0,IF(P39=0,LongSection_DraftAft,P39-(LongSection_DraftAft-LongSection_DraftFore)/(Lpp-FE_size)*Tbl_Load_distrib[[#This Row],[L_elt]])))</f>
        <v>0.99878352062544162</v>
      </c>
      <c r="Q40" s="166">
        <f ca="1">IF(ISNUMBER(Q39),(IF((P39-L39)&lt;0,0,P39-L39)+IF((Tbl_Load_distrib[[#This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0.49939413606388039</v>
      </c>
      <c r="R40" s="167">
        <f ca="1">ρ_sw*Tbl_Load_distrib[[#This Row],[Elt Area corrected]]*B/k_depl</f>
        <v>10.230776869775269</v>
      </c>
      <c r="S40" s="180">
        <f ca="1">Tbl_Load_distrib[[#This Row],[Section Weight]]-Tbl_Load_distrib[[#This Row],[Floating Elt]]</f>
        <v>-1.3974435364419353</v>
      </c>
      <c r="T40" s="183">
        <f ca="1">IF(ISTEXT($T39),0,$T39+Tbl_Load_distrib[[#This Row],[Net force / Elt]])</f>
        <v>36.160070159084199</v>
      </c>
      <c r="U40" s="169">
        <f ca="1">IF(ISTEXT($U39),0,$U39+Tbl_Load_distrib[[#This Row],[Shearing Force]]*Tbl_Load_distrib[[#This Row],[L_elt]])</f>
        <v>853.228930238261</v>
      </c>
    </row>
    <row r="41" spans="2:21" x14ac:dyDescent="0.25">
      <c r="B41" s="136">
        <f t="shared" si="1"/>
        <v>35</v>
      </c>
      <c r="C41" s="139">
        <f t="shared" si="2"/>
        <v>17.5</v>
      </c>
      <c r="D41" s="152">
        <f ca="1">SUM(Tbl_Load_distrib[[#This Row],[Hull &amp; Structure]:[Reserved]])</f>
        <v>8.8333333333333339</v>
      </c>
      <c r="E41" s="147">
        <f>SUMIFS(Tbl_Hull_Structure[Spread],Tbl_Hull_Structure[L from],"&lt;"&amp;Tbl_Load_distrib[[#This Row],[x]],Tbl_Hull_Structure[L to],"&gt;"&amp;C40)*Tbl_Load_distrib[[#This Row],[L_elt]]</f>
        <v>4.666666666666667</v>
      </c>
      <c r="F41" s="260">
        <f ca="1">SUMIFS(Tbl_Ballasts[Spread],Tbl_Ballasts[L from],"&lt;"&amp;Tbl_Load_distrib[[#This Row],[x]],Tbl_Ballasts[L to],"&gt;"&amp;C40)*Tbl_Load_distrib[[#This Row],[L_elt]]</f>
        <v>0</v>
      </c>
      <c r="G41" s="260">
        <f>SUMIFS(Tbl_Lifting[Spread],Tbl_Lifting[L from],"&lt;"&amp;Tbl_Load_distrib[[#This Row],[x]],Tbl_Lifting[L to],"&gt;"&amp;C40)*Tbl_Load_distrib[[#This Row],[L_elt]]</f>
        <v>0</v>
      </c>
      <c r="H41" s="260">
        <f>SUMIFS(Tbl_Additionals[Spread],Tbl_Additionals[L from],"&lt;"&amp;Tbl_Load_distrib[[#This Row],[x]],Tbl_Additionals[L to],"&gt;"&amp;C40)*Tbl_Load_distrib[[#This Row],[L_elt]]</f>
        <v>4.166666666666667</v>
      </c>
      <c r="I41" s="260">
        <f ca="1">SUMIFS(Tbl_Deck_Tank[Spread],Tbl_Deck_Tank[L from],"&lt;"&amp;Tbl_Load_distrib[[#This Row],[x]],Tbl_Deck_Tank[L to],"&gt;"&amp;C40)*Tbl_Load_distrib[[#This Row],[L_elt]]</f>
        <v>0</v>
      </c>
      <c r="J41" s="137"/>
      <c r="K41" s="165">
        <f>IFERROR(Tbl_Long_Section[[#This Row],[H Deck-Bottom]],NA())</f>
        <v>4</v>
      </c>
      <c r="L41" s="829">
        <f>M_depth-Tbl_Load_distrib[[#This Row],[H Deck-Bottom]]</f>
        <v>0</v>
      </c>
      <c r="M41" s="929">
        <f>IFERROR(Tbl_Load_distrib[[#This Row],[x]]-C40,0)</f>
        <v>0.5</v>
      </c>
      <c r="N41" s="929">
        <f ca="1">IF(ISNA(Tbl_Load_distrib[[#This Row],[x]]),NA(),IF(ISTEXT(N40),0,IF(N40=0,$Z$3,N40-($Z$3-$AA$3)/(Lpp-FE_size)*Tbl_Load_distrib[[#This Row],[L_elt]])))</f>
        <v>0.98537171733678086</v>
      </c>
      <c r="O41" s="166">
        <f ca="1">IF(ISNUMBER(O40),(IF((N40-L40)&lt;0,0,N40-L40)+IF((Tbl_Load_distrib[[#This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0.49255683931872618</v>
      </c>
      <c r="P41" s="929">
        <f ca="1">IF(ISNA(Tbl_Load_distrib[[#This Row],[x]]),NA(),IF(ISTEXT(P40),0,IF(P40=0,LongSection_DraftAft,P40-(LongSection_DraftAft-LongSection_DraftFore)/(Lpp-FE_size)*Tbl_Load_distrib[[#This Row],[L_elt]])))</f>
        <v>0.99877401762080342</v>
      </c>
      <c r="Q41" s="166">
        <f ca="1">IF(ISNUMBER(Q40),(IF((P40-L40)&lt;0,0,P40-L40)+IF((Tbl_Load_distrib[[#This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0.49938938456156123</v>
      </c>
      <c r="R41" s="167">
        <f ca="1">ρ_sw*Tbl_Load_distrib[[#This Row],[Elt Area corrected]]*B/k_depl</f>
        <v>10.230679528704332</v>
      </c>
      <c r="S41" s="180">
        <f ca="1">Tbl_Load_distrib[[#This Row],[Section Weight]]-Tbl_Load_distrib[[#This Row],[Floating Elt]]</f>
        <v>-1.3973461953709982</v>
      </c>
      <c r="T41" s="183">
        <f ca="1">IF(ISTEXT($T40),0,$T40+Tbl_Load_distrib[[#This Row],[Net force / Elt]])</f>
        <v>34.762723963713199</v>
      </c>
      <c r="U41" s="169">
        <f ca="1">IF(ISTEXT($U40),0,$U40+Tbl_Load_distrib[[#This Row],[Shearing Force]]*Tbl_Load_distrib[[#This Row],[L_elt]])</f>
        <v>870.61029222011757</v>
      </c>
    </row>
    <row r="42" spans="2:21" x14ac:dyDescent="0.25">
      <c r="B42" s="136">
        <f t="shared" si="1"/>
        <v>36</v>
      </c>
      <c r="C42" s="139">
        <f t="shared" si="2"/>
        <v>18</v>
      </c>
      <c r="D42" s="152">
        <f ca="1">SUM(Tbl_Load_distrib[[#This Row],[Hull &amp; Structure]:[Reserved]])</f>
        <v>8.8333333333333339</v>
      </c>
      <c r="E42" s="147">
        <f>SUMIFS(Tbl_Hull_Structure[Spread],Tbl_Hull_Structure[L from],"&lt;"&amp;Tbl_Load_distrib[[#This Row],[x]],Tbl_Hull_Structure[L to],"&gt;"&amp;C41)*Tbl_Load_distrib[[#This Row],[L_elt]]</f>
        <v>4.666666666666667</v>
      </c>
      <c r="F42" s="260">
        <f ca="1">SUMIFS(Tbl_Ballasts[Spread],Tbl_Ballasts[L from],"&lt;"&amp;Tbl_Load_distrib[[#This Row],[x]],Tbl_Ballasts[L to],"&gt;"&amp;C41)*Tbl_Load_distrib[[#This Row],[L_elt]]</f>
        <v>0</v>
      </c>
      <c r="G42" s="260">
        <f>SUMIFS(Tbl_Lifting[Spread],Tbl_Lifting[L from],"&lt;"&amp;Tbl_Load_distrib[[#This Row],[x]],Tbl_Lifting[L to],"&gt;"&amp;C41)*Tbl_Load_distrib[[#This Row],[L_elt]]</f>
        <v>0</v>
      </c>
      <c r="H42" s="260">
        <f>SUMIFS(Tbl_Additionals[Spread],Tbl_Additionals[L from],"&lt;"&amp;Tbl_Load_distrib[[#This Row],[x]],Tbl_Additionals[L to],"&gt;"&amp;C41)*Tbl_Load_distrib[[#This Row],[L_elt]]</f>
        <v>4.166666666666667</v>
      </c>
      <c r="I42" s="260">
        <f ca="1">SUMIFS(Tbl_Deck_Tank[Spread],Tbl_Deck_Tank[L from],"&lt;"&amp;Tbl_Load_distrib[[#This Row],[x]],Tbl_Deck_Tank[L to],"&gt;"&amp;C41)*Tbl_Load_distrib[[#This Row],[L_elt]]</f>
        <v>0</v>
      </c>
      <c r="J42" s="137"/>
      <c r="K42" s="165">
        <f>IFERROR(Tbl_Long_Section[[#This Row],[H Deck-Bottom]],NA())</f>
        <v>4</v>
      </c>
      <c r="L42" s="829">
        <f>M_depth-Tbl_Load_distrib[[#This Row],[H Deck-Bottom]]</f>
        <v>0</v>
      </c>
      <c r="M42" s="929">
        <f>IFERROR(Tbl_Load_distrib[[#This Row],[x]]-C41,0)</f>
        <v>0.5</v>
      </c>
      <c r="N42" s="929">
        <f ca="1">IF(ISNA(Tbl_Load_distrib[[#This Row],[x]]),NA(),IF(ISTEXT(N41),0,IF(N41=0,$Z$3,N41-($Z$3-$AA$3)/(Lpp-FE_size)*Tbl_Load_distrib[[#This Row],[L_elt]])))</f>
        <v>0.98588779473543775</v>
      </c>
      <c r="O42" s="166">
        <f ca="1">IF(ISNUMBER(O41),(IF((N41-L41)&lt;0,0,N41-L41)+IF((Tbl_Load_distrib[[#This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0.49281487801805468</v>
      </c>
      <c r="P42" s="929">
        <f ca="1">IF(ISNA(Tbl_Load_distrib[[#This Row],[x]]),NA(),IF(ISTEXT(P41),0,IF(P41=0,LongSection_DraftAft,P41-(LongSection_DraftAft-LongSection_DraftFore)/(Lpp-FE_size)*Tbl_Load_distrib[[#This Row],[L_elt]])))</f>
        <v>0.99876451461616522</v>
      </c>
      <c r="Q42" s="166">
        <f ca="1">IF(ISNUMBER(Q41),(IF((P41-L41)&lt;0,0,P41-L41)+IF((Tbl_Load_distrib[[#This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0.49938463305924219</v>
      </c>
      <c r="R42" s="167">
        <f ca="1">ρ_sw*Tbl_Load_distrib[[#This Row],[Elt Area corrected]]*B/k_depl</f>
        <v>10.230582187633399</v>
      </c>
      <c r="S42" s="180">
        <f ca="1">Tbl_Load_distrib[[#This Row],[Section Weight]]-Tbl_Load_distrib[[#This Row],[Floating Elt]]</f>
        <v>-1.3972488543000647</v>
      </c>
      <c r="T42" s="183">
        <f ca="1">IF(ISTEXT($T41),0,$T41+Tbl_Load_distrib[[#This Row],[Net force / Elt]])</f>
        <v>33.365475109413133</v>
      </c>
      <c r="U42" s="169">
        <f ca="1">IF(ISTEXT($U41),0,$U41+Tbl_Load_distrib[[#This Row],[Shearing Force]]*Tbl_Load_distrib[[#This Row],[L_elt]])</f>
        <v>887.29302977482416</v>
      </c>
    </row>
    <row r="43" spans="2:21" x14ac:dyDescent="0.25">
      <c r="B43" s="136">
        <f t="shared" si="1"/>
        <v>37</v>
      </c>
      <c r="C43" s="139">
        <f t="shared" si="2"/>
        <v>18.5</v>
      </c>
      <c r="D43" s="152">
        <f ca="1">SUM(Tbl_Load_distrib[[#This Row],[Hull &amp; Structure]:[Reserved]])</f>
        <v>8.8333333333333339</v>
      </c>
      <c r="E43" s="147">
        <f>SUMIFS(Tbl_Hull_Structure[Spread],Tbl_Hull_Structure[L from],"&lt;"&amp;Tbl_Load_distrib[[#This Row],[x]],Tbl_Hull_Structure[L to],"&gt;"&amp;C42)*Tbl_Load_distrib[[#This Row],[L_elt]]</f>
        <v>4.666666666666667</v>
      </c>
      <c r="F43" s="260">
        <f ca="1">SUMIFS(Tbl_Ballasts[Spread],Tbl_Ballasts[L from],"&lt;"&amp;Tbl_Load_distrib[[#This Row],[x]],Tbl_Ballasts[L to],"&gt;"&amp;C42)*Tbl_Load_distrib[[#This Row],[L_elt]]</f>
        <v>0</v>
      </c>
      <c r="G43" s="260">
        <f>SUMIFS(Tbl_Lifting[Spread],Tbl_Lifting[L from],"&lt;"&amp;Tbl_Load_distrib[[#This Row],[x]],Tbl_Lifting[L to],"&gt;"&amp;C42)*Tbl_Load_distrib[[#This Row],[L_elt]]</f>
        <v>0</v>
      </c>
      <c r="H43" s="260">
        <f>SUMIFS(Tbl_Additionals[Spread],Tbl_Additionals[L from],"&lt;"&amp;Tbl_Load_distrib[[#This Row],[x]],Tbl_Additionals[L to],"&gt;"&amp;C42)*Tbl_Load_distrib[[#This Row],[L_elt]]</f>
        <v>4.166666666666667</v>
      </c>
      <c r="I43" s="260">
        <f ca="1">SUMIFS(Tbl_Deck_Tank[Spread],Tbl_Deck_Tank[L from],"&lt;"&amp;Tbl_Load_distrib[[#This Row],[x]],Tbl_Deck_Tank[L to],"&gt;"&amp;C42)*Tbl_Load_distrib[[#This Row],[L_elt]]</f>
        <v>0</v>
      </c>
      <c r="J43" s="137"/>
      <c r="K43" s="165">
        <f>IFERROR(Tbl_Long_Section[[#This Row],[H Deck-Bottom]],NA())</f>
        <v>4</v>
      </c>
      <c r="L43" s="829">
        <f>M_depth-Tbl_Load_distrib[[#This Row],[H Deck-Bottom]]</f>
        <v>0</v>
      </c>
      <c r="M43" s="929">
        <f>IFERROR(Tbl_Load_distrib[[#This Row],[x]]-C42,0)</f>
        <v>0.5</v>
      </c>
      <c r="N43" s="929">
        <f ca="1">IF(ISNA(Tbl_Load_distrib[[#This Row],[x]]),NA(),IF(ISTEXT(N42),0,IF(N42=0,$Z$3,N42-($Z$3-$AA$3)/(Lpp-FE_size)*Tbl_Load_distrib[[#This Row],[L_elt]])))</f>
        <v>0.98640387213409464</v>
      </c>
      <c r="O43" s="166">
        <f ca="1">IF(ISNUMBER(O42),(IF((N42-L42)&lt;0,0,N42-L42)+IF((Tbl_Load_distrib[[#This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0.49307291671738307</v>
      </c>
      <c r="P43" s="929">
        <f ca="1">IF(ISNA(Tbl_Load_distrib[[#This Row],[x]]),NA(),IF(ISTEXT(P42),0,IF(P42=0,LongSection_DraftAft,P42-(LongSection_DraftAft-LongSection_DraftFore)/(Lpp-FE_size)*Tbl_Load_distrib[[#This Row],[L_elt]])))</f>
        <v>0.99875501161152702</v>
      </c>
      <c r="Q43" s="166">
        <f ca="1">IF(ISNUMBER(Q42),(IF((P42-L42)&lt;0,0,P42-L42)+IF((Tbl_Load_distrib[[#This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0.49937988155692303</v>
      </c>
      <c r="R43" s="167">
        <f ca="1">ρ_sw*Tbl_Load_distrib[[#This Row],[Elt Area corrected]]*B/k_depl</f>
        <v>10.230484846562465</v>
      </c>
      <c r="S43" s="180">
        <f ca="1">Tbl_Load_distrib[[#This Row],[Section Weight]]-Tbl_Load_distrib[[#This Row],[Floating Elt]]</f>
        <v>-1.3971515132291312</v>
      </c>
      <c r="T43" s="183">
        <f ca="1">IF(ISTEXT($T42),0,$T42+Tbl_Load_distrib[[#This Row],[Net force / Elt]])</f>
        <v>31.968323596184</v>
      </c>
      <c r="U43" s="169">
        <f ca="1">IF(ISTEXT($U42),0,$U42+Tbl_Load_distrib[[#This Row],[Shearing Force]]*Tbl_Load_distrib[[#This Row],[L_elt]])</f>
        <v>903.27719157291619</v>
      </c>
    </row>
    <row r="44" spans="2:21" x14ac:dyDescent="0.25">
      <c r="B44" s="136">
        <f t="shared" si="1"/>
        <v>38</v>
      </c>
      <c r="C44" s="139">
        <f t="shared" si="2"/>
        <v>19</v>
      </c>
      <c r="D44" s="152">
        <f ca="1">SUM(Tbl_Load_distrib[[#This Row],[Hull &amp; Structure]:[Reserved]])</f>
        <v>8.8333333333333339</v>
      </c>
      <c r="E44" s="147">
        <f>SUMIFS(Tbl_Hull_Structure[Spread],Tbl_Hull_Structure[L from],"&lt;"&amp;Tbl_Load_distrib[[#This Row],[x]],Tbl_Hull_Structure[L to],"&gt;"&amp;C43)*Tbl_Load_distrib[[#This Row],[L_elt]]</f>
        <v>4.666666666666667</v>
      </c>
      <c r="F44" s="260">
        <f ca="1">SUMIFS(Tbl_Ballasts[Spread],Tbl_Ballasts[L from],"&lt;"&amp;Tbl_Load_distrib[[#This Row],[x]],Tbl_Ballasts[L to],"&gt;"&amp;C43)*Tbl_Load_distrib[[#This Row],[L_elt]]</f>
        <v>0</v>
      </c>
      <c r="G44" s="260">
        <f>SUMIFS(Tbl_Lifting[Spread],Tbl_Lifting[L from],"&lt;"&amp;Tbl_Load_distrib[[#This Row],[x]],Tbl_Lifting[L to],"&gt;"&amp;C43)*Tbl_Load_distrib[[#This Row],[L_elt]]</f>
        <v>0</v>
      </c>
      <c r="H44" s="260">
        <f>SUMIFS(Tbl_Additionals[Spread],Tbl_Additionals[L from],"&lt;"&amp;Tbl_Load_distrib[[#This Row],[x]],Tbl_Additionals[L to],"&gt;"&amp;C43)*Tbl_Load_distrib[[#This Row],[L_elt]]</f>
        <v>4.166666666666667</v>
      </c>
      <c r="I44" s="260">
        <f ca="1">SUMIFS(Tbl_Deck_Tank[Spread],Tbl_Deck_Tank[L from],"&lt;"&amp;Tbl_Load_distrib[[#This Row],[x]],Tbl_Deck_Tank[L to],"&gt;"&amp;C43)*Tbl_Load_distrib[[#This Row],[L_elt]]</f>
        <v>0</v>
      </c>
      <c r="J44" s="137"/>
      <c r="K44" s="165">
        <f>IFERROR(Tbl_Long_Section[[#This Row],[H Deck-Bottom]],NA())</f>
        <v>4</v>
      </c>
      <c r="L44" s="829">
        <f>M_depth-Tbl_Load_distrib[[#This Row],[H Deck-Bottom]]</f>
        <v>0</v>
      </c>
      <c r="M44" s="929">
        <f>IFERROR(Tbl_Load_distrib[[#This Row],[x]]-C43,0)</f>
        <v>0.5</v>
      </c>
      <c r="N44" s="929">
        <f ca="1">IF(ISNA(Tbl_Load_distrib[[#This Row],[x]]),NA(),IF(ISTEXT(N43),0,IF(N43=0,$Z$3,N43-($Z$3-$AA$3)/(Lpp-FE_size)*Tbl_Load_distrib[[#This Row],[L_elt]])))</f>
        <v>0.98691994953275153</v>
      </c>
      <c r="O44" s="166">
        <f ca="1">IF(ISNUMBER(O43),(IF((N43-L43)&lt;0,0,N43-L43)+IF((Tbl_Load_distrib[[#This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0.49333095541671157</v>
      </c>
      <c r="P44" s="929">
        <f ca="1">IF(ISNA(Tbl_Load_distrib[[#This Row],[x]]),NA(),IF(ISTEXT(P43),0,IF(P43=0,LongSection_DraftAft,P43-(LongSection_DraftAft-LongSection_DraftFore)/(Lpp-FE_size)*Tbl_Load_distrib[[#This Row],[L_elt]])))</f>
        <v>0.99874550860688882</v>
      </c>
      <c r="Q44" s="166">
        <f ca="1">IF(ISNUMBER(Q43),(IF((P43-L43)&lt;0,0,P43-L43)+IF((Tbl_Load_distrib[[#This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0.49937513005460399</v>
      </c>
      <c r="R44" s="167">
        <f ca="1">ρ_sw*Tbl_Load_distrib[[#This Row],[Elt Area corrected]]*B/k_depl</f>
        <v>10.23038750549153</v>
      </c>
      <c r="S44" s="180">
        <f ca="1">Tbl_Load_distrib[[#This Row],[Section Weight]]-Tbl_Load_distrib[[#This Row],[Floating Elt]]</f>
        <v>-1.3970541721581959</v>
      </c>
      <c r="T44" s="183">
        <f ca="1">IF(ISTEXT($T43),0,$T43+Tbl_Load_distrib[[#This Row],[Net force / Elt]])</f>
        <v>30.571269424025804</v>
      </c>
      <c r="U44" s="169">
        <f ca="1">IF(ISTEXT($U43),0,$U43+Tbl_Load_distrib[[#This Row],[Shearing Force]]*Tbl_Load_distrib[[#This Row],[L_elt]])</f>
        <v>918.56282628492909</v>
      </c>
    </row>
    <row r="45" spans="2:21" x14ac:dyDescent="0.25">
      <c r="B45" s="136">
        <f t="shared" si="1"/>
        <v>39</v>
      </c>
      <c r="C45" s="139">
        <f t="shared" si="2"/>
        <v>19.5</v>
      </c>
      <c r="D45" s="152">
        <f ca="1">SUM(Tbl_Load_distrib[[#This Row],[Hull &amp; Structure]:[Reserved]])</f>
        <v>8.8333333333333339</v>
      </c>
      <c r="E45" s="147">
        <f>SUMIFS(Tbl_Hull_Structure[Spread],Tbl_Hull_Structure[L from],"&lt;"&amp;Tbl_Load_distrib[[#This Row],[x]],Tbl_Hull_Structure[L to],"&gt;"&amp;C44)*Tbl_Load_distrib[[#This Row],[L_elt]]</f>
        <v>4.666666666666667</v>
      </c>
      <c r="F45" s="260">
        <f ca="1">SUMIFS(Tbl_Ballasts[Spread],Tbl_Ballasts[L from],"&lt;"&amp;Tbl_Load_distrib[[#This Row],[x]],Tbl_Ballasts[L to],"&gt;"&amp;C44)*Tbl_Load_distrib[[#This Row],[L_elt]]</f>
        <v>0</v>
      </c>
      <c r="G45" s="260">
        <f>SUMIFS(Tbl_Lifting[Spread],Tbl_Lifting[L from],"&lt;"&amp;Tbl_Load_distrib[[#This Row],[x]],Tbl_Lifting[L to],"&gt;"&amp;C44)*Tbl_Load_distrib[[#This Row],[L_elt]]</f>
        <v>0</v>
      </c>
      <c r="H45" s="260">
        <f>SUMIFS(Tbl_Additionals[Spread],Tbl_Additionals[L from],"&lt;"&amp;Tbl_Load_distrib[[#This Row],[x]],Tbl_Additionals[L to],"&gt;"&amp;C44)*Tbl_Load_distrib[[#This Row],[L_elt]]</f>
        <v>4.166666666666667</v>
      </c>
      <c r="I45" s="260">
        <f ca="1">SUMIFS(Tbl_Deck_Tank[Spread],Tbl_Deck_Tank[L from],"&lt;"&amp;Tbl_Load_distrib[[#This Row],[x]],Tbl_Deck_Tank[L to],"&gt;"&amp;C44)*Tbl_Load_distrib[[#This Row],[L_elt]]</f>
        <v>0</v>
      </c>
      <c r="J45" s="137"/>
      <c r="K45" s="165">
        <f>IFERROR(Tbl_Long_Section[[#This Row],[H Deck-Bottom]],NA())</f>
        <v>4</v>
      </c>
      <c r="L45" s="829">
        <f>M_depth-Tbl_Load_distrib[[#This Row],[H Deck-Bottom]]</f>
        <v>0</v>
      </c>
      <c r="M45" s="929">
        <f>IFERROR(Tbl_Load_distrib[[#This Row],[x]]-C44,0)</f>
        <v>0.5</v>
      </c>
      <c r="N45" s="929">
        <f ca="1">IF(ISNA(Tbl_Load_distrib[[#This Row],[x]]),NA(),IF(ISTEXT(N44),0,IF(N44=0,$Z$3,N44-($Z$3-$AA$3)/(Lpp-FE_size)*Tbl_Load_distrib[[#This Row],[L_elt]])))</f>
        <v>0.98743602693140842</v>
      </c>
      <c r="O45" s="166">
        <f ca="1">IF(ISNUMBER(O44),(IF((N44-L44)&lt;0,0,N44-L44)+IF((Tbl_Load_distrib[[#This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0.49358899411603996</v>
      </c>
      <c r="P45" s="929">
        <f ca="1">IF(ISNA(Tbl_Load_distrib[[#This Row],[x]]),NA(),IF(ISTEXT(P44),0,IF(P44=0,LongSection_DraftAft,P44-(LongSection_DraftAft-LongSection_DraftFore)/(Lpp-FE_size)*Tbl_Load_distrib[[#This Row],[L_elt]])))</f>
        <v>0.99873600560225062</v>
      </c>
      <c r="Q45" s="166">
        <f ca="1">IF(ISNUMBER(Q44),(IF((P44-L44)&lt;0,0,P44-L44)+IF((Tbl_Load_distrib[[#This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0.49937037855228483</v>
      </c>
      <c r="R45" s="167">
        <f ca="1">ρ_sw*Tbl_Load_distrib[[#This Row],[Elt Area corrected]]*B/k_depl</f>
        <v>10.230290164420595</v>
      </c>
      <c r="S45" s="180">
        <f ca="1">Tbl_Load_distrib[[#This Row],[Section Weight]]-Tbl_Load_distrib[[#This Row],[Floating Elt]]</f>
        <v>-1.3969568310872607</v>
      </c>
      <c r="T45" s="183">
        <f ca="1">IF(ISTEXT($T44),0,$T44+Tbl_Load_distrib[[#This Row],[Net force / Elt]])</f>
        <v>29.174312592938541</v>
      </c>
      <c r="U45" s="169">
        <f ca="1">IF(ISTEXT($U44),0,$U44+Tbl_Load_distrib[[#This Row],[Shearing Force]]*Tbl_Load_distrib[[#This Row],[L_elt]])</f>
        <v>933.14998258139838</v>
      </c>
    </row>
    <row r="46" spans="2:21" x14ac:dyDescent="0.25">
      <c r="B46" s="136">
        <f t="shared" si="1"/>
        <v>40</v>
      </c>
      <c r="C46" s="139">
        <f t="shared" si="2"/>
        <v>20</v>
      </c>
      <c r="D46" s="152">
        <f ca="1">SUM(Tbl_Load_distrib[[#This Row],[Hull &amp; Structure]:[Reserved]])</f>
        <v>8.8333333333333339</v>
      </c>
      <c r="E46" s="147">
        <f>SUMIFS(Tbl_Hull_Structure[Spread],Tbl_Hull_Structure[L from],"&lt;"&amp;Tbl_Load_distrib[[#This Row],[x]],Tbl_Hull_Structure[L to],"&gt;"&amp;C45)*Tbl_Load_distrib[[#This Row],[L_elt]]</f>
        <v>4.666666666666667</v>
      </c>
      <c r="F46" s="260">
        <f ca="1">SUMIFS(Tbl_Ballasts[Spread],Tbl_Ballasts[L from],"&lt;"&amp;Tbl_Load_distrib[[#This Row],[x]],Tbl_Ballasts[L to],"&gt;"&amp;C45)*Tbl_Load_distrib[[#This Row],[L_elt]]</f>
        <v>0</v>
      </c>
      <c r="G46" s="260">
        <f>SUMIFS(Tbl_Lifting[Spread],Tbl_Lifting[L from],"&lt;"&amp;Tbl_Load_distrib[[#This Row],[x]],Tbl_Lifting[L to],"&gt;"&amp;C45)*Tbl_Load_distrib[[#This Row],[L_elt]]</f>
        <v>0</v>
      </c>
      <c r="H46" s="260">
        <f>SUMIFS(Tbl_Additionals[Spread],Tbl_Additionals[L from],"&lt;"&amp;Tbl_Load_distrib[[#This Row],[x]],Tbl_Additionals[L to],"&gt;"&amp;C45)*Tbl_Load_distrib[[#This Row],[L_elt]]</f>
        <v>4.166666666666667</v>
      </c>
      <c r="I46" s="260">
        <f ca="1">SUMIFS(Tbl_Deck_Tank[Spread],Tbl_Deck_Tank[L from],"&lt;"&amp;Tbl_Load_distrib[[#This Row],[x]],Tbl_Deck_Tank[L to],"&gt;"&amp;C45)*Tbl_Load_distrib[[#This Row],[L_elt]]</f>
        <v>0</v>
      </c>
      <c r="J46" s="137"/>
      <c r="K46" s="165">
        <f>IFERROR(Tbl_Long_Section[[#This Row],[H Deck-Bottom]],NA())</f>
        <v>4</v>
      </c>
      <c r="L46" s="829">
        <f>M_depth-Tbl_Load_distrib[[#This Row],[H Deck-Bottom]]</f>
        <v>0</v>
      </c>
      <c r="M46" s="929">
        <f>IFERROR(Tbl_Load_distrib[[#This Row],[x]]-C45,0)</f>
        <v>0.5</v>
      </c>
      <c r="N46" s="929">
        <f ca="1">IF(ISNA(Tbl_Load_distrib[[#This Row],[x]]),NA(),IF(ISTEXT(N45),0,IF(N45=0,$Z$3,N45-($Z$3-$AA$3)/(Lpp-FE_size)*Tbl_Load_distrib[[#This Row],[L_elt]])))</f>
        <v>0.98795210433006531</v>
      </c>
      <c r="O46" s="166">
        <f ca="1">IF(ISNUMBER(O45),(IF((N45-L45)&lt;0,0,N45-L45)+IF((Tbl_Load_distrib[[#This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0.49384703281536846</v>
      </c>
      <c r="P46" s="929">
        <f ca="1">IF(ISNA(Tbl_Load_distrib[[#This Row],[x]]),NA(),IF(ISTEXT(P45),0,IF(P45=0,LongSection_DraftAft,P45-(LongSection_DraftAft-LongSection_DraftFore)/(Lpp-FE_size)*Tbl_Load_distrib[[#This Row],[L_elt]])))</f>
        <v>0.99872650259761242</v>
      </c>
      <c r="Q46" s="166">
        <f ca="1">IF(ISNUMBER(Q45),(IF((P45-L45)&lt;0,0,P45-L45)+IF((Tbl_Load_distrib[[#This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0.49936562704996579</v>
      </c>
      <c r="R46" s="167">
        <f ca="1">ρ_sw*Tbl_Load_distrib[[#This Row],[Elt Area corrected]]*B/k_depl</f>
        <v>10.230192823349661</v>
      </c>
      <c r="S46" s="180">
        <f ca="1">Tbl_Load_distrib[[#This Row],[Section Weight]]-Tbl_Load_distrib[[#This Row],[Floating Elt]]</f>
        <v>-1.3968594900163271</v>
      </c>
      <c r="T46" s="183">
        <f ca="1">IF(ISTEXT($T45),0,$T45+Tbl_Load_distrib[[#This Row],[Net force / Elt]])</f>
        <v>27.777453102922216</v>
      </c>
      <c r="U46" s="169">
        <f ca="1">IF(ISTEXT($U45),0,$U45+Tbl_Load_distrib[[#This Row],[Shearing Force]]*Tbl_Load_distrib[[#This Row],[L_elt]])</f>
        <v>947.03870913285948</v>
      </c>
    </row>
    <row r="47" spans="2:21" x14ac:dyDescent="0.25">
      <c r="B47" s="136">
        <f t="shared" si="1"/>
        <v>41</v>
      </c>
      <c r="C47" s="139">
        <f t="shared" si="2"/>
        <v>20.5</v>
      </c>
      <c r="D47" s="152">
        <f ca="1">SUM(Tbl_Load_distrib[[#This Row],[Hull &amp; Structure]:[Reserved]])</f>
        <v>8.8333333333333339</v>
      </c>
      <c r="E47" s="147">
        <f>SUMIFS(Tbl_Hull_Structure[Spread],Tbl_Hull_Structure[L from],"&lt;"&amp;Tbl_Load_distrib[[#This Row],[x]],Tbl_Hull_Structure[L to],"&gt;"&amp;C46)*Tbl_Load_distrib[[#This Row],[L_elt]]</f>
        <v>4.666666666666667</v>
      </c>
      <c r="F47" s="260">
        <f ca="1">SUMIFS(Tbl_Ballasts[Spread],Tbl_Ballasts[L from],"&lt;"&amp;Tbl_Load_distrib[[#This Row],[x]],Tbl_Ballasts[L to],"&gt;"&amp;C46)*Tbl_Load_distrib[[#This Row],[L_elt]]</f>
        <v>0</v>
      </c>
      <c r="G47" s="260">
        <f>SUMIFS(Tbl_Lifting[Spread],Tbl_Lifting[L from],"&lt;"&amp;Tbl_Load_distrib[[#This Row],[x]],Tbl_Lifting[L to],"&gt;"&amp;C46)*Tbl_Load_distrib[[#This Row],[L_elt]]</f>
        <v>0</v>
      </c>
      <c r="H47" s="260">
        <f>SUMIFS(Tbl_Additionals[Spread],Tbl_Additionals[L from],"&lt;"&amp;Tbl_Load_distrib[[#This Row],[x]],Tbl_Additionals[L to],"&gt;"&amp;C46)*Tbl_Load_distrib[[#This Row],[L_elt]]</f>
        <v>4.166666666666667</v>
      </c>
      <c r="I47" s="260">
        <f ca="1">SUMIFS(Tbl_Deck_Tank[Spread],Tbl_Deck_Tank[L from],"&lt;"&amp;Tbl_Load_distrib[[#This Row],[x]],Tbl_Deck_Tank[L to],"&gt;"&amp;C46)*Tbl_Load_distrib[[#This Row],[L_elt]]</f>
        <v>0</v>
      </c>
      <c r="J47" s="137"/>
      <c r="K47" s="165">
        <f>IFERROR(Tbl_Long_Section[[#This Row],[H Deck-Bottom]],NA())</f>
        <v>4</v>
      </c>
      <c r="L47" s="829">
        <f>M_depth-Tbl_Load_distrib[[#This Row],[H Deck-Bottom]]</f>
        <v>0</v>
      </c>
      <c r="M47" s="929">
        <f>IFERROR(Tbl_Load_distrib[[#This Row],[x]]-C46,0)</f>
        <v>0.5</v>
      </c>
      <c r="N47" s="929">
        <f ca="1">IF(ISNA(Tbl_Load_distrib[[#This Row],[x]]),NA(),IF(ISTEXT(N46),0,IF(N46=0,$Z$3,N46-($Z$3-$AA$3)/(Lpp-FE_size)*Tbl_Load_distrib[[#This Row],[L_elt]])))</f>
        <v>0.98846818172872219</v>
      </c>
      <c r="O47" s="166">
        <f ca="1">IF(ISNUMBER(O46),(IF((N46-L46)&lt;0,0,N46-L46)+IF((Tbl_Load_distrib[[#This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0.49410507151469685</v>
      </c>
      <c r="P47" s="929">
        <f ca="1">IF(ISNA(Tbl_Load_distrib[[#This Row],[x]]),NA(),IF(ISTEXT(P46),0,IF(P46=0,LongSection_DraftAft,P46-(LongSection_DraftAft-LongSection_DraftFore)/(Lpp-FE_size)*Tbl_Load_distrib[[#This Row],[L_elt]])))</f>
        <v>0.99871699959297422</v>
      </c>
      <c r="Q47" s="166">
        <f ca="1">IF(ISNUMBER(Q46),(IF((P46-L46)&lt;0,0,P46-L46)+IF((Tbl_Load_distrib[[#This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0.49936087554764663</v>
      </c>
      <c r="R47" s="167">
        <f ca="1">ρ_sw*Tbl_Load_distrib[[#This Row],[Elt Area corrected]]*B/k_depl</f>
        <v>10.230095482278724</v>
      </c>
      <c r="S47" s="180">
        <f ca="1">Tbl_Load_distrib[[#This Row],[Section Weight]]-Tbl_Load_distrib[[#This Row],[Floating Elt]]</f>
        <v>-1.3967621489453901</v>
      </c>
      <c r="T47" s="183">
        <f ca="1">IF(ISTEXT($T46),0,$T46+Tbl_Load_distrib[[#This Row],[Net force / Elt]])</f>
        <v>26.380690953976824</v>
      </c>
      <c r="U47" s="169">
        <f ca="1">IF(ISTEXT($U46),0,$U46+Tbl_Load_distrib[[#This Row],[Shearing Force]]*Tbl_Load_distrib[[#This Row],[L_elt]])</f>
        <v>960.22905460984794</v>
      </c>
    </row>
    <row r="48" spans="2:21" x14ac:dyDescent="0.25">
      <c r="B48" s="136">
        <f t="shared" si="1"/>
        <v>42</v>
      </c>
      <c r="C48" s="139">
        <f t="shared" si="2"/>
        <v>21</v>
      </c>
      <c r="D48" s="152">
        <f ca="1">SUM(Tbl_Load_distrib[[#This Row],[Hull &amp; Structure]:[Reserved]])</f>
        <v>8.8333333333333339</v>
      </c>
      <c r="E48" s="147">
        <f>SUMIFS(Tbl_Hull_Structure[Spread],Tbl_Hull_Structure[L from],"&lt;"&amp;Tbl_Load_distrib[[#This Row],[x]],Tbl_Hull_Structure[L to],"&gt;"&amp;C47)*Tbl_Load_distrib[[#This Row],[L_elt]]</f>
        <v>4.666666666666667</v>
      </c>
      <c r="F48" s="260">
        <f ca="1">SUMIFS(Tbl_Ballasts[Spread],Tbl_Ballasts[L from],"&lt;"&amp;Tbl_Load_distrib[[#This Row],[x]],Tbl_Ballasts[L to],"&gt;"&amp;C47)*Tbl_Load_distrib[[#This Row],[L_elt]]</f>
        <v>0</v>
      </c>
      <c r="G48" s="260">
        <f>SUMIFS(Tbl_Lifting[Spread],Tbl_Lifting[L from],"&lt;"&amp;Tbl_Load_distrib[[#This Row],[x]],Tbl_Lifting[L to],"&gt;"&amp;C47)*Tbl_Load_distrib[[#This Row],[L_elt]]</f>
        <v>0</v>
      </c>
      <c r="H48" s="260">
        <f>SUMIFS(Tbl_Additionals[Spread],Tbl_Additionals[L from],"&lt;"&amp;Tbl_Load_distrib[[#This Row],[x]],Tbl_Additionals[L to],"&gt;"&amp;C47)*Tbl_Load_distrib[[#This Row],[L_elt]]</f>
        <v>4.166666666666667</v>
      </c>
      <c r="I48" s="260">
        <f ca="1">SUMIFS(Tbl_Deck_Tank[Spread],Tbl_Deck_Tank[L from],"&lt;"&amp;Tbl_Load_distrib[[#This Row],[x]],Tbl_Deck_Tank[L to],"&gt;"&amp;C47)*Tbl_Load_distrib[[#This Row],[L_elt]]</f>
        <v>0</v>
      </c>
      <c r="J48" s="137"/>
      <c r="K48" s="165">
        <f>IFERROR(Tbl_Long_Section[[#This Row],[H Deck-Bottom]],NA())</f>
        <v>4</v>
      </c>
      <c r="L48" s="829">
        <f>M_depth-Tbl_Load_distrib[[#This Row],[H Deck-Bottom]]</f>
        <v>0</v>
      </c>
      <c r="M48" s="929">
        <f>IFERROR(Tbl_Load_distrib[[#This Row],[x]]-C47,0)</f>
        <v>0.5</v>
      </c>
      <c r="N48" s="929">
        <f ca="1">IF(ISNA(Tbl_Load_distrib[[#This Row],[x]]),NA(),IF(ISTEXT(N47),0,IF(N47=0,$Z$3,N47-($Z$3-$AA$3)/(Lpp-FE_size)*Tbl_Load_distrib[[#This Row],[L_elt]])))</f>
        <v>0.98898425912737908</v>
      </c>
      <c r="O48" s="166">
        <f ca="1">IF(ISNUMBER(O47),(IF((N47-L47)&lt;0,0,N47-L47)+IF((Tbl_Load_distrib[[#This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0.49436311021402535</v>
      </c>
      <c r="P48" s="929">
        <f ca="1">IF(ISNA(Tbl_Load_distrib[[#This Row],[x]]),NA(),IF(ISTEXT(P47),0,IF(P47=0,LongSection_DraftAft,P47-(LongSection_DraftAft-LongSection_DraftFore)/(Lpp-FE_size)*Tbl_Load_distrib[[#This Row],[L_elt]])))</f>
        <v>0.99870749658833602</v>
      </c>
      <c r="Q48" s="166">
        <f ca="1">IF(ISNUMBER(Q47),(IF((P47-L47)&lt;0,0,P47-L47)+IF((Tbl_Load_distrib[[#This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0.49935612404532759</v>
      </c>
      <c r="R48" s="167">
        <f ca="1">ρ_sw*Tbl_Load_distrib[[#This Row],[Elt Area corrected]]*B/k_depl</f>
        <v>10.22999814120779</v>
      </c>
      <c r="S48" s="180">
        <f ca="1">Tbl_Load_distrib[[#This Row],[Section Weight]]-Tbl_Load_distrib[[#This Row],[Floating Elt]]</f>
        <v>-1.3966648078744566</v>
      </c>
      <c r="T48" s="183">
        <f ca="1">IF(ISTEXT($T47),0,$T47+Tbl_Load_distrib[[#This Row],[Net force / Elt]])</f>
        <v>24.984026146102366</v>
      </c>
      <c r="U48" s="169">
        <f ca="1">IF(ISTEXT($U47),0,$U47+Tbl_Load_distrib[[#This Row],[Shearing Force]]*Tbl_Load_distrib[[#This Row],[L_elt]])</f>
        <v>972.72106768289916</v>
      </c>
    </row>
    <row r="49" spans="2:21" x14ac:dyDescent="0.25">
      <c r="B49" s="136">
        <f t="shared" si="1"/>
        <v>43</v>
      </c>
      <c r="C49" s="139">
        <f t="shared" si="2"/>
        <v>21.5</v>
      </c>
      <c r="D49" s="152">
        <f ca="1">SUM(Tbl_Load_distrib[[#This Row],[Hull &amp; Structure]:[Reserved]])</f>
        <v>8.8333333333333339</v>
      </c>
      <c r="E49" s="147">
        <f>SUMIFS(Tbl_Hull_Structure[Spread],Tbl_Hull_Structure[L from],"&lt;"&amp;Tbl_Load_distrib[[#This Row],[x]],Tbl_Hull_Structure[L to],"&gt;"&amp;C48)*Tbl_Load_distrib[[#This Row],[L_elt]]</f>
        <v>4.666666666666667</v>
      </c>
      <c r="F49" s="260">
        <f ca="1">SUMIFS(Tbl_Ballasts[Spread],Tbl_Ballasts[L from],"&lt;"&amp;Tbl_Load_distrib[[#This Row],[x]],Tbl_Ballasts[L to],"&gt;"&amp;C48)*Tbl_Load_distrib[[#This Row],[L_elt]]</f>
        <v>0</v>
      </c>
      <c r="G49" s="260">
        <f>SUMIFS(Tbl_Lifting[Spread],Tbl_Lifting[L from],"&lt;"&amp;Tbl_Load_distrib[[#This Row],[x]],Tbl_Lifting[L to],"&gt;"&amp;C48)*Tbl_Load_distrib[[#This Row],[L_elt]]</f>
        <v>0</v>
      </c>
      <c r="H49" s="260">
        <f>SUMIFS(Tbl_Additionals[Spread],Tbl_Additionals[L from],"&lt;"&amp;Tbl_Load_distrib[[#This Row],[x]],Tbl_Additionals[L to],"&gt;"&amp;C48)*Tbl_Load_distrib[[#This Row],[L_elt]]</f>
        <v>4.166666666666667</v>
      </c>
      <c r="I49" s="260">
        <f ca="1">SUMIFS(Tbl_Deck_Tank[Spread],Tbl_Deck_Tank[L from],"&lt;"&amp;Tbl_Load_distrib[[#This Row],[x]],Tbl_Deck_Tank[L to],"&gt;"&amp;C48)*Tbl_Load_distrib[[#This Row],[L_elt]]</f>
        <v>0</v>
      </c>
      <c r="J49" s="137"/>
      <c r="K49" s="165">
        <f>IFERROR(Tbl_Long_Section[[#This Row],[H Deck-Bottom]],NA())</f>
        <v>4</v>
      </c>
      <c r="L49" s="829">
        <f>M_depth-Tbl_Load_distrib[[#This Row],[H Deck-Bottom]]</f>
        <v>0</v>
      </c>
      <c r="M49" s="929">
        <f>IFERROR(Tbl_Load_distrib[[#This Row],[x]]-C48,0)</f>
        <v>0.5</v>
      </c>
      <c r="N49" s="929">
        <f ca="1">IF(ISNA(Tbl_Load_distrib[[#This Row],[x]]),NA(),IF(ISTEXT(N48),0,IF(N48=0,$Z$3,N48-($Z$3-$AA$3)/(Lpp-FE_size)*Tbl_Load_distrib[[#This Row],[L_elt]])))</f>
        <v>0.98950033652603597</v>
      </c>
      <c r="O49" s="166">
        <f ca="1">IF(ISNUMBER(O48),(IF((N48-L48)&lt;0,0,N48-L48)+IF((Tbl_Load_distrib[[#This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0.49462114891335374</v>
      </c>
      <c r="P49" s="929">
        <f ca="1">IF(ISNA(Tbl_Load_distrib[[#This Row],[x]]),NA(),IF(ISTEXT(P48),0,IF(P48=0,LongSection_DraftAft,P48-(LongSection_DraftAft-LongSection_DraftFore)/(Lpp-FE_size)*Tbl_Load_distrib[[#This Row],[L_elt]])))</f>
        <v>0.99869799358369782</v>
      </c>
      <c r="Q49" s="166">
        <f ca="1">IF(ISNUMBER(Q48),(IF((P48-L48)&lt;0,0,P48-L48)+IF((Tbl_Load_distrib[[#This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0.49935137254300843</v>
      </c>
      <c r="R49" s="167">
        <f ca="1">ρ_sw*Tbl_Load_distrib[[#This Row],[Elt Area corrected]]*B/k_depl</f>
        <v>10.229900800136857</v>
      </c>
      <c r="S49" s="180">
        <f ca="1">Tbl_Load_distrib[[#This Row],[Section Weight]]-Tbl_Load_distrib[[#This Row],[Floating Elt]]</f>
        <v>-1.3965674668035231</v>
      </c>
      <c r="T49" s="183">
        <f ca="1">IF(ISTEXT($T48),0,$T48+Tbl_Load_distrib[[#This Row],[Net force / Elt]])</f>
        <v>23.587458679298841</v>
      </c>
      <c r="U49" s="169">
        <f ca="1">IF(ISTEXT($U48),0,$U48+Tbl_Load_distrib[[#This Row],[Shearing Force]]*Tbl_Load_distrib[[#This Row],[L_elt]])</f>
        <v>984.51479702254858</v>
      </c>
    </row>
    <row r="50" spans="2:21" x14ac:dyDescent="0.25">
      <c r="B50" s="136">
        <f t="shared" si="1"/>
        <v>44</v>
      </c>
      <c r="C50" s="139">
        <f t="shared" si="2"/>
        <v>22</v>
      </c>
      <c r="D50" s="152">
        <f ca="1">SUM(Tbl_Load_distrib[[#This Row],[Hull &amp; Structure]:[Reserved]])</f>
        <v>8.8333333333333339</v>
      </c>
      <c r="E50" s="147">
        <f>SUMIFS(Tbl_Hull_Structure[Spread],Tbl_Hull_Structure[L from],"&lt;"&amp;Tbl_Load_distrib[[#This Row],[x]],Tbl_Hull_Structure[L to],"&gt;"&amp;C49)*Tbl_Load_distrib[[#This Row],[L_elt]]</f>
        <v>4.666666666666667</v>
      </c>
      <c r="F50" s="260">
        <f ca="1">SUMIFS(Tbl_Ballasts[Spread],Tbl_Ballasts[L from],"&lt;"&amp;Tbl_Load_distrib[[#This Row],[x]],Tbl_Ballasts[L to],"&gt;"&amp;C49)*Tbl_Load_distrib[[#This Row],[L_elt]]</f>
        <v>0</v>
      </c>
      <c r="G50" s="260">
        <f>SUMIFS(Tbl_Lifting[Spread],Tbl_Lifting[L from],"&lt;"&amp;Tbl_Load_distrib[[#This Row],[x]],Tbl_Lifting[L to],"&gt;"&amp;C49)*Tbl_Load_distrib[[#This Row],[L_elt]]</f>
        <v>0</v>
      </c>
      <c r="H50" s="260">
        <f>SUMIFS(Tbl_Additionals[Spread],Tbl_Additionals[L from],"&lt;"&amp;Tbl_Load_distrib[[#This Row],[x]],Tbl_Additionals[L to],"&gt;"&amp;C49)*Tbl_Load_distrib[[#This Row],[L_elt]]</f>
        <v>4.166666666666667</v>
      </c>
      <c r="I50" s="260">
        <f ca="1">SUMIFS(Tbl_Deck_Tank[Spread],Tbl_Deck_Tank[L from],"&lt;"&amp;Tbl_Load_distrib[[#This Row],[x]],Tbl_Deck_Tank[L to],"&gt;"&amp;C49)*Tbl_Load_distrib[[#This Row],[L_elt]]</f>
        <v>0</v>
      </c>
      <c r="J50" s="137"/>
      <c r="K50" s="165">
        <f>IFERROR(Tbl_Long_Section[[#This Row],[H Deck-Bottom]],NA())</f>
        <v>4</v>
      </c>
      <c r="L50" s="829">
        <f>M_depth-Tbl_Load_distrib[[#This Row],[H Deck-Bottom]]</f>
        <v>0</v>
      </c>
      <c r="M50" s="929">
        <f>IFERROR(Tbl_Load_distrib[[#This Row],[x]]-C49,0)</f>
        <v>0.5</v>
      </c>
      <c r="N50" s="929">
        <f ca="1">IF(ISNA(Tbl_Load_distrib[[#This Row],[x]]),NA(),IF(ISTEXT(N49),0,IF(N49=0,$Z$3,N49-($Z$3-$AA$3)/(Lpp-FE_size)*Tbl_Load_distrib[[#This Row],[L_elt]])))</f>
        <v>0.99001641392469286</v>
      </c>
      <c r="O50" s="166">
        <f ca="1">IF(ISNUMBER(O49),(IF((N49-L49)&lt;0,0,N49-L49)+IF((Tbl_Load_distrib[[#This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0.49487918761268224</v>
      </c>
      <c r="P50" s="929">
        <f ca="1">IF(ISNA(Tbl_Load_distrib[[#This Row],[x]]),NA(),IF(ISTEXT(P49),0,IF(P49=0,LongSection_DraftAft,P49-(LongSection_DraftAft-LongSection_DraftFore)/(Lpp-FE_size)*Tbl_Load_distrib[[#This Row],[L_elt]])))</f>
        <v>0.99868849057905962</v>
      </c>
      <c r="Q50" s="166">
        <f ca="1">IF(ISNUMBER(Q49),(IF((P49-L49)&lt;0,0,P49-L49)+IF((Tbl_Load_distrib[[#This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0.49934662104068939</v>
      </c>
      <c r="R50" s="167">
        <f ca="1">ρ_sw*Tbl_Load_distrib[[#This Row],[Elt Area corrected]]*B/k_depl</f>
        <v>10.229803459065922</v>
      </c>
      <c r="S50" s="180">
        <f ca="1">Tbl_Load_distrib[[#This Row],[Section Weight]]-Tbl_Load_distrib[[#This Row],[Floating Elt]]</f>
        <v>-1.3964701257325878</v>
      </c>
      <c r="T50" s="183">
        <f ca="1">IF(ISTEXT($T49),0,$T49+Tbl_Load_distrib[[#This Row],[Net force / Elt]])</f>
        <v>22.190988553566253</v>
      </c>
      <c r="U50" s="169">
        <f ca="1">IF(ISTEXT($U49),0,$U49+Tbl_Load_distrib[[#This Row],[Shearing Force]]*Tbl_Load_distrib[[#This Row],[L_elt]])</f>
        <v>995.61029129933172</v>
      </c>
    </row>
    <row r="51" spans="2:21" x14ac:dyDescent="0.25">
      <c r="B51" s="136">
        <f t="shared" si="1"/>
        <v>45</v>
      </c>
      <c r="C51" s="139">
        <f t="shared" si="2"/>
        <v>22.5</v>
      </c>
      <c r="D51" s="152">
        <f ca="1">SUM(Tbl_Load_distrib[[#This Row],[Hull &amp; Structure]:[Reserved]])</f>
        <v>8.8333333333333339</v>
      </c>
      <c r="E51" s="147">
        <f>SUMIFS(Tbl_Hull_Structure[Spread],Tbl_Hull_Structure[L from],"&lt;"&amp;Tbl_Load_distrib[[#This Row],[x]],Tbl_Hull_Structure[L to],"&gt;"&amp;C50)*Tbl_Load_distrib[[#This Row],[L_elt]]</f>
        <v>4.666666666666667</v>
      </c>
      <c r="F51" s="260">
        <f ca="1">SUMIFS(Tbl_Ballasts[Spread],Tbl_Ballasts[L from],"&lt;"&amp;Tbl_Load_distrib[[#This Row],[x]],Tbl_Ballasts[L to],"&gt;"&amp;C50)*Tbl_Load_distrib[[#This Row],[L_elt]]</f>
        <v>0</v>
      </c>
      <c r="G51" s="260">
        <f>SUMIFS(Tbl_Lifting[Spread],Tbl_Lifting[L from],"&lt;"&amp;Tbl_Load_distrib[[#This Row],[x]],Tbl_Lifting[L to],"&gt;"&amp;C50)*Tbl_Load_distrib[[#This Row],[L_elt]]</f>
        <v>0</v>
      </c>
      <c r="H51" s="260">
        <f>SUMIFS(Tbl_Additionals[Spread],Tbl_Additionals[L from],"&lt;"&amp;Tbl_Load_distrib[[#This Row],[x]],Tbl_Additionals[L to],"&gt;"&amp;C50)*Tbl_Load_distrib[[#This Row],[L_elt]]</f>
        <v>4.166666666666667</v>
      </c>
      <c r="I51" s="260">
        <f ca="1">SUMIFS(Tbl_Deck_Tank[Spread],Tbl_Deck_Tank[L from],"&lt;"&amp;Tbl_Load_distrib[[#This Row],[x]],Tbl_Deck_Tank[L to],"&gt;"&amp;C50)*Tbl_Load_distrib[[#This Row],[L_elt]]</f>
        <v>0</v>
      </c>
      <c r="J51" s="137"/>
      <c r="K51" s="165">
        <f>IFERROR(Tbl_Long_Section[[#This Row],[H Deck-Bottom]],NA())</f>
        <v>4</v>
      </c>
      <c r="L51" s="829">
        <f>M_depth-Tbl_Load_distrib[[#This Row],[H Deck-Bottom]]</f>
        <v>0</v>
      </c>
      <c r="M51" s="929">
        <f>IFERROR(Tbl_Load_distrib[[#This Row],[x]]-C50,0)</f>
        <v>0.5</v>
      </c>
      <c r="N51" s="929">
        <f ca="1">IF(ISNA(Tbl_Load_distrib[[#This Row],[x]]),NA(),IF(ISTEXT(N50),0,IF(N50=0,$Z$3,N50-($Z$3-$AA$3)/(Lpp-FE_size)*Tbl_Load_distrib[[#This Row],[L_elt]])))</f>
        <v>0.99053249132334975</v>
      </c>
      <c r="O51" s="166">
        <f ca="1">IF(ISNUMBER(O50),(IF((N50-L50)&lt;0,0,N50-L50)+IF((Tbl_Load_distrib[[#This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0.49513722631201063</v>
      </c>
      <c r="P51" s="929">
        <f ca="1">IF(ISNA(Tbl_Load_distrib[[#This Row],[x]]),NA(),IF(ISTEXT(P50),0,IF(P50=0,LongSection_DraftAft,P50-(LongSection_DraftAft-LongSection_DraftFore)/(Lpp-FE_size)*Tbl_Load_distrib[[#This Row],[L_elt]])))</f>
        <v>0.99867898757442142</v>
      </c>
      <c r="Q51" s="166">
        <f ca="1">IF(ISNUMBER(Q50),(IF((P50-L50)&lt;0,0,P50-L50)+IF((Tbl_Load_distrib[[#This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0.49934186953837023</v>
      </c>
      <c r="R51" s="167">
        <f ca="1">ρ_sw*Tbl_Load_distrib[[#This Row],[Elt Area corrected]]*B/k_depl</f>
        <v>10.229706117994986</v>
      </c>
      <c r="S51" s="180">
        <f ca="1">Tbl_Load_distrib[[#This Row],[Section Weight]]-Tbl_Load_distrib[[#This Row],[Floating Elt]]</f>
        <v>-1.3963727846616525</v>
      </c>
      <c r="T51" s="183">
        <f ca="1">IF(ISTEXT($T50),0,$T50+Tbl_Load_distrib[[#This Row],[Net force / Elt]])</f>
        <v>20.794615768904599</v>
      </c>
      <c r="U51" s="169">
        <f ca="1">IF(ISTEXT($U50),0,$U50+Tbl_Load_distrib[[#This Row],[Shearing Force]]*Tbl_Load_distrib[[#This Row],[L_elt]])</f>
        <v>1006.007599183784</v>
      </c>
    </row>
    <row r="52" spans="2:21" x14ac:dyDescent="0.25">
      <c r="B52" s="136">
        <f t="shared" si="1"/>
        <v>46</v>
      </c>
      <c r="C52" s="139">
        <f t="shared" si="2"/>
        <v>23</v>
      </c>
      <c r="D52" s="152">
        <f ca="1">SUM(Tbl_Load_distrib[[#This Row],[Hull &amp; Structure]:[Reserved]])</f>
        <v>8.8333333333333339</v>
      </c>
      <c r="E52" s="147">
        <f>SUMIFS(Tbl_Hull_Structure[Spread],Tbl_Hull_Structure[L from],"&lt;"&amp;Tbl_Load_distrib[[#This Row],[x]],Tbl_Hull_Structure[L to],"&gt;"&amp;C51)*Tbl_Load_distrib[[#This Row],[L_elt]]</f>
        <v>4.666666666666667</v>
      </c>
      <c r="F52" s="260">
        <f ca="1">SUMIFS(Tbl_Ballasts[Spread],Tbl_Ballasts[L from],"&lt;"&amp;Tbl_Load_distrib[[#This Row],[x]],Tbl_Ballasts[L to],"&gt;"&amp;C51)*Tbl_Load_distrib[[#This Row],[L_elt]]</f>
        <v>0</v>
      </c>
      <c r="G52" s="260">
        <f>SUMIFS(Tbl_Lifting[Spread],Tbl_Lifting[L from],"&lt;"&amp;Tbl_Load_distrib[[#This Row],[x]],Tbl_Lifting[L to],"&gt;"&amp;C51)*Tbl_Load_distrib[[#This Row],[L_elt]]</f>
        <v>0</v>
      </c>
      <c r="H52" s="260">
        <f>SUMIFS(Tbl_Additionals[Spread],Tbl_Additionals[L from],"&lt;"&amp;Tbl_Load_distrib[[#This Row],[x]],Tbl_Additionals[L to],"&gt;"&amp;C51)*Tbl_Load_distrib[[#This Row],[L_elt]]</f>
        <v>4.166666666666667</v>
      </c>
      <c r="I52" s="260">
        <f ca="1">SUMIFS(Tbl_Deck_Tank[Spread],Tbl_Deck_Tank[L from],"&lt;"&amp;Tbl_Load_distrib[[#This Row],[x]],Tbl_Deck_Tank[L to],"&gt;"&amp;C51)*Tbl_Load_distrib[[#This Row],[L_elt]]</f>
        <v>0</v>
      </c>
      <c r="J52" s="137"/>
      <c r="K52" s="165">
        <f>IFERROR(Tbl_Long_Section[[#This Row],[H Deck-Bottom]],NA())</f>
        <v>4</v>
      </c>
      <c r="L52" s="829">
        <f>M_depth-Tbl_Load_distrib[[#This Row],[H Deck-Bottom]]</f>
        <v>0</v>
      </c>
      <c r="M52" s="929">
        <f>IFERROR(Tbl_Load_distrib[[#This Row],[x]]-C51,0)</f>
        <v>0.5</v>
      </c>
      <c r="N52" s="929">
        <f ca="1">IF(ISNA(Tbl_Load_distrib[[#This Row],[x]]),NA(),IF(ISTEXT(N51),0,IF(N51=0,$Z$3,N51-($Z$3-$AA$3)/(Lpp-FE_size)*Tbl_Load_distrib[[#This Row],[L_elt]])))</f>
        <v>0.99104856872200664</v>
      </c>
      <c r="O52" s="166">
        <f ca="1">IF(ISNUMBER(O51),(IF((N51-L51)&lt;0,0,N51-L51)+IF((Tbl_Load_distrib[[#This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0.49539526501133913</v>
      </c>
      <c r="P52" s="929">
        <f ca="1">IF(ISNA(Tbl_Load_distrib[[#This Row],[x]]),NA(),IF(ISTEXT(P51),0,IF(P51=0,LongSection_DraftAft,P51-(LongSection_DraftAft-LongSection_DraftFore)/(Lpp-FE_size)*Tbl_Load_distrib[[#This Row],[L_elt]])))</f>
        <v>0.99866948456978322</v>
      </c>
      <c r="Q52" s="166">
        <f ca="1">IF(ISNUMBER(Q51),(IF((P51-L51)&lt;0,0,P51-L51)+IF((Tbl_Load_distrib[[#This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0.49933711803605119</v>
      </c>
      <c r="R52" s="167">
        <f ca="1">ρ_sw*Tbl_Load_distrib[[#This Row],[Elt Area corrected]]*B/k_depl</f>
        <v>10.229608776924051</v>
      </c>
      <c r="S52" s="180">
        <f ca="1">Tbl_Load_distrib[[#This Row],[Section Weight]]-Tbl_Load_distrib[[#This Row],[Floating Elt]]</f>
        <v>-1.3962754435907172</v>
      </c>
      <c r="T52" s="183">
        <f ca="1">IF(ISTEXT($T51),0,$T51+Tbl_Load_distrib[[#This Row],[Net force / Elt]])</f>
        <v>19.398340325313882</v>
      </c>
      <c r="U52" s="169">
        <f ca="1">IF(ISTEXT($U51),0,$U51+Tbl_Load_distrib[[#This Row],[Shearing Force]]*Tbl_Load_distrib[[#This Row],[L_elt]])</f>
        <v>1015.706769346441</v>
      </c>
    </row>
    <row r="53" spans="2:21" x14ac:dyDescent="0.25">
      <c r="B53" s="136">
        <f t="shared" si="1"/>
        <v>47</v>
      </c>
      <c r="C53" s="139">
        <f t="shared" si="2"/>
        <v>23.5</v>
      </c>
      <c r="D53" s="152">
        <f ca="1">SUM(Tbl_Load_distrib[[#This Row],[Hull &amp; Structure]:[Reserved]])</f>
        <v>8.8333333333333339</v>
      </c>
      <c r="E53" s="147">
        <f>SUMIFS(Tbl_Hull_Structure[Spread],Tbl_Hull_Structure[L from],"&lt;"&amp;Tbl_Load_distrib[[#This Row],[x]],Tbl_Hull_Structure[L to],"&gt;"&amp;C52)*Tbl_Load_distrib[[#This Row],[L_elt]]</f>
        <v>4.666666666666667</v>
      </c>
      <c r="F53" s="260">
        <f ca="1">SUMIFS(Tbl_Ballasts[Spread],Tbl_Ballasts[L from],"&lt;"&amp;Tbl_Load_distrib[[#This Row],[x]],Tbl_Ballasts[L to],"&gt;"&amp;C52)*Tbl_Load_distrib[[#This Row],[L_elt]]</f>
        <v>0</v>
      </c>
      <c r="G53" s="260">
        <f>SUMIFS(Tbl_Lifting[Spread],Tbl_Lifting[L from],"&lt;"&amp;Tbl_Load_distrib[[#This Row],[x]],Tbl_Lifting[L to],"&gt;"&amp;C52)*Tbl_Load_distrib[[#This Row],[L_elt]]</f>
        <v>0</v>
      </c>
      <c r="H53" s="260">
        <f>SUMIFS(Tbl_Additionals[Spread],Tbl_Additionals[L from],"&lt;"&amp;Tbl_Load_distrib[[#This Row],[x]],Tbl_Additionals[L to],"&gt;"&amp;C52)*Tbl_Load_distrib[[#This Row],[L_elt]]</f>
        <v>4.166666666666667</v>
      </c>
      <c r="I53" s="260">
        <f ca="1">SUMIFS(Tbl_Deck_Tank[Spread],Tbl_Deck_Tank[L from],"&lt;"&amp;Tbl_Load_distrib[[#This Row],[x]],Tbl_Deck_Tank[L to],"&gt;"&amp;C52)*Tbl_Load_distrib[[#This Row],[L_elt]]</f>
        <v>0</v>
      </c>
      <c r="J53" s="137"/>
      <c r="K53" s="165">
        <f>IFERROR(Tbl_Long_Section[[#This Row],[H Deck-Bottom]],NA())</f>
        <v>4</v>
      </c>
      <c r="L53" s="829">
        <f>M_depth-Tbl_Load_distrib[[#This Row],[H Deck-Bottom]]</f>
        <v>0</v>
      </c>
      <c r="M53" s="929">
        <f>IFERROR(Tbl_Load_distrib[[#This Row],[x]]-C52,0)</f>
        <v>0.5</v>
      </c>
      <c r="N53" s="929">
        <f ca="1">IF(ISNA(Tbl_Load_distrib[[#This Row],[x]]),NA(),IF(ISTEXT(N52),0,IF(N52=0,$Z$3,N52-($Z$3-$AA$3)/(Lpp-FE_size)*Tbl_Load_distrib[[#This Row],[L_elt]])))</f>
        <v>0.99156464612066353</v>
      </c>
      <c r="O53" s="166">
        <f ca="1">IF(ISNUMBER(O52),(IF((N52-L52)&lt;0,0,N52-L52)+IF((Tbl_Load_distrib[[#This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0.49565330371066751</v>
      </c>
      <c r="P53" s="929">
        <f ca="1">IF(ISNA(Tbl_Load_distrib[[#This Row],[x]]),NA(),IF(ISTEXT(P52),0,IF(P52=0,LongSection_DraftAft,P52-(LongSection_DraftAft-LongSection_DraftFore)/(Lpp-FE_size)*Tbl_Load_distrib[[#This Row],[L_elt]])))</f>
        <v>0.99865998156514502</v>
      </c>
      <c r="Q53" s="166">
        <f ca="1">IF(ISNUMBER(Q52),(IF((P52-L52)&lt;0,0,P52-L52)+IF((Tbl_Load_distrib[[#This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0.49933236653373203</v>
      </c>
      <c r="R53" s="167">
        <f ca="1">ρ_sw*Tbl_Load_distrib[[#This Row],[Elt Area corrected]]*B/k_depl</f>
        <v>10.229511435853118</v>
      </c>
      <c r="S53" s="180">
        <f ca="1">Tbl_Load_distrib[[#This Row],[Section Weight]]-Tbl_Load_distrib[[#This Row],[Floating Elt]]</f>
        <v>-1.3961781025197837</v>
      </c>
      <c r="T53" s="183">
        <f ca="1">IF(ISTEXT($T52),0,$T52+Tbl_Load_distrib[[#This Row],[Net force / Elt]])</f>
        <v>18.002162222794098</v>
      </c>
      <c r="U53" s="169">
        <f ca="1">IF(ISTEXT($U52),0,$U52+Tbl_Load_distrib[[#This Row],[Shearing Force]]*Tbl_Load_distrib[[#This Row],[L_elt]])</f>
        <v>1024.707850457838</v>
      </c>
    </row>
    <row r="54" spans="2:21" x14ac:dyDescent="0.25">
      <c r="B54" s="136">
        <f t="shared" si="1"/>
        <v>48</v>
      </c>
      <c r="C54" s="139">
        <f t="shared" si="2"/>
        <v>24</v>
      </c>
      <c r="D54" s="152">
        <f ca="1">SUM(Tbl_Load_distrib[[#This Row],[Hull &amp; Structure]:[Reserved]])</f>
        <v>8.8333333333333339</v>
      </c>
      <c r="E54" s="147">
        <f>SUMIFS(Tbl_Hull_Structure[Spread],Tbl_Hull_Structure[L from],"&lt;"&amp;Tbl_Load_distrib[[#This Row],[x]],Tbl_Hull_Structure[L to],"&gt;"&amp;C53)*Tbl_Load_distrib[[#This Row],[L_elt]]</f>
        <v>4.666666666666667</v>
      </c>
      <c r="F54" s="260">
        <f ca="1">SUMIFS(Tbl_Ballasts[Spread],Tbl_Ballasts[L from],"&lt;"&amp;Tbl_Load_distrib[[#This Row],[x]],Tbl_Ballasts[L to],"&gt;"&amp;C53)*Tbl_Load_distrib[[#This Row],[L_elt]]</f>
        <v>0</v>
      </c>
      <c r="G54" s="260">
        <f>SUMIFS(Tbl_Lifting[Spread],Tbl_Lifting[L from],"&lt;"&amp;Tbl_Load_distrib[[#This Row],[x]],Tbl_Lifting[L to],"&gt;"&amp;C53)*Tbl_Load_distrib[[#This Row],[L_elt]]</f>
        <v>0</v>
      </c>
      <c r="H54" s="260">
        <f>SUMIFS(Tbl_Additionals[Spread],Tbl_Additionals[L from],"&lt;"&amp;Tbl_Load_distrib[[#This Row],[x]],Tbl_Additionals[L to],"&gt;"&amp;C53)*Tbl_Load_distrib[[#This Row],[L_elt]]</f>
        <v>4.166666666666667</v>
      </c>
      <c r="I54" s="260">
        <f ca="1">SUMIFS(Tbl_Deck_Tank[Spread],Tbl_Deck_Tank[L from],"&lt;"&amp;Tbl_Load_distrib[[#This Row],[x]],Tbl_Deck_Tank[L to],"&gt;"&amp;C53)*Tbl_Load_distrib[[#This Row],[L_elt]]</f>
        <v>0</v>
      </c>
      <c r="J54" s="137"/>
      <c r="K54" s="165">
        <f>IFERROR(Tbl_Long_Section[[#This Row],[H Deck-Bottom]],NA())</f>
        <v>4</v>
      </c>
      <c r="L54" s="829">
        <f>M_depth-Tbl_Load_distrib[[#This Row],[H Deck-Bottom]]</f>
        <v>0</v>
      </c>
      <c r="M54" s="929">
        <f>IFERROR(Tbl_Load_distrib[[#This Row],[x]]-C53,0)</f>
        <v>0.5</v>
      </c>
      <c r="N54" s="929">
        <f ca="1">IF(ISNA(Tbl_Load_distrib[[#This Row],[x]]),NA(),IF(ISTEXT(N53),0,IF(N53=0,$Z$3,N53-($Z$3-$AA$3)/(Lpp-FE_size)*Tbl_Load_distrib[[#This Row],[L_elt]])))</f>
        <v>0.99208072351932042</v>
      </c>
      <c r="O54" s="166">
        <f ca="1">IF(ISNUMBER(O53),(IF((N53-L53)&lt;0,0,N53-L53)+IF((Tbl_Load_distrib[[#This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0.49591134240999601</v>
      </c>
      <c r="P54" s="929">
        <f ca="1">IF(ISNA(Tbl_Load_distrib[[#This Row],[x]]),NA(),IF(ISTEXT(P53),0,IF(P53=0,LongSection_DraftAft,P53-(LongSection_DraftAft-LongSection_DraftFore)/(Lpp-FE_size)*Tbl_Load_distrib[[#This Row],[L_elt]])))</f>
        <v>0.99865047856050682</v>
      </c>
      <c r="Q54" s="166">
        <f ca="1">IF(ISNUMBER(Q53),(IF((P53-L53)&lt;0,0,P53-L53)+IF((Tbl_Load_distrib[[#This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0.49932761503141299</v>
      </c>
      <c r="R54" s="167">
        <f ca="1">ρ_sw*Tbl_Load_distrib[[#This Row],[Elt Area corrected]]*B/k_depl</f>
        <v>10.229414094782184</v>
      </c>
      <c r="S54" s="180">
        <f ca="1">Tbl_Load_distrib[[#This Row],[Section Weight]]-Tbl_Load_distrib[[#This Row],[Floating Elt]]</f>
        <v>-1.3960807614488502</v>
      </c>
      <c r="T54" s="183">
        <f ca="1">IF(ISTEXT($T53),0,$T53+Tbl_Load_distrib[[#This Row],[Net force / Elt]])</f>
        <v>16.606081461345248</v>
      </c>
      <c r="U54" s="169">
        <f ca="1">IF(ISTEXT($U53),0,$U53+Tbl_Load_distrib[[#This Row],[Shearing Force]]*Tbl_Load_distrib[[#This Row],[L_elt]])</f>
        <v>1033.0108911885106</v>
      </c>
    </row>
    <row r="55" spans="2:21" x14ac:dyDescent="0.25">
      <c r="B55" s="136">
        <f t="shared" si="1"/>
        <v>49</v>
      </c>
      <c r="C55" s="139">
        <f t="shared" si="2"/>
        <v>24.5</v>
      </c>
      <c r="D55" s="152">
        <f ca="1">SUM(Tbl_Load_distrib[[#This Row],[Hull &amp; Structure]:[Reserved]])</f>
        <v>8.8333333333333339</v>
      </c>
      <c r="E55" s="147">
        <f>SUMIFS(Tbl_Hull_Structure[Spread],Tbl_Hull_Structure[L from],"&lt;"&amp;Tbl_Load_distrib[[#This Row],[x]],Tbl_Hull_Structure[L to],"&gt;"&amp;C54)*Tbl_Load_distrib[[#This Row],[L_elt]]</f>
        <v>4.666666666666667</v>
      </c>
      <c r="F55" s="260">
        <f ca="1">SUMIFS(Tbl_Ballasts[Spread],Tbl_Ballasts[L from],"&lt;"&amp;Tbl_Load_distrib[[#This Row],[x]],Tbl_Ballasts[L to],"&gt;"&amp;C54)*Tbl_Load_distrib[[#This Row],[L_elt]]</f>
        <v>0</v>
      </c>
      <c r="G55" s="260">
        <f>SUMIFS(Tbl_Lifting[Spread],Tbl_Lifting[L from],"&lt;"&amp;Tbl_Load_distrib[[#This Row],[x]],Tbl_Lifting[L to],"&gt;"&amp;C54)*Tbl_Load_distrib[[#This Row],[L_elt]]</f>
        <v>0</v>
      </c>
      <c r="H55" s="260">
        <f>SUMIFS(Tbl_Additionals[Spread],Tbl_Additionals[L from],"&lt;"&amp;Tbl_Load_distrib[[#This Row],[x]],Tbl_Additionals[L to],"&gt;"&amp;C54)*Tbl_Load_distrib[[#This Row],[L_elt]]</f>
        <v>4.166666666666667</v>
      </c>
      <c r="I55" s="260">
        <f ca="1">SUMIFS(Tbl_Deck_Tank[Spread],Tbl_Deck_Tank[L from],"&lt;"&amp;Tbl_Load_distrib[[#This Row],[x]],Tbl_Deck_Tank[L to],"&gt;"&amp;C54)*Tbl_Load_distrib[[#This Row],[L_elt]]</f>
        <v>0</v>
      </c>
      <c r="J55" s="137"/>
      <c r="K55" s="165">
        <f>IFERROR(Tbl_Long_Section[[#This Row],[H Deck-Bottom]],NA())</f>
        <v>4</v>
      </c>
      <c r="L55" s="829">
        <f>M_depth-Tbl_Load_distrib[[#This Row],[H Deck-Bottom]]</f>
        <v>0</v>
      </c>
      <c r="M55" s="929">
        <f>IFERROR(Tbl_Load_distrib[[#This Row],[x]]-C54,0)</f>
        <v>0.5</v>
      </c>
      <c r="N55" s="929">
        <f ca="1">IF(ISNA(Tbl_Load_distrib[[#This Row],[x]]),NA(),IF(ISTEXT(N54),0,IF(N54=0,$Z$3,N54-($Z$3-$AA$3)/(Lpp-FE_size)*Tbl_Load_distrib[[#This Row],[L_elt]])))</f>
        <v>0.99259680091797731</v>
      </c>
      <c r="O55" s="166">
        <f ca="1">IF(ISNUMBER(O54),(IF((N54-L54)&lt;0,0,N54-L54)+IF((Tbl_Load_distrib[[#This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0.4961693811093244</v>
      </c>
      <c r="P55" s="929">
        <f ca="1">IF(ISNA(Tbl_Load_distrib[[#This Row],[x]]),NA(),IF(ISTEXT(P54),0,IF(P54=0,LongSection_DraftAft,P54-(LongSection_DraftAft-LongSection_DraftFore)/(Lpp-FE_size)*Tbl_Load_distrib[[#This Row],[L_elt]])))</f>
        <v>0.99864097555586862</v>
      </c>
      <c r="Q55" s="166">
        <f ca="1">IF(ISNUMBER(Q54),(IF((P54-L54)&lt;0,0,P54-L54)+IF((Tbl_Load_distrib[[#This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0.49932286352909383</v>
      </c>
      <c r="R55" s="167">
        <f ca="1">ρ_sw*Tbl_Load_distrib[[#This Row],[Elt Area corrected]]*B/k_depl</f>
        <v>10.229316753711247</v>
      </c>
      <c r="S55" s="180">
        <f ca="1">Tbl_Load_distrib[[#This Row],[Section Weight]]-Tbl_Load_distrib[[#This Row],[Floating Elt]]</f>
        <v>-1.3959834203779131</v>
      </c>
      <c r="T55" s="183">
        <f ca="1">IF(ISTEXT($T54),0,$T54+Tbl_Load_distrib[[#This Row],[Net force / Elt]])</f>
        <v>15.210098040967335</v>
      </c>
      <c r="U55" s="169">
        <f ca="1">IF(ISTEXT($U54),0,$U54+Tbl_Load_distrib[[#This Row],[Shearing Force]]*Tbl_Load_distrib[[#This Row],[L_elt]])</f>
        <v>1040.6159402089943</v>
      </c>
    </row>
    <row r="56" spans="2:21" x14ac:dyDescent="0.25">
      <c r="B56" s="136">
        <f t="shared" si="1"/>
        <v>50</v>
      </c>
      <c r="C56" s="139">
        <f t="shared" si="2"/>
        <v>25</v>
      </c>
      <c r="D56" s="152">
        <f ca="1">SUM(Tbl_Load_distrib[[#This Row],[Hull &amp; Structure]:[Reserved]])</f>
        <v>8.8333333333333339</v>
      </c>
      <c r="E56" s="147">
        <f>SUMIFS(Tbl_Hull_Structure[Spread],Tbl_Hull_Structure[L from],"&lt;"&amp;Tbl_Load_distrib[[#This Row],[x]],Tbl_Hull_Structure[L to],"&gt;"&amp;C55)*Tbl_Load_distrib[[#This Row],[L_elt]]</f>
        <v>4.666666666666667</v>
      </c>
      <c r="F56" s="260">
        <f ca="1">SUMIFS(Tbl_Ballasts[Spread],Tbl_Ballasts[L from],"&lt;"&amp;Tbl_Load_distrib[[#This Row],[x]],Tbl_Ballasts[L to],"&gt;"&amp;C55)*Tbl_Load_distrib[[#This Row],[L_elt]]</f>
        <v>0</v>
      </c>
      <c r="G56" s="260">
        <f>SUMIFS(Tbl_Lifting[Spread],Tbl_Lifting[L from],"&lt;"&amp;Tbl_Load_distrib[[#This Row],[x]],Tbl_Lifting[L to],"&gt;"&amp;C55)*Tbl_Load_distrib[[#This Row],[L_elt]]</f>
        <v>0</v>
      </c>
      <c r="H56" s="260">
        <f>SUMIFS(Tbl_Additionals[Spread],Tbl_Additionals[L from],"&lt;"&amp;Tbl_Load_distrib[[#This Row],[x]],Tbl_Additionals[L to],"&gt;"&amp;C55)*Tbl_Load_distrib[[#This Row],[L_elt]]</f>
        <v>4.166666666666667</v>
      </c>
      <c r="I56" s="260">
        <f ca="1">SUMIFS(Tbl_Deck_Tank[Spread],Tbl_Deck_Tank[L from],"&lt;"&amp;Tbl_Load_distrib[[#This Row],[x]],Tbl_Deck_Tank[L to],"&gt;"&amp;C55)*Tbl_Load_distrib[[#This Row],[L_elt]]</f>
        <v>0</v>
      </c>
      <c r="J56" s="137"/>
      <c r="K56" s="165">
        <f>IFERROR(Tbl_Long_Section[[#This Row],[H Deck-Bottom]],NA())</f>
        <v>4</v>
      </c>
      <c r="L56" s="829">
        <f>M_depth-Tbl_Load_distrib[[#This Row],[H Deck-Bottom]]</f>
        <v>0</v>
      </c>
      <c r="M56" s="929">
        <f>IFERROR(Tbl_Load_distrib[[#This Row],[x]]-C55,0)</f>
        <v>0.5</v>
      </c>
      <c r="N56" s="929">
        <f ca="1">IF(ISNA(Tbl_Load_distrib[[#This Row],[x]]),NA(),IF(ISTEXT(N55),0,IF(N55=0,$Z$3,N55-($Z$3-$AA$3)/(Lpp-FE_size)*Tbl_Load_distrib[[#This Row],[L_elt]])))</f>
        <v>0.9931128783166342</v>
      </c>
      <c r="O56" s="166">
        <f ca="1">IF(ISNUMBER(O55),(IF((N55-L55)&lt;0,0,N55-L55)+IF((Tbl_Load_distrib[[#This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0.4964274198086529</v>
      </c>
      <c r="P56" s="929">
        <f ca="1">IF(ISNA(Tbl_Load_distrib[[#This Row],[x]]),NA(),IF(ISTEXT(P55),0,IF(P55=0,LongSection_DraftAft,P55-(LongSection_DraftAft-LongSection_DraftFore)/(Lpp-FE_size)*Tbl_Load_distrib[[#This Row],[L_elt]])))</f>
        <v>0.99863147255123041</v>
      </c>
      <c r="Q56" s="166">
        <f ca="1">IF(ISNUMBER(Q55),(IF((P55-L55)&lt;0,0,P55-L55)+IF((Tbl_Load_distrib[[#This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0.49931811202677479</v>
      </c>
      <c r="R56" s="167">
        <f ca="1">ρ_sw*Tbl_Load_distrib[[#This Row],[Elt Area corrected]]*B/k_depl</f>
        <v>10.229219412640314</v>
      </c>
      <c r="S56" s="180">
        <f ca="1">Tbl_Load_distrib[[#This Row],[Section Weight]]-Tbl_Load_distrib[[#This Row],[Floating Elt]]</f>
        <v>-1.3958860793069796</v>
      </c>
      <c r="T56" s="183">
        <f ca="1">IF(ISTEXT($T55),0,$T55+Tbl_Load_distrib[[#This Row],[Net force / Elt]])</f>
        <v>13.814211961660355</v>
      </c>
      <c r="U56" s="169">
        <f ca="1">IF(ISTEXT($U55),0,$U55+Tbl_Load_distrib[[#This Row],[Shearing Force]]*Tbl_Load_distrib[[#This Row],[L_elt]])</f>
        <v>1047.5230461898245</v>
      </c>
    </row>
    <row r="57" spans="2:21" x14ac:dyDescent="0.25">
      <c r="B57" s="136">
        <f t="shared" si="1"/>
        <v>51</v>
      </c>
      <c r="C57" s="139">
        <f t="shared" si="2"/>
        <v>25.5</v>
      </c>
      <c r="D57" s="152">
        <f ca="1">SUM(Tbl_Load_distrib[[#This Row],[Hull &amp; Structure]:[Reserved]])</f>
        <v>8.8333333333333339</v>
      </c>
      <c r="E57" s="147">
        <f>SUMIFS(Tbl_Hull_Structure[Spread],Tbl_Hull_Structure[L from],"&lt;"&amp;Tbl_Load_distrib[[#This Row],[x]],Tbl_Hull_Structure[L to],"&gt;"&amp;C56)*Tbl_Load_distrib[[#This Row],[L_elt]]</f>
        <v>4.666666666666667</v>
      </c>
      <c r="F57" s="260">
        <f ca="1">SUMIFS(Tbl_Ballasts[Spread],Tbl_Ballasts[L from],"&lt;"&amp;Tbl_Load_distrib[[#This Row],[x]],Tbl_Ballasts[L to],"&gt;"&amp;C56)*Tbl_Load_distrib[[#This Row],[L_elt]]</f>
        <v>0</v>
      </c>
      <c r="G57" s="260">
        <f>SUMIFS(Tbl_Lifting[Spread],Tbl_Lifting[L from],"&lt;"&amp;Tbl_Load_distrib[[#This Row],[x]],Tbl_Lifting[L to],"&gt;"&amp;C56)*Tbl_Load_distrib[[#This Row],[L_elt]]</f>
        <v>0</v>
      </c>
      <c r="H57" s="260">
        <f>SUMIFS(Tbl_Additionals[Spread],Tbl_Additionals[L from],"&lt;"&amp;Tbl_Load_distrib[[#This Row],[x]],Tbl_Additionals[L to],"&gt;"&amp;C56)*Tbl_Load_distrib[[#This Row],[L_elt]]</f>
        <v>4.166666666666667</v>
      </c>
      <c r="I57" s="260">
        <f ca="1">SUMIFS(Tbl_Deck_Tank[Spread],Tbl_Deck_Tank[L from],"&lt;"&amp;Tbl_Load_distrib[[#This Row],[x]],Tbl_Deck_Tank[L to],"&gt;"&amp;C56)*Tbl_Load_distrib[[#This Row],[L_elt]]</f>
        <v>0</v>
      </c>
      <c r="J57" s="137"/>
      <c r="K57" s="165">
        <f>IFERROR(Tbl_Long_Section[[#This Row],[H Deck-Bottom]],NA())</f>
        <v>4</v>
      </c>
      <c r="L57" s="829">
        <f>M_depth-Tbl_Load_distrib[[#This Row],[H Deck-Bottom]]</f>
        <v>0</v>
      </c>
      <c r="M57" s="929">
        <f>IFERROR(Tbl_Load_distrib[[#This Row],[x]]-C56,0)</f>
        <v>0.5</v>
      </c>
      <c r="N57" s="929">
        <f ca="1">IF(ISNA(Tbl_Load_distrib[[#This Row],[x]]),NA(),IF(ISTEXT(N56),0,IF(N56=0,$Z$3,N56-($Z$3-$AA$3)/(Lpp-FE_size)*Tbl_Load_distrib[[#This Row],[L_elt]])))</f>
        <v>0.99362895571529108</v>
      </c>
      <c r="O57" s="166">
        <f ca="1">IF(ISNUMBER(O56),(IF((N56-L56)&lt;0,0,N56-L56)+IF((Tbl_Load_distrib[[#This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0.49668545850798129</v>
      </c>
      <c r="P57" s="929">
        <f ca="1">IF(ISNA(Tbl_Load_distrib[[#This Row],[x]]),NA(),IF(ISTEXT(P56),0,IF(P56=0,LongSection_DraftAft,P56-(LongSection_DraftAft-LongSection_DraftFore)/(Lpp-FE_size)*Tbl_Load_distrib[[#This Row],[L_elt]])))</f>
        <v>0.99862196954659221</v>
      </c>
      <c r="Q57" s="166">
        <f ca="1">IF(ISNUMBER(Q56),(IF((P56-L56)&lt;0,0,P56-L56)+IF((Tbl_Load_distrib[[#This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0.49931336052445563</v>
      </c>
      <c r="R57" s="167">
        <f ca="1">ρ_sw*Tbl_Load_distrib[[#This Row],[Elt Area corrected]]*B/k_depl</f>
        <v>10.229122071569378</v>
      </c>
      <c r="S57" s="180">
        <f ca="1">Tbl_Load_distrib[[#This Row],[Section Weight]]-Tbl_Load_distrib[[#This Row],[Floating Elt]]</f>
        <v>-1.3957887382360443</v>
      </c>
      <c r="T57" s="183">
        <f ca="1">IF(ISTEXT($T56),0,$T56+Tbl_Load_distrib[[#This Row],[Net force / Elt]])</f>
        <v>12.418423223424311</v>
      </c>
      <c r="U57" s="169">
        <f ca="1">IF(ISTEXT($U56),0,$U56+Tbl_Load_distrib[[#This Row],[Shearing Force]]*Tbl_Load_distrib[[#This Row],[L_elt]])</f>
        <v>1053.7322578015367</v>
      </c>
    </row>
    <row r="58" spans="2:21" x14ac:dyDescent="0.25">
      <c r="B58" s="136">
        <f t="shared" si="1"/>
        <v>52</v>
      </c>
      <c r="C58" s="139">
        <f t="shared" si="2"/>
        <v>26</v>
      </c>
      <c r="D58" s="152">
        <f ca="1">SUM(Tbl_Load_distrib[[#This Row],[Hull &amp; Structure]:[Reserved]])</f>
        <v>8.8333333333333339</v>
      </c>
      <c r="E58" s="147">
        <f>SUMIFS(Tbl_Hull_Structure[Spread],Tbl_Hull_Structure[L from],"&lt;"&amp;Tbl_Load_distrib[[#This Row],[x]],Tbl_Hull_Structure[L to],"&gt;"&amp;C57)*Tbl_Load_distrib[[#This Row],[L_elt]]</f>
        <v>4.666666666666667</v>
      </c>
      <c r="F58" s="260">
        <f ca="1">SUMIFS(Tbl_Ballasts[Spread],Tbl_Ballasts[L from],"&lt;"&amp;Tbl_Load_distrib[[#This Row],[x]],Tbl_Ballasts[L to],"&gt;"&amp;C57)*Tbl_Load_distrib[[#This Row],[L_elt]]</f>
        <v>0</v>
      </c>
      <c r="G58" s="260">
        <f>SUMIFS(Tbl_Lifting[Spread],Tbl_Lifting[L from],"&lt;"&amp;Tbl_Load_distrib[[#This Row],[x]],Tbl_Lifting[L to],"&gt;"&amp;C57)*Tbl_Load_distrib[[#This Row],[L_elt]]</f>
        <v>0</v>
      </c>
      <c r="H58" s="260">
        <f>SUMIFS(Tbl_Additionals[Spread],Tbl_Additionals[L from],"&lt;"&amp;Tbl_Load_distrib[[#This Row],[x]],Tbl_Additionals[L to],"&gt;"&amp;C57)*Tbl_Load_distrib[[#This Row],[L_elt]]</f>
        <v>4.166666666666667</v>
      </c>
      <c r="I58" s="260">
        <f ca="1">SUMIFS(Tbl_Deck_Tank[Spread],Tbl_Deck_Tank[L from],"&lt;"&amp;Tbl_Load_distrib[[#This Row],[x]],Tbl_Deck_Tank[L to],"&gt;"&amp;C57)*Tbl_Load_distrib[[#This Row],[L_elt]]</f>
        <v>0</v>
      </c>
      <c r="J58" s="137"/>
      <c r="K58" s="165">
        <f>IFERROR(Tbl_Long_Section[[#This Row],[H Deck-Bottom]],NA())</f>
        <v>4</v>
      </c>
      <c r="L58" s="829">
        <f>M_depth-Tbl_Load_distrib[[#This Row],[H Deck-Bottom]]</f>
        <v>0</v>
      </c>
      <c r="M58" s="929">
        <f>IFERROR(Tbl_Load_distrib[[#This Row],[x]]-C57,0)</f>
        <v>0.5</v>
      </c>
      <c r="N58" s="929">
        <f ca="1">IF(ISNA(Tbl_Load_distrib[[#This Row],[x]]),NA(),IF(ISTEXT(N57),0,IF(N57=0,$Z$3,N57-($Z$3-$AA$3)/(Lpp-FE_size)*Tbl_Load_distrib[[#This Row],[L_elt]])))</f>
        <v>0.99414503311394797</v>
      </c>
      <c r="O58" s="166">
        <f ca="1">IF(ISNUMBER(O57),(IF((N57-L57)&lt;0,0,N57-L57)+IF((Tbl_Load_distrib[[#This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0.49694349720730979</v>
      </c>
      <c r="P58" s="929">
        <f ca="1">IF(ISNA(Tbl_Load_distrib[[#This Row],[x]]),NA(),IF(ISTEXT(P57),0,IF(P57=0,LongSection_DraftAft,P57-(LongSection_DraftAft-LongSection_DraftFore)/(Lpp-FE_size)*Tbl_Load_distrib[[#This Row],[L_elt]])))</f>
        <v>0.99861246654195401</v>
      </c>
      <c r="Q58" s="166">
        <f ca="1">IF(ISNUMBER(Q57),(IF((P57-L57)&lt;0,0,P57-L57)+IF((Tbl_Load_distrib[[#This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0.49930860902213658</v>
      </c>
      <c r="R58" s="167">
        <f ca="1">ρ_sw*Tbl_Load_distrib[[#This Row],[Elt Area corrected]]*B/k_depl</f>
        <v>10.229024730498443</v>
      </c>
      <c r="S58" s="180">
        <f ca="1">Tbl_Load_distrib[[#This Row],[Section Weight]]-Tbl_Load_distrib[[#This Row],[Floating Elt]]</f>
        <v>-1.395691397165109</v>
      </c>
      <c r="T58" s="183">
        <f ca="1">IF(ISTEXT($T57),0,$T57+Tbl_Load_distrib[[#This Row],[Net force / Elt]])</f>
        <v>11.022731826259202</v>
      </c>
      <c r="U58" s="169">
        <f ca="1">IF(ISTEXT($U57),0,$U57+Tbl_Load_distrib[[#This Row],[Shearing Force]]*Tbl_Load_distrib[[#This Row],[L_elt]])</f>
        <v>1059.2436237146662</v>
      </c>
    </row>
    <row r="59" spans="2:21" x14ac:dyDescent="0.25">
      <c r="B59" s="136">
        <f t="shared" si="1"/>
        <v>53</v>
      </c>
      <c r="C59" s="139">
        <f t="shared" si="2"/>
        <v>26.5</v>
      </c>
      <c r="D59" s="152">
        <f ca="1">SUM(Tbl_Load_distrib[[#This Row],[Hull &amp; Structure]:[Reserved]])</f>
        <v>8.8333333333333339</v>
      </c>
      <c r="E59" s="147">
        <f>SUMIFS(Tbl_Hull_Structure[Spread],Tbl_Hull_Structure[L from],"&lt;"&amp;Tbl_Load_distrib[[#This Row],[x]],Tbl_Hull_Structure[L to],"&gt;"&amp;C58)*Tbl_Load_distrib[[#This Row],[L_elt]]</f>
        <v>4.666666666666667</v>
      </c>
      <c r="F59" s="260">
        <f ca="1">SUMIFS(Tbl_Ballasts[Spread],Tbl_Ballasts[L from],"&lt;"&amp;Tbl_Load_distrib[[#This Row],[x]],Tbl_Ballasts[L to],"&gt;"&amp;C58)*Tbl_Load_distrib[[#This Row],[L_elt]]</f>
        <v>0</v>
      </c>
      <c r="G59" s="260">
        <f>SUMIFS(Tbl_Lifting[Spread],Tbl_Lifting[L from],"&lt;"&amp;Tbl_Load_distrib[[#This Row],[x]],Tbl_Lifting[L to],"&gt;"&amp;C58)*Tbl_Load_distrib[[#This Row],[L_elt]]</f>
        <v>0</v>
      </c>
      <c r="H59" s="260">
        <f>SUMIFS(Tbl_Additionals[Spread],Tbl_Additionals[L from],"&lt;"&amp;Tbl_Load_distrib[[#This Row],[x]],Tbl_Additionals[L to],"&gt;"&amp;C58)*Tbl_Load_distrib[[#This Row],[L_elt]]</f>
        <v>4.166666666666667</v>
      </c>
      <c r="I59" s="260">
        <f ca="1">SUMIFS(Tbl_Deck_Tank[Spread],Tbl_Deck_Tank[L from],"&lt;"&amp;Tbl_Load_distrib[[#This Row],[x]],Tbl_Deck_Tank[L to],"&gt;"&amp;C58)*Tbl_Load_distrib[[#This Row],[L_elt]]</f>
        <v>0</v>
      </c>
      <c r="J59" s="137"/>
      <c r="K59" s="165">
        <f>IFERROR(Tbl_Long_Section[[#This Row],[H Deck-Bottom]],NA())</f>
        <v>4</v>
      </c>
      <c r="L59" s="829">
        <f>M_depth-Tbl_Load_distrib[[#This Row],[H Deck-Bottom]]</f>
        <v>0</v>
      </c>
      <c r="M59" s="929">
        <f>IFERROR(Tbl_Load_distrib[[#This Row],[x]]-C58,0)</f>
        <v>0.5</v>
      </c>
      <c r="N59" s="929">
        <f ca="1">IF(ISNA(Tbl_Load_distrib[[#This Row],[x]]),NA(),IF(ISTEXT(N58),0,IF(N58=0,$Z$3,N58-($Z$3-$AA$3)/(Lpp-FE_size)*Tbl_Load_distrib[[#This Row],[L_elt]])))</f>
        <v>0.99466111051260486</v>
      </c>
      <c r="O59" s="166">
        <f ca="1">IF(ISNUMBER(O58),(IF((N58-L58)&lt;0,0,N58-L58)+IF((Tbl_Load_distrib[[#This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0.49720153590663818</v>
      </c>
      <c r="P59" s="929">
        <f ca="1">IF(ISNA(Tbl_Load_distrib[[#This Row],[x]]),NA(),IF(ISTEXT(P58),0,IF(P58=0,LongSection_DraftAft,P58-(LongSection_DraftAft-LongSection_DraftFore)/(Lpp-FE_size)*Tbl_Load_distrib[[#This Row],[L_elt]])))</f>
        <v>0.99860296353731581</v>
      </c>
      <c r="Q59" s="166">
        <f ca="1">IF(ISNUMBER(Q58),(IF((P58-L58)&lt;0,0,P58-L58)+IF((Tbl_Load_distrib[[#This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0.49930385751981743</v>
      </c>
      <c r="R59" s="167">
        <f ca="1">ρ_sw*Tbl_Load_distrib[[#This Row],[Elt Area corrected]]*B/k_depl</f>
        <v>10.228927389427511</v>
      </c>
      <c r="S59" s="180">
        <f ca="1">Tbl_Load_distrib[[#This Row],[Section Weight]]-Tbl_Load_distrib[[#This Row],[Floating Elt]]</f>
        <v>-1.3955940560941773</v>
      </c>
      <c r="T59" s="183">
        <f ca="1">IF(ISTEXT($T58),0,$T58+Tbl_Load_distrib[[#This Row],[Net force / Elt]])</f>
        <v>9.6271377701650245</v>
      </c>
      <c r="U59" s="169">
        <f ca="1">IF(ISTEXT($U58),0,$U58+Tbl_Load_distrib[[#This Row],[Shearing Force]]*Tbl_Load_distrib[[#This Row],[L_elt]])</f>
        <v>1064.0571925997488</v>
      </c>
    </row>
    <row r="60" spans="2:21" x14ac:dyDescent="0.25">
      <c r="B60" s="136">
        <f t="shared" si="1"/>
        <v>54</v>
      </c>
      <c r="C60" s="139">
        <f t="shared" si="2"/>
        <v>27</v>
      </c>
      <c r="D60" s="152">
        <f ca="1">SUM(Tbl_Load_distrib[[#This Row],[Hull &amp; Structure]:[Reserved]])</f>
        <v>8.8333333333333339</v>
      </c>
      <c r="E60" s="147">
        <f>SUMIFS(Tbl_Hull_Structure[Spread],Tbl_Hull_Structure[L from],"&lt;"&amp;Tbl_Load_distrib[[#This Row],[x]],Tbl_Hull_Structure[L to],"&gt;"&amp;C59)*Tbl_Load_distrib[[#This Row],[L_elt]]</f>
        <v>4.666666666666667</v>
      </c>
      <c r="F60" s="260">
        <f ca="1">SUMIFS(Tbl_Ballasts[Spread],Tbl_Ballasts[L from],"&lt;"&amp;Tbl_Load_distrib[[#This Row],[x]],Tbl_Ballasts[L to],"&gt;"&amp;C59)*Tbl_Load_distrib[[#This Row],[L_elt]]</f>
        <v>0</v>
      </c>
      <c r="G60" s="260">
        <f>SUMIFS(Tbl_Lifting[Spread],Tbl_Lifting[L from],"&lt;"&amp;Tbl_Load_distrib[[#This Row],[x]],Tbl_Lifting[L to],"&gt;"&amp;C59)*Tbl_Load_distrib[[#This Row],[L_elt]]</f>
        <v>0</v>
      </c>
      <c r="H60" s="260">
        <f>SUMIFS(Tbl_Additionals[Spread],Tbl_Additionals[L from],"&lt;"&amp;Tbl_Load_distrib[[#This Row],[x]],Tbl_Additionals[L to],"&gt;"&amp;C59)*Tbl_Load_distrib[[#This Row],[L_elt]]</f>
        <v>4.166666666666667</v>
      </c>
      <c r="I60" s="260">
        <f ca="1">SUMIFS(Tbl_Deck_Tank[Spread],Tbl_Deck_Tank[L from],"&lt;"&amp;Tbl_Load_distrib[[#This Row],[x]],Tbl_Deck_Tank[L to],"&gt;"&amp;C59)*Tbl_Load_distrib[[#This Row],[L_elt]]</f>
        <v>0</v>
      </c>
      <c r="J60" s="137"/>
      <c r="K60" s="165">
        <f>IFERROR(Tbl_Long_Section[[#This Row],[H Deck-Bottom]],NA())</f>
        <v>4</v>
      </c>
      <c r="L60" s="829">
        <f>M_depth-Tbl_Load_distrib[[#This Row],[H Deck-Bottom]]</f>
        <v>0</v>
      </c>
      <c r="M60" s="929">
        <f>IFERROR(Tbl_Load_distrib[[#This Row],[x]]-C59,0)</f>
        <v>0.5</v>
      </c>
      <c r="N60" s="929">
        <f ca="1">IF(ISNA(Tbl_Load_distrib[[#This Row],[x]]),NA(),IF(ISTEXT(N59),0,IF(N59=0,$Z$3,N59-($Z$3-$AA$3)/(Lpp-FE_size)*Tbl_Load_distrib[[#This Row],[L_elt]])))</f>
        <v>0.99517718791126175</v>
      </c>
      <c r="O60" s="166">
        <f ca="1">IF(ISNUMBER(O59),(IF((N59-L59)&lt;0,0,N59-L59)+IF((Tbl_Load_distrib[[#This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0.49745957460596668</v>
      </c>
      <c r="P60" s="929">
        <f ca="1">IF(ISNA(Tbl_Load_distrib[[#This Row],[x]]),NA(),IF(ISTEXT(P59),0,IF(P59=0,LongSection_DraftAft,P59-(LongSection_DraftAft-LongSection_DraftFore)/(Lpp-FE_size)*Tbl_Load_distrib[[#This Row],[L_elt]])))</f>
        <v>0.99859346053267761</v>
      </c>
      <c r="Q60" s="166">
        <f ca="1">IF(ISNUMBER(Q59),(IF((P59-L59)&lt;0,0,P59-L59)+IF((Tbl_Load_distrib[[#This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0.49929910601749838</v>
      </c>
      <c r="R60" s="167">
        <f ca="1">ρ_sw*Tbl_Load_distrib[[#This Row],[Elt Area corrected]]*B/k_depl</f>
        <v>10.228830048356576</v>
      </c>
      <c r="S60" s="180">
        <f ca="1">Tbl_Load_distrib[[#This Row],[Section Weight]]-Tbl_Load_distrib[[#This Row],[Floating Elt]]</f>
        <v>-1.395496715023242</v>
      </c>
      <c r="T60" s="183">
        <f ca="1">IF(ISTEXT($T59),0,$T59+Tbl_Load_distrib[[#This Row],[Net force / Elt]])</f>
        <v>8.2316410551417825</v>
      </c>
      <c r="U60" s="169">
        <f ca="1">IF(ISTEXT($U59),0,$U59+Tbl_Load_distrib[[#This Row],[Shearing Force]]*Tbl_Load_distrib[[#This Row],[L_elt]])</f>
        <v>1068.1730131273196</v>
      </c>
    </row>
    <row r="61" spans="2:21" x14ac:dyDescent="0.25">
      <c r="B61" s="136">
        <f t="shared" si="1"/>
        <v>55</v>
      </c>
      <c r="C61" s="139">
        <f t="shared" si="2"/>
        <v>27.5</v>
      </c>
      <c r="D61" s="152">
        <f ca="1">SUM(Tbl_Load_distrib[[#This Row],[Hull &amp; Structure]:[Reserved]])</f>
        <v>8.8333333333333339</v>
      </c>
      <c r="E61" s="147">
        <f>SUMIFS(Tbl_Hull_Structure[Spread],Tbl_Hull_Structure[L from],"&lt;"&amp;Tbl_Load_distrib[[#This Row],[x]],Tbl_Hull_Structure[L to],"&gt;"&amp;C60)*Tbl_Load_distrib[[#This Row],[L_elt]]</f>
        <v>4.666666666666667</v>
      </c>
      <c r="F61" s="260">
        <f ca="1">SUMIFS(Tbl_Ballasts[Spread],Tbl_Ballasts[L from],"&lt;"&amp;Tbl_Load_distrib[[#This Row],[x]],Tbl_Ballasts[L to],"&gt;"&amp;C60)*Tbl_Load_distrib[[#This Row],[L_elt]]</f>
        <v>0</v>
      </c>
      <c r="G61" s="260">
        <f>SUMIFS(Tbl_Lifting[Spread],Tbl_Lifting[L from],"&lt;"&amp;Tbl_Load_distrib[[#This Row],[x]],Tbl_Lifting[L to],"&gt;"&amp;C60)*Tbl_Load_distrib[[#This Row],[L_elt]]</f>
        <v>0</v>
      </c>
      <c r="H61" s="260">
        <f>SUMIFS(Tbl_Additionals[Spread],Tbl_Additionals[L from],"&lt;"&amp;Tbl_Load_distrib[[#This Row],[x]],Tbl_Additionals[L to],"&gt;"&amp;C60)*Tbl_Load_distrib[[#This Row],[L_elt]]</f>
        <v>4.166666666666667</v>
      </c>
      <c r="I61" s="260">
        <f ca="1">SUMIFS(Tbl_Deck_Tank[Spread],Tbl_Deck_Tank[L from],"&lt;"&amp;Tbl_Load_distrib[[#This Row],[x]],Tbl_Deck_Tank[L to],"&gt;"&amp;C60)*Tbl_Load_distrib[[#This Row],[L_elt]]</f>
        <v>0</v>
      </c>
      <c r="J61" s="137"/>
      <c r="K61" s="165">
        <f>IFERROR(Tbl_Long_Section[[#This Row],[H Deck-Bottom]],NA())</f>
        <v>4</v>
      </c>
      <c r="L61" s="829">
        <f>M_depth-Tbl_Load_distrib[[#This Row],[H Deck-Bottom]]</f>
        <v>0</v>
      </c>
      <c r="M61" s="929">
        <f>IFERROR(Tbl_Load_distrib[[#This Row],[x]]-C60,0)</f>
        <v>0.5</v>
      </c>
      <c r="N61" s="929">
        <f ca="1">IF(ISNA(Tbl_Load_distrib[[#This Row],[x]]),NA(),IF(ISTEXT(N60),0,IF(N60=0,$Z$3,N60-($Z$3-$AA$3)/(Lpp-FE_size)*Tbl_Load_distrib[[#This Row],[L_elt]])))</f>
        <v>0.99569326530991864</v>
      </c>
      <c r="O61" s="166">
        <f ca="1">IF(ISNUMBER(O60),(IF((N60-L60)&lt;0,0,N60-L60)+IF((Tbl_Load_distrib[[#This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0.49771761330529507</v>
      </c>
      <c r="P61" s="929">
        <f ca="1">IF(ISNA(Tbl_Load_distrib[[#This Row],[x]]),NA(),IF(ISTEXT(P60),0,IF(P60=0,LongSection_DraftAft,P60-(LongSection_DraftAft-LongSection_DraftFore)/(Lpp-FE_size)*Tbl_Load_distrib[[#This Row],[L_elt]])))</f>
        <v>0.99858395752803941</v>
      </c>
      <c r="Q61" s="166">
        <f ca="1">IF(ISNUMBER(Q60),(IF((P60-L60)&lt;0,0,P60-L60)+IF((Tbl_Load_distrib[[#This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0.49929435451517923</v>
      </c>
      <c r="R61" s="167">
        <f ca="1">ρ_sw*Tbl_Load_distrib[[#This Row],[Elt Area corrected]]*B/k_depl</f>
        <v>10.228732707285639</v>
      </c>
      <c r="S61" s="180">
        <f ca="1">Tbl_Load_distrib[[#This Row],[Section Weight]]-Tbl_Load_distrib[[#This Row],[Floating Elt]]</f>
        <v>-1.395399373952305</v>
      </c>
      <c r="T61" s="183">
        <f ca="1">IF(ISTEXT($T60),0,$T60+Tbl_Load_distrib[[#This Row],[Net force / Elt]])</f>
        <v>6.8362416811894775</v>
      </c>
      <c r="U61" s="169">
        <f ca="1">IF(ISTEXT($U60),0,$U60+Tbl_Load_distrib[[#This Row],[Shearing Force]]*Tbl_Load_distrib[[#This Row],[L_elt]])</f>
        <v>1071.5911339679144</v>
      </c>
    </row>
    <row r="62" spans="2:21" x14ac:dyDescent="0.25">
      <c r="B62" s="136">
        <f t="shared" si="1"/>
        <v>56</v>
      </c>
      <c r="C62" s="139">
        <f t="shared" si="2"/>
        <v>28</v>
      </c>
      <c r="D62" s="152">
        <f ca="1">SUM(Tbl_Load_distrib[[#This Row],[Hull &amp; Structure]:[Reserved]])</f>
        <v>8.8333333333333339</v>
      </c>
      <c r="E62" s="147">
        <f>SUMIFS(Tbl_Hull_Structure[Spread],Tbl_Hull_Structure[L from],"&lt;"&amp;Tbl_Load_distrib[[#This Row],[x]],Tbl_Hull_Structure[L to],"&gt;"&amp;C61)*Tbl_Load_distrib[[#This Row],[L_elt]]</f>
        <v>4.666666666666667</v>
      </c>
      <c r="F62" s="260">
        <f ca="1">SUMIFS(Tbl_Ballasts[Spread],Tbl_Ballasts[L from],"&lt;"&amp;Tbl_Load_distrib[[#This Row],[x]],Tbl_Ballasts[L to],"&gt;"&amp;C61)*Tbl_Load_distrib[[#This Row],[L_elt]]</f>
        <v>0</v>
      </c>
      <c r="G62" s="260">
        <f>SUMIFS(Tbl_Lifting[Spread],Tbl_Lifting[L from],"&lt;"&amp;Tbl_Load_distrib[[#This Row],[x]],Tbl_Lifting[L to],"&gt;"&amp;C61)*Tbl_Load_distrib[[#This Row],[L_elt]]</f>
        <v>0</v>
      </c>
      <c r="H62" s="260">
        <f>SUMIFS(Tbl_Additionals[Spread],Tbl_Additionals[L from],"&lt;"&amp;Tbl_Load_distrib[[#This Row],[x]],Tbl_Additionals[L to],"&gt;"&amp;C61)*Tbl_Load_distrib[[#This Row],[L_elt]]</f>
        <v>4.166666666666667</v>
      </c>
      <c r="I62" s="260">
        <f ca="1">SUMIFS(Tbl_Deck_Tank[Spread],Tbl_Deck_Tank[L from],"&lt;"&amp;Tbl_Load_distrib[[#This Row],[x]],Tbl_Deck_Tank[L to],"&gt;"&amp;C61)*Tbl_Load_distrib[[#This Row],[L_elt]]</f>
        <v>0</v>
      </c>
      <c r="J62" s="137"/>
      <c r="K62" s="165">
        <f>IFERROR(Tbl_Long_Section[[#This Row],[H Deck-Bottom]],NA())</f>
        <v>4</v>
      </c>
      <c r="L62" s="829">
        <f>M_depth-Tbl_Load_distrib[[#This Row],[H Deck-Bottom]]</f>
        <v>0</v>
      </c>
      <c r="M62" s="929">
        <f>IFERROR(Tbl_Load_distrib[[#This Row],[x]]-C61,0)</f>
        <v>0.5</v>
      </c>
      <c r="N62" s="929">
        <f ca="1">IF(ISNA(Tbl_Load_distrib[[#This Row],[x]]),NA(),IF(ISTEXT(N61),0,IF(N61=0,$Z$3,N61-($Z$3-$AA$3)/(Lpp-FE_size)*Tbl_Load_distrib[[#This Row],[L_elt]])))</f>
        <v>0.99620934270857553</v>
      </c>
      <c r="O62" s="166">
        <f ca="1">IF(ISNUMBER(O61),(IF((N61-L61)&lt;0,0,N61-L61)+IF((Tbl_Load_distrib[[#This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0.49797565200462357</v>
      </c>
      <c r="P62" s="929">
        <f ca="1">IF(ISNA(Tbl_Load_distrib[[#This Row],[x]]),NA(),IF(ISTEXT(P61),0,IF(P61=0,LongSection_DraftAft,P61-(LongSection_DraftAft-LongSection_DraftFore)/(Lpp-FE_size)*Tbl_Load_distrib[[#This Row],[L_elt]])))</f>
        <v>0.99857445452340121</v>
      </c>
      <c r="Q62" s="166">
        <f ca="1">IF(ISNUMBER(Q61),(IF((P61-L61)&lt;0,0,P61-L61)+IF((Tbl_Load_distrib[[#This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0.49928960301286018</v>
      </c>
      <c r="R62" s="167">
        <f ca="1">ρ_sw*Tbl_Load_distrib[[#This Row],[Elt Area corrected]]*B/k_depl</f>
        <v>10.228635366214709</v>
      </c>
      <c r="S62" s="180">
        <f ca="1">Tbl_Load_distrib[[#This Row],[Section Weight]]-Tbl_Load_distrib[[#This Row],[Floating Elt]]</f>
        <v>-1.395302032881375</v>
      </c>
      <c r="T62" s="183">
        <f ca="1">IF(ISTEXT($T61),0,$T61+Tbl_Load_distrib[[#This Row],[Net force / Elt]])</f>
        <v>5.4409396483081025</v>
      </c>
      <c r="U62" s="169">
        <f ca="1">IF(ISTEXT($U61),0,$U61+Tbl_Load_distrib[[#This Row],[Shearing Force]]*Tbl_Load_distrib[[#This Row],[L_elt]])</f>
        <v>1074.3116037920684</v>
      </c>
    </row>
    <row r="63" spans="2:21" x14ac:dyDescent="0.25">
      <c r="B63" s="136">
        <f t="shared" si="1"/>
        <v>57</v>
      </c>
      <c r="C63" s="139">
        <f t="shared" si="2"/>
        <v>28.5</v>
      </c>
      <c r="D63" s="152">
        <f ca="1">SUM(Tbl_Load_distrib[[#This Row],[Hull &amp; Structure]:[Reserved]])</f>
        <v>8.8333333333333339</v>
      </c>
      <c r="E63" s="147">
        <f>SUMIFS(Tbl_Hull_Structure[Spread],Tbl_Hull_Structure[L from],"&lt;"&amp;Tbl_Load_distrib[[#This Row],[x]],Tbl_Hull_Structure[L to],"&gt;"&amp;C62)*Tbl_Load_distrib[[#This Row],[L_elt]]</f>
        <v>4.666666666666667</v>
      </c>
      <c r="F63" s="260">
        <f ca="1">SUMIFS(Tbl_Ballasts[Spread],Tbl_Ballasts[L from],"&lt;"&amp;Tbl_Load_distrib[[#This Row],[x]],Tbl_Ballasts[L to],"&gt;"&amp;C62)*Tbl_Load_distrib[[#This Row],[L_elt]]</f>
        <v>0</v>
      </c>
      <c r="G63" s="260">
        <f>SUMIFS(Tbl_Lifting[Spread],Tbl_Lifting[L from],"&lt;"&amp;Tbl_Load_distrib[[#This Row],[x]],Tbl_Lifting[L to],"&gt;"&amp;C62)*Tbl_Load_distrib[[#This Row],[L_elt]]</f>
        <v>0</v>
      </c>
      <c r="H63" s="260">
        <f>SUMIFS(Tbl_Additionals[Spread],Tbl_Additionals[L from],"&lt;"&amp;Tbl_Load_distrib[[#This Row],[x]],Tbl_Additionals[L to],"&gt;"&amp;C62)*Tbl_Load_distrib[[#This Row],[L_elt]]</f>
        <v>4.166666666666667</v>
      </c>
      <c r="I63" s="260">
        <f ca="1">SUMIFS(Tbl_Deck_Tank[Spread],Tbl_Deck_Tank[L from],"&lt;"&amp;Tbl_Load_distrib[[#This Row],[x]],Tbl_Deck_Tank[L to],"&gt;"&amp;C62)*Tbl_Load_distrib[[#This Row],[L_elt]]</f>
        <v>0</v>
      </c>
      <c r="J63" s="137"/>
      <c r="K63" s="165">
        <f>IFERROR(Tbl_Long_Section[[#This Row],[H Deck-Bottom]],NA())</f>
        <v>4</v>
      </c>
      <c r="L63" s="829">
        <f>M_depth-Tbl_Load_distrib[[#This Row],[H Deck-Bottom]]</f>
        <v>0</v>
      </c>
      <c r="M63" s="929">
        <f>IFERROR(Tbl_Load_distrib[[#This Row],[x]]-C62,0)</f>
        <v>0.5</v>
      </c>
      <c r="N63" s="929">
        <f ca="1">IF(ISNA(Tbl_Load_distrib[[#This Row],[x]]),NA(),IF(ISTEXT(N62),0,IF(N62=0,$Z$3,N62-($Z$3-$AA$3)/(Lpp-FE_size)*Tbl_Load_distrib[[#This Row],[L_elt]])))</f>
        <v>0.99672542010723242</v>
      </c>
      <c r="O63" s="166">
        <f ca="1">IF(ISNUMBER(O62),(IF((N62-L62)&lt;0,0,N62-L62)+IF((Tbl_Load_distrib[[#This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0.49823369070395196</v>
      </c>
      <c r="P63" s="929">
        <f ca="1">IF(ISNA(Tbl_Load_distrib[[#This Row],[x]]),NA(),IF(ISTEXT(P62),0,IF(P62=0,LongSection_DraftAft,P62-(LongSection_DraftAft-LongSection_DraftFore)/(Lpp-FE_size)*Tbl_Load_distrib[[#This Row],[L_elt]])))</f>
        <v>0.99856495151876301</v>
      </c>
      <c r="Q63" s="166">
        <f ca="1">IF(ISNUMBER(Q62),(IF((P62-L62)&lt;0,0,P62-L62)+IF((Tbl_Load_distrib[[#This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0.49928485151054103</v>
      </c>
      <c r="R63" s="167">
        <f ca="1">ρ_sw*Tbl_Load_distrib[[#This Row],[Elt Area corrected]]*B/k_depl</f>
        <v>10.228538025143772</v>
      </c>
      <c r="S63" s="180">
        <f ca="1">Tbl_Load_distrib[[#This Row],[Section Weight]]-Tbl_Load_distrib[[#This Row],[Floating Elt]]</f>
        <v>-1.3952046918104379</v>
      </c>
      <c r="T63" s="183">
        <f ca="1">IF(ISTEXT($T62),0,$T62+Tbl_Load_distrib[[#This Row],[Net force / Elt]])</f>
        <v>4.0457349564976646</v>
      </c>
      <c r="U63" s="169">
        <f ca="1">IF(ISTEXT($U62),0,$U62+Tbl_Load_distrib[[#This Row],[Shearing Force]]*Tbl_Load_distrib[[#This Row],[L_elt]])</f>
        <v>1076.3344712703172</v>
      </c>
    </row>
    <row r="64" spans="2:21" x14ac:dyDescent="0.25">
      <c r="B64" s="136">
        <f t="shared" si="1"/>
        <v>58</v>
      </c>
      <c r="C64" s="139">
        <f t="shared" si="2"/>
        <v>29</v>
      </c>
      <c r="D64" s="152">
        <f ca="1">SUM(Tbl_Load_distrib[[#This Row],[Hull &amp; Structure]:[Reserved]])</f>
        <v>8.8333333333333339</v>
      </c>
      <c r="E64" s="147">
        <f>SUMIFS(Tbl_Hull_Structure[Spread],Tbl_Hull_Structure[L from],"&lt;"&amp;Tbl_Load_distrib[[#This Row],[x]],Tbl_Hull_Structure[L to],"&gt;"&amp;C63)*Tbl_Load_distrib[[#This Row],[L_elt]]</f>
        <v>4.666666666666667</v>
      </c>
      <c r="F64" s="260">
        <f ca="1">SUMIFS(Tbl_Ballasts[Spread],Tbl_Ballasts[L from],"&lt;"&amp;Tbl_Load_distrib[[#This Row],[x]],Tbl_Ballasts[L to],"&gt;"&amp;C63)*Tbl_Load_distrib[[#This Row],[L_elt]]</f>
        <v>0</v>
      </c>
      <c r="G64" s="260">
        <f>SUMIFS(Tbl_Lifting[Spread],Tbl_Lifting[L from],"&lt;"&amp;Tbl_Load_distrib[[#This Row],[x]],Tbl_Lifting[L to],"&gt;"&amp;C63)*Tbl_Load_distrib[[#This Row],[L_elt]]</f>
        <v>0</v>
      </c>
      <c r="H64" s="260">
        <f>SUMIFS(Tbl_Additionals[Spread],Tbl_Additionals[L from],"&lt;"&amp;Tbl_Load_distrib[[#This Row],[x]],Tbl_Additionals[L to],"&gt;"&amp;C63)*Tbl_Load_distrib[[#This Row],[L_elt]]</f>
        <v>4.166666666666667</v>
      </c>
      <c r="I64" s="260">
        <f ca="1">SUMIFS(Tbl_Deck_Tank[Spread],Tbl_Deck_Tank[L from],"&lt;"&amp;Tbl_Load_distrib[[#This Row],[x]],Tbl_Deck_Tank[L to],"&gt;"&amp;C63)*Tbl_Load_distrib[[#This Row],[L_elt]]</f>
        <v>0</v>
      </c>
      <c r="J64" s="137"/>
      <c r="K64" s="165">
        <f>IFERROR(Tbl_Long_Section[[#This Row],[H Deck-Bottom]],NA())</f>
        <v>4</v>
      </c>
      <c r="L64" s="829">
        <f>M_depth-Tbl_Load_distrib[[#This Row],[H Deck-Bottom]]</f>
        <v>0</v>
      </c>
      <c r="M64" s="929">
        <f>IFERROR(Tbl_Load_distrib[[#This Row],[x]]-C63,0)</f>
        <v>0.5</v>
      </c>
      <c r="N64" s="929">
        <f ca="1">IF(ISNA(Tbl_Load_distrib[[#This Row],[x]]),NA(),IF(ISTEXT(N63),0,IF(N63=0,$Z$3,N63-($Z$3-$AA$3)/(Lpp-FE_size)*Tbl_Load_distrib[[#This Row],[L_elt]])))</f>
        <v>0.99724149750588931</v>
      </c>
      <c r="O64" s="166">
        <f ca="1">IF(ISNUMBER(O63),(IF((N63-L63)&lt;0,0,N63-L63)+IF((Tbl_Load_distrib[[#This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0.49849172940328046</v>
      </c>
      <c r="P64" s="929">
        <f ca="1">IF(ISNA(Tbl_Load_distrib[[#This Row],[x]]),NA(),IF(ISTEXT(P63),0,IF(P63=0,LongSection_DraftAft,P63-(LongSection_DraftAft-LongSection_DraftFore)/(Lpp-FE_size)*Tbl_Load_distrib[[#This Row],[L_elt]])))</f>
        <v>0.99855544851412481</v>
      </c>
      <c r="Q64" s="166">
        <f ca="1">IF(ISNUMBER(Q63),(IF((P63-L63)&lt;0,0,P63-L63)+IF((Tbl_Load_distrib[[#This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0.49928010000822198</v>
      </c>
      <c r="R64" s="167">
        <f ca="1">ρ_sw*Tbl_Load_distrib[[#This Row],[Elt Area corrected]]*B/k_depl</f>
        <v>10.228440684072837</v>
      </c>
      <c r="S64" s="180">
        <f ca="1">Tbl_Load_distrib[[#This Row],[Section Weight]]-Tbl_Load_distrib[[#This Row],[Floating Elt]]</f>
        <v>-1.3951073507395026</v>
      </c>
      <c r="T64" s="183">
        <f ca="1">IF(ISTEXT($T63),0,$T63+Tbl_Load_distrib[[#This Row],[Net force / Elt]])</f>
        <v>2.6506276057581619</v>
      </c>
      <c r="U64" s="169">
        <f ca="1">IF(ISTEXT($U63),0,$U63+Tbl_Load_distrib[[#This Row],[Shearing Force]]*Tbl_Load_distrib[[#This Row],[L_elt]])</f>
        <v>1077.6597850731962</v>
      </c>
    </row>
    <row r="65" spans="2:23" x14ac:dyDescent="0.25">
      <c r="B65" s="136">
        <f t="shared" si="1"/>
        <v>59</v>
      </c>
      <c r="C65" s="139">
        <f t="shared" si="2"/>
        <v>29.5</v>
      </c>
      <c r="D65" s="152">
        <f ca="1">SUM(Tbl_Load_distrib[[#This Row],[Hull &amp; Structure]:[Reserved]])</f>
        <v>8.8333333333333339</v>
      </c>
      <c r="E65" s="147">
        <f>SUMIFS(Tbl_Hull_Structure[Spread],Tbl_Hull_Structure[L from],"&lt;"&amp;Tbl_Load_distrib[[#This Row],[x]],Tbl_Hull_Structure[L to],"&gt;"&amp;C64)*Tbl_Load_distrib[[#This Row],[L_elt]]</f>
        <v>4.666666666666667</v>
      </c>
      <c r="F65" s="260">
        <f ca="1">SUMIFS(Tbl_Ballasts[Spread],Tbl_Ballasts[L from],"&lt;"&amp;Tbl_Load_distrib[[#This Row],[x]],Tbl_Ballasts[L to],"&gt;"&amp;C64)*Tbl_Load_distrib[[#This Row],[L_elt]]</f>
        <v>0</v>
      </c>
      <c r="G65" s="260">
        <f>SUMIFS(Tbl_Lifting[Spread],Tbl_Lifting[L from],"&lt;"&amp;Tbl_Load_distrib[[#This Row],[x]],Tbl_Lifting[L to],"&gt;"&amp;C64)*Tbl_Load_distrib[[#This Row],[L_elt]]</f>
        <v>0</v>
      </c>
      <c r="H65" s="260">
        <f>SUMIFS(Tbl_Additionals[Spread],Tbl_Additionals[L from],"&lt;"&amp;Tbl_Load_distrib[[#This Row],[x]],Tbl_Additionals[L to],"&gt;"&amp;C64)*Tbl_Load_distrib[[#This Row],[L_elt]]</f>
        <v>4.166666666666667</v>
      </c>
      <c r="I65" s="260">
        <f ca="1">SUMIFS(Tbl_Deck_Tank[Spread],Tbl_Deck_Tank[L from],"&lt;"&amp;Tbl_Load_distrib[[#This Row],[x]],Tbl_Deck_Tank[L to],"&gt;"&amp;C64)*Tbl_Load_distrib[[#This Row],[L_elt]]</f>
        <v>0</v>
      </c>
      <c r="J65" s="137"/>
      <c r="K65" s="165">
        <f>IFERROR(Tbl_Long_Section[[#This Row],[H Deck-Bottom]],NA())</f>
        <v>4</v>
      </c>
      <c r="L65" s="829">
        <f>M_depth-Tbl_Load_distrib[[#This Row],[H Deck-Bottom]]</f>
        <v>0</v>
      </c>
      <c r="M65" s="929">
        <f>IFERROR(Tbl_Load_distrib[[#This Row],[x]]-C64,0)</f>
        <v>0.5</v>
      </c>
      <c r="N65" s="929">
        <f ca="1">IF(ISNA(Tbl_Load_distrib[[#This Row],[x]]),NA(),IF(ISTEXT(N64),0,IF(N64=0,$Z$3,N64-($Z$3-$AA$3)/(Lpp-FE_size)*Tbl_Load_distrib[[#This Row],[L_elt]])))</f>
        <v>0.9977575749045462</v>
      </c>
      <c r="O65" s="166">
        <f ca="1">IF(ISNUMBER(O64),(IF((N64-L64)&lt;0,0,N64-L64)+IF((Tbl_Load_distrib[[#This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0.49874976810260885</v>
      </c>
      <c r="P65" s="929">
        <f ca="1">IF(ISNA(Tbl_Load_distrib[[#This Row],[x]]),NA(),IF(ISTEXT(P64),0,IF(P64=0,LongSection_DraftAft,P64-(LongSection_DraftAft-LongSection_DraftFore)/(Lpp-FE_size)*Tbl_Load_distrib[[#This Row],[L_elt]])))</f>
        <v>0.99854594550948661</v>
      </c>
      <c r="Q65" s="166">
        <f ca="1">IF(ISNUMBER(Q64),(IF((P64-L64)&lt;0,0,P64-L64)+IF((Tbl_Load_distrib[[#This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0.49927534850590283</v>
      </c>
      <c r="R65" s="167">
        <f ca="1">ρ_sw*Tbl_Load_distrib[[#This Row],[Elt Area corrected]]*B/k_depl</f>
        <v>10.228343343001903</v>
      </c>
      <c r="S65" s="180">
        <f ca="1">Tbl_Load_distrib[[#This Row],[Section Weight]]-Tbl_Load_distrib[[#This Row],[Floating Elt]]</f>
        <v>-1.3950100096685691</v>
      </c>
      <c r="T65" s="183">
        <f ca="1">IF(ISTEXT($T64),0,$T64+Tbl_Load_distrib[[#This Row],[Net force / Elt]])</f>
        <v>1.2556175960895928</v>
      </c>
      <c r="U65" s="169">
        <f ca="1">IF(ISTEXT($U64),0,$U64+Tbl_Load_distrib[[#This Row],[Shearing Force]]*Tbl_Load_distrib[[#This Row],[L_elt]])</f>
        <v>1078.2875938712409</v>
      </c>
    </row>
    <row r="66" spans="2:23" x14ac:dyDescent="0.25">
      <c r="B66" s="136">
        <f t="shared" si="1"/>
        <v>60</v>
      </c>
      <c r="C66" s="139">
        <f t="shared" si="2"/>
        <v>30</v>
      </c>
      <c r="D66" s="152">
        <f ca="1">SUM(Tbl_Load_distrib[[#This Row],[Hull &amp; Structure]:[Reserved]])</f>
        <v>8.8333333333333339</v>
      </c>
      <c r="E66" s="147">
        <f>SUMIFS(Tbl_Hull_Structure[Spread],Tbl_Hull_Structure[L from],"&lt;"&amp;Tbl_Load_distrib[[#This Row],[x]],Tbl_Hull_Structure[L to],"&gt;"&amp;C65)*Tbl_Load_distrib[[#This Row],[L_elt]]</f>
        <v>4.666666666666667</v>
      </c>
      <c r="F66" s="260">
        <f ca="1">SUMIFS(Tbl_Ballasts[Spread],Tbl_Ballasts[L from],"&lt;"&amp;Tbl_Load_distrib[[#This Row],[x]],Tbl_Ballasts[L to],"&gt;"&amp;C65)*Tbl_Load_distrib[[#This Row],[L_elt]]</f>
        <v>0</v>
      </c>
      <c r="G66" s="260">
        <f>SUMIFS(Tbl_Lifting[Spread],Tbl_Lifting[L from],"&lt;"&amp;Tbl_Load_distrib[[#This Row],[x]],Tbl_Lifting[L to],"&gt;"&amp;C65)*Tbl_Load_distrib[[#This Row],[L_elt]]</f>
        <v>0</v>
      </c>
      <c r="H66" s="260">
        <f>SUMIFS(Tbl_Additionals[Spread],Tbl_Additionals[L from],"&lt;"&amp;Tbl_Load_distrib[[#This Row],[x]],Tbl_Additionals[L to],"&gt;"&amp;C65)*Tbl_Load_distrib[[#This Row],[L_elt]]</f>
        <v>4.166666666666667</v>
      </c>
      <c r="I66" s="260">
        <f ca="1">SUMIFS(Tbl_Deck_Tank[Spread],Tbl_Deck_Tank[L from],"&lt;"&amp;Tbl_Load_distrib[[#This Row],[x]],Tbl_Deck_Tank[L to],"&gt;"&amp;C65)*Tbl_Load_distrib[[#This Row],[L_elt]]</f>
        <v>0</v>
      </c>
      <c r="J66" s="137"/>
      <c r="K66" s="165">
        <f>IFERROR(Tbl_Long_Section[[#This Row],[H Deck-Bottom]],NA())</f>
        <v>4</v>
      </c>
      <c r="L66" s="829">
        <f>M_depth-Tbl_Load_distrib[[#This Row],[H Deck-Bottom]]</f>
        <v>0</v>
      </c>
      <c r="M66" s="929">
        <f>IFERROR(Tbl_Load_distrib[[#This Row],[x]]-C65,0)</f>
        <v>0.5</v>
      </c>
      <c r="N66" s="929">
        <f ca="1">IF(ISNA(Tbl_Load_distrib[[#This Row],[x]]),NA(),IF(ISTEXT(N65),0,IF(N65=0,$Z$3,N65-($Z$3-$AA$3)/(Lpp-FE_size)*Tbl_Load_distrib[[#This Row],[L_elt]])))</f>
        <v>0.99827365230320309</v>
      </c>
      <c r="O66" s="166">
        <f ca="1">IF(ISNUMBER(O65),(IF((N65-L65)&lt;0,0,N65-L65)+IF((Tbl_Load_distrib[[#This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0.49900780680193735</v>
      </c>
      <c r="P66" s="929">
        <f ca="1">IF(ISNA(Tbl_Load_distrib[[#This Row],[x]]),NA(),IF(ISTEXT(P65),0,IF(P65=0,LongSection_DraftAft,P65-(LongSection_DraftAft-LongSection_DraftFore)/(Lpp-FE_size)*Tbl_Load_distrib[[#This Row],[L_elt]])))</f>
        <v>0.99853644250484841</v>
      </c>
      <c r="Q66" s="166">
        <f ca="1">IF(ISNUMBER(Q65),(IF((P65-L65)&lt;0,0,P65-L65)+IF((Tbl_Load_distrib[[#This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0.49927059700358378</v>
      </c>
      <c r="R66" s="167">
        <f ca="1">ρ_sw*Tbl_Load_distrib[[#This Row],[Elt Area corrected]]*B/k_depl</f>
        <v>10.228246001930968</v>
      </c>
      <c r="S66" s="180">
        <f ca="1">Tbl_Load_distrib[[#This Row],[Section Weight]]-Tbl_Load_distrib[[#This Row],[Floating Elt]]</f>
        <v>-1.3949126685976339</v>
      </c>
      <c r="T66" s="183">
        <f ca="1">IF(ISTEXT($T65),0,$T65+Tbl_Load_distrib[[#This Row],[Net force / Elt]])</f>
        <v>-0.13929507250804107</v>
      </c>
      <c r="U66" s="169">
        <f ca="1">IF(ISTEXT($U65),0,$U65+Tbl_Load_distrib[[#This Row],[Shearing Force]]*Tbl_Load_distrib[[#This Row],[L_elt]])</f>
        <v>1078.2179463349869</v>
      </c>
    </row>
    <row r="67" spans="2:23" x14ac:dyDescent="0.25">
      <c r="B67" s="136">
        <f t="shared" si="1"/>
        <v>61</v>
      </c>
      <c r="C67" s="139">
        <f t="shared" si="2"/>
        <v>30.5</v>
      </c>
      <c r="D67" s="152">
        <f ca="1">SUM(Tbl_Load_distrib[[#This Row],[Hull &amp; Structure]:[Reserved]])</f>
        <v>8.8333333333333339</v>
      </c>
      <c r="E67" s="147">
        <f>SUMIFS(Tbl_Hull_Structure[Spread],Tbl_Hull_Structure[L from],"&lt;"&amp;Tbl_Load_distrib[[#This Row],[x]],Tbl_Hull_Structure[L to],"&gt;"&amp;C66)*Tbl_Load_distrib[[#This Row],[L_elt]]</f>
        <v>4.666666666666667</v>
      </c>
      <c r="F67" s="260">
        <f ca="1">SUMIFS(Tbl_Ballasts[Spread],Tbl_Ballasts[L from],"&lt;"&amp;Tbl_Load_distrib[[#This Row],[x]],Tbl_Ballasts[L to],"&gt;"&amp;C66)*Tbl_Load_distrib[[#This Row],[L_elt]]</f>
        <v>0</v>
      </c>
      <c r="G67" s="260">
        <f>SUMIFS(Tbl_Lifting[Spread],Tbl_Lifting[L from],"&lt;"&amp;Tbl_Load_distrib[[#This Row],[x]],Tbl_Lifting[L to],"&gt;"&amp;C66)*Tbl_Load_distrib[[#This Row],[L_elt]]</f>
        <v>0</v>
      </c>
      <c r="H67" s="260">
        <f>SUMIFS(Tbl_Additionals[Spread],Tbl_Additionals[L from],"&lt;"&amp;Tbl_Load_distrib[[#This Row],[x]],Tbl_Additionals[L to],"&gt;"&amp;C66)*Tbl_Load_distrib[[#This Row],[L_elt]]</f>
        <v>4.166666666666667</v>
      </c>
      <c r="I67" s="260">
        <f ca="1">SUMIFS(Tbl_Deck_Tank[Spread],Tbl_Deck_Tank[L from],"&lt;"&amp;Tbl_Load_distrib[[#This Row],[x]],Tbl_Deck_Tank[L to],"&gt;"&amp;C66)*Tbl_Load_distrib[[#This Row],[L_elt]]</f>
        <v>0</v>
      </c>
      <c r="J67" s="137"/>
      <c r="K67" s="165">
        <f>IFERROR(Tbl_Long_Section[[#This Row],[H Deck-Bottom]],NA())</f>
        <v>4</v>
      </c>
      <c r="L67" s="829">
        <f>M_depth-Tbl_Load_distrib[[#This Row],[H Deck-Bottom]]</f>
        <v>0</v>
      </c>
      <c r="M67" s="929">
        <f>IFERROR(Tbl_Load_distrib[[#This Row],[x]]-C66,0)</f>
        <v>0.5</v>
      </c>
      <c r="N67" s="929">
        <f ca="1">IF(ISNA(Tbl_Load_distrib[[#This Row],[x]]),NA(),IF(ISTEXT(N66),0,IF(N66=0,$Z$3,N66-($Z$3-$AA$3)/(Lpp-FE_size)*Tbl_Load_distrib[[#This Row],[L_elt]])))</f>
        <v>0.99878972970185997</v>
      </c>
      <c r="O67" s="166">
        <f ca="1">IF(ISNUMBER(O66),(IF((N66-L66)&lt;0,0,N66-L66)+IF((Tbl_Load_distrib[[#This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0.49926584550126574</v>
      </c>
      <c r="P67" s="929">
        <f ca="1">IF(ISNA(Tbl_Load_distrib[[#This Row],[x]]),NA(),IF(ISTEXT(P66),0,IF(P66=0,LongSection_DraftAft,P66-(LongSection_DraftAft-LongSection_DraftFore)/(Lpp-FE_size)*Tbl_Load_distrib[[#This Row],[L_elt]])))</f>
        <v>0.99852693950021021</v>
      </c>
      <c r="Q67" s="166">
        <f ca="1">IF(ISNUMBER(Q66),(IF((P66-L66)&lt;0,0,P66-L66)+IF((Tbl_Load_distrib[[#This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0.49926584550126463</v>
      </c>
      <c r="R67" s="167">
        <f ca="1">ρ_sw*Tbl_Load_distrib[[#This Row],[Elt Area corrected]]*B/k_depl</f>
        <v>10.228148660860031</v>
      </c>
      <c r="S67" s="180">
        <f ca="1">Tbl_Load_distrib[[#This Row],[Section Weight]]-Tbl_Load_distrib[[#This Row],[Floating Elt]]</f>
        <v>-1.3948153275266968</v>
      </c>
      <c r="T67" s="183">
        <f ca="1">IF(ISTEXT($T66),0,$T66+Tbl_Load_distrib[[#This Row],[Net force / Elt]])</f>
        <v>-1.5341104000347379</v>
      </c>
      <c r="U67" s="169">
        <f ca="1">IF(ISTEXT($U66),0,$U66+Tbl_Load_distrib[[#This Row],[Shearing Force]]*Tbl_Load_distrib[[#This Row],[L_elt]])</f>
        <v>1077.4508911349694</v>
      </c>
    </row>
    <row r="68" spans="2:23" x14ac:dyDescent="0.25">
      <c r="B68" s="136">
        <f t="shared" si="1"/>
        <v>62</v>
      </c>
      <c r="C68" s="139">
        <f t="shared" si="2"/>
        <v>31</v>
      </c>
      <c r="D68" s="152">
        <f ca="1">SUM(Tbl_Load_distrib[[#This Row],[Hull &amp; Structure]:[Reserved]])</f>
        <v>8.8333333333333339</v>
      </c>
      <c r="E68" s="147">
        <f>SUMIFS(Tbl_Hull_Structure[Spread],Tbl_Hull_Structure[L from],"&lt;"&amp;Tbl_Load_distrib[[#This Row],[x]],Tbl_Hull_Structure[L to],"&gt;"&amp;C67)*Tbl_Load_distrib[[#This Row],[L_elt]]</f>
        <v>4.666666666666667</v>
      </c>
      <c r="F68" s="260">
        <f ca="1">SUMIFS(Tbl_Ballasts[Spread],Tbl_Ballasts[L from],"&lt;"&amp;Tbl_Load_distrib[[#This Row],[x]],Tbl_Ballasts[L to],"&gt;"&amp;C67)*Tbl_Load_distrib[[#This Row],[L_elt]]</f>
        <v>0</v>
      </c>
      <c r="G68" s="260">
        <f>SUMIFS(Tbl_Lifting[Spread],Tbl_Lifting[L from],"&lt;"&amp;Tbl_Load_distrib[[#This Row],[x]],Tbl_Lifting[L to],"&gt;"&amp;C67)*Tbl_Load_distrib[[#This Row],[L_elt]]</f>
        <v>0</v>
      </c>
      <c r="H68" s="260">
        <f>SUMIFS(Tbl_Additionals[Spread],Tbl_Additionals[L from],"&lt;"&amp;Tbl_Load_distrib[[#This Row],[x]],Tbl_Additionals[L to],"&gt;"&amp;C67)*Tbl_Load_distrib[[#This Row],[L_elt]]</f>
        <v>4.166666666666667</v>
      </c>
      <c r="I68" s="260">
        <f ca="1">SUMIFS(Tbl_Deck_Tank[Spread],Tbl_Deck_Tank[L from],"&lt;"&amp;Tbl_Load_distrib[[#This Row],[x]],Tbl_Deck_Tank[L to],"&gt;"&amp;C67)*Tbl_Load_distrib[[#This Row],[L_elt]]</f>
        <v>0</v>
      </c>
      <c r="J68" s="137"/>
      <c r="K68" s="165">
        <f>IFERROR(Tbl_Long_Section[[#This Row],[H Deck-Bottom]],NA())</f>
        <v>4</v>
      </c>
      <c r="L68" s="829">
        <f>M_depth-Tbl_Load_distrib[[#This Row],[H Deck-Bottom]]</f>
        <v>0</v>
      </c>
      <c r="M68" s="929">
        <f>IFERROR(Tbl_Load_distrib[[#This Row],[x]]-C67,0)</f>
        <v>0.5</v>
      </c>
      <c r="N68" s="929">
        <f ca="1">IF(ISNA(Tbl_Load_distrib[[#This Row],[x]]),NA(),IF(ISTEXT(N67),0,IF(N67=0,$Z$3,N67-($Z$3-$AA$3)/(Lpp-FE_size)*Tbl_Load_distrib[[#This Row],[L_elt]])))</f>
        <v>0.99930580710051686</v>
      </c>
      <c r="O68" s="166">
        <f ca="1">IF(ISNUMBER(O67),(IF((N67-L67)&lt;0,0,N67-L67)+IF((Tbl_Load_distrib[[#This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0.49952388420059424</v>
      </c>
      <c r="P68" s="929">
        <f ca="1">IF(ISNA(Tbl_Load_distrib[[#This Row],[x]]),NA(),IF(ISTEXT(P67),0,IF(P67=0,LongSection_DraftAft,P67-(LongSection_DraftAft-LongSection_DraftFore)/(Lpp-FE_size)*Tbl_Load_distrib[[#This Row],[L_elt]])))</f>
        <v>0.99851743649557201</v>
      </c>
      <c r="Q68" s="166">
        <f ca="1">IF(ISNUMBER(Q67),(IF((P67-L67)&lt;0,0,P67-L67)+IF((Tbl_Load_distrib[[#This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0.49926109399894558</v>
      </c>
      <c r="R68" s="167">
        <f ca="1">ρ_sw*Tbl_Load_distrib[[#This Row],[Elt Area corrected]]*B/k_depl</f>
        <v>10.228051319789097</v>
      </c>
      <c r="S68" s="180">
        <f ca="1">Tbl_Load_distrib[[#This Row],[Section Weight]]-Tbl_Load_distrib[[#This Row],[Floating Elt]]</f>
        <v>-1.3947179864557633</v>
      </c>
      <c r="T68" s="183">
        <f ca="1">IF(ISTEXT($T67),0,$T67+Tbl_Load_distrib[[#This Row],[Net force / Elt]])</f>
        <v>-2.9288283864905011</v>
      </c>
      <c r="U68" s="169">
        <f ca="1">IF(ISTEXT($U67),0,$U67+Tbl_Load_distrib[[#This Row],[Shearing Force]]*Tbl_Load_distrib[[#This Row],[L_elt]])</f>
        <v>1075.9864769417243</v>
      </c>
    </row>
    <row r="69" spans="2:23" x14ac:dyDescent="0.25">
      <c r="B69" s="136">
        <f t="shared" si="1"/>
        <v>63</v>
      </c>
      <c r="C69" s="139">
        <f t="shared" si="2"/>
        <v>31.5</v>
      </c>
      <c r="D69" s="152">
        <f ca="1">SUM(Tbl_Load_distrib[[#This Row],[Hull &amp; Structure]:[Reserved]])</f>
        <v>8.8333333333333339</v>
      </c>
      <c r="E69" s="147">
        <f>SUMIFS(Tbl_Hull_Structure[Spread],Tbl_Hull_Structure[L from],"&lt;"&amp;Tbl_Load_distrib[[#This Row],[x]],Tbl_Hull_Structure[L to],"&gt;"&amp;C68)*Tbl_Load_distrib[[#This Row],[L_elt]]</f>
        <v>4.666666666666667</v>
      </c>
      <c r="F69" s="260">
        <f ca="1">SUMIFS(Tbl_Ballasts[Spread],Tbl_Ballasts[L from],"&lt;"&amp;Tbl_Load_distrib[[#This Row],[x]],Tbl_Ballasts[L to],"&gt;"&amp;C68)*Tbl_Load_distrib[[#This Row],[L_elt]]</f>
        <v>0</v>
      </c>
      <c r="G69" s="260">
        <f>SUMIFS(Tbl_Lifting[Spread],Tbl_Lifting[L from],"&lt;"&amp;Tbl_Load_distrib[[#This Row],[x]],Tbl_Lifting[L to],"&gt;"&amp;C68)*Tbl_Load_distrib[[#This Row],[L_elt]]</f>
        <v>0</v>
      </c>
      <c r="H69" s="260">
        <f>SUMIFS(Tbl_Additionals[Spread],Tbl_Additionals[L from],"&lt;"&amp;Tbl_Load_distrib[[#This Row],[x]],Tbl_Additionals[L to],"&gt;"&amp;C68)*Tbl_Load_distrib[[#This Row],[L_elt]]</f>
        <v>4.166666666666667</v>
      </c>
      <c r="I69" s="260">
        <f ca="1">SUMIFS(Tbl_Deck_Tank[Spread],Tbl_Deck_Tank[L from],"&lt;"&amp;Tbl_Load_distrib[[#This Row],[x]],Tbl_Deck_Tank[L to],"&gt;"&amp;C68)*Tbl_Load_distrib[[#This Row],[L_elt]]</f>
        <v>0</v>
      </c>
      <c r="J69" s="137"/>
      <c r="K69" s="165">
        <f>IFERROR(Tbl_Long_Section[[#This Row],[H Deck-Bottom]],NA())</f>
        <v>4</v>
      </c>
      <c r="L69" s="829">
        <f>M_depth-Tbl_Load_distrib[[#This Row],[H Deck-Bottom]]</f>
        <v>0</v>
      </c>
      <c r="M69" s="929">
        <f>IFERROR(Tbl_Load_distrib[[#This Row],[x]]-C68,0)</f>
        <v>0.5</v>
      </c>
      <c r="N69" s="929">
        <f ca="1">IF(ISNA(Tbl_Load_distrib[[#This Row],[x]]),NA(),IF(ISTEXT(N68),0,IF(N68=0,$Z$3,N68-($Z$3-$AA$3)/(Lpp-FE_size)*Tbl_Load_distrib[[#This Row],[L_elt]])))</f>
        <v>0.99982188449917375</v>
      </c>
      <c r="O69" s="166">
        <f ca="1">IF(ISNUMBER(O68),(IF((N68-L68)&lt;0,0,N68-L68)+IF((Tbl_Load_distrib[[#This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0.49978192289992263</v>
      </c>
      <c r="P69" s="929">
        <f ca="1">IF(ISNA(Tbl_Load_distrib[[#This Row],[x]]),NA(),IF(ISTEXT(P68),0,IF(P68=0,LongSection_DraftAft,P68-(LongSection_DraftAft-LongSection_DraftFore)/(Lpp-FE_size)*Tbl_Load_distrib[[#This Row],[L_elt]])))</f>
        <v>0.99850793349093381</v>
      </c>
      <c r="Q69" s="166">
        <f ca="1">IF(ISNUMBER(Q68),(IF((P68-L68)&lt;0,0,P68-L68)+IF((Tbl_Load_distrib[[#This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0.49925634249662643</v>
      </c>
      <c r="R69" s="167">
        <f ca="1">ρ_sw*Tbl_Load_distrib[[#This Row],[Elt Area corrected]]*B/k_depl</f>
        <v>10.227953978718164</v>
      </c>
      <c r="S69" s="180">
        <f ca="1">Tbl_Load_distrib[[#This Row],[Section Weight]]-Tbl_Load_distrib[[#This Row],[Floating Elt]]</f>
        <v>-1.3946206453848298</v>
      </c>
      <c r="T69" s="183">
        <f ca="1">IF(ISTEXT($T68),0,$T68+Tbl_Load_distrib[[#This Row],[Net force / Elt]])</f>
        <v>-4.3234490318753309</v>
      </c>
      <c r="U69" s="169">
        <f ca="1">IF(ISTEXT($U68),0,$U68+Tbl_Load_distrib[[#This Row],[Shearing Force]]*Tbl_Load_distrib[[#This Row],[L_elt]])</f>
        <v>1073.8247524257865</v>
      </c>
    </row>
    <row r="70" spans="2:23" x14ac:dyDescent="0.25">
      <c r="B70" s="136">
        <f t="shared" ref="B70:B133" si="3">IF(ISTEXT($B69),0,IF($B69+1&gt;Last_Frame,NA(),$B69+1))</f>
        <v>64</v>
      </c>
      <c r="C70" s="139">
        <f t="shared" ref="C70:C133" si="4">IF(B70*FE_size&gt;Lpp,Lpp,B70*FE_size)</f>
        <v>32</v>
      </c>
      <c r="D70" s="152">
        <f ca="1">SUM(Tbl_Load_distrib[[#This Row],[Hull &amp; Structure]:[Reserved]])</f>
        <v>8.8333333333333339</v>
      </c>
      <c r="E70" s="147">
        <f>SUMIFS(Tbl_Hull_Structure[Spread],Tbl_Hull_Structure[L from],"&lt;"&amp;Tbl_Load_distrib[[#This Row],[x]],Tbl_Hull_Structure[L to],"&gt;"&amp;C69)*Tbl_Load_distrib[[#This Row],[L_elt]]</f>
        <v>4.666666666666667</v>
      </c>
      <c r="F70" s="260">
        <f ca="1">SUMIFS(Tbl_Ballasts[Spread],Tbl_Ballasts[L from],"&lt;"&amp;Tbl_Load_distrib[[#This Row],[x]],Tbl_Ballasts[L to],"&gt;"&amp;C69)*Tbl_Load_distrib[[#This Row],[L_elt]]</f>
        <v>0</v>
      </c>
      <c r="G70" s="260">
        <f>SUMIFS(Tbl_Lifting[Spread],Tbl_Lifting[L from],"&lt;"&amp;Tbl_Load_distrib[[#This Row],[x]],Tbl_Lifting[L to],"&gt;"&amp;C69)*Tbl_Load_distrib[[#This Row],[L_elt]]</f>
        <v>0</v>
      </c>
      <c r="H70" s="260">
        <f>SUMIFS(Tbl_Additionals[Spread],Tbl_Additionals[L from],"&lt;"&amp;Tbl_Load_distrib[[#This Row],[x]],Tbl_Additionals[L to],"&gt;"&amp;C69)*Tbl_Load_distrib[[#This Row],[L_elt]]</f>
        <v>4.166666666666667</v>
      </c>
      <c r="I70" s="260">
        <f ca="1">SUMIFS(Tbl_Deck_Tank[Spread],Tbl_Deck_Tank[L from],"&lt;"&amp;Tbl_Load_distrib[[#This Row],[x]],Tbl_Deck_Tank[L to],"&gt;"&amp;C69)*Tbl_Load_distrib[[#This Row],[L_elt]]</f>
        <v>0</v>
      </c>
      <c r="J70" s="137"/>
      <c r="K70" s="165">
        <f>IFERROR(Tbl_Long_Section[[#This Row],[H Deck-Bottom]],NA())</f>
        <v>4</v>
      </c>
      <c r="L70" s="829">
        <f>M_depth-Tbl_Load_distrib[[#This Row],[H Deck-Bottom]]</f>
        <v>0</v>
      </c>
      <c r="M70" s="929">
        <f>IFERROR(Tbl_Load_distrib[[#This Row],[x]]-C69,0)</f>
        <v>0.5</v>
      </c>
      <c r="N70" s="929">
        <f ca="1">IF(ISNA(Tbl_Load_distrib[[#This Row],[x]]),NA(),IF(ISTEXT(N69),0,IF(N69=0,$Z$3,N69-($Z$3-$AA$3)/(Lpp-FE_size)*Tbl_Load_distrib[[#This Row],[L_elt]])))</f>
        <v>1.0003379618978305</v>
      </c>
      <c r="O70" s="166">
        <f ca="1">IF(ISNUMBER(O69),(IF((N69-L69)&lt;0,0,N69-L69)+IF((Tbl_Load_distrib[[#This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0.50003996159925101</v>
      </c>
      <c r="P70" s="929">
        <f ca="1">IF(ISNA(Tbl_Load_distrib[[#This Row],[x]]),NA(),IF(ISTEXT(P69),0,IF(P69=0,LongSection_DraftAft,P69-(LongSection_DraftAft-LongSection_DraftFore)/(Lpp-FE_size)*Tbl_Load_distrib[[#This Row],[L_elt]])))</f>
        <v>0.99849843048629561</v>
      </c>
      <c r="Q70" s="166">
        <f ca="1">IF(ISNUMBER(Q69),(IF((P69-L69)&lt;0,0,P69-L69)+IF((Tbl_Load_distrib[[#This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0.49925159099430738</v>
      </c>
      <c r="R70" s="167">
        <f ca="1">ρ_sw*Tbl_Load_distrib[[#This Row],[Elt Area corrected]]*B/k_depl</f>
        <v>10.227856637647228</v>
      </c>
      <c r="S70" s="180">
        <f ca="1">Tbl_Load_distrib[[#This Row],[Section Weight]]-Tbl_Load_distrib[[#This Row],[Floating Elt]]</f>
        <v>-1.3945233043138945</v>
      </c>
      <c r="T70" s="183">
        <f ca="1">IF(ISTEXT($T69),0,$T69+Tbl_Load_distrib[[#This Row],[Net force / Elt]])</f>
        <v>-5.7179723361892254</v>
      </c>
      <c r="U70" s="169">
        <f ca="1">IF(ISTEXT($U69),0,$U69+Tbl_Load_distrib[[#This Row],[Shearing Force]]*Tbl_Load_distrib[[#This Row],[L_elt]])</f>
        <v>1070.9657662576919</v>
      </c>
    </row>
    <row r="71" spans="2:23" x14ac:dyDescent="0.25">
      <c r="B71" s="136">
        <f t="shared" si="3"/>
        <v>65</v>
      </c>
      <c r="C71" s="139">
        <f t="shared" si="4"/>
        <v>32.5</v>
      </c>
      <c r="D71" s="152">
        <f ca="1">SUM(Tbl_Load_distrib[[#This Row],[Hull &amp; Structure]:[Reserved]])</f>
        <v>8.8333333333333339</v>
      </c>
      <c r="E71" s="147">
        <f>SUMIFS(Tbl_Hull_Structure[Spread],Tbl_Hull_Structure[L from],"&lt;"&amp;Tbl_Load_distrib[[#This Row],[x]],Tbl_Hull_Structure[L to],"&gt;"&amp;C70)*Tbl_Load_distrib[[#This Row],[L_elt]]</f>
        <v>4.666666666666667</v>
      </c>
      <c r="F71" s="260">
        <f ca="1">SUMIFS(Tbl_Ballasts[Spread],Tbl_Ballasts[L from],"&lt;"&amp;Tbl_Load_distrib[[#This Row],[x]],Tbl_Ballasts[L to],"&gt;"&amp;C70)*Tbl_Load_distrib[[#This Row],[L_elt]]</f>
        <v>0</v>
      </c>
      <c r="G71" s="260">
        <f>SUMIFS(Tbl_Lifting[Spread],Tbl_Lifting[L from],"&lt;"&amp;Tbl_Load_distrib[[#This Row],[x]],Tbl_Lifting[L to],"&gt;"&amp;C70)*Tbl_Load_distrib[[#This Row],[L_elt]]</f>
        <v>0</v>
      </c>
      <c r="H71" s="260">
        <f>SUMIFS(Tbl_Additionals[Spread],Tbl_Additionals[L from],"&lt;"&amp;Tbl_Load_distrib[[#This Row],[x]],Tbl_Additionals[L to],"&gt;"&amp;C70)*Tbl_Load_distrib[[#This Row],[L_elt]]</f>
        <v>4.166666666666667</v>
      </c>
      <c r="I71" s="260">
        <f ca="1">SUMIFS(Tbl_Deck_Tank[Spread],Tbl_Deck_Tank[L from],"&lt;"&amp;Tbl_Load_distrib[[#This Row],[x]],Tbl_Deck_Tank[L to],"&gt;"&amp;C70)*Tbl_Load_distrib[[#This Row],[L_elt]]</f>
        <v>0</v>
      </c>
      <c r="J71" s="137"/>
      <c r="K71" s="165">
        <f>IFERROR(Tbl_Long_Section[[#This Row],[H Deck-Bottom]],NA())</f>
        <v>4</v>
      </c>
      <c r="L71" s="829">
        <f>M_depth-Tbl_Load_distrib[[#This Row],[H Deck-Bottom]]</f>
        <v>0</v>
      </c>
      <c r="M71" s="929">
        <f>IFERROR(Tbl_Load_distrib[[#This Row],[x]]-C70,0)</f>
        <v>0.5</v>
      </c>
      <c r="N71" s="929">
        <f ca="1">IF(ISNA(Tbl_Load_distrib[[#This Row],[x]]),NA(),IF(ISTEXT(N70),0,IF(N70=0,$Z$3,N70-($Z$3-$AA$3)/(Lpp-FE_size)*Tbl_Load_distrib[[#This Row],[L_elt]])))</f>
        <v>1.0008540392964873</v>
      </c>
      <c r="O71" s="166">
        <f ca="1">IF(ISNUMBER(O70),(IF((N70-L70)&lt;0,0,N70-L70)+IF((Tbl_Load_distrib[[#This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0.50029800029857951</v>
      </c>
      <c r="P71" s="929">
        <f ca="1">IF(ISNA(Tbl_Load_distrib[[#This Row],[x]]),NA(),IF(ISTEXT(P70),0,IF(P70=0,LongSection_DraftAft,P70-(LongSection_DraftAft-LongSection_DraftFore)/(Lpp-FE_size)*Tbl_Load_distrib[[#This Row],[L_elt]])))</f>
        <v>0.99848892748165741</v>
      </c>
      <c r="Q71" s="166">
        <f ca="1">IF(ISNUMBER(Q70),(IF((P70-L70)&lt;0,0,P70-L70)+IF((Tbl_Load_distrib[[#This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0.49924683949198823</v>
      </c>
      <c r="R71" s="167">
        <f ca="1">ρ_sw*Tbl_Load_distrib[[#This Row],[Elt Area corrected]]*B/k_depl</f>
        <v>10.227759296576293</v>
      </c>
      <c r="S71" s="180">
        <f ca="1">Tbl_Load_distrib[[#This Row],[Section Weight]]-Tbl_Load_distrib[[#This Row],[Floating Elt]]</f>
        <v>-1.3944259632429592</v>
      </c>
      <c r="T71" s="183">
        <f ca="1">IF(ISTEXT($T70),0,$T70+Tbl_Load_distrib[[#This Row],[Net force / Elt]])</f>
        <v>-7.1123982994321846</v>
      </c>
      <c r="U71" s="169">
        <f ca="1">IF(ISTEXT($U70),0,$U70+Tbl_Load_distrib[[#This Row],[Shearing Force]]*Tbl_Load_distrib[[#This Row],[L_elt]])</f>
        <v>1067.4095671079758</v>
      </c>
    </row>
    <row r="72" spans="2:23" x14ac:dyDescent="0.25">
      <c r="B72" s="136">
        <f t="shared" si="3"/>
        <v>66</v>
      </c>
      <c r="C72" s="139">
        <f t="shared" si="4"/>
        <v>33</v>
      </c>
      <c r="D72" s="152">
        <f ca="1">SUM(Tbl_Load_distrib[[#This Row],[Hull &amp; Structure]:[Reserved]])</f>
        <v>8.8333333333333339</v>
      </c>
      <c r="E72" s="147">
        <f>SUMIFS(Tbl_Hull_Structure[Spread],Tbl_Hull_Structure[L from],"&lt;"&amp;Tbl_Load_distrib[[#This Row],[x]],Tbl_Hull_Structure[L to],"&gt;"&amp;C71)*Tbl_Load_distrib[[#This Row],[L_elt]]</f>
        <v>4.666666666666667</v>
      </c>
      <c r="F72" s="260">
        <f ca="1">SUMIFS(Tbl_Ballasts[Spread],Tbl_Ballasts[L from],"&lt;"&amp;Tbl_Load_distrib[[#This Row],[x]],Tbl_Ballasts[L to],"&gt;"&amp;C71)*Tbl_Load_distrib[[#This Row],[L_elt]]</f>
        <v>0</v>
      </c>
      <c r="G72" s="260">
        <f>SUMIFS(Tbl_Lifting[Spread],Tbl_Lifting[L from],"&lt;"&amp;Tbl_Load_distrib[[#This Row],[x]],Tbl_Lifting[L to],"&gt;"&amp;C71)*Tbl_Load_distrib[[#This Row],[L_elt]]</f>
        <v>0</v>
      </c>
      <c r="H72" s="260">
        <f>SUMIFS(Tbl_Additionals[Spread],Tbl_Additionals[L from],"&lt;"&amp;Tbl_Load_distrib[[#This Row],[x]],Tbl_Additionals[L to],"&gt;"&amp;C71)*Tbl_Load_distrib[[#This Row],[L_elt]]</f>
        <v>4.166666666666667</v>
      </c>
      <c r="I72" s="260">
        <f ca="1">SUMIFS(Tbl_Deck_Tank[Spread],Tbl_Deck_Tank[L from],"&lt;"&amp;Tbl_Load_distrib[[#This Row],[x]],Tbl_Deck_Tank[L to],"&gt;"&amp;C71)*Tbl_Load_distrib[[#This Row],[L_elt]]</f>
        <v>0</v>
      </c>
      <c r="J72" s="137"/>
      <c r="K72" s="165">
        <f>IFERROR(Tbl_Long_Section[[#This Row],[H Deck-Bottom]],NA())</f>
        <v>4</v>
      </c>
      <c r="L72" s="829">
        <f>M_depth-Tbl_Load_distrib[[#This Row],[H Deck-Bottom]]</f>
        <v>0</v>
      </c>
      <c r="M72" s="929">
        <f>IFERROR(Tbl_Load_distrib[[#This Row],[x]]-C71,0)</f>
        <v>0.5</v>
      </c>
      <c r="N72" s="929">
        <f ca="1">IF(ISNA(Tbl_Load_distrib[[#This Row],[x]]),NA(),IF(ISTEXT(N71),0,IF(N71=0,$Z$3,N71-($Z$3-$AA$3)/(Lpp-FE_size)*Tbl_Load_distrib[[#This Row],[L_elt]])))</f>
        <v>1.0013701166951441</v>
      </c>
      <c r="O72" s="166">
        <f ca="1">IF(ISNUMBER(O71),(IF((N71-L71)&lt;0,0,N71-L71)+IF((Tbl_Load_distrib[[#This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0.50055603899790779</v>
      </c>
      <c r="P72" s="929">
        <f ca="1">IF(ISNA(Tbl_Load_distrib[[#This Row],[x]]),NA(),IF(ISTEXT(P71),0,IF(P71=0,LongSection_DraftAft,P71-(LongSection_DraftAft-LongSection_DraftFore)/(Lpp-FE_size)*Tbl_Load_distrib[[#This Row],[L_elt]])))</f>
        <v>0.99847942447701921</v>
      </c>
      <c r="Q72" s="166">
        <f ca="1">IF(ISNUMBER(Q71),(IF((P71-L71)&lt;0,0,P71-L71)+IF((Tbl_Load_distrib[[#This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0.49924208798966918</v>
      </c>
      <c r="R72" s="167">
        <f ca="1">ρ_sw*Tbl_Load_distrib[[#This Row],[Elt Area corrected]]*B/k_depl</f>
        <v>10.227661955505361</v>
      </c>
      <c r="S72" s="180">
        <f ca="1">Tbl_Load_distrib[[#This Row],[Section Weight]]-Tbl_Load_distrib[[#This Row],[Floating Elt]]</f>
        <v>-1.3943286221720275</v>
      </c>
      <c r="T72" s="183">
        <f ca="1">IF(ISTEXT($T71),0,$T71+Tbl_Load_distrib[[#This Row],[Net force / Elt]])</f>
        <v>-8.5067269216042121</v>
      </c>
      <c r="U72" s="169">
        <f ca="1">IF(ISTEXT($U71),0,$U71+Tbl_Load_distrib[[#This Row],[Shearing Force]]*Tbl_Load_distrib[[#This Row],[L_elt]])</f>
        <v>1063.1562036471737</v>
      </c>
    </row>
    <row r="73" spans="2:23" x14ac:dyDescent="0.25">
      <c r="B73" s="136">
        <f t="shared" si="3"/>
        <v>67</v>
      </c>
      <c r="C73" s="139">
        <f t="shared" si="4"/>
        <v>33.5</v>
      </c>
      <c r="D73" s="152">
        <f ca="1">SUM(Tbl_Load_distrib[[#This Row],[Hull &amp; Structure]:[Reserved]])</f>
        <v>8.8333333333333339</v>
      </c>
      <c r="E73" s="147">
        <f>SUMIFS(Tbl_Hull_Structure[Spread],Tbl_Hull_Structure[L from],"&lt;"&amp;Tbl_Load_distrib[[#This Row],[x]],Tbl_Hull_Structure[L to],"&gt;"&amp;C72)*Tbl_Load_distrib[[#This Row],[L_elt]]</f>
        <v>4.666666666666667</v>
      </c>
      <c r="F73" s="260">
        <f ca="1">SUMIFS(Tbl_Ballasts[Spread],Tbl_Ballasts[L from],"&lt;"&amp;Tbl_Load_distrib[[#This Row],[x]],Tbl_Ballasts[L to],"&gt;"&amp;C72)*Tbl_Load_distrib[[#This Row],[L_elt]]</f>
        <v>0</v>
      </c>
      <c r="G73" s="260">
        <f>SUMIFS(Tbl_Lifting[Spread],Tbl_Lifting[L from],"&lt;"&amp;Tbl_Load_distrib[[#This Row],[x]],Tbl_Lifting[L to],"&gt;"&amp;C72)*Tbl_Load_distrib[[#This Row],[L_elt]]</f>
        <v>0</v>
      </c>
      <c r="H73" s="260">
        <f>SUMIFS(Tbl_Additionals[Spread],Tbl_Additionals[L from],"&lt;"&amp;Tbl_Load_distrib[[#This Row],[x]],Tbl_Additionals[L to],"&gt;"&amp;C72)*Tbl_Load_distrib[[#This Row],[L_elt]]</f>
        <v>4.166666666666667</v>
      </c>
      <c r="I73" s="260">
        <f ca="1">SUMIFS(Tbl_Deck_Tank[Spread],Tbl_Deck_Tank[L from],"&lt;"&amp;Tbl_Load_distrib[[#This Row],[x]],Tbl_Deck_Tank[L to],"&gt;"&amp;C72)*Tbl_Load_distrib[[#This Row],[L_elt]]</f>
        <v>0</v>
      </c>
      <c r="J73" s="137"/>
      <c r="K73" s="165">
        <f>IFERROR(Tbl_Long_Section[[#This Row],[H Deck-Bottom]],NA())</f>
        <v>4</v>
      </c>
      <c r="L73" s="829">
        <f>M_depth-Tbl_Load_distrib[[#This Row],[H Deck-Bottom]]</f>
        <v>0</v>
      </c>
      <c r="M73" s="929">
        <f>IFERROR(Tbl_Load_distrib[[#This Row],[x]]-C72,0)</f>
        <v>0.5</v>
      </c>
      <c r="N73" s="929">
        <f ca="1">IF(ISNA(Tbl_Load_distrib[[#This Row],[x]]),NA(),IF(ISTEXT(N72),0,IF(N72=0,$Z$3,N72-($Z$3-$AA$3)/(Lpp-FE_size)*Tbl_Load_distrib[[#This Row],[L_elt]])))</f>
        <v>1.0018861940938009</v>
      </c>
      <c r="O73" s="166">
        <f ca="1">IF(ISNUMBER(O72),(IF((N72-L72)&lt;0,0,N72-L72)+IF((Tbl_Load_distrib[[#This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0.50081407769723629</v>
      </c>
      <c r="P73" s="929">
        <f ca="1">IF(ISNA(Tbl_Load_distrib[[#This Row],[x]]),NA(),IF(ISTEXT(P72),0,IF(P72=0,LongSection_DraftAft,P72-(LongSection_DraftAft-LongSection_DraftFore)/(Lpp-FE_size)*Tbl_Load_distrib[[#This Row],[L_elt]])))</f>
        <v>0.99846992147238101</v>
      </c>
      <c r="Q73" s="166">
        <f ca="1">IF(ISNUMBER(Q72),(IF((P72-L72)&lt;0,0,P72-L72)+IF((Tbl_Load_distrib[[#This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0.49923733648735003</v>
      </c>
      <c r="R73" s="167">
        <f ca="1">ρ_sw*Tbl_Load_distrib[[#This Row],[Elt Area corrected]]*B/k_depl</f>
        <v>10.227564614434424</v>
      </c>
      <c r="S73" s="180">
        <f ca="1">Tbl_Load_distrib[[#This Row],[Section Weight]]-Tbl_Load_distrib[[#This Row],[Floating Elt]]</f>
        <v>-1.3942312811010904</v>
      </c>
      <c r="T73" s="183">
        <f ca="1">IF(ISTEXT($T72),0,$T72+Tbl_Load_distrib[[#This Row],[Net force / Elt]])</f>
        <v>-9.9009582027053025</v>
      </c>
      <c r="U73" s="169">
        <f ca="1">IF(ISTEXT($U72),0,$U72+Tbl_Load_distrib[[#This Row],[Shearing Force]]*Tbl_Load_distrib[[#This Row],[L_elt]])</f>
        <v>1058.2057245458211</v>
      </c>
    </row>
    <row r="74" spans="2:23" x14ac:dyDescent="0.25">
      <c r="B74" s="136">
        <f t="shared" si="3"/>
        <v>68</v>
      </c>
      <c r="C74" s="139">
        <f t="shared" si="4"/>
        <v>34</v>
      </c>
      <c r="D74" s="152">
        <f ca="1">SUM(Tbl_Load_distrib[[#This Row],[Hull &amp; Structure]:[Reserved]])</f>
        <v>8.8333333333333339</v>
      </c>
      <c r="E74" s="147">
        <f>SUMIFS(Tbl_Hull_Structure[Spread],Tbl_Hull_Structure[L from],"&lt;"&amp;Tbl_Load_distrib[[#This Row],[x]],Tbl_Hull_Structure[L to],"&gt;"&amp;C73)*Tbl_Load_distrib[[#This Row],[L_elt]]</f>
        <v>4.666666666666667</v>
      </c>
      <c r="F74" s="260">
        <f ca="1">SUMIFS(Tbl_Ballasts[Spread],Tbl_Ballasts[L from],"&lt;"&amp;Tbl_Load_distrib[[#This Row],[x]],Tbl_Ballasts[L to],"&gt;"&amp;C73)*Tbl_Load_distrib[[#This Row],[L_elt]]</f>
        <v>0</v>
      </c>
      <c r="G74" s="260">
        <f>SUMIFS(Tbl_Lifting[Spread],Tbl_Lifting[L from],"&lt;"&amp;Tbl_Load_distrib[[#This Row],[x]],Tbl_Lifting[L to],"&gt;"&amp;C73)*Tbl_Load_distrib[[#This Row],[L_elt]]</f>
        <v>0</v>
      </c>
      <c r="H74" s="260">
        <f>SUMIFS(Tbl_Additionals[Spread],Tbl_Additionals[L from],"&lt;"&amp;Tbl_Load_distrib[[#This Row],[x]],Tbl_Additionals[L to],"&gt;"&amp;C73)*Tbl_Load_distrib[[#This Row],[L_elt]]</f>
        <v>4.166666666666667</v>
      </c>
      <c r="I74" s="260">
        <f ca="1">SUMIFS(Tbl_Deck_Tank[Spread],Tbl_Deck_Tank[L from],"&lt;"&amp;Tbl_Load_distrib[[#This Row],[x]],Tbl_Deck_Tank[L to],"&gt;"&amp;C73)*Tbl_Load_distrib[[#This Row],[L_elt]]</f>
        <v>0</v>
      </c>
      <c r="J74" s="137"/>
      <c r="K74" s="165">
        <f>IFERROR(Tbl_Long_Section[[#This Row],[H Deck-Bottom]],NA())</f>
        <v>4</v>
      </c>
      <c r="L74" s="829">
        <f>M_depth-Tbl_Load_distrib[[#This Row],[H Deck-Bottom]]</f>
        <v>0</v>
      </c>
      <c r="M74" s="929">
        <f>IFERROR(Tbl_Load_distrib[[#This Row],[x]]-C73,0)</f>
        <v>0.5</v>
      </c>
      <c r="N74" s="929">
        <f ca="1">IF(ISNA(Tbl_Load_distrib[[#This Row],[x]]),NA(),IF(ISTEXT(N73),0,IF(N73=0,$Z$3,N73-($Z$3-$AA$3)/(Lpp-FE_size)*Tbl_Load_distrib[[#This Row],[L_elt]])))</f>
        <v>1.0024022714924576</v>
      </c>
      <c r="O74" s="166">
        <f ca="1">IF(ISNUMBER(O73),(IF((N73-L73)&lt;0,0,N73-L73)+IF((Tbl_Load_distrib[[#This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0.50107211639656457</v>
      </c>
      <c r="P74" s="929">
        <f ca="1">IF(ISNA(Tbl_Load_distrib[[#This Row],[x]]),NA(),IF(ISTEXT(P73),0,IF(P73=0,LongSection_DraftAft,P73-(LongSection_DraftAft-LongSection_DraftFore)/(Lpp-FE_size)*Tbl_Load_distrib[[#This Row],[L_elt]])))</f>
        <v>0.99846041846774281</v>
      </c>
      <c r="Q74" s="166">
        <f ca="1">IF(ISNUMBER(Q73),(IF((P73-L73)&lt;0,0,P73-L73)+IF((Tbl_Load_distrib[[#This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0.49923258498503098</v>
      </c>
      <c r="R74" s="167">
        <f ca="1">ρ_sw*Tbl_Load_distrib[[#This Row],[Elt Area corrected]]*B/k_depl</f>
        <v>10.227467273363491</v>
      </c>
      <c r="S74" s="180">
        <f ca="1">Tbl_Load_distrib[[#This Row],[Section Weight]]-Tbl_Load_distrib[[#This Row],[Floating Elt]]</f>
        <v>-1.3941339400301569</v>
      </c>
      <c r="T74" s="183">
        <f ca="1">IF(ISTEXT($T73),0,$T73+Tbl_Load_distrib[[#This Row],[Net force / Elt]])</f>
        <v>-11.295092142735459</v>
      </c>
      <c r="U74" s="169">
        <f ca="1">IF(ISTEXT($U73),0,$U73+Tbl_Load_distrib[[#This Row],[Shearing Force]]*Tbl_Load_distrib[[#This Row],[L_elt]])</f>
        <v>1052.5581784744534</v>
      </c>
    </row>
    <row r="75" spans="2:23" x14ac:dyDescent="0.25">
      <c r="B75" s="136">
        <f t="shared" si="3"/>
        <v>69</v>
      </c>
      <c r="C75" s="139">
        <f t="shared" si="4"/>
        <v>34.5</v>
      </c>
      <c r="D75" s="152">
        <f ca="1">SUM(Tbl_Load_distrib[[#This Row],[Hull &amp; Structure]:[Reserved]])</f>
        <v>8.8333333333333339</v>
      </c>
      <c r="E75" s="147">
        <f>SUMIFS(Tbl_Hull_Structure[Spread],Tbl_Hull_Structure[L from],"&lt;"&amp;Tbl_Load_distrib[[#This Row],[x]],Tbl_Hull_Structure[L to],"&gt;"&amp;C74)*Tbl_Load_distrib[[#This Row],[L_elt]]</f>
        <v>4.666666666666667</v>
      </c>
      <c r="F75" s="260">
        <f ca="1">SUMIFS(Tbl_Ballasts[Spread],Tbl_Ballasts[L from],"&lt;"&amp;Tbl_Load_distrib[[#This Row],[x]],Tbl_Ballasts[L to],"&gt;"&amp;C74)*Tbl_Load_distrib[[#This Row],[L_elt]]</f>
        <v>0</v>
      </c>
      <c r="G75" s="260">
        <f>SUMIFS(Tbl_Lifting[Spread],Tbl_Lifting[L from],"&lt;"&amp;Tbl_Load_distrib[[#This Row],[x]],Tbl_Lifting[L to],"&gt;"&amp;C74)*Tbl_Load_distrib[[#This Row],[L_elt]]</f>
        <v>0</v>
      </c>
      <c r="H75" s="260">
        <f>SUMIFS(Tbl_Additionals[Spread],Tbl_Additionals[L from],"&lt;"&amp;Tbl_Load_distrib[[#This Row],[x]],Tbl_Additionals[L to],"&gt;"&amp;C74)*Tbl_Load_distrib[[#This Row],[L_elt]]</f>
        <v>4.166666666666667</v>
      </c>
      <c r="I75" s="260">
        <f ca="1">SUMIFS(Tbl_Deck_Tank[Spread],Tbl_Deck_Tank[L from],"&lt;"&amp;Tbl_Load_distrib[[#This Row],[x]],Tbl_Deck_Tank[L to],"&gt;"&amp;C74)*Tbl_Load_distrib[[#This Row],[L_elt]]</f>
        <v>0</v>
      </c>
      <c r="J75" s="137"/>
      <c r="K75" s="165">
        <f>IFERROR(Tbl_Long_Section[[#This Row],[H Deck-Bottom]],NA())</f>
        <v>4</v>
      </c>
      <c r="L75" s="829">
        <f>M_depth-Tbl_Load_distrib[[#This Row],[H Deck-Bottom]]</f>
        <v>0</v>
      </c>
      <c r="M75" s="929">
        <f>IFERROR(Tbl_Load_distrib[[#This Row],[x]]-C74,0)</f>
        <v>0.5</v>
      </c>
      <c r="N75" s="929">
        <f ca="1">IF(ISNA(Tbl_Load_distrib[[#This Row],[x]]),NA(),IF(ISTEXT(N74),0,IF(N74=0,$Z$3,N74-($Z$3-$AA$3)/(Lpp-FE_size)*Tbl_Load_distrib[[#This Row],[L_elt]])))</f>
        <v>1.0029183488911144</v>
      </c>
      <c r="O75" s="166">
        <f ca="1">IF(ISNUMBER(O74),(IF((N74-L74)&lt;0,0,N74-L74)+IF((Tbl_Load_distrib[[#This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0.50133015509589307</v>
      </c>
      <c r="P75" s="929">
        <f ca="1">IF(ISNA(Tbl_Load_distrib[[#This Row],[x]]),NA(),IF(ISTEXT(P74),0,IF(P74=0,LongSection_DraftAft,P74-(LongSection_DraftAft-LongSection_DraftFore)/(Lpp-FE_size)*Tbl_Load_distrib[[#This Row],[L_elt]])))</f>
        <v>0.9984509154631046</v>
      </c>
      <c r="Q75" s="166">
        <f ca="1">IF(ISNUMBER(Q74),(IF((P74-L74)&lt;0,0,P74-L74)+IF((Tbl_Load_distrib[[#This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0.49922783348271182</v>
      </c>
      <c r="R75" s="167">
        <f ca="1">ρ_sw*Tbl_Load_distrib[[#This Row],[Elt Area corrected]]*B/k_depl</f>
        <v>10.227369932292556</v>
      </c>
      <c r="S75" s="180">
        <f ca="1">Tbl_Load_distrib[[#This Row],[Section Weight]]-Tbl_Load_distrib[[#This Row],[Floating Elt]]</f>
        <v>-1.3940365989592216</v>
      </c>
      <c r="T75" s="183">
        <f ca="1">IF(ISTEXT($T74),0,$T74+Tbl_Load_distrib[[#This Row],[Net force / Elt]])</f>
        <v>-12.689128741694681</v>
      </c>
      <c r="U75" s="169">
        <f ca="1">IF(ISTEXT($U74),0,$U74+Tbl_Load_distrib[[#This Row],[Shearing Force]]*Tbl_Load_distrib[[#This Row],[L_elt]])</f>
        <v>1046.213614103606</v>
      </c>
    </row>
    <row r="76" spans="2:23" x14ac:dyDescent="0.25">
      <c r="B76" s="136">
        <f t="shared" si="3"/>
        <v>70</v>
      </c>
      <c r="C76" s="139">
        <f t="shared" si="4"/>
        <v>35</v>
      </c>
      <c r="D76" s="152">
        <f ca="1">SUM(Tbl_Load_distrib[[#This Row],[Hull &amp; Structure]:[Reserved]])</f>
        <v>8.8333333333333339</v>
      </c>
      <c r="E76" s="147">
        <f>SUMIFS(Tbl_Hull_Structure[Spread],Tbl_Hull_Structure[L from],"&lt;"&amp;Tbl_Load_distrib[[#This Row],[x]],Tbl_Hull_Structure[L to],"&gt;"&amp;C75)*Tbl_Load_distrib[[#This Row],[L_elt]]</f>
        <v>4.666666666666667</v>
      </c>
      <c r="F76" s="260">
        <f ca="1">SUMIFS(Tbl_Ballasts[Spread],Tbl_Ballasts[L from],"&lt;"&amp;Tbl_Load_distrib[[#This Row],[x]],Tbl_Ballasts[L to],"&gt;"&amp;C75)*Tbl_Load_distrib[[#This Row],[L_elt]]</f>
        <v>0</v>
      </c>
      <c r="G76" s="260">
        <f>SUMIFS(Tbl_Lifting[Spread],Tbl_Lifting[L from],"&lt;"&amp;Tbl_Load_distrib[[#This Row],[x]],Tbl_Lifting[L to],"&gt;"&amp;C75)*Tbl_Load_distrib[[#This Row],[L_elt]]</f>
        <v>0</v>
      </c>
      <c r="H76" s="260">
        <f>SUMIFS(Tbl_Additionals[Spread],Tbl_Additionals[L from],"&lt;"&amp;Tbl_Load_distrib[[#This Row],[x]],Tbl_Additionals[L to],"&gt;"&amp;C75)*Tbl_Load_distrib[[#This Row],[L_elt]]</f>
        <v>4.166666666666667</v>
      </c>
      <c r="I76" s="260">
        <f ca="1">SUMIFS(Tbl_Deck_Tank[Spread],Tbl_Deck_Tank[L from],"&lt;"&amp;Tbl_Load_distrib[[#This Row],[x]],Tbl_Deck_Tank[L to],"&gt;"&amp;C75)*Tbl_Load_distrib[[#This Row],[L_elt]]</f>
        <v>0</v>
      </c>
      <c r="J76" s="137"/>
      <c r="K76" s="165">
        <f>IFERROR(Tbl_Long_Section[[#This Row],[H Deck-Bottom]],NA())</f>
        <v>4</v>
      </c>
      <c r="L76" s="829">
        <f>M_depth-Tbl_Load_distrib[[#This Row],[H Deck-Bottom]]</f>
        <v>0</v>
      </c>
      <c r="M76" s="929">
        <f>IFERROR(Tbl_Load_distrib[[#This Row],[x]]-C75,0)</f>
        <v>0.5</v>
      </c>
      <c r="N76" s="929">
        <f ca="1">IF(ISNA(Tbl_Load_distrib[[#This Row],[x]]),NA(),IF(ISTEXT(N75),0,IF(N75=0,$Z$3,N75-($Z$3-$AA$3)/(Lpp-FE_size)*Tbl_Load_distrib[[#This Row],[L_elt]])))</f>
        <v>1.0034344262897712</v>
      </c>
      <c r="O76" s="166">
        <f ca="1">IF(ISNUMBER(O75),(IF((N75-L75)&lt;0,0,N75-L75)+IF((Tbl_Load_distrib[[#This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0.50158819379522135</v>
      </c>
      <c r="P76" s="929">
        <f ca="1">IF(ISNA(Tbl_Load_distrib[[#This Row],[x]]),NA(),IF(ISTEXT(P75),0,IF(P75=0,LongSection_DraftAft,P75-(LongSection_DraftAft-LongSection_DraftFore)/(Lpp-FE_size)*Tbl_Load_distrib[[#This Row],[L_elt]])))</f>
        <v>0.9984414124584664</v>
      </c>
      <c r="Q76" s="166">
        <f ca="1">IF(ISNUMBER(Q75),(IF((P75-L75)&lt;0,0,P75-L75)+IF((Tbl_Load_distrib[[#This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0.49922308198039278</v>
      </c>
      <c r="R76" s="167">
        <f ca="1">ρ_sw*Tbl_Load_distrib[[#This Row],[Elt Area corrected]]*B/k_depl</f>
        <v>10.227272591221622</v>
      </c>
      <c r="S76" s="180">
        <f ca="1">Tbl_Load_distrib[[#This Row],[Section Weight]]-Tbl_Load_distrib[[#This Row],[Floating Elt]]</f>
        <v>-1.3939392578882881</v>
      </c>
      <c r="T76" s="183">
        <f ca="1">IF(ISTEXT($T75),0,$T75+Tbl_Load_distrib[[#This Row],[Net force / Elt]])</f>
        <v>-14.083067999582969</v>
      </c>
      <c r="U76" s="169">
        <f ca="1">IF(ISTEXT($U75),0,$U75+Tbl_Load_distrib[[#This Row],[Shearing Force]]*Tbl_Load_distrib[[#This Row],[L_elt]])</f>
        <v>1039.1720801038146</v>
      </c>
    </row>
    <row r="77" spans="2:23" x14ac:dyDescent="0.25">
      <c r="B77" s="136">
        <f t="shared" si="3"/>
        <v>71</v>
      </c>
      <c r="C77" s="139">
        <f t="shared" si="4"/>
        <v>35.5</v>
      </c>
      <c r="D77" s="152">
        <f ca="1">SUM(Tbl_Load_distrib[[#This Row],[Hull &amp; Structure]:[Reserved]])</f>
        <v>8.8333333333333339</v>
      </c>
      <c r="E77" s="147">
        <f>SUMIFS(Tbl_Hull_Structure[Spread],Tbl_Hull_Structure[L from],"&lt;"&amp;Tbl_Load_distrib[[#This Row],[x]],Tbl_Hull_Structure[L to],"&gt;"&amp;C76)*Tbl_Load_distrib[[#This Row],[L_elt]]</f>
        <v>4.666666666666667</v>
      </c>
      <c r="F77" s="260">
        <f ca="1">SUMIFS(Tbl_Ballasts[Spread],Tbl_Ballasts[L from],"&lt;"&amp;Tbl_Load_distrib[[#This Row],[x]],Tbl_Ballasts[L to],"&gt;"&amp;C76)*Tbl_Load_distrib[[#This Row],[L_elt]]</f>
        <v>0</v>
      </c>
      <c r="G77" s="260">
        <f>SUMIFS(Tbl_Lifting[Spread],Tbl_Lifting[L from],"&lt;"&amp;Tbl_Load_distrib[[#This Row],[x]],Tbl_Lifting[L to],"&gt;"&amp;C76)*Tbl_Load_distrib[[#This Row],[L_elt]]</f>
        <v>0</v>
      </c>
      <c r="H77" s="260">
        <f>SUMIFS(Tbl_Additionals[Spread],Tbl_Additionals[L from],"&lt;"&amp;Tbl_Load_distrib[[#This Row],[x]],Tbl_Additionals[L to],"&gt;"&amp;C76)*Tbl_Load_distrib[[#This Row],[L_elt]]</f>
        <v>4.166666666666667</v>
      </c>
      <c r="I77" s="260">
        <f ca="1">SUMIFS(Tbl_Deck_Tank[Spread],Tbl_Deck_Tank[L from],"&lt;"&amp;Tbl_Load_distrib[[#This Row],[x]],Tbl_Deck_Tank[L to],"&gt;"&amp;C76)*Tbl_Load_distrib[[#This Row],[L_elt]]</f>
        <v>0</v>
      </c>
      <c r="J77" s="137"/>
      <c r="K77" s="165">
        <f>IFERROR(Tbl_Long_Section[[#This Row],[H Deck-Bottom]],NA())</f>
        <v>4</v>
      </c>
      <c r="L77" s="829">
        <f>M_depth-Tbl_Load_distrib[[#This Row],[H Deck-Bottom]]</f>
        <v>0</v>
      </c>
      <c r="M77" s="929">
        <f>IFERROR(Tbl_Load_distrib[[#This Row],[x]]-C76,0)</f>
        <v>0.5</v>
      </c>
      <c r="N77" s="929">
        <f ca="1">IF(ISNA(Tbl_Load_distrib[[#This Row],[x]]),NA(),IF(ISTEXT(N76),0,IF(N76=0,$Z$3,N76-($Z$3-$AA$3)/(Lpp-FE_size)*Tbl_Load_distrib[[#This Row],[L_elt]])))</f>
        <v>1.003950503688428</v>
      </c>
      <c r="O77" s="166">
        <f ca="1">IF(ISNUMBER(O76),(IF((N76-L76)&lt;0,0,N76-L76)+IF((Tbl_Load_distrib[[#This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0.50184623249454985</v>
      </c>
      <c r="P77" s="929">
        <f ca="1">IF(ISNA(Tbl_Load_distrib[[#This Row],[x]]),NA(),IF(ISTEXT(P76),0,IF(P76=0,LongSection_DraftAft,P76-(LongSection_DraftAft-LongSection_DraftFore)/(Lpp-FE_size)*Tbl_Load_distrib[[#This Row],[L_elt]])))</f>
        <v>0.9984319094538282</v>
      </c>
      <c r="Q77" s="166">
        <f ca="1">IF(ISNUMBER(Q76),(IF((P76-L76)&lt;0,0,P76-L76)+IF((Tbl_Load_distrib[[#This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0.49921833047807362</v>
      </c>
      <c r="R77" s="167">
        <f ca="1">ρ_sw*Tbl_Load_distrib[[#This Row],[Elt Area corrected]]*B/k_depl</f>
        <v>10.227175250150685</v>
      </c>
      <c r="S77" s="180">
        <f ca="1">Tbl_Load_distrib[[#This Row],[Section Weight]]-Tbl_Load_distrib[[#This Row],[Floating Elt]]</f>
        <v>-1.393841916817351</v>
      </c>
      <c r="T77" s="183">
        <f ca="1">IF(ISTEXT($T76),0,$T76+Tbl_Load_distrib[[#This Row],[Net force / Elt]])</f>
        <v>-15.47690991640032</v>
      </c>
      <c r="U77" s="169">
        <f ca="1">IF(ISTEXT($U76),0,$U76+Tbl_Load_distrib[[#This Row],[Shearing Force]]*Tbl_Load_distrib[[#This Row],[L_elt]])</f>
        <v>1031.4336251456143</v>
      </c>
    </row>
    <row r="78" spans="2:23" x14ac:dyDescent="0.25">
      <c r="B78" s="136">
        <f t="shared" si="3"/>
        <v>72</v>
      </c>
      <c r="C78" s="139">
        <f t="shared" si="4"/>
        <v>36</v>
      </c>
      <c r="D78" s="152">
        <f ca="1">SUM(Tbl_Load_distrib[[#This Row],[Hull &amp; Structure]:[Reserved]])</f>
        <v>8.8333333333333339</v>
      </c>
      <c r="E78" s="147">
        <f>SUMIFS(Tbl_Hull_Structure[Spread],Tbl_Hull_Structure[L from],"&lt;"&amp;Tbl_Load_distrib[[#This Row],[x]],Tbl_Hull_Structure[L to],"&gt;"&amp;C77)*Tbl_Load_distrib[[#This Row],[L_elt]]</f>
        <v>4.666666666666667</v>
      </c>
      <c r="F78" s="260">
        <f ca="1">SUMIFS(Tbl_Ballasts[Spread],Tbl_Ballasts[L from],"&lt;"&amp;Tbl_Load_distrib[[#This Row],[x]],Tbl_Ballasts[L to],"&gt;"&amp;C77)*Tbl_Load_distrib[[#This Row],[L_elt]]</f>
        <v>0</v>
      </c>
      <c r="G78" s="260">
        <f>SUMIFS(Tbl_Lifting[Spread],Tbl_Lifting[L from],"&lt;"&amp;Tbl_Load_distrib[[#This Row],[x]],Tbl_Lifting[L to],"&gt;"&amp;C77)*Tbl_Load_distrib[[#This Row],[L_elt]]</f>
        <v>0</v>
      </c>
      <c r="H78" s="260">
        <f>SUMIFS(Tbl_Additionals[Spread],Tbl_Additionals[L from],"&lt;"&amp;Tbl_Load_distrib[[#This Row],[x]],Tbl_Additionals[L to],"&gt;"&amp;C77)*Tbl_Load_distrib[[#This Row],[L_elt]]</f>
        <v>4.166666666666667</v>
      </c>
      <c r="I78" s="260">
        <f ca="1">SUMIFS(Tbl_Deck_Tank[Spread],Tbl_Deck_Tank[L from],"&lt;"&amp;Tbl_Load_distrib[[#This Row],[x]],Tbl_Deck_Tank[L to],"&gt;"&amp;C77)*Tbl_Load_distrib[[#This Row],[L_elt]]</f>
        <v>0</v>
      </c>
      <c r="J78" s="137"/>
      <c r="K78" s="165">
        <f>IFERROR(Tbl_Long_Section[[#This Row],[H Deck-Bottom]],NA())</f>
        <v>4</v>
      </c>
      <c r="L78" s="829">
        <f>M_depth-Tbl_Load_distrib[[#This Row],[H Deck-Bottom]]</f>
        <v>0</v>
      </c>
      <c r="M78" s="929">
        <f>IFERROR(Tbl_Load_distrib[[#This Row],[x]]-C77,0)</f>
        <v>0.5</v>
      </c>
      <c r="N78" s="929">
        <f ca="1">IF(ISNA(Tbl_Load_distrib[[#This Row],[x]]),NA(),IF(ISTEXT(N77),0,IF(N77=0,$Z$3,N77-($Z$3-$AA$3)/(Lpp-FE_size)*Tbl_Load_distrib[[#This Row],[L_elt]])))</f>
        <v>1.0044665810870848</v>
      </c>
      <c r="O78" s="166">
        <f ca="1">IF(ISNUMBER(O77),(IF((N77-L77)&lt;0,0,N77-L77)+IF((Tbl_Load_distrib[[#This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0.50210427119387813</v>
      </c>
      <c r="P78" s="929">
        <f ca="1">IF(ISNA(Tbl_Load_distrib[[#This Row],[x]]),NA(),IF(ISTEXT(P77),0,IF(P77=0,LongSection_DraftAft,P77-(LongSection_DraftAft-LongSection_DraftFore)/(Lpp-FE_size)*Tbl_Load_distrib[[#This Row],[L_elt]])))</f>
        <v>0.99842240644919</v>
      </c>
      <c r="Q78" s="166">
        <f ca="1">IF(ISNUMBER(Q77),(IF((P77-L77)&lt;0,0,P77-L77)+IF((Tbl_Load_distrib[[#This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0.49921357897575458</v>
      </c>
      <c r="R78" s="167">
        <f ca="1">ρ_sw*Tbl_Load_distrib[[#This Row],[Elt Area corrected]]*B/k_depl</f>
        <v>10.227077909079753</v>
      </c>
      <c r="S78" s="180">
        <f ca="1">Tbl_Load_distrib[[#This Row],[Section Weight]]-Tbl_Load_distrib[[#This Row],[Floating Elt]]</f>
        <v>-1.3937445757464193</v>
      </c>
      <c r="T78" s="183">
        <f ca="1">IF(ISTEXT($T77),0,$T77+Tbl_Load_distrib[[#This Row],[Net force / Elt]])</f>
        <v>-16.870654492146741</v>
      </c>
      <c r="U78" s="169">
        <f ca="1">IF(ISTEXT($U77),0,$U77+Tbl_Load_distrib[[#This Row],[Shearing Force]]*Tbl_Load_distrib[[#This Row],[L_elt]])</f>
        <v>1022.9982978995409</v>
      </c>
    </row>
    <row r="79" spans="2:23" x14ac:dyDescent="0.25">
      <c r="B79" s="136">
        <f t="shared" si="3"/>
        <v>73</v>
      </c>
      <c r="C79" s="139">
        <f t="shared" si="4"/>
        <v>36.5</v>
      </c>
      <c r="D79" s="152">
        <f ca="1">SUM(Tbl_Load_distrib[[#This Row],[Hull &amp; Structure]:[Reserved]])</f>
        <v>8.8333333333333339</v>
      </c>
      <c r="E79" s="147">
        <f>SUMIFS(Tbl_Hull_Structure[Spread],Tbl_Hull_Structure[L from],"&lt;"&amp;Tbl_Load_distrib[[#This Row],[x]],Tbl_Hull_Structure[L to],"&gt;"&amp;C78)*Tbl_Load_distrib[[#This Row],[L_elt]]</f>
        <v>4.666666666666667</v>
      </c>
      <c r="F79" s="260">
        <f ca="1">SUMIFS(Tbl_Ballasts[Spread],Tbl_Ballasts[L from],"&lt;"&amp;Tbl_Load_distrib[[#This Row],[x]],Tbl_Ballasts[L to],"&gt;"&amp;C78)*Tbl_Load_distrib[[#This Row],[L_elt]]</f>
        <v>0</v>
      </c>
      <c r="G79" s="260">
        <f>SUMIFS(Tbl_Lifting[Spread],Tbl_Lifting[L from],"&lt;"&amp;Tbl_Load_distrib[[#This Row],[x]],Tbl_Lifting[L to],"&gt;"&amp;C78)*Tbl_Load_distrib[[#This Row],[L_elt]]</f>
        <v>0</v>
      </c>
      <c r="H79" s="260">
        <f>SUMIFS(Tbl_Additionals[Spread],Tbl_Additionals[L from],"&lt;"&amp;Tbl_Load_distrib[[#This Row],[x]],Tbl_Additionals[L to],"&gt;"&amp;C78)*Tbl_Load_distrib[[#This Row],[L_elt]]</f>
        <v>4.166666666666667</v>
      </c>
      <c r="I79" s="260">
        <f ca="1">SUMIFS(Tbl_Deck_Tank[Spread],Tbl_Deck_Tank[L from],"&lt;"&amp;Tbl_Load_distrib[[#This Row],[x]],Tbl_Deck_Tank[L to],"&gt;"&amp;C78)*Tbl_Load_distrib[[#This Row],[L_elt]]</f>
        <v>0</v>
      </c>
      <c r="J79" s="137"/>
      <c r="K79" s="165">
        <f>IFERROR(Tbl_Long_Section[[#This Row],[H Deck-Bottom]],NA())</f>
        <v>4</v>
      </c>
      <c r="L79" s="829">
        <f>M_depth-Tbl_Load_distrib[[#This Row],[H Deck-Bottom]]</f>
        <v>0</v>
      </c>
      <c r="M79" s="929">
        <f>IFERROR(Tbl_Load_distrib[[#This Row],[x]]-C78,0)</f>
        <v>0.5</v>
      </c>
      <c r="N79" s="929">
        <f ca="1">IF(ISNA(Tbl_Load_distrib[[#This Row],[x]]),NA(),IF(ISTEXT(N78),0,IF(N78=0,$Z$3,N78-($Z$3-$AA$3)/(Lpp-FE_size)*Tbl_Load_distrib[[#This Row],[L_elt]])))</f>
        <v>1.0049826584857415</v>
      </c>
      <c r="O79" s="166">
        <f ca="1">IF(ISNUMBER(O78),(IF((N78-L78)&lt;0,0,N78-L78)+IF((Tbl_Load_distrib[[#This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0.50236230989320663</v>
      </c>
      <c r="P79" s="929">
        <f ca="1">IF(ISNA(Tbl_Load_distrib[[#This Row],[x]]),NA(),IF(ISTEXT(P78),0,IF(P78=0,LongSection_DraftAft,P78-(LongSection_DraftAft-LongSection_DraftFore)/(Lpp-FE_size)*Tbl_Load_distrib[[#This Row],[L_elt]])))</f>
        <v>0.9984129034445518</v>
      </c>
      <c r="Q79" s="166">
        <f ca="1">IF(ISNUMBER(Q78),(IF((P78-L78)&lt;0,0,P78-L78)+IF((Tbl_Load_distrib[[#This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0.49920882747343542</v>
      </c>
      <c r="R79" s="167">
        <f ca="1">ρ_sw*Tbl_Load_distrib[[#This Row],[Elt Area corrected]]*B/k_depl</f>
        <v>10.226980568008818</v>
      </c>
      <c r="S79" s="180">
        <f ca="1">Tbl_Load_distrib[[#This Row],[Section Weight]]-Tbl_Load_distrib[[#This Row],[Floating Elt]]</f>
        <v>-1.393647234675484</v>
      </c>
      <c r="T79" s="183">
        <f ca="1">IF(ISTEXT($T78),0,$T78+Tbl_Load_distrib[[#This Row],[Net force / Elt]])</f>
        <v>-18.264301726822225</v>
      </c>
      <c r="U79" s="169">
        <f ca="1">IF(ISTEXT($U78),0,$U78+Tbl_Load_distrib[[#This Row],[Shearing Force]]*Tbl_Load_distrib[[#This Row],[L_elt]])</f>
        <v>1013.8661470361299</v>
      </c>
      <c r="W79" s="866"/>
    </row>
    <row r="80" spans="2:23" x14ac:dyDescent="0.25">
      <c r="B80" s="136">
        <f t="shared" si="3"/>
        <v>74</v>
      </c>
      <c r="C80" s="139">
        <f t="shared" si="4"/>
        <v>37</v>
      </c>
      <c r="D80" s="152">
        <f ca="1">SUM(Tbl_Load_distrib[[#This Row],[Hull &amp; Structure]:[Reserved]])</f>
        <v>8.8333333333333339</v>
      </c>
      <c r="E80" s="147">
        <f>SUMIFS(Tbl_Hull_Structure[Spread],Tbl_Hull_Structure[L from],"&lt;"&amp;Tbl_Load_distrib[[#This Row],[x]],Tbl_Hull_Structure[L to],"&gt;"&amp;C79)*Tbl_Load_distrib[[#This Row],[L_elt]]</f>
        <v>4.666666666666667</v>
      </c>
      <c r="F80" s="260">
        <f ca="1">SUMIFS(Tbl_Ballasts[Spread],Tbl_Ballasts[L from],"&lt;"&amp;Tbl_Load_distrib[[#This Row],[x]],Tbl_Ballasts[L to],"&gt;"&amp;C79)*Tbl_Load_distrib[[#This Row],[L_elt]]</f>
        <v>0</v>
      </c>
      <c r="G80" s="260">
        <f>SUMIFS(Tbl_Lifting[Spread],Tbl_Lifting[L from],"&lt;"&amp;Tbl_Load_distrib[[#This Row],[x]],Tbl_Lifting[L to],"&gt;"&amp;C79)*Tbl_Load_distrib[[#This Row],[L_elt]]</f>
        <v>0</v>
      </c>
      <c r="H80" s="260">
        <f>SUMIFS(Tbl_Additionals[Spread],Tbl_Additionals[L from],"&lt;"&amp;Tbl_Load_distrib[[#This Row],[x]],Tbl_Additionals[L to],"&gt;"&amp;C79)*Tbl_Load_distrib[[#This Row],[L_elt]]</f>
        <v>4.166666666666667</v>
      </c>
      <c r="I80" s="260">
        <f ca="1">SUMIFS(Tbl_Deck_Tank[Spread],Tbl_Deck_Tank[L from],"&lt;"&amp;Tbl_Load_distrib[[#This Row],[x]],Tbl_Deck_Tank[L to],"&gt;"&amp;C79)*Tbl_Load_distrib[[#This Row],[L_elt]]</f>
        <v>0</v>
      </c>
      <c r="J80" s="137"/>
      <c r="K80" s="165">
        <f>IFERROR(Tbl_Long_Section[[#This Row],[H Deck-Bottom]],NA())</f>
        <v>4</v>
      </c>
      <c r="L80" s="829">
        <f>M_depth-Tbl_Load_distrib[[#This Row],[H Deck-Bottom]]</f>
        <v>0</v>
      </c>
      <c r="M80" s="929">
        <f>IFERROR(Tbl_Load_distrib[[#This Row],[x]]-C79,0)</f>
        <v>0.5</v>
      </c>
      <c r="N80" s="929">
        <f ca="1">IF(ISNA(Tbl_Load_distrib[[#This Row],[x]]),NA(),IF(ISTEXT(N79),0,IF(N79=0,$Z$3,N79-($Z$3-$AA$3)/(Lpp-FE_size)*Tbl_Load_distrib[[#This Row],[L_elt]])))</f>
        <v>1.0054987358843983</v>
      </c>
      <c r="O80" s="166">
        <f ca="1">IF(ISNUMBER(O79),(IF((N79-L79)&lt;0,0,N79-L79)+IF((Tbl_Load_distrib[[#This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0.5026203485925349</v>
      </c>
      <c r="P80" s="929">
        <f ca="1">IF(ISNA(Tbl_Load_distrib[[#This Row],[x]]),NA(),IF(ISTEXT(P79),0,IF(P79=0,LongSection_DraftAft,P79-(LongSection_DraftAft-LongSection_DraftFore)/(Lpp-FE_size)*Tbl_Load_distrib[[#This Row],[L_elt]])))</f>
        <v>0.9984034004399136</v>
      </c>
      <c r="Q80" s="166">
        <f ca="1">IF(ISNUMBER(Q79),(IF((P79-L79)&lt;0,0,P79-L79)+IF((Tbl_Load_distrib[[#This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0.49920407597111638</v>
      </c>
      <c r="R80" s="167">
        <f ca="1">ρ_sw*Tbl_Load_distrib[[#This Row],[Elt Area corrected]]*B/k_depl</f>
        <v>10.226883226937883</v>
      </c>
      <c r="S80" s="180">
        <f ca="1">Tbl_Load_distrib[[#This Row],[Section Weight]]-Tbl_Load_distrib[[#This Row],[Floating Elt]]</f>
        <v>-1.3935498936045487</v>
      </c>
      <c r="T80" s="183">
        <f ca="1">IF(ISTEXT($T79),0,$T79+Tbl_Load_distrib[[#This Row],[Net force / Elt]])</f>
        <v>-19.657851620426776</v>
      </c>
      <c r="U80" s="169">
        <f ca="1">IF(ISTEXT($U79),0,$U79+Tbl_Load_distrib[[#This Row],[Shearing Force]]*Tbl_Load_distrib[[#This Row],[L_elt]])</f>
        <v>1004.0372212259165</v>
      </c>
      <c r="W80" s="866"/>
    </row>
    <row r="81" spans="2:23" x14ac:dyDescent="0.25">
      <c r="B81" s="136">
        <f t="shared" si="3"/>
        <v>75</v>
      </c>
      <c r="C81" s="139">
        <f t="shared" si="4"/>
        <v>37.5</v>
      </c>
      <c r="D81" s="152">
        <f ca="1">SUM(Tbl_Load_distrib[[#This Row],[Hull &amp; Structure]:[Reserved]])</f>
        <v>8.8333333333333339</v>
      </c>
      <c r="E81" s="147">
        <f>SUMIFS(Tbl_Hull_Structure[Spread],Tbl_Hull_Structure[L from],"&lt;"&amp;Tbl_Load_distrib[[#This Row],[x]],Tbl_Hull_Structure[L to],"&gt;"&amp;C80)*Tbl_Load_distrib[[#This Row],[L_elt]]</f>
        <v>4.666666666666667</v>
      </c>
      <c r="F81" s="260">
        <f ca="1">SUMIFS(Tbl_Ballasts[Spread],Tbl_Ballasts[L from],"&lt;"&amp;Tbl_Load_distrib[[#This Row],[x]],Tbl_Ballasts[L to],"&gt;"&amp;C80)*Tbl_Load_distrib[[#This Row],[L_elt]]</f>
        <v>0</v>
      </c>
      <c r="G81" s="260">
        <f>SUMIFS(Tbl_Lifting[Spread],Tbl_Lifting[L from],"&lt;"&amp;Tbl_Load_distrib[[#This Row],[x]],Tbl_Lifting[L to],"&gt;"&amp;C80)*Tbl_Load_distrib[[#This Row],[L_elt]]</f>
        <v>0</v>
      </c>
      <c r="H81" s="260">
        <f>SUMIFS(Tbl_Additionals[Spread],Tbl_Additionals[L from],"&lt;"&amp;Tbl_Load_distrib[[#This Row],[x]],Tbl_Additionals[L to],"&gt;"&amp;C80)*Tbl_Load_distrib[[#This Row],[L_elt]]</f>
        <v>4.166666666666667</v>
      </c>
      <c r="I81" s="260">
        <f ca="1">SUMIFS(Tbl_Deck_Tank[Spread],Tbl_Deck_Tank[L from],"&lt;"&amp;Tbl_Load_distrib[[#This Row],[x]],Tbl_Deck_Tank[L to],"&gt;"&amp;C80)*Tbl_Load_distrib[[#This Row],[L_elt]]</f>
        <v>0</v>
      </c>
      <c r="J81" s="137"/>
      <c r="K81" s="165">
        <f>IFERROR(Tbl_Long_Section[[#This Row],[H Deck-Bottom]],NA())</f>
        <v>4</v>
      </c>
      <c r="L81" s="829">
        <f>M_depth-Tbl_Load_distrib[[#This Row],[H Deck-Bottom]]</f>
        <v>0</v>
      </c>
      <c r="M81" s="929">
        <f>IFERROR(Tbl_Load_distrib[[#This Row],[x]]-C80,0)</f>
        <v>0.5</v>
      </c>
      <c r="N81" s="929">
        <f ca="1">IF(ISNA(Tbl_Load_distrib[[#This Row],[x]]),NA(),IF(ISTEXT(N80),0,IF(N80=0,$Z$3,N80-($Z$3-$AA$3)/(Lpp-FE_size)*Tbl_Load_distrib[[#This Row],[L_elt]])))</f>
        <v>1.0060148132830551</v>
      </c>
      <c r="O81" s="166">
        <f ca="1">IF(ISNUMBER(O80),(IF((N80-L80)&lt;0,0,N80-L80)+IF((Tbl_Load_distrib[[#This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0.5028783872918634</v>
      </c>
      <c r="P81" s="929">
        <f ca="1">IF(ISNA(Tbl_Load_distrib[[#This Row],[x]]),NA(),IF(ISTEXT(P80),0,IF(P80=0,LongSection_DraftAft,P80-(LongSection_DraftAft-LongSection_DraftFore)/(Lpp-FE_size)*Tbl_Load_distrib[[#This Row],[L_elt]])))</f>
        <v>0.9983938974352754</v>
      </c>
      <c r="Q81" s="166">
        <f ca="1">IF(ISNUMBER(Q80),(IF((P80-L80)&lt;0,0,P80-L80)+IF((Tbl_Load_distrib[[#This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0.49919932446879722</v>
      </c>
      <c r="R81" s="167">
        <f ca="1">ρ_sw*Tbl_Load_distrib[[#This Row],[Elt Area corrected]]*B/k_depl</f>
        <v>10.226785885866947</v>
      </c>
      <c r="S81" s="180">
        <f ca="1">Tbl_Load_distrib[[#This Row],[Section Weight]]-Tbl_Load_distrib[[#This Row],[Floating Elt]]</f>
        <v>-1.3934525525336134</v>
      </c>
      <c r="T81" s="183">
        <f ca="1">IF(ISTEXT($T80),0,$T80+Tbl_Load_distrib[[#This Row],[Net force / Elt]])</f>
        <v>-21.051304172960389</v>
      </c>
      <c r="U81" s="169">
        <f ca="1">IF(ISTEXT($U80),0,$U80+Tbl_Load_distrib[[#This Row],[Shearing Force]]*Tbl_Load_distrib[[#This Row],[L_elt]])</f>
        <v>993.51156913943623</v>
      </c>
      <c r="W81" s="866"/>
    </row>
    <row r="82" spans="2:23" x14ac:dyDescent="0.25">
      <c r="B82" s="136">
        <f t="shared" si="3"/>
        <v>76</v>
      </c>
      <c r="C82" s="139">
        <f t="shared" si="4"/>
        <v>38</v>
      </c>
      <c r="D82" s="152">
        <f ca="1">SUM(Tbl_Load_distrib[[#This Row],[Hull &amp; Structure]:[Reserved]])</f>
        <v>8.8333333333333339</v>
      </c>
      <c r="E82" s="147">
        <f>SUMIFS(Tbl_Hull_Structure[Spread],Tbl_Hull_Structure[L from],"&lt;"&amp;Tbl_Load_distrib[[#This Row],[x]],Tbl_Hull_Structure[L to],"&gt;"&amp;C81)*Tbl_Load_distrib[[#This Row],[L_elt]]</f>
        <v>4.666666666666667</v>
      </c>
      <c r="F82" s="260">
        <f ca="1">SUMIFS(Tbl_Ballasts[Spread],Tbl_Ballasts[L from],"&lt;"&amp;Tbl_Load_distrib[[#This Row],[x]],Tbl_Ballasts[L to],"&gt;"&amp;C81)*Tbl_Load_distrib[[#This Row],[L_elt]]</f>
        <v>0</v>
      </c>
      <c r="G82" s="260">
        <f>SUMIFS(Tbl_Lifting[Spread],Tbl_Lifting[L from],"&lt;"&amp;Tbl_Load_distrib[[#This Row],[x]],Tbl_Lifting[L to],"&gt;"&amp;C81)*Tbl_Load_distrib[[#This Row],[L_elt]]</f>
        <v>0</v>
      </c>
      <c r="H82" s="260">
        <f>SUMIFS(Tbl_Additionals[Spread],Tbl_Additionals[L from],"&lt;"&amp;Tbl_Load_distrib[[#This Row],[x]],Tbl_Additionals[L to],"&gt;"&amp;C81)*Tbl_Load_distrib[[#This Row],[L_elt]]</f>
        <v>4.166666666666667</v>
      </c>
      <c r="I82" s="260">
        <f ca="1">SUMIFS(Tbl_Deck_Tank[Spread],Tbl_Deck_Tank[L from],"&lt;"&amp;Tbl_Load_distrib[[#This Row],[x]],Tbl_Deck_Tank[L to],"&gt;"&amp;C81)*Tbl_Load_distrib[[#This Row],[L_elt]]</f>
        <v>0</v>
      </c>
      <c r="J82" s="137"/>
      <c r="K82" s="165">
        <f>IFERROR(Tbl_Long_Section[[#This Row],[H Deck-Bottom]],NA())</f>
        <v>4</v>
      </c>
      <c r="L82" s="829">
        <f>M_depth-Tbl_Load_distrib[[#This Row],[H Deck-Bottom]]</f>
        <v>0</v>
      </c>
      <c r="M82" s="929">
        <f>IFERROR(Tbl_Load_distrib[[#This Row],[x]]-C81,0)</f>
        <v>0.5</v>
      </c>
      <c r="N82" s="929">
        <f ca="1">IF(ISNA(Tbl_Load_distrib[[#This Row],[x]]),NA(),IF(ISTEXT(N81),0,IF(N81=0,$Z$3,N81-($Z$3-$AA$3)/(Lpp-FE_size)*Tbl_Load_distrib[[#This Row],[L_elt]])))</f>
        <v>1.0065308906817119</v>
      </c>
      <c r="O82" s="166">
        <f ca="1">IF(ISNUMBER(O81),(IF((N81-L81)&lt;0,0,N81-L81)+IF((Tbl_Load_distrib[[#This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0.50313642599119168</v>
      </c>
      <c r="P82" s="929">
        <f ca="1">IF(ISNA(Tbl_Load_distrib[[#This Row],[x]]),NA(),IF(ISTEXT(P81),0,IF(P81=0,LongSection_DraftAft,P81-(LongSection_DraftAft-LongSection_DraftFore)/(Lpp-FE_size)*Tbl_Load_distrib[[#This Row],[L_elt]])))</f>
        <v>0.9983843944306372</v>
      </c>
      <c r="Q82" s="166">
        <f ca="1">IF(ISNUMBER(Q81),(IF((P81-L81)&lt;0,0,P81-L81)+IF((Tbl_Load_distrib[[#This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0.49919457296647818</v>
      </c>
      <c r="R82" s="167">
        <f ca="1">ρ_sw*Tbl_Load_distrib[[#This Row],[Elt Area corrected]]*B/k_depl</f>
        <v>10.226688544796016</v>
      </c>
      <c r="S82" s="180">
        <f ca="1">Tbl_Load_distrib[[#This Row],[Section Weight]]-Tbl_Load_distrib[[#This Row],[Floating Elt]]</f>
        <v>-1.3933552114626817</v>
      </c>
      <c r="T82" s="183">
        <f ca="1">IF(ISTEXT($T81),0,$T81+Tbl_Load_distrib[[#This Row],[Net force / Elt]])</f>
        <v>-22.444659384423069</v>
      </c>
      <c r="U82" s="169">
        <f ca="1">IF(ISTEXT($U81),0,$U81+Tbl_Load_distrib[[#This Row],[Shearing Force]]*Tbl_Load_distrib[[#This Row],[L_elt]])</f>
        <v>982.28923944722465</v>
      </c>
      <c r="W82" s="866"/>
    </row>
    <row r="83" spans="2:23" x14ac:dyDescent="0.25">
      <c r="B83" s="136">
        <f t="shared" si="3"/>
        <v>77</v>
      </c>
      <c r="C83" s="139">
        <f t="shared" si="4"/>
        <v>38.5</v>
      </c>
      <c r="D83" s="152">
        <f ca="1">SUM(Tbl_Load_distrib[[#This Row],[Hull &amp; Structure]:[Reserved]])</f>
        <v>8.8333333333333339</v>
      </c>
      <c r="E83" s="147">
        <f>SUMIFS(Tbl_Hull_Structure[Spread],Tbl_Hull_Structure[L from],"&lt;"&amp;Tbl_Load_distrib[[#This Row],[x]],Tbl_Hull_Structure[L to],"&gt;"&amp;C82)*Tbl_Load_distrib[[#This Row],[L_elt]]</f>
        <v>4.666666666666667</v>
      </c>
      <c r="F83" s="260">
        <f ca="1">SUMIFS(Tbl_Ballasts[Spread],Tbl_Ballasts[L from],"&lt;"&amp;Tbl_Load_distrib[[#This Row],[x]],Tbl_Ballasts[L to],"&gt;"&amp;C82)*Tbl_Load_distrib[[#This Row],[L_elt]]</f>
        <v>0</v>
      </c>
      <c r="G83" s="260">
        <f>SUMIFS(Tbl_Lifting[Spread],Tbl_Lifting[L from],"&lt;"&amp;Tbl_Load_distrib[[#This Row],[x]],Tbl_Lifting[L to],"&gt;"&amp;C82)*Tbl_Load_distrib[[#This Row],[L_elt]]</f>
        <v>0</v>
      </c>
      <c r="H83" s="260">
        <f>SUMIFS(Tbl_Additionals[Spread],Tbl_Additionals[L from],"&lt;"&amp;Tbl_Load_distrib[[#This Row],[x]],Tbl_Additionals[L to],"&gt;"&amp;C82)*Tbl_Load_distrib[[#This Row],[L_elt]]</f>
        <v>4.166666666666667</v>
      </c>
      <c r="I83" s="260">
        <f ca="1">SUMIFS(Tbl_Deck_Tank[Spread],Tbl_Deck_Tank[L from],"&lt;"&amp;Tbl_Load_distrib[[#This Row],[x]],Tbl_Deck_Tank[L to],"&gt;"&amp;C82)*Tbl_Load_distrib[[#This Row],[L_elt]]</f>
        <v>0</v>
      </c>
      <c r="J83" s="137"/>
      <c r="K83" s="165">
        <f>IFERROR(Tbl_Long_Section[[#This Row],[H Deck-Bottom]],NA())</f>
        <v>4</v>
      </c>
      <c r="L83" s="829">
        <f>M_depth-Tbl_Load_distrib[[#This Row],[H Deck-Bottom]]</f>
        <v>0</v>
      </c>
      <c r="M83" s="929">
        <f>IFERROR(Tbl_Load_distrib[[#This Row],[x]]-C82,0)</f>
        <v>0.5</v>
      </c>
      <c r="N83" s="929">
        <f ca="1">IF(ISNA(Tbl_Load_distrib[[#This Row],[x]]),NA(),IF(ISTEXT(N82),0,IF(N82=0,$Z$3,N82-($Z$3-$AA$3)/(Lpp-FE_size)*Tbl_Load_distrib[[#This Row],[L_elt]])))</f>
        <v>1.0070469680803686</v>
      </c>
      <c r="O83" s="166">
        <f ca="1">IF(ISNUMBER(O82),(IF((N82-L82)&lt;0,0,N82-L82)+IF((Tbl_Load_distrib[[#This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0.50339446469052018</v>
      </c>
      <c r="P83" s="929">
        <f ca="1">IF(ISNA(Tbl_Load_distrib[[#This Row],[x]]),NA(),IF(ISTEXT(P82),0,IF(P82=0,LongSection_DraftAft,P82-(LongSection_DraftAft-LongSection_DraftFore)/(Lpp-FE_size)*Tbl_Load_distrib[[#This Row],[L_elt]])))</f>
        <v>0.998374891425999</v>
      </c>
      <c r="Q83" s="166">
        <f ca="1">IF(ISNUMBER(Q82),(IF((P82-L82)&lt;0,0,P82-L82)+IF((Tbl_Load_distrib[[#This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0.49918982146415902</v>
      </c>
      <c r="R83" s="167">
        <f ca="1">ρ_sw*Tbl_Load_distrib[[#This Row],[Elt Area corrected]]*B/k_depl</f>
        <v>10.226591203725079</v>
      </c>
      <c r="S83" s="180">
        <f ca="1">Tbl_Load_distrib[[#This Row],[Section Weight]]-Tbl_Load_distrib[[#This Row],[Floating Elt]]</f>
        <v>-1.3932578703917446</v>
      </c>
      <c r="T83" s="183">
        <f ca="1">IF(ISTEXT($T82),0,$T82+Tbl_Load_distrib[[#This Row],[Net force / Elt]])</f>
        <v>-23.837917254814812</v>
      </c>
      <c r="U83" s="169">
        <f ca="1">IF(ISTEXT($U82),0,$U82+Tbl_Load_distrib[[#This Row],[Shearing Force]]*Tbl_Load_distrib[[#This Row],[L_elt]])</f>
        <v>970.37028081981725</v>
      </c>
      <c r="W83" s="866"/>
    </row>
    <row r="84" spans="2:23" x14ac:dyDescent="0.25">
      <c r="B84" s="136">
        <f t="shared" si="3"/>
        <v>78</v>
      </c>
      <c r="C84" s="139">
        <f t="shared" si="4"/>
        <v>39</v>
      </c>
      <c r="D84" s="152">
        <f ca="1">SUM(Tbl_Load_distrib[[#This Row],[Hull &amp; Structure]:[Reserved]])</f>
        <v>8.8333333333333339</v>
      </c>
      <c r="E84" s="147">
        <f>SUMIFS(Tbl_Hull_Structure[Spread],Tbl_Hull_Structure[L from],"&lt;"&amp;Tbl_Load_distrib[[#This Row],[x]],Tbl_Hull_Structure[L to],"&gt;"&amp;C83)*Tbl_Load_distrib[[#This Row],[L_elt]]</f>
        <v>4.666666666666667</v>
      </c>
      <c r="F84" s="260">
        <f ca="1">SUMIFS(Tbl_Ballasts[Spread],Tbl_Ballasts[L from],"&lt;"&amp;Tbl_Load_distrib[[#This Row],[x]],Tbl_Ballasts[L to],"&gt;"&amp;C83)*Tbl_Load_distrib[[#This Row],[L_elt]]</f>
        <v>0</v>
      </c>
      <c r="G84" s="260">
        <f>SUMIFS(Tbl_Lifting[Spread],Tbl_Lifting[L from],"&lt;"&amp;Tbl_Load_distrib[[#This Row],[x]],Tbl_Lifting[L to],"&gt;"&amp;C83)*Tbl_Load_distrib[[#This Row],[L_elt]]</f>
        <v>0</v>
      </c>
      <c r="H84" s="260">
        <f>SUMIFS(Tbl_Additionals[Spread],Tbl_Additionals[L from],"&lt;"&amp;Tbl_Load_distrib[[#This Row],[x]],Tbl_Additionals[L to],"&gt;"&amp;C83)*Tbl_Load_distrib[[#This Row],[L_elt]]</f>
        <v>4.166666666666667</v>
      </c>
      <c r="I84" s="260">
        <f ca="1">SUMIFS(Tbl_Deck_Tank[Spread],Tbl_Deck_Tank[L from],"&lt;"&amp;Tbl_Load_distrib[[#This Row],[x]],Tbl_Deck_Tank[L to],"&gt;"&amp;C83)*Tbl_Load_distrib[[#This Row],[L_elt]]</f>
        <v>0</v>
      </c>
      <c r="J84" s="137"/>
      <c r="K84" s="165">
        <f>IFERROR(Tbl_Long_Section[[#This Row],[H Deck-Bottom]],NA())</f>
        <v>4</v>
      </c>
      <c r="L84" s="829">
        <f>M_depth-Tbl_Load_distrib[[#This Row],[H Deck-Bottom]]</f>
        <v>0</v>
      </c>
      <c r="M84" s="929">
        <f>IFERROR(Tbl_Load_distrib[[#This Row],[x]]-C83,0)</f>
        <v>0.5</v>
      </c>
      <c r="N84" s="929">
        <f ca="1">IF(ISNA(Tbl_Load_distrib[[#This Row],[x]]),NA(),IF(ISTEXT(N83),0,IF(N83=0,$Z$3,N83-($Z$3-$AA$3)/(Lpp-FE_size)*Tbl_Load_distrib[[#This Row],[L_elt]])))</f>
        <v>1.0075630454790254</v>
      </c>
      <c r="O84" s="166">
        <f ca="1">IF(ISNUMBER(O83),(IF((N83-L83)&lt;0,0,N83-L83)+IF((Tbl_Load_distrib[[#This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0.50365250338984846</v>
      </c>
      <c r="P84" s="929">
        <f ca="1">IF(ISNA(Tbl_Load_distrib[[#This Row],[x]]),NA(),IF(ISTEXT(P83),0,IF(P83=0,LongSection_DraftAft,P83-(LongSection_DraftAft-LongSection_DraftFore)/(Lpp-FE_size)*Tbl_Load_distrib[[#This Row],[L_elt]])))</f>
        <v>0.9983653884213608</v>
      </c>
      <c r="Q84" s="166">
        <f ca="1">IF(ISNUMBER(Q83),(IF((P83-L83)&lt;0,0,P83-L83)+IF((Tbl_Load_distrib[[#This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0.49918506996183998</v>
      </c>
      <c r="R84" s="167">
        <f ca="1">ρ_sw*Tbl_Load_distrib[[#This Row],[Elt Area corrected]]*B/k_depl</f>
        <v>10.226493862654143</v>
      </c>
      <c r="S84" s="180">
        <f ca="1">Tbl_Load_distrib[[#This Row],[Section Weight]]-Tbl_Load_distrib[[#This Row],[Floating Elt]]</f>
        <v>-1.3931605293208094</v>
      </c>
      <c r="T84" s="183">
        <f ca="1">IF(ISTEXT($T83),0,$T83+Tbl_Load_distrib[[#This Row],[Net force / Elt]])</f>
        <v>-25.231077784135621</v>
      </c>
      <c r="U84" s="169">
        <f ca="1">IF(ISTEXT($U83),0,$U83+Tbl_Load_distrib[[#This Row],[Shearing Force]]*Tbl_Load_distrib[[#This Row],[L_elt]])</f>
        <v>957.75474192774948</v>
      </c>
      <c r="W84" s="866"/>
    </row>
    <row r="85" spans="2:23" x14ac:dyDescent="0.25">
      <c r="B85" s="136">
        <f t="shared" si="3"/>
        <v>79</v>
      </c>
      <c r="C85" s="139">
        <f t="shared" si="4"/>
        <v>39.5</v>
      </c>
      <c r="D85" s="152">
        <f ca="1">SUM(Tbl_Load_distrib[[#This Row],[Hull &amp; Structure]:[Reserved]])</f>
        <v>8.8333333333333339</v>
      </c>
      <c r="E85" s="147">
        <f>SUMIFS(Tbl_Hull_Structure[Spread],Tbl_Hull_Structure[L from],"&lt;"&amp;Tbl_Load_distrib[[#This Row],[x]],Tbl_Hull_Structure[L to],"&gt;"&amp;C84)*Tbl_Load_distrib[[#This Row],[L_elt]]</f>
        <v>4.666666666666667</v>
      </c>
      <c r="F85" s="260">
        <f ca="1">SUMIFS(Tbl_Ballasts[Spread],Tbl_Ballasts[L from],"&lt;"&amp;Tbl_Load_distrib[[#This Row],[x]],Tbl_Ballasts[L to],"&gt;"&amp;C84)*Tbl_Load_distrib[[#This Row],[L_elt]]</f>
        <v>0</v>
      </c>
      <c r="G85" s="260">
        <f>SUMIFS(Tbl_Lifting[Spread],Tbl_Lifting[L from],"&lt;"&amp;Tbl_Load_distrib[[#This Row],[x]],Tbl_Lifting[L to],"&gt;"&amp;C84)*Tbl_Load_distrib[[#This Row],[L_elt]]</f>
        <v>0</v>
      </c>
      <c r="H85" s="260">
        <f>SUMIFS(Tbl_Additionals[Spread],Tbl_Additionals[L from],"&lt;"&amp;Tbl_Load_distrib[[#This Row],[x]],Tbl_Additionals[L to],"&gt;"&amp;C84)*Tbl_Load_distrib[[#This Row],[L_elt]]</f>
        <v>4.166666666666667</v>
      </c>
      <c r="I85" s="260">
        <f ca="1">SUMIFS(Tbl_Deck_Tank[Spread],Tbl_Deck_Tank[L from],"&lt;"&amp;Tbl_Load_distrib[[#This Row],[x]],Tbl_Deck_Tank[L to],"&gt;"&amp;C84)*Tbl_Load_distrib[[#This Row],[L_elt]]</f>
        <v>0</v>
      </c>
      <c r="J85" s="137"/>
      <c r="K85" s="165">
        <f>IFERROR(Tbl_Long_Section[[#This Row],[H Deck-Bottom]],NA())</f>
        <v>4</v>
      </c>
      <c r="L85" s="829">
        <f>M_depth-Tbl_Load_distrib[[#This Row],[H Deck-Bottom]]</f>
        <v>0</v>
      </c>
      <c r="M85" s="929">
        <f>IFERROR(Tbl_Load_distrib[[#This Row],[x]]-C84,0)</f>
        <v>0.5</v>
      </c>
      <c r="N85" s="929">
        <f ca="1">IF(ISNA(Tbl_Load_distrib[[#This Row],[x]]),NA(),IF(ISTEXT(N84),0,IF(N84=0,$Z$3,N84-($Z$3-$AA$3)/(Lpp-FE_size)*Tbl_Load_distrib[[#This Row],[L_elt]])))</f>
        <v>1.0080791228776822</v>
      </c>
      <c r="O85" s="166">
        <f ca="1">IF(ISNUMBER(O84),(IF((N84-L84)&lt;0,0,N84-L84)+IF((Tbl_Load_distrib[[#This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0.50391054208917696</v>
      </c>
      <c r="P85" s="929">
        <f ca="1">IF(ISNA(Tbl_Load_distrib[[#This Row],[x]]),NA(),IF(ISTEXT(P84),0,IF(P84=0,LongSection_DraftAft,P84-(LongSection_DraftAft-LongSection_DraftFore)/(Lpp-FE_size)*Tbl_Load_distrib[[#This Row],[L_elt]])))</f>
        <v>0.9983558854167226</v>
      </c>
      <c r="Q85" s="166">
        <f ca="1">IF(ISNUMBER(Q84),(IF((P84-L84)&lt;0,0,P84-L84)+IF((Tbl_Load_distrib[[#This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0.49918031845952082</v>
      </c>
      <c r="R85" s="167">
        <f ca="1">ρ_sw*Tbl_Load_distrib[[#This Row],[Elt Area corrected]]*B/k_depl</f>
        <v>10.22639652158321</v>
      </c>
      <c r="S85" s="180">
        <f ca="1">Tbl_Load_distrib[[#This Row],[Section Weight]]-Tbl_Load_distrib[[#This Row],[Floating Elt]]</f>
        <v>-1.3930631882498759</v>
      </c>
      <c r="T85" s="183">
        <f ca="1">IF(ISTEXT($T84),0,$T84+Tbl_Load_distrib[[#This Row],[Net force / Elt]])</f>
        <v>-26.624140972385497</v>
      </c>
      <c r="U85" s="169">
        <f ca="1">IF(ISTEXT($U84),0,$U84+Tbl_Load_distrib[[#This Row],[Shearing Force]]*Tbl_Load_distrib[[#This Row],[L_elt]])</f>
        <v>944.44267144155674</v>
      </c>
      <c r="W85" s="866"/>
    </row>
    <row r="86" spans="2:23" x14ac:dyDescent="0.25">
      <c r="B86" s="136">
        <f t="shared" si="3"/>
        <v>80</v>
      </c>
      <c r="C86" s="139">
        <f t="shared" si="4"/>
        <v>40</v>
      </c>
      <c r="D86" s="152">
        <f ca="1">SUM(Tbl_Load_distrib[[#This Row],[Hull &amp; Structure]:[Reserved]])</f>
        <v>8.8333333333333339</v>
      </c>
      <c r="E86" s="147">
        <f>SUMIFS(Tbl_Hull_Structure[Spread],Tbl_Hull_Structure[L from],"&lt;"&amp;Tbl_Load_distrib[[#This Row],[x]],Tbl_Hull_Structure[L to],"&gt;"&amp;C85)*Tbl_Load_distrib[[#This Row],[L_elt]]</f>
        <v>4.666666666666667</v>
      </c>
      <c r="F86" s="260">
        <f ca="1">SUMIFS(Tbl_Ballasts[Spread],Tbl_Ballasts[L from],"&lt;"&amp;Tbl_Load_distrib[[#This Row],[x]],Tbl_Ballasts[L to],"&gt;"&amp;C85)*Tbl_Load_distrib[[#This Row],[L_elt]]</f>
        <v>0</v>
      </c>
      <c r="G86" s="260">
        <f>SUMIFS(Tbl_Lifting[Spread],Tbl_Lifting[L from],"&lt;"&amp;Tbl_Load_distrib[[#This Row],[x]],Tbl_Lifting[L to],"&gt;"&amp;C85)*Tbl_Load_distrib[[#This Row],[L_elt]]</f>
        <v>0</v>
      </c>
      <c r="H86" s="260">
        <f>SUMIFS(Tbl_Additionals[Spread],Tbl_Additionals[L from],"&lt;"&amp;Tbl_Load_distrib[[#This Row],[x]],Tbl_Additionals[L to],"&gt;"&amp;C85)*Tbl_Load_distrib[[#This Row],[L_elt]]</f>
        <v>4.166666666666667</v>
      </c>
      <c r="I86" s="260">
        <f ca="1">SUMIFS(Tbl_Deck_Tank[Spread],Tbl_Deck_Tank[L from],"&lt;"&amp;Tbl_Load_distrib[[#This Row],[x]],Tbl_Deck_Tank[L to],"&gt;"&amp;C85)*Tbl_Load_distrib[[#This Row],[L_elt]]</f>
        <v>0</v>
      </c>
      <c r="J86" s="137"/>
      <c r="K86" s="165">
        <f>IFERROR(Tbl_Long_Section[[#This Row],[H Deck-Bottom]],NA())</f>
        <v>4</v>
      </c>
      <c r="L86" s="829">
        <f>M_depth-Tbl_Load_distrib[[#This Row],[H Deck-Bottom]]</f>
        <v>0</v>
      </c>
      <c r="M86" s="929">
        <f>IFERROR(Tbl_Load_distrib[[#This Row],[x]]-C85,0)</f>
        <v>0.5</v>
      </c>
      <c r="N86" s="929">
        <f ca="1">IF(ISNA(Tbl_Load_distrib[[#This Row],[x]]),NA(),IF(ISTEXT(N85),0,IF(N85=0,$Z$3,N85-($Z$3-$AA$3)/(Lpp-FE_size)*Tbl_Load_distrib[[#This Row],[L_elt]])))</f>
        <v>1.008595200276339</v>
      </c>
      <c r="O86" s="166">
        <f ca="1">IF(ISNUMBER(O85),(IF((N85-L85)&lt;0,0,N85-L85)+IF((Tbl_Load_distrib[[#This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0.50416858078850524</v>
      </c>
      <c r="P86" s="929">
        <f ca="1">IF(ISNA(Tbl_Load_distrib[[#This Row],[x]]),NA(),IF(ISTEXT(P85),0,IF(P85=0,LongSection_DraftAft,P85-(LongSection_DraftAft-LongSection_DraftFore)/(Lpp-FE_size)*Tbl_Load_distrib[[#This Row],[L_elt]])))</f>
        <v>0.9983463824120844</v>
      </c>
      <c r="Q86" s="166">
        <f ca="1">IF(ISNUMBER(Q85),(IF((P85-L85)&lt;0,0,P85-L85)+IF((Tbl_Load_distrib[[#This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0.49917556695720178</v>
      </c>
      <c r="R86" s="167">
        <f ca="1">ρ_sw*Tbl_Load_distrib[[#This Row],[Elt Area corrected]]*B/k_depl</f>
        <v>10.226299180512274</v>
      </c>
      <c r="S86" s="180">
        <f ca="1">Tbl_Load_distrib[[#This Row],[Section Weight]]-Tbl_Load_distrib[[#This Row],[Floating Elt]]</f>
        <v>-1.3929658471789406</v>
      </c>
      <c r="T86" s="183">
        <f ca="1">IF(ISTEXT($T85),0,$T85+Tbl_Load_distrib[[#This Row],[Net force / Elt]])</f>
        <v>-28.017106819564439</v>
      </c>
      <c r="U86" s="169">
        <f ca="1">IF(ISTEXT($U85),0,$U85+Tbl_Load_distrib[[#This Row],[Shearing Force]]*Tbl_Load_distrib[[#This Row],[L_elt]])</f>
        <v>930.43411803177457</v>
      </c>
      <c r="W86" s="866"/>
    </row>
    <row r="87" spans="2:23" x14ac:dyDescent="0.25">
      <c r="B87" s="136">
        <f t="shared" si="3"/>
        <v>81</v>
      </c>
      <c r="C87" s="139">
        <f t="shared" si="4"/>
        <v>40.5</v>
      </c>
      <c r="D87" s="152">
        <f ca="1">SUM(Tbl_Load_distrib[[#This Row],[Hull &amp; Structure]:[Reserved]])</f>
        <v>8.8333333333333339</v>
      </c>
      <c r="E87" s="147">
        <f>SUMIFS(Tbl_Hull_Structure[Spread],Tbl_Hull_Structure[L from],"&lt;"&amp;Tbl_Load_distrib[[#This Row],[x]],Tbl_Hull_Structure[L to],"&gt;"&amp;C86)*Tbl_Load_distrib[[#This Row],[L_elt]]</f>
        <v>4.666666666666667</v>
      </c>
      <c r="F87" s="260">
        <f ca="1">SUMIFS(Tbl_Ballasts[Spread],Tbl_Ballasts[L from],"&lt;"&amp;Tbl_Load_distrib[[#This Row],[x]],Tbl_Ballasts[L to],"&gt;"&amp;C86)*Tbl_Load_distrib[[#This Row],[L_elt]]</f>
        <v>0</v>
      </c>
      <c r="G87" s="260">
        <f>SUMIFS(Tbl_Lifting[Spread],Tbl_Lifting[L from],"&lt;"&amp;Tbl_Load_distrib[[#This Row],[x]],Tbl_Lifting[L to],"&gt;"&amp;C86)*Tbl_Load_distrib[[#This Row],[L_elt]]</f>
        <v>0</v>
      </c>
      <c r="H87" s="260">
        <f>SUMIFS(Tbl_Additionals[Spread],Tbl_Additionals[L from],"&lt;"&amp;Tbl_Load_distrib[[#This Row],[x]],Tbl_Additionals[L to],"&gt;"&amp;C86)*Tbl_Load_distrib[[#This Row],[L_elt]]</f>
        <v>4.166666666666667</v>
      </c>
      <c r="I87" s="260">
        <f ca="1">SUMIFS(Tbl_Deck_Tank[Spread],Tbl_Deck_Tank[L from],"&lt;"&amp;Tbl_Load_distrib[[#This Row],[x]],Tbl_Deck_Tank[L to],"&gt;"&amp;C86)*Tbl_Load_distrib[[#This Row],[L_elt]]</f>
        <v>0</v>
      </c>
      <c r="J87" s="137"/>
      <c r="K87" s="165">
        <f>IFERROR(Tbl_Long_Section[[#This Row],[H Deck-Bottom]],NA())</f>
        <v>4</v>
      </c>
      <c r="L87" s="829">
        <f>M_depth-Tbl_Load_distrib[[#This Row],[H Deck-Bottom]]</f>
        <v>0</v>
      </c>
      <c r="M87" s="929">
        <f>IFERROR(Tbl_Load_distrib[[#This Row],[x]]-C86,0)</f>
        <v>0.5</v>
      </c>
      <c r="N87" s="929">
        <f ca="1">IF(ISNA(Tbl_Load_distrib[[#This Row],[x]]),NA(),IF(ISTEXT(N86),0,IF(N86=0,$Z$3,N86-($Z$3-$AA$3)/(Lpp-FE_size)*Tbl_Load_distrib[[#This Row],[L_elt]])))</f>
        <v>1.0091112776749958</v>
      </c>
      <c r="O87" s="166">
        <f ca="1">IF(ISNUMBER(O86),(IF((N86-L86)&lt;0,0,N86-L86)+IF((Tbl_Load_distrib[[#This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0.50442661948783374</v>
      </c>
      <c r="P87" s="929">
        <f ca="1">IF(ISNA(Tbl_Load_distrib[[#This Row],[x]]),NA(),IF(ISTEXT(P86),0,IF(P86=0,LongSection_DraftAft,P86-(LongSection_DraftAft-LongSection_DraftFore)/(Lpp-FE_size)*Tbl_Load_distrib[[#This Row],[L_elt]])))</f>
        <v>0.9983368794074462</v>
      </c>
      <c r="Q87" s="166">
        <f ca="1">IF(ISNUMBER(Q86),(IF((P86-L86)&lt;0,0,P86-L86)+IF((Tbl_Load_distrib[[#This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0.49917081545488262</v>
      </c>
      <c r="R87" s="167">
        <f ca="1">ρ_sw*Tbl_Load_distrib[[#This Row],[Elt Area corrected]]*B/k_depl</f>
        <v>10.226201839441337</v>
      </c>
      <c r="S87" s="180">
        <f ca="1">Tbl_Load_distrib[[#This Row],[Section Weight]]-Tbl_Load_distrib[[#This Row],[Floating Elt]]</f>
        <v>-1.3928685061080035</v>
      </c>
      <c r="T87" s="183">
        <f ca="1">IF(ISTEXT($T86),0,$T86+Tbl_Load_distrib[[#This Row],[Net force / Elt]])</f>
        <v>-29.409975325672441</v>
      </c>
      <c r="U87" s="169">
        <f ca="1">IF(ISTEXT($U86),0,$U86+Tbl_Load_distrib[[#This Row],[Shearing Force]]*Tbl_Load_distrib[[#This Row],[L_elt]])</f>
        <v>915.7291303689384</v>
      </c>
      <c r="W87" s="866"/>
    </row>
    <row r="88" spans="2:23" x14ac:dyDescent="0.25">
      <c r="B88" s="136">
        <f t="shared" si="3"/>
        <v>82</v>
      </c>
      <c r="C88" s="139">
        <f t="shared" si="4"/>
        <v>41</v>
      </c>
      <c r="D88" s="152">
        <f ca="1">SUM(Tbl_Load_distrib[[#This Row],[Hull &amp; Structure]:[Reserved]])</f>
        <v>8.8333333333333339</v>
      </c>
      <c r="E88" s="147">
        <f>SUMIFS(Tbl_Hull_Structure[Spread],Tbl_Hull_Structure[L from],"&lt;"&amp;Tbl_Load_distrib[[#This Row],[x]],Tbl_Hull_Structure[L to],"&gt;"&amp;C87)*Tbl_Load_distrib[[#This Row],[L_elt]]</f>
        <v>4.666666666666667</v>
      </c>
      <c r="F88" s="260">
        <f ca="1">SUMIFS(Tbl_Ballasts[Spread],Tbl_Ballasts[L from],"&lt;"&amp;Tbl_Load_distrib[[#This Row],[x]],Tbl_Ballasts[L to],"&gt;"&amp;C87)*Tbl_Load_distrib[[#This Row],[L_elt]]</f>
        <v>0</v>
      </c>
      <c r="G88" s="260">
        <f>SUMIFS(Tbl_Lifting[Spread],Tbl_Lifting[L from],"&lt;"&amp;Tbl_Load_distrib[[#This Row],[x]],Tbl_Lifting[L to],"&gt;"&amp;C87)*Tbl_Load_distrib[[#This Row],[L_elt]]</f>
        <v>0</v>
      </c>
      <c r="H88" s="260">
        <f>SUMIFS(Tbl_Additionals[Spread],Tbl_Additionals[L from],"&lt;"&amp;Tbl_Load_distrib[[#This Row],[x]],Tbl_Additionals[L to],"&gt;"&amp;C87)*Tbl_Load_distrib[[#This Row],[L_elt]]</f>
        <v>4.166666666666667</v>
      </c>
      <c r="I88" s="260">
        <f ca="1">SUMIFS(Tbl_Deck_Tank[Spread],Tbl_Deck_Tank[L from],"&lt;"&amp;Tbl_Load_distrib[[#This Row],[x]],Tbl_Deck_Tank[L to],"&gt;"&amp;C87)*Tbl_Load_distrib[[#This Row],[L_elt]]</f>
        <v>0</v>
      </c>
      <c r="J88" s="137"/>
      <c r="K88" s="165">
        <f>IFERROR(Tbl_Long_Section[[#This Row],[H Deck-Bottom]],NA())</f>
        <v>4</v>
      </c>
      <c r="L88" s="829">
        <f>M_depth-Tbl_Load_distrib[[#This Row],[H Deck-Bottom]]</f>
        <v>0</v>
      </c>
      <c r="M88" s="929">
        <f>IFERROR(Tbl_Load_distrib[[#This Row],[x]]-C87,0)</f>
        <v>0.5</v>
      </c>
      <c r="N88" s="929">
        <f ca="1">IF(ISNA(Tbl_Load_distrib[[#This Row],[x]]),NA(),IF(ISTEXT(N87),0,IF(N87=0,$Z$3,N87-($Z$3-$AA$3)/(Lpp-FE_size)*Tbl_Load_distrib[[#This Row],[L_elt]])))</f>
        <v>1.0096273550736525</v>
      </c>
      <c r="O88" s="166">
        <f ca="1">IF(ISNUMBER(O87),(IF((N87-L87)&lt;0,0,N87-L87)+IF((Tbl_Load_distrib[[#This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0.50468465818716202</v>
      </c>
      <c r="P88" s="929">
        <f ca="1">IF(ISNA(Tbl_Load_distrib[[#This Row],[x]]),NA(),IF(ISTEXT(P87),0,IF(P87=0,LongSection_DraftAft,P87-(LongSection_DraftAft-LongSection_DraftFore)/(Lpp-FE_size)*Tbl_Load_distrib[[#This Row],[L_elt]])))</f>
        <v>0.998327376402808</v>
      </c>
      <c r="Q88" s="166">
        <f ca="1">IF(ISNUMBER(Q87),(IF((P87-L87)&lt;0,0,P87-L87)+IF((Tbl_Load_distrib[[#This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0.49916606395256358</v>
      </c>
      <c r="R88" s="167">
        <f ca="1">ρ_sw*Tbl_Load_distrib[[#This Row],[Elt Area corrected]]*B/k_depl</f>
        <v>10.226104498370407</v>
      </c>
      <c r="S88" s="180">
        <f ca="1">Tbl_Load_distrib[[#This Row],[Section Weight]]-Tbl_Load_distrib[[#This Row],[Floating Elt]]</f>
        <v>-1.3927711650370735</v>
      </c>
      <c r="T88" s="183">
        <f ca="1">IF(ISTEXT($T87),0,$T87+Tbl_Load_distrib[[#This Row],[Net force / Elt]])</f>
        <v>-30.802746490709517</v>
      </c>
      <c r="U88" s="169">
        <f ca="1">IF(ISTEXT($U87),0,$U87+Tbl_Load_distrib[[#This Row],[Shearing Force]]*Tbl_Load_distrib[[#This Row],[L_elt]])</f>
        <v>900.32775712358364</v>
      </c>
      <c r="W88" s="866"/>
    </row>
    <row r="89" spans="2:23" x14ac:dyDescent="0.25">
      <c r="B89" s="136">
        <f t="shared" si="3"/>
        <v>83</v>
      </c>
      <c r="C89" s="139">
        <f t="shared" si="4"/>
        <v>41.5</v>
      </c>
      <c r="D89" s="152">
        <f ca="1">SUM(Tbl_Load_distrib[[#This Row],[Hull &amp; Structure]:[Reserved]])</f>
        <v>8.8333333333333339</v>
      </c>
      <c r="E89" s="147">
        <f>SUMIFS(Tbl_Hull_Structure[Spread],Tbl_Hull_Structure[L from],"&lt;"&amp;Tbl_Load_distrib[[#This Row],[x]],Tbl_Hull_Structure[L to],"&gt;"&amp;C88)*Tbl_Load_distrib[[#This Row],[L_elt]]</f>
        <v>4.666666666666667</v>
      </c>
      <c r="F89" s="260">
        <f ca="1">SUMIFS(Tbl_Ballasts[Spread],Tbl_Ballasts[L from],"&lt;"&amp;Tbl_Load_distrib[[#This Row],[x]],Tbl_Ballasts[L to],"&gt;"&amp;C88)*Tbl_Load_distrib[[#This Row],[L_elt]]</f>
        <v>0</v>
      </c>
      <c r="G89" s="260">
        <f>SUMIFS(Tbl_Lifting[Spread],Tbl_Lifting[L from],"&lt;"&amp;Tbl_Load_distrib[[#This Row],[x]],Tbl_Lifting[L to],"&gt;"&amp;C88)*Tbl_Load_distrib[[#This Row],[L_elt]]</f>
        <v>0</v>
      </c>
      <c r="H89" s="260">
        <f>SUMIFS(Tbl_Additionals[Spread],Tbl_Additionals[L from],"&lt;"&amp;Tbl_Load_distrib[[#This Row],[x]],Tbl_Additionals[L to],"&gt;"&amp;C88)*Tbl_Load_distrib[[#This Row],[L_elt]]</f>
        <v>4.166666666666667</v>
      </c>
      <c r="I89" s="260">
        <f ca="1">SUMIFS(Tbl_Deck_Tank[Spread],Tbl_Deck_Tank[L from],"&lt;"&amp;Tbl_Load_distrib[[#This Row],[x]],Tbl_Deck_Tank[L to],"&gt;"&amp;C88)*Tbl_Load_distrib[[#This Row],[L_elt]]</f>
        <v>0</v>
      </c>
      <c r="J89" s="137"/>
      <c r="K89" s="165">
        <f>IFERROR(Tbl_Long_Section[[#This Row],[H Deck-Bottom]],NA())</f>
        <v>4</v>
      </c>
      <c r="L89" s="829">
        <f>M_depth-Tbl_Load_distrib[[#This Row],[H Deck-Bottom]]</f>
        <v>0</v>
      </c>
      <c r="M89" s="929">
        <f>IFERROR(Tbl_Load_distrib[[#This Row],[x]]-C88,0)</f>
        <v>0.5</v>
      </c>
      <c r="N89" s="929">
        <f ca="1">IF(ISNA(Tbl_Load_distrib[[#This Row],[x]]),NA(),IF(ISTEXT(N88),0,IF(N88=0,$Z$3,N88-($Z$3-$AA$3)/(Lpp-FE_size)*Tbl_Load_distrib[[#This Row],[L_elt]])))</f>
        <v>1.0101434324723093</v>
      </c>
      <c r="O89" s="166">
        <f ca="1">IF(ISNUMBER(O88),(IF((N88-L88)&lt;0,0,N88-L88)+IF((Tbl_Load_distrib[[#This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0.50494269688649052</v>
      </c>
      <c r="P89" s="929">
        <f ca="1">IF(ISNA(Tbl_Load_distrib[[#This Row],[x]]),NA(),IF(ISTEXT(P88),0,IF(P88=0,LongSection_DraftAft,P88-(LongSection_DraftAft-LongSection_DraftFore)/(Lpp-FE_size)*Tbl_Load_distrib[[#This Row],[L_elt]])))</f>
        <v>0.9983178733981698</v>
      </c>
      <c r="Q89" s="166">
        <f ca="1">IF(ISNUMBER(Q88),(IF((P88-L88)&lt;0,0,P88-L88)+IF((Tbl_Load_distrib[[#This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0.49916131245024442</v>
      </c>
      <c r="R89" s="167">
        <f ca="1">ρ_sw*Tbl_Load_distrib[[#This Row],[Elt Area corrected]]*B/k_depl</f>
        <v>10.22600715729947</v>
      </c>
      <c r="S89" s="180">
        <f ca="1">Tbl_Load_distrib[[#This Row],[Section Weight]]-Tbl_Load_distrib[[#This Row],[Floating Elt]]</f>
        <v>-1.3926738239661365</v>
      </c>
      <c r="T89" s="183">
        <f ca="1">IF(ISTEXT($T88),0,$T88+Tbl_Load_distrib[[#This Row],[Net force / Elt]])</f>
        <v>-32.195420314675651</v>
      </c>
      <c r="U89" s="169">
        <f ca="1">IF(ISTEXT($U88),0,$U88+Tbl_Load_distrib[[#This Row],[Shearing Force]]*Tbl_Load_distrib[[#This Row],[L_elt]])</f>
        <v>884.23004696624582</v>
      </c>
      <c r="W89" s="866"/>
    </row>
    <row r="90" spans="2:23" x14ac:dyDescent="0.25">
      <c r="B90" s="136">
        <f t="shared" si="3"/>
        <v>84</v>
      </c>
      <c r="C90" s="139">
        <f t="shared" si="4"/>
        <v>42</v>
      </c>
      <c r="D90" s="152">
        <f ca="1">SUM(Tbl_Load_distrib[[#This Row],[Hull &amp; Structure]:[Reserved]])</f>
        <v>8.8333333333333339</v>
      </c>
      <c r="E90" s="147">
        <f>SUMIFS(Tbl_Hull_Structure[Spread],Tbl_Hull_Structure[L from],"&lt;"&amp;Tbl_Load_distrib[[#This Row],[x]],Tbl_Hull_Structure[L to],"&gt;"&amp;C89)*Tbl_Load_distrib[[#This Row],[L_elt]]</f>
        <v>4.666666666666667</v>
      </c>
      <c r="F90" s="260">
        <f ca="1">SUMIFS(Tbl_Ballasts[Spread],Tbl_Ballasts[L from],"&lt;"&amp;Tbl_Load_distrib[[#This Row],[x]],Tbl_Ballasts[L to],"&gt;"&amp;C89)*Tbl_Load_distrib[[#This Row],[L_elt]]</f>
        <v>0</v>
      </c>
      <c r="G90" s="260">
        <f>SUMIFS(Tbl_Lifting[Spread],Tbl_Lifting[L from],"&lt;"&amp;Tbl_Load_distrib[[#This Row],[x]],Tbl_Lifting[L to],"&gt;"&amp;C89)*Tbl_Load_distrib[[#This Row],[L_elt]]</f>
        <v>0</v>
      </c>
      <c r="H90" s="260">
        <f>SUMIFS(Tbl_Additionals[Spread],Tbl_Additionals[L from],"&lt;"&amp;Tbl_Load_distrib[[#This Row],[x]],Tbl_Additionals[L to],"&gt;"&amp;C89)*Tbl_Load_distrib[[#This Row],[L_elt]]</f>
        <v>4.166666666666667</v>
      </c>
      <c r="I90" s="260">
        <f ca="1">SUMIFS(Tbl_Deck_Tank[Spread],Tbl_Deck_Tank[L from],"&lt;"&amp;Tbl_Load_distrib[[#This Row],[x]],Tbl_Deck_Tank[L to],"&gt;"&amp;C89)*Tbl_Load_distrib[[#This Row],[L_elt]]</f>
        <v>0</v>
      </c>
      <c r="J90" s="137"/>
      <c r="K90" s="165">
        <f>IFERROR(Tbl_Long_Section[[#This Row],[H Deck-Bottom]],NA())</f>
        <v>4</v>
      </c>
      <c r="L90" s="829">
        <f>M_depth-Tbl_Load_distrib[[#This Row],[H Deck-Bottom]]</f>
        <v>0</v>
      </c>
      <c r="M90" s="929">
        <f>IFERROR(Tbl_Load_distrib[[#This Row],[x]]-C89,0)</f>
        <v>0.5</v>
      </c>
      <c r="N90" s="929">
        <f ca="1">IF(ISNA(Tbl_Load_distrib[[#This Row],[x]]),NA(),IF(ISTEXT(N89),0,IF(N89=0,$Z$3,N89-($Z$3-$AA$3)/(Lpp-FE_size)*Tbl_Load_distrib[[#This Row],[L_elt]])))</f>
        <v>1.0106595098709661</v>
      </c>
      <c r="O90" s="166">
        <f ca="1">IF(ISNUMBER(O89),(IF((N89-L89)&lt;0,0,N89-L89)+IF((Tbl_Load_distrib[[#This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0.50520073558581879</v>
      </c>
      <c r="P90" s="929">
        <f ca="1">IF(ISNA(Tbl_Load_distrib[[#This Row],[x]]),NA(),IF(ISTEXT(P89),0,IF(P89=0,LongSection_DraftAft,P89-(LongSection_DraftAft-LongSection_DraftFore)/(Lpp-FE_size)*Tbl_Load_distrib[[#This Row],[L_elt]])))</f>
        <v>0.9983083703935316</v>
      </c>
      <c r="Q90" s="166">
        <f ca="1">IF(ISNUMBER(Q89),(IF((P89-L89)&lt;0,0,P89-L89)+IF((Tbl_Load_distrib[[#This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0.49915656094792538</v>
      </c>
      <c r="R90" s="167">
        <f ca="1">ρ_sw*Tbl_Load_distrib[[#This Row],[Elt Area corrected]]*B/k_depl</f>
        <v>10.225909816228535</v>
      </c>
      <c r="S90" s="180">
        <f ca="1">Tbl_Load_distrib[[#This Row],[Section Weight]]-Tbl_Load_distrib[[#This Row],[Floating Elt]]</f>
        <v>-1.3925764828952012</v>
      </c>
      <c r="T90" s="183">
        <f ca="1">IF(ISTEXT($T89),0,$T89+Tbl_Load_distrib[[#This Row],[Net force / Elt]])</f>
        <v>-33.587996797570852</v>
      </c>
      <c r="U90" s="169">
        <f ca="1">IF(ISTEXT($U89),0,$U89+Tbl_Load_distrib[[#This Row],[Shearing Force]]*Tbl_Load_distrib[[#This Row],[L_elt]])</f>
        <v>867.43604856746038</v>
      </c>
      <c r="W90" s="866"/>
    </row>
    <row r="91" spans="2:23" x14ac:dyDescent="0.25">
      <c r="B91" s="136">
        <f t="shared" si="3"/>
        <v>85</v>
      </c>
      <c r="C91" s="139">
        <f t="shared" si="4"/>
        <v>42.5</v>
      </c>
      <c r="D91" s="152">
        <f ca="1">SUM(Tbl_Load_distrib[[#This Row],[Hull &amp; Structure]:[Reserved]])</f>
        <v>8.8333333333333339</v>
      </c>
      <c r="E91" s="147">
        <f>SUMIFS(Tbl_Hull_Structure[Spread],Tbl_Hull_Structure[L from],"&lt;"&amp;Tbl_Load_distrib[[#This Row],[x]],Tbl_Hull_Structure[L to],"&gt;"&amp;C90)*Tbl_Load_distrib[[#This Row],[L_elt]]</f>
        <v>4.666666666666667</v>
      </c>
      <c r="F91" s="260">
        <f ca="1">SUMIFS(Tbl_Ballasts[Spread],Tbl_Ballasts[L from],"&lt;"&amp;Tbl_Load_distrib[[#This Row],[x]],Tbl_Ballasts[L to],"&gt;"&amp;C90)*Tbl_Load_distrib[[#This Row],[L_elt]]</f>
        <v>0</v>
      </c>
      <c r="G91" s="260">
        <f>SUMIFS(Tbl_Lifting[Spread],Tbl_Lifting[L from],"&lt;"&amp;Tbl_Load_distrib[[#This Row],[x]],Tbl_Lifting[L to],"&gt;"&amp;C90)*Tbl_Load_distrib[[#This Row],[L_elt]]</f>
        <v>0</v>
      </c>
      <c r="H91" s="260">
        <f>SUMIFS(Tbl_Additionals[Spread],Tbl_Additionals[L from],"&lt;"&amp;Tbl_Load_distrib[[#This Row],[x]],Tbl_Additionals[L to],"&gt;"&amp;C90)*Tbl_Load_distrib[[#This Row],[L_elt]]</f>
        <v>4.166666666666667</v>
      </c>
      <c r="I91" s="260">
        <f ca="1">SUMIFS(Tbl_Deck_Tank[Spread],Tbl_Deck_Tank[L from],"&lt;"&amp;Tbl_Load_distrib[[#This Row],[x]],Tbl_Deck_Tank[L to],"&gt;"&amp;C90)*Tbl_Load_distrib[[#This Row],[L_elt]]</f>
        <v>0</v>
      </c>
      <c r="J91" s="137"/>
      <c r="K91" s="165">
        <f>IFERROR(Tbl_Long_Section[[#This Row],[H Deck-Bottom]],NA())</f>
        <v>4</v>
      </c>
      <c r="L91" s="829">
        <f>M_depth-Tbl_Load_distrib[[#This Row],[H Deck-Bottom]]</f>
        <v>0</v>
      </c>
      <c r="M91" s="929">
        <f>IFERROR(Tbl_Load_distrib[[#This Row],[x]]-C90,0)</f>
        <v>0.5</v>
      </c>
      <c r="N91" s="929">
        <f ca="1">IF(ISNA(Tbl_Load_distrib[[#This Row],[x]]),NA(),IF(ISTEXT(N90),0,IF(N90=0,$Z$3,N90-($Z$3-$AA$3)/(Lpp-FE_size)*Tbl_Load_distrib[[#This Row],[L_elt]])))</f>
        <v>1.0111755872696229</v>
      </c>
      <c r="O91" s="166">
        <f ca="1">IF(ISNUMBER(O90),(IF((N90-L90)&lt;0,0,N90-L90)+IF((Tbl_Load_distrib[[#This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0.50545877428514729</v>
      </c>
      <c r="P91" s="929">
        <f ca="1">IF(ISNA(Tbl_Load_distrib[[#This Row],[x]]),NA(),IF(ISTEXT(P90),0,IF(P90=0,LongSection_DraftAft,P90-(LongSection_DraftAft-LongSection_DraftFore)/(Lpp-FE_size)*Tbl_Load_distrib[[#This Row],[L_elt]])))</f>
        <v>0.9982988673888934</v>
      </c>
      <c r="Q91" s="166">
        <f ca="1">IF(ISNUMBER(Q90),(IF((P90-L90)&lt;0,0,P90-L90)+IF((Tbl_Load_distrib[[#This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0.49915180944560622</v>
      </c>
      <c r="R91" s="167">
        <f ca="1">ρ_sw*Tbl_Load_distrib[[#This Row],[Elt Area corrected]]*B/k_depl</f>
        <v>10.225812475157602</v>
      </c>
      <c r="S91" s="180">
        <f ca="1">Tbl_Load_distrib[[#This Row],[Section Weight]]-Tbl_Load_distrib[[#This Row],[Floating Elt]]</f>
        <v>-1.3924791418242677</v>
      </c>
      <c r="T91" s="183">
        <f ca="1">IF(ISTEXT($T90),0,$T90+Tbl_Load_distrib[[#This Row],[Net force / Elt]])</f>
        <v>-34.98047593939512</v>
      </c>
      <c r="U91" s="169">
        <f ca="1">IF(ISTEXT($U90),0,$U90+Tbl_Load_distrib[[#This Row],[Shearing Force]]*Tbl_Load_distrib[[#This Row],[L_elt]])</f>
        <v>849.94581059776283</v>
      </c>
      <c r="W91" s="866"/>
    </row>
    <row r="92" spans="2:23" x14ac:dyDescent="0.25">
      <c r="B92" s="136">
        <f t="shared" si="3"/>
        <v>86</v>
      </c>
      <c r="C92" s="139">
        <f t="shared" si="4"/>
        <v>43</v>
      </c>
      <c r="D92" s="152">
        <f ca="1">SUM(Tbl_Load_distrib[[#This Row],[Hull &amp; Structure]:[Reserved]])</f>
        <v>8.8333333333333339</v>
      </c>
      <c r="E92" s="147">
        <f>SUMIFS(Tbl_Hull_Structure[Spread],Tbl_Hull_Structure[L from],"&lt;"&amp;Tbl_Load_distrib[[#This Row],[x]],Tbl_Hull_Structure[L to],"&gt;"&amp;C91)*Tbl_Load_distrib[[#This Row],[L_elt]]</f>
        <v>4.666666666666667</v>
      </c>
      <c r="F92" s="260">
        <f ca="1">SUMIFS(Tbl_Ballasts[Spread],Tbl_Ballasts[L from],"&lt;"&amp;Tbl_Load_distrib[[#This Row],[x]],Tbl_Ballasts[L to],"&gt;"&amp;C91)*Tbl_Load_distrib[[#This Row],[L_elt]]</f>
        <v>0</v>
      </c>
      <c r="G92" s="260">
        <f>SUMIFS(Tbl_Lifting[Spread],Tbl_Lifting[L from],"&lt;"&amp;Tbl_Load_distrib[[#This Row],[x]],Tbl_Lifting[L to],"&gt;"&amp;C91)*Tbl_Load_distrib[[#This Row],[L_elt]]</f>
        <v>0</v>
      </c>
      <c r="H92" s="260">
        <f>SUMIFS(Tbl_Additionals[Spread],Tbl_Additionals[L from],"&lt;"&amp;Tbl_Load_distrib[[#This Row],[x]],Tbl_Additionals[L to],"&gt;"&amp;C91)*Tbl_Load_distrib[[#This Row],[L_elt]]</f>
        <v>4.166666666666667</v>
      </c>
      <c r="I92" s="260">
        <f ca="1">SUMIFS(Tbl_Deck_Tank[Spread],Tbl_Deck_Tank[L from],"&lt;"&amp;Tbl_Load_distrib[[#This Row],[x]],Tbl_Deck_Tank[L to],"&gt;"&amp;C91)*Tbl_Load_distrib[[#This Row],[L_elt]]</f>
        <v>0</v>
      </c>
      <c r="J92" s="137"/>
      <c r="K92" s="165">
        <f>IFERROR(Tbl_Long_Section[[#This Row],[H Deck-Bottom]],NA())</f>
        <v>4</v>
      </c>
      <c r="L92" s="829">
        <f>M_depth-Tbl_Load_distrib[[#This Row],[H Deck-Bottom]]</f>
        <v>0</v>
      </c>
      <c r="M92" s="929">
        <f>IFERROR(Tbl_Load_distrib[[#This Row],[x]]-C91,0)</f>
        <v>0.5</v>
      </c>
      <c r="N92" s="929">
        <f ca="1">IF(ISNA(Tbl_Load_distrib[[#This Row],[x]]),NA(),IF(ISTEXT(N91),0,IF(N91=0,$Z$3,N91-($Z$3-$AA$3)/(Lpp-FE_size)*Tbl_Load_distrib[[#This Row],[L_elt]])))</f>
        <v>1.0116916646682796</v>
      </c>
      <c r="O92" s="166">
        <f ca="1">IF(ISNUMBER(O91),(IF((N91-L91)&lt;0,0,N91-L91)+IF((Tbl_Load_distrib[[#This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0.50571681298447557</v>
      </c>
      <c r="P92" s="929">
        <f ca="1">IF(ISNA(Tbl_Load_distrib[[#This Row],[x]]),NA(),IF(ISTEXT(P91),0,IF(P91=0,LongSection_DraftAft,P91-(LongSection_DraftAft-LongSection_DraftFore)/(Lpp-FE_size)*Tbl_Load_distrib[[#This Row],[L_elt]])))</f>
        <v>0.9982893643842552</v>
      </c>
      <c r="Q92" s="166">
        <f ca="1">IF(ISNUMBER(Q91),(IF((P91-L91)&lt;0,0,P91-L91)+IF((Tbl_Load_distrib[[#This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0.49914705794328718</v>
      </c>
      <c r="R92" s="167">
        <f ca="1">ρ_sw*Tbl_Load_distrib[[#This Row],[Elt Area corrected]]*B/k_depl</f>
        <v>10.225715134086668</v>
      </c>
      <c r="S92" s="180">
        <f ca="1">Tbl_Load_distrib[[#This Row],[Section Weight]]-Tbl_Load_distrib[[#This Row],[Floating Elt]]</f>
        <v>-1.3923818007533342</v>
      </c>
      <c r="T92" s="183">
        <f ca="1">IF(ISTEXT($T91),0,$T91+Tbl_Load_distrib[[#This Row],[Net force / Elt]])</f>
        <v>-36.372857740148454</v>
      </c>
      <c r="U92" s="169">
        <f ca="1">IF(ISTEXT($U91),0,$U91+Tbl_Load_distrib[[#This Row],[Shearing Force]]*Tbl_Load_distrib[[#This Row],[L_elt]])</f>
        <v>831.75938172768861</v>
      </c>
    </row>
    <row r="93" spans="2:23" x14ac:dyDescent="0.25">
      <c r="B93" s="136">
        <f t="shared" si="3"/>
        <v>87</v>
      </c>
      <c r="C93" s="139">
        <f t="shared" si="4"/>
        <v>43.5</v>
      </c>
      <c r="D93" s="152">
        <f ca="1">SUM(Tbl_Load_distrib[[#This Row],[Hull &amp; Structure]:[Reserved]])</f>
        <v>8.8333333333333339</v>
      </c>
      <c r="E93" s="147">
        <f>SUMIFS(Tbl_Hull_Structure[Spread],Tbl_Hull_Structure[L from],"&lt;"&amp;Tbl_Load_distrib[[#This Row],[x]],Tbl_Hull_Structure[L to],"&gt;"&amp;C92)*Tbl_Load_distrib[[#This Row],[L_elt]]</f>
        <v>4.666666666666667</v>
      </c>
      <c r="F93" s="260">
        <f ca="1">SUMIFS(Tbl_Ballasts[Spread],Tbl_Ballasts[L from],"&lt;"&amp;Tbl_Load_distrib[[#This Row],[x]],Tbl_Ballasts[L to],"&gt;"&amp;C92)*Tbl_Load_distrib[[#This Row],[L_elt]]</f>
        <v>0</v>
      </c>
      <c r="G93" s="260">
        <f>SUMIFS(Tbl_Lifting[Spread],Tbl_Lifting[L from],"&lt;"&amp;Tbl_Load_distrib[[#This Row],[x]],Tbl_Lifting[L to],"&gt;"&amp;C92)*Tbl_Load_distrib[[#This Row],[L_elt]]</f>
        <v>0</v>
      </c>
      <c r="H93" s="260">
        <f>SUMIFS(Tbl_Additionals[Spread],Tbl_Additionals[L from],"&lt;"&amp;Tbl_Load_distrib[[#This Row],[x]],Tbl_Additionals[L to],"&gt;"&amp;C92)*Tbl_Load_distrib[[#This Row],[L_elt]]</f>
        <v>4.166666666666667</v>
      </c>
      <c r="I93" s="260">
        <f ca="1">SUMIFS(Tbl_Deck_Tank[Spread],Tbl_Deck_Tank[L from],"&lt;"&amp;Tbl_Load_distrib[[#This Row],[x]],Tbl_Deck_Tank[L to],"&gt;"&amp;C92)*Tbl_Load_distrib[[#This Row],[L_elt]]</f>
        <v>0</v>
      </c>
      <c r="J93" s="137"/>
      <c r="K93" s="165">
        <f>IFERROR(Tbl_Long_Section[[#This Row],[H Deck-Bottom]],NA())</f>
        <v>4</v>
      </c>
      <c r="L93" s="829">
        <f>M_depth-Tbl_Load_distrib[[#This Row],[H Deck-Bottom]]</f>
        <v>0</v>
      </c>
      <c r="M93" s="929">
        <f>IFERROR(Tbl_Load_distrib[[#This Row],[x]]-C92,0)</f>
        <v>0.5</v>
      </c>
      <c r="N93" s="929">
        <f ca="1">IF(ISNA(Tbl_Load_distrib[[#This Row],[x]]),NA(),IF(ISTEXT(N92),0,IF(N92=0,$Z$3,N92-($Z$3-$AA$3)/(Lpp-FE_size)*Tbl_Load_distrib[[#This Row],[L_elt]])))</f>
        <v>1.0122077420669364</v>
      </c>
      <c r="O93" s="166">
        <f ca="1">IF(ISNUMBER(O92),(IF((N92-L92)&lt;0,0,N92-L92)+IF((Tbl_Load_distrib[[#This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0.50597485168380407</v>
      </c>
      <c r="P93" s="929">
        <f ca="1">IF(ISNA(Tbl_Load_distrib[[#This Row],[x]]),NA(),IF(ISTEXT(P92),0,IF(P92=0,LongSection_DraftAft,P92-(LongSection_DraftAft-LongSection_DraftFore)/(Lpp-FE_size)*Tbl_Load_distrib[[#This Row],[L_elt]])))</f>
        <v>0.998279861379617</v>
      </c>
      <c r="Q93" s="166">
        <f ca="1">IF(ISNUMBER(Q92),(IF((P92-L92)&lt;0,0,P92-L92)+IF((Tbl_Load_distrib[[#This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0.49914230644096802</v>
      </c>
      <c r="R93" s="167">
        <f ca="1">ρ_sw*Tbl_Load_distrib[[#This Row],[Elt Area corrected]]*B/k_depl</f>
        <v>10.225617793015733</v>
      </c>
      <c r="S93" s="180">
        <f ca="1">Tbl_Load_distrib[[#This Row],[Section Weight]]-Tbl_Load_distrib[[#This Row],[Floating Elt]]</f>
        <v>-1.3922844596823989</v>
      </c>
      <c r="T93" s="183">
        <f ca="1">IF(ISTEXT($T92),0,$T92+Tbl_Load_distrib[[#This Row],[Net force / Elt]])</f>
        <v>-37.765142199830855</v>
      </c>
      <c r="U93" s="169">
        <f ca="1">IF(ISTEXT($U92),0,$U92+Tbl_Load_distrib[[#This Row],[Shearing Force]]*Tbl_Load_distrib[[#This Row],[L_elt]])</f>
        <v>812.87681062777312</v>
      </c>
    </row>
    <row r="94" spans="2:23" x14ac:dyDescent="0.25">
      <c r="B94" s="136">
        <f t="shared" si="3"/>
        <v>88</v>
      </c>
      <c r="C94" s="139">
        <f t="shared" si="4"/>
        <v>44</v>
      </c>
      <c r="D94" s="152">
        <f ca="1">SUM(Tbl_Load_distrib[[#This Row],[Hull &amp; Structure]:[Reserved]])</f>
        <v>8.8333333333333339</v>
      </c>
      <c r="E94" s="147">
        <f>SUMIFS(Tbl_Hull_Structure[Spread],Tbl_Hull_Structure[L from],"&lt;"&amp;Tbl_Load_distrib[[#This Row],[x]],Tbl_Hull_Structure[L to],"&gt;"&amp;C93)*Tbl_Load_distrib[[#This Row],[L_elt]]</f>
        <v>4.666666666666667</v>
      </c>
      <c r="F94" s="260">
        <f ca="1">SUMIFS(Tbl_Ballasts[Spread],Tbl_Ballasts[L from],"&lt;"&amp;Tbl_Load_distrib[[#This Row],[x]],Tbl_Ballasts[L to],"&gt;"&amp;C93)*Tbl_Load_distrib[[#This Row],[L_elt]]</f>
        <v>0</v>
      </c>
      <c r="G94" s="260">
        <f>SUMIFS(Tbl_Lifting[Spread],Tbl_Lifting[L from],"&lt;"&amp;Tbl_Load_distrib[[#This Row],[x]],Tbl_Lifting[L to],"&gt;"&amp;C93)*Tbl_Load_distrib[[#This Row],[L_elt]]</f>
        <v>0</v>
      </c>
      <c r="H94" s="260">
        <f>SUMIFS(Tbl_Additionals[Spread],Tbl_Additionals[L from],"&lt;"&amp;Tbl_Load_distrib[[#This Row],[x]],Tbl_Additionals[L to],"&gt;"&amp;C93)*Tbl_Load_distrib[[#This Row],[L_elt]]</f>
        <v>4.166666666666667</v>
      </c>
      <c r="I94" s="260">
        <f ca="1">SUMIFS(Tbl_Deck_Tank[Spread],Tbl_Deck_Tank[L from],"&lt;"&amp;Tbl_Load_distrib[[#This Row],[x]],Tbl_Deck_Tank[L to],"&gt;"&amp;C93)*Tbl_Load_distrib[[#This Row],[L_elt]]</f>
        <v>0</v>
      </c>
      <c r="J94" s="137"/>
      <c r="K94" s="165">
        <f>IFERROR(Tbl_Long_Section[[#This Row],[H Deck-Bottom]],NA())</f>
        <v>4</v>
      </c>
      <c r="L94" s="829">
        <f>M_depth-Tbl_Load_distrib[[#This Row],[H Deck-Bottom]]</f>
        <v>0</v>
      </c>
      <c r="M94" s="929">
        <f>IFERROR(Tbl_Load_distrib[[#This Row],[x]]-C93,0)</f>
        <v>0.5</v>
      </c>
      <c r="N94" s="929">
        <f ca="1">IF(ISNA(Tbl_Load_distrib[[#This Row],[x]]),NA(),IF(ISTEXT(N93),0,IF(N93=0,$Z$3,N93-($Z$3-$AA$3)/(Lpp-FE_size)*Tbl_Load_distrib[[#This Row],[L_elt]])))</f>
        <v>1.0127238194655932</v>
      </c>
      <c r="O94" s="166">
        <f ca="1">IF(ISNUMBER(O93),(IF((N93-L93)&lt;0,0,N93-L93)+IF((Tbl_Load_distrib[[#This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0.50623289038313235</v>
      </c>
      <c r="P94" s="929">
        <f ca="1">IF(ISNA(Tbl_Load_distrib[[#This Row],[x]]),NA(),IF(ISTEXT(P93),0,IF(P93=0,LongSection_DraftAft,P93-(LongSection_DraftAft-LongSection_DraftFore)/(Lpp-FE_size)*Tbl_Load_distrib[[#This Row],[L_elt]])))</f>
        <v>0.99827035837497879</v>
      </c>
      <c r="Q94" s="166">
        <f ca="1">IF(ISNUMBER(Q93),(IF((P93-L93)&lt;0,0,P93-L93)+IF((Tbl_Load_distrib[[#This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0.49913755493864898</v>
      </c>
      <c r="R94" s="167">
        <f ca="1">ρ_sw*Tbl_Load_distrib[[#This Row],[Elt Area corrected]]*B/k_depl</f>
        <v>10.225520451944799</v>
      </c>
      <c r="S94" s="180">
        <f ca="1">Tbl_Load_distrib[[#This Row],[Section Weight]]-Tbl_Load_distrib[[#This Row],[Floating Elt]]</f>
        <v>-1.3921871186114654</v>
      </c>
      <c r="T94" s="183">
        <f ca="1">IF(ISTEXT($T93),0,$T93+Tbl_Load_distrib[[#This Row],[Net force / Elt]])</f>
        <v>-39.157329318442322</v>
      </c>
      <c r="U94" s="169">
        <f ca="1">IF(ISTEXT($U93),0,$U93+Tbl_Load_distrib[[#This Row],[Shearing Force]]*Tbl_Load_distrib[[#This Row],[L_elt]])</f>
        <v>793.29814596855192</v>
      </c>
    </row>
    <row r="95" spans="2:23" x14ac:dyDescent="0.25">
      <c r="B95" s="136">
        <f t="shared" si="3"/>
        <v>89</v>
      </c>
      <c r="C95" s="139">
        <f t="shared" si="4"/>
        <v>44.5</v>
      </c>
      <c r="D95" s="152">
        <f ca="1">SUM(Tbl_Load_distrib[[#This Row],[Hull &amp; Structure]:[Reserved]])</f>
        <v>8.8333333333333339</v>
      </c>
      <c r="E95" s="147">
        <f>SUMIFS(Tbl_Hull_Structure[Spread],Tbl_Hull_Structure[L from],"&lt;"&amp;Tbl_Load_distrib[[#This Row],[x]],Tbl_Hull_Structure[L to],"&gt;"&amp;C94)*Tbl_Load_distrib[[#This Row],[L_elt]]</f>
        <v>4.666666666666667</v>
      </c>
      <c r="F95" s="260">
        <f ca="1">SUMIFS(Tbl_Ballasts[Spread],Tbl_Ballasts[L from],"&lt;"&amp;Tbl_Load_distrib[[#This Row],[x]],Tbl_Ballasts[L to],"&gt;"&amp;C94)*Tbl_Load_distrib[[#This Row],[L_elt]]</f>
        <v>0</v>
      </c>
      <c r="G95" s="260">
        <f>SUMIFS(Tbl_Lifting[Spread],Tbl_Lifting[L from],"&lt;"&amp;Tbl_Load_distrib[[#This Row],[x]],Tbl_Lifting[L to],"&gt;"&amp;C94)*Tbl_Load_distrib[[#This Row],[L_elt]]</f>
        <v>0</v>
      </c>
      <c r="H95" s="260">
        <f>SUMIFS(Tbl_Additionals[Spread],Tbl_Additionals[L from],"&lt;"&amp;Tbl_Load_distrib[[#This Row],[x]],Tbl_Additionals[L to],"&gt;"&amp;C94)*Tbl_Load_distrib[[#This Row],[L_elt]]</f>
        <v>4.166666666666667</v>
      </c>
      <c r="I95" s="260">
        <f ca="1">SUMIFS(Tbl_Deck_Tank[Spread],Tbl_Deck_Tank[L from],"&lt;"&amp;Tbl_Load_distrib[[#This Row],[x]],Tbl_Deck_Tank[L to],"&gt;"&amp;C94)*Tbl_Load_distrib[[#This Row],[L_elt]]</f>
        <v>0</v>
      </c>
      <c r="J95" s="137"/>
      <c r="K95" s="165">
        <f>IFERROR(Tbl_Long_Section[[#This Row],[H Deck-Bottom]],NA())</f>
        <v>4</v>
      </c>
      <c r="L95" s="829">
        <f>M_depth-Tbl_Load_distrib[[#This Row],[H Deck-Bottom]]</f>
        <v>0</v>
      </c>
      <c r="M95" s="929">
        <f>IFERROR(Tbl_Load_distrib[[#This Row],[x]]-C94,0)</f>
        <v>0.5</v>
      </c>
      <c r="N95" s="929">
        <f ca="1">IF(ISNA(Tbl_Load_distrib[[#This Row],[x]]),NA(),IF(ISTEXT(N94),0,IF(N94=0,$Z$3,N94-($Z$3-$AA$3)/(Lpp-FE_size)*Tbl_Load_distrib[[#This Row],[L_elt]])))</f>
        <v>1.01323989686425</v>
      </c>
      <c r="O95" s="166">
        <f ca="1">IF(ISNUMBER(O94),(IF((N94-L94)&lt;0,0,N94-L94)+IF((Tbl_Load_distrib[[#This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0.50649092908246085</v>
      </c>
      <c r="P95" s="929">
        <f ca="1">IF(ISNA(Tbl_Load_distrib[[#This Row],[x]]),NA(),IF(ISTEXT(P94),0,IF(P94=0,LongSection_DraftAft,P94-(LongSection_DraftAft-LongSection_DraftFore)/(Lpp-FE_size)*Tbl_Load_distrib[[#This Row],[L_elt]])))</f>
        <v>0.99826085537034059</v>
      </c>
      <c r="Q95" s="166">
        <f ca="1">IF(ISNUMBER(Q94),(IF((P94-L94)&lt;0,0,P94-L94)+IF((Tbl_Load_distrib[[#This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0.49913280343632982</v>
      </c>
      <c r="R95" s="167">
        <f ca="1">ρ_sw*Tbl_Load_distrib[[#This Row],[Elt Area corrected]]*B/k_depl</f>
        <v>10.225423110873862</v>
      </c>
      <c r="S95" s="180">
        <f ca="1">Tbl_Load_distrib[[#This Row],[Section Weight]]-Tbl_Load_distrib[[#This Row],[Floating Elt]]</f>
        <v>-1.3920897775405283</v>
      </c>
      <c r="T95" s="183">
        <f ca="1">IF(ISTEXT($T94),0,$T94+Tbl_Load_distrib[[#This Row],[Net force / Elt]])</f>
        <v>-40.549419095982849</v>
      </c>
      <c r="U95" s="169">
        <f ca="1">IF(ISTEXT($U94),0,$U94+Tbl_Load_distrib[[#This Row],[Shearing Force]]*Tbl_Load_distrib[[#This Row],[L_elt]])</f>
        <v>773.02343642056053</v>
      </c>
    </row>
    <row r="96" spans="2:23" x14ac:dyDescent="0.25">
      <c r="B96" s="136">
        <f t="shared" si="3"/>
        <v>90</v>
      </c>
      <c r="C96" s="139">
        <f t="shared" si="4"/>
        <v>45</v>
      </c>
      <c r="D96" s="152">
        <f ca="1">SUM(Tbl_Load_distrib[[#This Row],[Hull &amp; Structure]:[Reserved]])</f>
        <v>8.8333333333333339</v>
      </c>
      <c r="E96" s="147">
        <f>SUMIFS(Tbl_Hull_Structure[Spread],Tbl_Hull_Structure[L from],"&lt;"&amp;Tbl_Load_distrib[[#This Row],[x]],Tbl_Hull_Structure[L to],"&gt;"&amp;C95)*Tbl_Load_distrib[[#This Row],[L_elt]]</f>
        <v>4.666666666666667</v>
      </c>
      <c r="F96" s="260">
        <f ca="1">SUMIFS(Tbl_Ballasts[Spread],Tbl_Ballasts[L from],"&lt;"&amp;Tbl_Load_distrib[[#This Row],[x]],Tbl_Ballasts[L to],"&gt;"&amp;C95)*Tbl_Load_distrib[[#This Row],[L_elt]]</f>
        <v>0</v>
      </c>
      <c r="G96" s="260">
        <f>SUMIFS(Tbl_Lifting[Spread],Tbl_Lifting[L from],"&lt;"&amp;Tbl_Load_distrib[[#This Row],[x]],Tbl_Lifting[L to],"&gt;"&amp;C95)*Tbl_Load_distrib[[#This Row],[L_elt]]</f>
        <v>0</v>
      </c>
      <c r="H96" s="260">
        <f>SUMIFS(Tbl_Additionals[Spread],Tbl_Additionals[L from],"&lt;"&amp;Tbl_Load_distrib[[#This Row],[x]],Tbl_Additionals[L to],"&gt;"&amp;C95)*Tbl_Load_distrib[[#This Row],[L_elt]]</f>
        <v>4.166666666666667</v>
      </c>
      <c r="I96" s="260">
        <f ca="1">SUMIFS(Tbl_Deck_Tank[Spread],Tbl_Deck_Tank[L from],"&lt;"&amp;Tbl_Load_distrib[[#This Row],[x]],Tbl_Deck_Tank[L to],"&gt;"&amp;C95)*Tbl_Load_distrib[[#This Row],[L_elt]]</f>
        <v>0</v>
      </c>
      <c r="J96" s="137"/>
      <c r="K96" s="165">
        <f>IFERROR(Tbl_Long_Section[[#This Row],[H Deck-Bottom]],NA())</f>
        <v>4</v>
      </c>
      <c r="L96" s="829">
        <f>M_depth-Tbl_Load_distrib[[#This Row],[H Deck-Bottom]]</f>
        <v>0</v>
      </c>
      <c r="M96" s="929">
        <f>IFERROR(Tbl_Load_distrib[[#This Row],[x]]-C95,0)</f>
        <v>0.5</v>
      </c>
      <c r="N96" s="929">
        <f ca="1">IF(ISNA(Tbl_Load_distrib[[#This Row],[x]]),NA(),IF(ISTEXT(N95),0,IF(N95=0,$Z$3,N95-($Z$3-$AA$3)/(Lpp-FE_size)*Tbl_Load_distrib[[#This Row],[L_elt]])))</f>
        <v>1.0137559742629068</v>
      </c>
      <c r="O96" s="166">
        <f ca="1">IF(ISNUMBER(O95),(IF((N95-L95)&lt;0,0,N95-L95)+IF((Tbl_Load_distrib[[#This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0.50674896778178913</v>
      </c>
      <c r="P96" s="929">
        <f ca="1">IF(ISNA(Tbl_Load_distrib[[#This Row],[x]]),NA(),IF(ISTEXT(P95),0,IF(P95=0,LongSection_DraftAft,P95-(LongSection_DraftAft-LongSection_DraftFore)/(Lpp-FE_size)*Tbl_Load_distrib[[#This Row],[L_elt]])))</f>
        <v>0.99825135236570239</v>
      </c>
      <c r="Q96" s="166">
        <f ca="1">IF(ISNUMBER(Q95),(IF((P95-L95)&lt;0,0,P95-L95)+IF((Tbl_Load_distrib[[#This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0.49912805193401077</v>
      </c>
      <c r="R96" s="167">
        <f ca="1">ρ_sw*Tbl_Load_distrib[[#This Row],[Elt Area corrected]]*B/k_depl</f>
        <v>10.225325769802929</v>
      </c>
      <c r="S96" s="180">
        <f ca="1">Tbl_Load_distrib[[#This Row],[Section Weight]]-Tbl_Load_distrib[[#This Row],[Floating Elt]]</f>
        <v>-1.3919924364695948</v>
      </c>
      <c r="T96" s="183">
        <f ca="1">IF(ISTEXT($T95),0,$T95+Tbl_Load_distrib[[#This Row],[Net force / Elt]])</f>
        <v>-41.941411532452442</v>
      </c>
      <c r="U96" s="169">
        <f ca="1">IF(ISTEXT($U95),0,$U95+Tbl_Load_distrib[[#This Row],[Shearing Force]]*Tbl_Load_distrib[[#This Row],[L_elt]])</f>
        <v>752.05273065433425</v>
      </c>
    </row>
    <row r="97" spans="2:21" x14ac:dyDescent="0.25">
      <c r="B97" s="136">
        <f t="shared" si="3"/>
        <v>91</v>
      </c>
      <c r="C97" s="139">
        <f t="shared" si="4"/>
        <v>45.5</v>
      </c>
      <c r="D97" s="152">
        <f ca="1">SUM(Tbl_Load_distrib[[#This Row],[Hull &amp; Structure]:[Reserved]])</f>
        <v>8.8333333333333339</v>
      </c>
      <c r="E97" s="147">
        <f>SUMIFS(Tbl_Hull_Structure[Spread],Tbl_Hull_Structure[L from],"&lt;"&amp;Tbl_Load_distrib[[#This Row],[x]],Tbl_Hull_Structure[L to],"&gt;"&amp;C96)*Tbl_Load_distrib[[#This Row],[L_elt]]</f>
        <v>4.666666666666667</v>
      </c>
      <c r="F97" s="260">
        <f ca="1">SUMIFS(Tbl_Ballasts[Spread],Tbl_Ballasts[L from],"&lt;"&amp;Tbl_Load_distrib[[#This Row],[x]],Tbl_Ballasts[L to],"&gt;"&amp;C96)*Tbl_Load_distrib[[#This Row],[L_elt]]</f>
        <v>0</v>
      </c>
      <c r="G97" s="260">
        <f>SUMIFS(Tbl_Lifting[Spread],Tbl_Lifting[L from],"&lt;"&amp;Tbl_Load_distrib[[#This Row],[x]],Tbl_Lifting[L to],"&gt;"&amp;C96)*Tbl_Load_distrib[[#This Row],[L_elt]]</f>
        <v>0</v>
      </c>
      <c r="H97" s="260">
        <f>SUMIFS(Tbl_Additionals[Spread],Tbl_Additionals[L from],"&lt;"&amp;Tbl_Load_distrib[[#This Row],[x]],Tbl_Additionals[L to],"&gt;"&amp;C96)*Tbl_Load_distrib[[#This Row],[L_elt]]</f>
        <v>4.166666666666667</v>
      </c>
      <c r="I97" s="260">
        <f ca="1">SUMIFS(Tbl_Deck_Tank[Spread],Tbl_Deck_Tank[L from],"&lt;"&amp;Tbl_Load_distrib[[#This Row],[x]],Tbl_Deck_Tank[L to],"&gt;"&amp;C96)*Tbl_Load_distrib[[#This Row],[L_elt]]</f>
        <v>0</v>
      </c>
      <c r="J97" s="137"/>
      <c r="K97" s="165">
        <f>IFERROR(Tbl_Long_Section[[#This Row],[H Deck-Bottom]],NA())</f>
        <v>4</v>
      </c>
      <c r="L97" s="829">
        <f>M_depth-Tbl_Load_distrib[[#This Row],[H Deck-Bottom]]</f>
        <v>0</v>
      </c>
      <c r="M97" s="929">
        <f>IFERROR(Tbl_Load_distrib[[#This Row],[x]]-C96,0)</f>
        <v>0.5</v>
      </c>
      <c r="N97" s="929">
        <f ca="1">IF(ISNA(Tbl_Load_distrib[[#This Row],[x]]),NA(),IF(ISTEXT(N96),0,IF(N96=0,$Z$3,N96-($Z$3-$AA$3)/(Lpp-FE_size)*Tbl_Load_distrib[[#This Row],[L_elt]])))</f>
        <v>1.0142720516615635</v>
      </c>
      <c r="O97" s="166">
        <f ca="1">IF(ISNUMBER(O96),(IF((N96-L96)&lt;0,0,N96-L96)+IF((Tbl_Load_distrib[[#This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0.50700700648111763</v>
      </c>
      <c r="P97" s="929">
        <f ca="1">IF(ISNA(Tbl_Load_distrib[[#This Row],[x]]),NA(),IF(ISTEXT(P96),0,IF(P96=0,LongSection_DraftAft,P96-(LongSection_DraftAft-LongSection_DraftFore)/(Lpp-FE_size)*Tbl_Load_distrib[[#This Row],[L_elt]])))</f>
        <v>0.99824184936106419</v>
      </c>
      <c r="Q97" s="166">
        <f ca="1">IF(ISNUMBER(Q96),(IF((P96-L96)&lt;0,0,P96-L96)+IF((Tbl_Load_distrib[[#This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0.49912330043169162</v>
      </c>
      <c r="R97" s="167">
        <f ca="1">ρ_sw*Tbl_Load_distrib[[#This Row],[Elt Area corrected]]*B/k_depl</f>
        <v>10.225228428731993</v>
      </c>
      <c r="S97" s="180">
        <f ca="1">Tbl_Load_distrib[[#This Row],[Section Weight]]-Tbl_Load_distrib[[#This Row],[Floating Elt]]</f>
        <v>-1.3918950953986595</v>
      </c>
      <c r="T97" s="183">
        <f ca="1">IF(ISTEXT($T96),0,$T96+Tbl_Load_distrib[[#This Row],[Net force / Elt]])</f>
        <v>-43.333306627851101</v>
      </c>
      <c r="U97" s="169">
        <f ca="1">IF(ISTEXT($U96),0,$U96+Tbl_Load_distrib[[#This Row],[Shearing Force]]*Tbl_Load_distrib[[#This Row],[L_elt]])</f>
        <v>730.38607734040875</v>
      </c>
    </row>
    <row r="98" spans="2:21" x14ac:dyDescent="0.25">
      <c r="B98" s="136">
        <f t="shared" si="3"/>
        <v>92</v>
      </c>
      <c r="C98" s="139">
        <f t="shared" si="4"/>
        <v>46</v>
      </c>
      <c r="D98" s="152">
        <f ca="1">SUM(Tbl_Load_distrib[[#This Row],[Hull &amp; Structure]:[Reserved]])</f>
        <v>8.8333333333333339</v>
      </c>
      <c r="E98" s="147">
        <f>SUMIFS(Tbl_Hull_Structure[Spread],Tbl_Hull_Structure[L from],"&lt;"&amp;Tbl_Load_distrib[[#This Row],[x]],Tbl_Hull_Structure[L to],"&gt;"&amp;C97)*Tbl_Load_distrib[[#This Row],[L_elt]]</f>
        <v>4.666666666666667</v>
      </c>
      <c r="F98" s="260">
        <f ca="1">SUMIFS(Tbl_Ballasts[Spread],Tbl_Ballasts[L from],"&lt;"&amp;Tbl_Load_distrib[[#This Row],[x]],Tbl_Ballasts[L to],"&gt;"&amp;C97)*Tbl_Load_distrib[[#This Row],[L_elt]]</f>
        <v>0</v>
      </c>
      <c r="G98" s="260">
        <f>SUMIFS(Tbl_Lifting[Spread],Tbl_Lifting[L from],"&lt;"&amp;Tbl_Load_distrib[[#This Row],[x]],Tbl_Lifting[L to],"&gt;"&amp;C97)*Tbl_Load_distrib[[#This Row],[L_elt]]</f>
        <v>0</v>
      </c>
      <c r="H98" s="260">
        <f>SUMIFS(Tbl_Additionals[Spread],Tbl_Additionals[L from],"&lt;"&amp;Tbl_Load_distrib[[#This Row],[x]],Tbl_Additionals[L to],"&gt;"&amp;C97)*Tbl_Load_distrib[[#This Row],[L_elt]]</f>
        <v>4.166666666666667</v>
      </c>
      <c r="I98" s="260">
        <f ca="1">SUMIFS(Tbl_Deck_Tank[Spread],Tbl_Deck_Tank[L from],"&lt;"&amp;Tbl_Load_distrib[[#This Row],[x]],Tbl_Deck_Tank[L to],"&gt;"&amp;C97)*Tbl_Load_distrib[[#This Row],[L_elt]]</f>
        <v>0</v>
      </c>
      <c r="J98" s="137"/>
      <c r="K98" s="165">
        <f>IFERROR(Tbl_Long_Section[[#This Row],[H Deck-Bottom]],NA())</f>
        <v>4</v>
      </c>
      <c r="L98" s="829">
        <f>M_depth-Tbl_Load_distrib[[#This Row],[H Deck-Bottom]]</f>
        <v>0</v>
      </c>
      <c r="M98" s="929">
        <f>IFERROR(Tbl_Load_distrib[[#This Row],[x]]-C97,0)</f>
        <v>0.5</v>
      </c>
      <c r="N98" s="929">
        <f ca="1">IF(ISNA(Tbl_Load_distrib[[#This Row],[x]]),NA(),IF(ISTEXT(N97),0,IF(N97=0,$Z$3,N97-($Z$3-$AA$3)/(Lpp-FE_size)*Tbl_Load_distrib[[#This Row],[L_elt]])))</f>
        <v>1.0147881290602203</v>
      </c>
      <c r="O98" s="166">
        <f ca="1">IF(ISNUMBER(O97),(IF((N97-L97)&lt;0,0,N97-L97)+IF((Tbl_Load_distrib[[#This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0.50726504518044591</v>
      </c>
      <c r="P98" s="929">
        <f ca="1">IF(ISNA(Tbl_Load_distrib[[#This Row],[x]]),NA(),IF(ISTEXT(P97),0,IF(P97=0,LongSection_DraftAft,P97-(LongSection_DraftAft-LongSection_DraftFore)/(Lpp-FE_size)*Tbl_Load_distrib[[#This Row],[L_elt]])))</f>
        <v>0.99823234635642599</v>
      </c>
      <c r="Q98" s="166">
        <f ca="1">IF(ISNUMBER(Q97),(IF((P97-L97)&lt;0,0,P97-L97)+IF((Tbl_Load_distrib[[#This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0.49911854892937257</v>
      </c>
      <c r="R98" s="167">
        <f ca="1">ρ_sw*Tbl_Load_distrib[[#This Row],[Elt Area corrected]]*B/k_depl</f>
        <v>10.22513108766106</v>
      </c>
      <c r="S98" s="180">
        <f ca="1">Tbl_Load_distrib[[#This Row],[Section Weight]]-Tbl_Load_distrib[[#This Row],[Floating Elt]]</f>
        <v>-1.391797754327726</v>
      </c>
      <c r="T98" s="183">
        <f ca="1">IF(ISTEXT($T97),0,$T97+Tbl_Load_distrib[[#This Row],[Net force / Elt]])</f>
        <v>-44.725104382178827</v>
      </c>
      <c r="U98" s="169">
        <f ca="1">IF(ISTEXT($U97),0,$U97+Tbl_Load_distrib[[#This Row],[Shearing Force]]*Tbl_Load_distrib[[#This Row],[L_elt]])</f>
        <v>708.02352514931931</v>
      </c>
    </row>
    <row r="99" spans="2:21" x14ac:dyDescent="0.25">
      <c r="B99" s="136">
        <f t="shared" si="3"/>
        <v>93</v>
      </c>
      <c r="C99" s="139">
        <f t="shared" si="4"/>
        <v>46.5</v>
      </c>
      <c r="D99" s="152">
        <f ca="1">SUM(Tbl_Load_distrib[[#This Row],[Hull &amp; Structure]:[Reserved]])</f>
        <v>8.8333333333333339</v>
      </c>
      <c r="E99" s="147">
        <f>SUMIFS(Tbl_Hull_Structure[Spread],Tbl_Hull_Structure[L from],"&lt;"&amp;Tbl_Load_distrib[[#This Row],[x]],Tbl_Hull_Structure[L to],"&gt;"&amp;C98)*Tbl_Load_distrib[[#This Row],[L_elt]]</f>
        <v>4.666666666666667</v>
      </c>
      <c r="F99" s="260">
        <f ca="1">SUMIFS(Tbl_Ballasts[Spread],Tbl_Ballasts[L from],"&lt;"&amp;Tbl_Load_distrib[[#This Row],[x]],Tbl_Ballasts[L to],"&gt;"&amp;C98)*Tbl_Load_distrib[[#This Row],[L_elt]]</f>
        <v>0</v>
      </c>
      <c r="G99" s="260">
        <f>SUMIFS(Tbl_Lifting[Spread],Tbl_Lifting[L from],"&lt;"&amp;Tbl_Load_distrib[[#This Row],[x]],Tbl_Lifting[L to],"&gt;"&amp;C98)*Tbl_Load_distrib[[#This Row],[L_elt]]</f>
        <v>0</v>
      </c>
      <c r="H99" s="260">
        <f>SUMIFS(Tbl_Additionals[Spread],Tbl_Additionals[L from],"&lt;"&amp;Tbl_Load_distrib[[#This Row],[x]],Tbl_Additionals[L to],"&gt;"&amp;C98)*Tbl_Load_distrib[[#This Row],[L_elt]]</f>
        <v>4.166666666666667</v>
      </c>
      <c r="I99" s="260">
        <f ca="1">SUMIFS(Tbl_Deck_Tank[Spread],Tbl_Deck_Tank[L from],"&lt;"&amp;Tbl_Load_distrib[[#This Row],[x]],Tbl_Deck_Tank[L to],"&gt;"&amp;C98)*Tbl_Load_distrib[[#This Row],[L_elt]]</f>
        <v>0</v>
      </c>
      <c r="J99" s="137"/>
      <c r="K99" s="165">
        <f>IFERROR(Tbl_Long_Section[[#This Row],[H Deck-Bottom]],NA())</f>
        <v>4</v>
      </c>
      <c r="L99" s="829">
        <f>M_depth-Tbl_Load_distrib[[#This Row],[H Deck-Bottom]]</f>
        <v>0</v>
      </c>
      <c r="M99" s="929">
        <f>IFERROR(Tbl_Load_distrib[[#This Row],[x]]-C98,0)</f>
        <v>0.5</v>
      </c>
      <c r="N99" s="929">
        <f ca="1">IF(ISNA(Tbl_Load_distrib[[#This Row],[x]]),NA(),IF(ISTEXT(N98),0,IF(N98=0,$Z$3,N98-($Z$3-$AA$3)/(Lpp-FE_size)*Tbl_Load_distrib[[#This Row],[L_elt]])))</f>
        <v>1.0153042064588771</v>
      </c>
      <c r="O99" s="166">
        <f ca="1">IF(ISNUMBER(O98),(IF((N98-L98)&lt;0,0,N98-L98)+IF((Tbl_Load_distrib[[#This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0.50752308387977441</v>
      </c>
      <c r="P99" s="929">
        <f ca="1">IF(ISNA(Tbl_Load_distrib[[#This Row],[x]]),NA(),IF(ISTEXT(P98),0,IF(P98=0,LongSection_DraftAft,P98-(LongSection_DraftAft-LongSection_DraftFore)/(Lpp-FE_size)*Tbl_Load_distrib[[#This Row],[L_elt]])))</f>
        <v>0.99822284335178779</v>
      </c>
      <c r="Q99" s="166">
        <f ca="1">IF(ISNUMBER(Q98),(IF((P98-L98)&lt;0,0,P98-L98)+IF((Tbl_Load_distrib[[#This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0.49911379742705342</v>
      </c>
      <c r="R99" s="167">
        <f ca="1">ρ_sw*Tbl_Load_distrib[[#This Row],[Elt Area corrected]]*B/k_depl</f>
        <v>10.225033746590125</v>
      </c>
      <c r="S99" s="180">
        <f ca="1">Tbl_Load_distrib[[#This Row],[Section Weight]]-Tbl_Load_distrib[[#This Row],[Floating Elt]]</f>
        <v>-1.3917004132567907</v>
      </c>
      <c r="T99" s="183">
        <f ca="1">IF(ISTEXT($T98),0,$T98+Tbl_Load_distrib[[#This Row],[Net force / Elt]])</f>
        <v>-46.11680479543562</v>
      </c>
      <c r="U99" s="169">
        <f ca="1">IF(ISTEXT($U98),0,$U98+Tbl_Load_distrib[[#This Row],[Shearing Force]]*Tbl_Load_distrib[[#This Row],[L_elt]])</f>
        <v>684.96512275160148</v>
      </c>
    </row>
    <row r="100" spans="2:21" x14ac:dyDescent="0.25">
      <c r="B100" s="136">
        <f t="shared" si="3"/>
        <v>94</v>
      </c>
      <c r="C100" s="139">
        <f t="shared" si="4"/>
        <v>47</v>
      </c>
      <c r="D100" s="152">
        <f ca="1">SUM(Tbl_Load_distrib[[#This Row],[Hull &amp; Structure]:[Reserved]])</f>
        <v>8.8333333333333339</v>
      </c>
      <c r="E100" s="147">
        <f>SUMIFS(Tbl_Hull_Structure[Spread],Tbl_Hull_Structure[L from],"&lt;"&amp;Tbl_Load_distrib[[#This Row],[x]],Tbl_Hull_Structure[L to],"&gt;"&amp;C99)*Tbl_Load_distrib[[#This Row],[L_elt]]</f>
        <v>4.666666666666667</v>
      </c>
      <c r="F100" s="260">
        <f ca="1">SUMIFS(Tbl_Ballasts[Spread],Tbl_Ballasts[L from],"&lt;"&amp;Tbl_Load_distrib[[#This Row],[x]],Tbl_Ballasts[L to],"&gt;"&amp;C99)*Tbl_Load_distrib[[#This Row],[L_elt]]</f>
        <v>0</v>
      </c>
      <c r="G100" s="260">
        <f>SUMIFS(Tbl_Lifting[Spread],Tbl_Lifting[L from],"&lt;"&amp;Tbl_Load_distrib[[#This Row],[x]],Tbl_Lifting[L to],"&gt;"&amp;C99)*Tbl_Load_distrib[[#This Row],[L_elt]]</f>
        <v>0</v>
      </c>
      <c r="H100" s="260">
        <f>SUMIFS(Tbl_Additionals[Spread],Tbl_Additionals[L from],"&lt;"&amp;Tbl_Load_distrib[[#This Row],[x]],Tbl_Additionals[L to],"&gt;"&amp;C99)*Tbl_Load_distrib[[#This Row],[L_elt]]</f>
        <v>4.166666666666667</v>
      </c>
      <c r="I100" s="260">
        <f ca="1">SUMIFS(Tbl_Deck_Tank[Spread],Tbl_Deck_Tank[L from],"&lt;"&amp;Tbl_Load_distrib[[#This Row],[x]],Tbl_Deck_Tank[L to],"&gt;"&amp;C99)*Tbl_Load_distrib[[#This Row],[L_elt]]</f>
        <v>0</v>
      </c>
      <c r="J100" s="137"/>
      <c r="K100" s="165">
        <f>IFERROR(Tbl_Long_Section[[#This Row],[H Deck-Bottom]],NA())</f>
        <v>4</v>
      </c>
      <c r="L100" s="829">
        <f>M_depth-Tbl_Load_distrib[[#This Row],[H Deck-Bottom]]</f>
        <v>0</v>
      </c>
      <c r="M100" s="929">
        <f>IFERROR(Tbl_Load_distrib[[#This Row],[x]]-C99,0)</f>
        <v>0.5</v>
      </c>
      <c r="N100" s="929">
        <f ca="1">IF(ISNA(Tbl_Load_distrib[[#This Row],[x]]),NA(),IF(ISTEXT(N99),0,IF(N99=0,$Z$3,N99-($Z$3-$AA$3)/(Lpp-FE_size)*Tbl_Load_distrib[[#This Row],[L_elt]])))</f>
        <v>1.0158202838575339</v>
      </c>
      <c r="O100" s="166">
        <f ca="1">IF(ISNUMBER(O99),(IF((N99-L99)&lt;0,0,N99-L99)+IF((Tbl_Load_distrib[[#This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0.50778112257910268</v>
      </c>
      <c r="P100" s="929">
        <f ca="1">IF(ISNA(Tbl_Load_distrib[[#This Row],[x]]),NA(),IF(ISTEXT(P99),0,IF(P99=0,LongSection_DraftAft,P99-(LongSection_DraftAft-LongSection_DraftFore)/(Lpp-FE_size)*Tbl_Load_distrib[[#This Row],[L_elt]])))</f>
        <v>0.99821334034714959</v>
      </c>
      <c r="Q100" s="166">
        <f ca="1">IF(ISNUMBER(Q99),(IF((P99-L99)&lt;0,0,P99-L99)+IF((Tbl_Load_distrib[[#This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0.49910904592473437</v>
      </c>
      <c r="R100" s="167">
        <f ca="1">ρ_sw*Tbl_Load_distrib[[#This Row],[Elt Area corrected]]*B/k_depl</f>
        <v>10.224936405519189</v>
      </c>
      <c r="S100" s="180">
        <f ca="1">Tbl_Load_distrib[[#This Row],[Section Weight]]-Tbl_Load_distrib[[#This Row],[Floating Elt]]</f>
        <v>-1.3916030721858554</v>
      </c>
      <c r="T100" s="183">
        <f ca="1">IF(ISTEXT($T99),0,$T99+Tbl_Load_distrib[[#This Row],[Net force / Elt]])</f>
        <v>-47.508407867621472</v>
      </c>
      <c r="U100" s="169">
        <f ca="1">IF(ISTEXT($U99),0,$U99+Tbl_Load_distrib[[#This Row],[Shearing Force]]*Tbl_Load_distrib[[#This Row],[L_elt]])</f>
        <v>661.2109188177908</v>
      </c>
    </row>
    <row r="101" spans="2:21" x14ac:dyDescent="0.25">
      <c r="B101" s="136">
        <f t="shared" si="3"/>
        <v>95</v>
      </c>
      <c r="C101" s="139">
        <f t="shared" si="4"/>
        <v>47.5</v>
      </c>
      <c r="D101" s="152">
        <f ca="1">SUM(Tbl_Load_distrib[[#This Row],[Hull &amp; Structure]:[Reserved]])</f>
        <v>8.8333333333333339</v>
      </c>
      <c r="E101" s="147">
        <f>SUMIFS(Tbl_Hull_Structure[Spread],Tbl_Hull_Structure[L from],"&lt;"&amp;Tbl_Load_distrib[[#This Row],[x]],Tbl_Hull_Structure[L to],"&gt;"&amp;C100)*Tbl_Load_distrib[[#This Row],[L_elt]]</f>
        <v>4.666666666666667</v>
      </c>
      <c r="F101" s="260">
        <f ca="1">SUMIFS(Tbl_Ballasts[Spread],Tbl_Ballasts[L from],"&lt;"&amp;Tbl_Load_distrib[[#This Row],[x]],Tbl_Ballasts[L to],"&gt;"&amp;C100)*Tbl_Load_distrib[[#This Row],[L_elt]]</f>
        <v>0</v>
      </c>
      <c r="G101" s="260">
        <f>SUMIFS(Tbl_Lifting[Spread],Tbl_Lifting[L from],"&lt;"&amp;Tbl_Load_distrib[[#This Row],[x]],Tbl_Lifting[L to],"&gt;"&amp;C100)*Tbl_Load_distrib[[#This Row],[L_elt]]</f>
        <v>0</v>
      </c>
      <c r="H101" s="260">
        <f>SUMIFS(Tbl_Additionals[Spread],Tbl_Additionals[L from],"&lt;"&amp;Tbl_Load_distrib[[#This Row],[x]],Tbl_Additionals[L to],"&gt;"&amp;C100)*Tbl_Load_distrib[[#This Row],[L_elt]]</f>
        <v>4.166666666666667</v>
      </c>
      <c r="I101" s="260">
        <f ca="1">SUMIFS(Tbl_Deck_Tank[Spread],Tbl_Deck_Tank[L from],"&lt;"&amp;Tbl_Load_distrib[[#This Row],[x]],Tbl_Deck_Tank[L to],"&gt;"&amp;C100)*Tbl_Load_distrib[[#This Row],[L_elt]]</f>
        <v>0</v>
      </c>
      <c r="J101" s="137"/>
      <c r="K101" s="165">
        <f>IFERROR(Tbl_Long_Section[[#This Row],[H Deck-Bottom]],NA())</f>
        <v>4</v>
      </c>
      <c r="L101" s="829">
        <f>M_depth-Tbl_Load_distrib[[#This Row],[H Deck-Bottom]]</f>
        <v>0</v>
      </c>
      <c r="M101" s="929">
        <f>IFERROR(Tbl_Load_distrib[[#This Row],[x]]-C100,0)</f>
        <v>0.5</v>
      </c>
      <c r="N101" s="929">
        <f ca="1">IF(ISNA(Tbl_Load_distrib[[#This Row],[x]]),NA(),IF(ISTEXT(N100),0,IF(N100=0,$Z$3,N100-($Z$3-$AA$3)/(Lpp-FE_size)*Tbl_Load_distrib[[#This Row],[L_elt]])))</f>
        <v>1.0163363612561906</v>
      </c>
      <c r="O101" s="166">
        <f ca="1">IF(ISNUMBER(O100),(IF((N100-L100)&lt;0,0,N100-L100)+IF((Tbl_Load_distrib[[#This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0.50803916127843118</v>
      </c>
      <c r="P101" s="929">
        <f ca="1">IF(ISNA(Tbl_Load_distrib[[#This Row],[x]]),NA(),IF(ISTEXT(P100),0,IF(P100=0,LongSection_DraftAft,P100-(LongSection_DraftAft-LongSection_DraftFore)/(Lpp-FE_size)*Tbl_Load_distrib[[#This Row],[L_elt]])))</f>
        <v>0.99820383734251139</v>
      </c>
      <c r="Q101" s="166">
        <f ca="1">IF(ISNUMBER(Q100),(IF((P100-L100)&lt;0,0,P100-L100)+IF((Tbl_Load_distrib[[#This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0.49910429442241522</v>
      </c>
      <c r="R101" s="167">
        <f ca="1">ρ_sw*Tbl_Load_distrib[[#This Row],[Elt Area corrected]]*B/k_depl</f>
        <v>10.224839064448254</v>
      </c>
      <c r="S101" s="180">
        <f ca="1">Tbl_Load_distrib[[#This Row],[Section Weight]]-Tbl_Load_distrib[[#This Row],[Floating Elt]]</f>
        <v>-1.3915057311149202</v>
      </c>
      <c r="T101" s="183">
        <f ca="1">IF(ISTEXT($T100),0,$T100+Tbl_Load_distrib[[#This Row],[Net force / Elt]])</f>
        <v>-48.89991359873639</v>
      </c>
      <c r="U101" s="169">
        <f ca="1">IF(ISTEXT($U100),0,$U100+Tbl_Load_distrib[[#This Row],[Shearing Force]]*Tbl_Load_distrib[[#This Row],[L_elt]])</f>
        <v>636.76096201842256</v>
      </c>
    </row>
    <row r="102" spans="2:21" x14ac:dyDescent="0.25">
      <c r="B102" s="136">
        <f t="shared" si="3"/>
        <v>96</v>
      </c>
      <c r="C102" s="139">
        <f t="shared" si="4"/>
        <v>48</v>
      </c>
      <c r="D102" s="152">
        <f ca="1">SUM(Tbl_Load_distrib[[#This Row],[Hull &amp; Structure]:[Reserved]])</f>
        <v>8.8333333333333339</v>
      </c>
      <c r="E102" s="147">
        <f>SUMIFS(Tbl_Hull_Structure[Spread],Tbl_Hull_Structure[L from],"&lt;"&amp;Tbl_Load_distrib[[#This Row],[x]],Tbl_Hull_Structure[L to],"&gt;"&amp;C101)*Tbl_Load_distrib[[#This Row],[L_elt]]</f>
        <v>4.666666666666667</v>
      </c>
      <c r="F102" s="260">
        <f ca="1">SUMIFS(Tbl_Ballasts[Spread],Tbl_Ballasts[L from],"&lt;"&amp;Tbl_Load_distrib[[#This Row],[x]],Tbl_Ballasts[L to],"&gt;"&amp;C101)*Tbl_Load_distrib[[#This Row],[L_elt]]</f>
        <v>0</v>
      </c>
      <c r="G102" s="260">
        <f>SUMIFS(Tbl_Lifting[Spread],Tbl_Lifting[L from],"&lt;"&amp;Tbl_Load_distrib[[#This Row],[x]],Tbl_Lifting[L to],"&gt;"&amp;C101)*Tbl_Load_distrib[[#This Row],[L_elt]]</f>
        <v>0</v>
      </c>
      <c r="H102" s="260">
        <f>SUMIFS(Tbl_Additionals[Spread],Tbl_Additionals[L from],"&lt;"&amp;Tbl_Load_distrib[[#This Row],[x]],Tbl_Additionals[L to],"&gt;"&amp;C101)*Tbl_Load_distrib[[#This Row],[L_elt]]</f>
        <v>4.166666666666667</v>
      </c>
      <c r="I102" s="260">
        <f ca="1">SUMIFS(Tbl_Deck_Tank[Spread],Tbl_Deck_Tank[L from],"&lt;"&amp;Tbl_Load_distrib[[#This Row],[x]],Tbl_Deck_Tank[L to],"&gt;"&amp;C101)*Tbl_Load_distrib[[#This Row],[L_elt]]</f>
        <v>0</v>
      </c>
      <c r="J102" s="137"/>
      <c r="K102" s="165">
        <f>IFERROR(Tbl_Long_Section[[#This Row],[H Deck-Bottom]],NA())</f>
        <v>4</v>
      </c>
      <c r="L102" s="829">
        <f>M_depth-Tbl_Load_distrib[[#This Row],[H Deck-Bottom]]</f>
        <v>0</v>
      </c>
      <c r="M102" s="929">
        <f>IFERROR(Tbl_Load_distrib[[#This Row],[x]]-C101,0)</f>
        <v>0.5</v>
      </c>
      <c r="N102" s="929">
        <f ca="1">IF(ISNA(Tbl_Load_distrib[[#This Row],[x]]),NA(),IF(ISTEXT(N101),0,IF(N101=0,$Z$3,N101-($Z$3-$AA$3)/(Lpp-FE_size)*Tbl_Load_distrib[[#This Row],[L_elt]])))</f>
        <v>1.0168524386548474</v>
      </c>
      <c r="O102" s="166">
        <f ca="1">IF(ISNUMBER(O101),(IF((N101-L101)&lt;0,0,N101-L101)+IF((Tbl_Load_distrib[[#This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0.50829719997775946</v>
      </c>
      <c r="P102" s="929">
        <f ca="1">IF(ISNA(Tbl_Load_distrib[[#This Row],[x]]),NA(),IF(ISTEXT(P101),0,IF(P101=0,LongSection_DraftAft,P101-(LongSection_DraftAft-LongSection_DraftFore)/(Lpp-FE_size)*Tbl_Load_distrib[[#This Row],[L_elt]])))</f>
        <v>0.99819433433787319</v>
      </c>
      <c r="Q102" s="166">
        <f ca="1">IF(ISNUMBER(Q101),(IF((P101-L101)&lt;0,0,P101-L101)+IF((Tbl_Load_distrib[[#This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0.49909954292009617</v>
      </c>
      <c r="R102" s="167">
        <f ca="1">ρ_sw*Tbl_Load_distrib[[#This Row],[Elt Area corrected]]*B/k_depl</f>
        <v>10.224741723377322</v>
      </c>
      <c r="S102" s="180">
        <f ca="1">Tbl_Load_distrib[[#This Row],[Section Weight]]-Tbl_Load_distrib[[#This Row],[Floating Elt]]</f>
        <v>-1.3914083900439884</v>
      </c>
      <c r="T102" s="183">
        <f ca="1">IF(ISTEXT($T101),0,$T101+Tbl_Load_distrib[[#This Row],[Net force / Elt]])</f>
        <v>-50.291321988780382</v>
      </c>
      <c r="U102" s="169">
        <f ca="1">IF(ISTEXT($U101),0,$U101+Tbl_Load_distrib[[#This Row],[Shearing Force]]*Tbl_Load_distrib[[#This Row],[L_elt]])</f>
        <v>611.61530102403242</v>
      </c>
    </row>
    <row r="103" spans="2:21" x14ac:dyDescent="0.25">
      <c r="B103" s="136">
        <f t="shared" si="3"/>
        <v>97</v>
      </c>
      <c r="C103" s="139">
        <f t="shared" si="4"/>
        <v>48.5</v>
      </c>
      <c r="D103" s="152">
        <f ca="1">SUM(Tbl_Load_distrib[[#This Row],[Hull &amp; Structure]:[Reserved]])</f>
        <v>8.8333333333333339</v>
      </c>
      <c r="E103" s="147">
        <f>SUMIFS(Tbl_Hull_Structure[Spread],Tbl_Hull_Structure[L from],"&lt;"&amp;Tbl_Load_distrib[[#This Row],[x]],Tbl_Hull_Structure[L to],"&gt;"&amp;C102)*Tbl_Load_distrib[[#This Row],[L_elt]]</f>
        <v>4.666666666666667</v>
      </c>
      <c r="F103" s="260">
        <f ca="1">SUMIFS(Tbl_Ballasts[Spread],Tbl_Ballasts[L from],"&lt;"&amp;Tbl_Load_distrib[[#This Row],[x]],Tbl_Ballasts[L to],"&gt;"&amp;C102)*Tbl_Load_distrib[[#This Row],[L_elt]]</f>
        <v>0</v>
      </c>
      <c r="G103" s="260">
        <f>SUMIFS(Tbl_Lifting[Spread],Tbl_Lifting[L from],"&lt;"&amp;Tbl_Load_distrib[[#This Row],[x]],Tbl_Lifting[L to],"&gt;"&amp;C102)*Tbl_Load_distrib[[#This Row],[L_elt]]</f>
        <v>0</v>
      </c>
      <c r="H103" s="260">
        <f>SUMIFS(Tbl_Additionals[Spread],Tbl_Additionals[L from],"&lt;"&amp;Tbl_Load_distrib[[#This Row],[x]],Tbl_Additionals[L to],"&gt;"&amp;C102)*Tbl_Load_distrib[[#This Row],[L_elt]]</f>
        <v>4.166666666666667</v>
      </c>
      <c r="I103" s="260">
        <f ca="1">SUMIFS(Tbl_Deck_Tank[Spread],Tbl_Deck_Tank[L from],"&lt;"&amp;Tbl_Load_distrib[[#This Row],[x]],Tbl_Deck_Tank[L to],"&gt;"&amp;C102)*Tbl_Load_distrib[[#This Row],[L_elt]]</f>
        <v>0</v>
      </c>
      <c r="J103" s="137"/>
      <c r="K103" s="165">
        <f>IFERROR(Tbl_Long_Section[[#This Row],[H Deck-Bottom]],NA())</f>
        <v>4</v>
      </c>
      <c r="L103" s="829">
        <f>M_depth-Tbl_Load_distrib[[#This Row],[H Deck-Bottom]]</f>
        <v>0</v>
      </c>
      <c r="M103" s="929">
        <f>IFERROR(Tbl_Load_distrib[[#This Row],[x]]-C102,0)</f>
        <v>0.5</v>
      </c>
      <c r="N103" s="929">
        <f ca="1">IF(ISNA(Tbl_Load_distrib[[#This Row],[x]]),NA(),IF(ISTEXT(N102),0,IF(N102=0,$Z$3,N102-($Z$3-$AA$3)/(Lpp-FE_size)*Tbl_Load_distrib[[#This Row],[L_elt]])))</f>
        <v>1.0173685160535042</v>
      </c>
      <c r="O103" s="166">
        <f ca="1">IF(ISNUMBER(O102),(IF((N102-L102)&lt;0,0,N102-L102)+IF((Tbl_Load_distrib[[#This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0.50855523867708796</v>
      </c>
      <c r="P103" s="929">
        <f ca="1">IF(ISNA(Tbl_Load_distrib[[#This Row],[x]]),NA(),IF(ISTEXT(P102),0,IF(P102=0,LongSection_DraftAft,P102-(LongSection_DraftAft-LongSection_DraftFore)/(Lpp-FE_size)*Tbl_Load_distrib[[#This Row],[L_elt]])))</f>
        <v>0.99818483133323499</v>
      </c>
      <c r="Q103" s="166">
        <f ca="1">IF(ISNUMBER(Q102),(IF((P102-L102)&lt;0,0,P102-L102)+IF((Tbl_Load_distrib[[#This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0.49909479141777702</v>
      </c>
      <c r="R103" s="167">
        <f ca="1">ρ_sw*Tbl_Load_distrib[[#This Row],[Elt Area corrected]]*B/k_depl</f>
        <v>10.224644382306385</v>
      </c>
      <c r="S103" s="180">
        <f ca="1">Tbl_Load_distrib[[#This Row],[Section Weight]]-Tbl_Load_distrib[[#This Row],[Floating Elt]]</f>
        <v>-1.3913110489730514</v>
      </c>
      <c r="T103" s="183">
        <f ca="1">IF(ISTEXT($T102),0,$T102+Tbl_Load_distrib[[#This Row],[Net force / Elt]])</f>
        <v>-51.682633037753433</v>
      </c>
      <c r="U103" s="169">
        <f ca="1">IF(ISTEXT($U102),0,$U102+Tbl_Load_distrib[[#This Row],[Shearing Force]]*Tbl_Load_distrib[[#This Row],[L_elt]])</f>
        <v>585.77398450515568</v>
      </c>
    </row>
    <row r="104" spans="2:21" x14ac:dyDescent="0.25">
      <c r="B104" s="136">
        <f t="shared" si="3"/>
        <v>98</v>
      </c>
      <c r="C104" s="139">
        <f t="shared" si="4"/>
        <v>49</v>
      </c>
      <c r="D104" s="152">
        <f ca="1">SUM(Tbl_Load_distrib[[#This Row],[Hull &amp; Structure]:[Reserved]])</f>
        <v>8.8333333333333339</v>
      </c>
      <c r="E104" s="147">
        <f>SUMIFS(Tbl_Hull_Structure[Spread],Tbl_Hull_Structure[L from],"&lt;"&amp;Tbl_Load_distrib[[#This Row],[x]],Tbl_Hull_Structure[L to],"&gt;"&amp;C103)*Tbl_Load_distrib[[#This Row],[L_elt]]</f>
        <v>4.666666666666667</v>
      </c>
      <c r="F104" s="260">
        <f ca="1">SUMIFS(Tbl_Ballasts[Spread],Tbl_Ballasts[L from],"&lt;"&amp;Tbl_Load_distrib[[#This Row],[x]],Tbl_Ballasts[L to],"&gt;"&amp;C103)*Tbl_Load_distrib[[#This Row],[L_elt]]</f>
        <v>0</v>
      </c>
      <c r="G104" s="260">
        <f>SUMIFS(Tbl_Lifting[Spread],Tbl_Lifting[L from],"&lt;"&amp;Tbl_Load_distrib[[#This Row],[x]],Tbl_Lifting[L to],"&gt;"&amp;C103)*Tbl_Load_distrib[[#This Row],[L_elt]]</f>
        <v>0</v>
      </c>
      <c r="H104" s="260">
        <f>SUMIFS(Tbl_Additionals[Spread],Tbl_Additionals[L from],"&lt;"&amp;Tbl_Load_distrib[[#This Row],[x]],Tbl_Additionals[L to],"&gt;"&amp;C103)*Tbl_Load_distrib[[#This Row],[L_elt]]</f>
        <v>4.166666666666667</v>
      </c>
      <c r="I104" s="260">
        <f ca="1">SUMIFS(Tbl_Deck_Tank[Spread],Tbl_Deck_Tank[L from],"&lt;"&amp;Tbl_Load_distrib[[#This Row],[x]],Tbl_Deck_Tank[L to],"&gt;"&amp;C103)*Tbl_Load_distrib[[#This Row],[L_elt]]</f>
        <v>0</v>
      </c>
      <c r="J104" s="137"/>
      <c r="K104" s="165">
        <f>IFERROR(Tbl_Long_Section[[#This Row],[H Deck-Bottom]],NA())</f>
        <v>4</v>
      </c>
      <c r="L104" s="829">
        <f>M_depth-Tbl_Load_distrib[[#This Row],[H Deck-Bottom]]</f>
        <v>0</v>
      </c>
      <c r="M104" s="929">
        <f>IFERROR(Tbl_Load_distrib[[#This Row],[x]]-C103,0)</f>
        <v>0.5</v>
      </c>
      <c r="N104" s="929">
        <f ca="1">IF(ISNA(Tbl_Load_distrib[[#This Row],[x]]),NA(),IF(ISTEXT(N103),0,IF(N103=0,$Z$3,N103-($Z$3-$AA$3)/(Lpp-FE_size)*Tbl_Load_distrib[[#This Row],[L_elt]])))</f>
        <v>1.017884593452161</v>
      </c>
      <c r="O104" s="166">
        <f ca="1">IF(ISNUMBER(O103),(IF((N103-L103)&lt;0,0,N103-L103)+IF((Tbl_Load_distrib[[#This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0.50881327737641624</v>
      </c>
      <c r="P104" s="929">
        <f ca="1">IF(ISNA(Tbl_Load_distrib[[#This Row],[x]]),NA(),IF(ISTEXT(P103),0,IF(P103=0,LongSection_DraftAft,P103-(LongSection_DraftAft-LongSection_DraftFore)/(Lpp-FE_size)*Tbl_Load_distrib[[#This Row],[L_elt]])))</f>
        <v>0.99817532832859679</v>
      </c>
      <c r="Q104" s="166">
        <f ca="1">IF(ISNUMBER(Q103),(IF((P103-L103)&lt;0,0,P103-L103)+IF((Tbl_Load_distrib[[#This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0.49909003991545797</v>
      </c>
      <c r="R104" s="167">
        <f ca="1">ρ_sw*Tbl_Load_distrib[[#This Row],[Elt Area corrected]]*B/k_depl</f>
        <v>10.224547041235452</v>
      </c>
      <c r="S104" s="180">
        <f ca="1">Tbl_Load_distrib[[#This Row],[Section Weight]]-Tbl_Load_distrib[[#This Row],[Floating Elt]]</f>
        <v>-1.3912137079021178</v>
      </c>
      <c r="T104" s="183">
        <f ca="1">IF(ISTEXT($T103),0,$T103+Tbl_Load_distrib[[#This Row],[Net force / Elt]])</f>
        <v>-53.073846745655551</v>
      </c>
      <c r="U104" s="169">
        <f ca="1">IF(ISTEXT($U103),0,$U103+Tbl_Load_distrib[[#This Row],[Shearing Force]]*Tbl_Load_distrib[[#This Row],[L_elt]])</f>
        <v>559.23706113232788</v>
      </c>
    </row>
    <row r="105" spans="2:21" x14ac:dyDescent="0.25">
      <c r="B105" s="136">
        <f t="shared" si="3"/>
        <v>99</v>
      </c>
      <c r="C105" s="139">
        <f t="shared" si="4"/>
        <v>49.5</v>
      </c>
      <c r="D105" s="152">
        <f ca="1">SUM(Tbl_Load_distrib[[#This Row],[Hull &amp; Structure]:[Reserved]])</f>
        <v>8.8333333333333339</v>
      </c>
      <c r="E105" s="147">
        <f>SUMIFS(Tbl_Hull_Structure[Spread],Tbl_Hull_Structure[L from],"&lt;"&amp;Tbl_Load_distrib[[#This Row],[x]],Tbl_Hull_Structure[L to],"&gt;"&amp;C104)*Tbl_Load_distrib[[#This Row],[L_elt]]</f>
        <v>4.666666666666667</v>
      </c>
      <c r="F105" s="260">
        <f ca="1">SUMIFS(Tbl_Ballasts[Spread],Tbl_Ballasts[L from],"&lt;"&amp;Tbl_Load_distrib[[#This Row],[x]],Tbl_Ballasts[L to],"&gt;"&amp;C104)*Tbl_Load_distrib[[#This Row],[L_elt]]</f>
        <v>0</v>
      </c>
      <c r="G105" s="260">
        <f>SUMIFS(Tbl_Lifting[Spread],Tbl_Lifting[L from],"&lt;"&amp;Tbl_Load_distrib[[#This Row],[x]],Tbl_Lifting[L to],"&gt;"&amp;C104)*Tbl_Load_distrib[[#This Row],[L_elt]]</f>
        <v>0</v>
      </c>
      <c r="H105" s="260">
        <f>SUMIFS(Tbl_Additionals[Spread],Tbl_Additionals[L from],"&lt;"&amp;Tbl_Load_distrib[[#This Row],[x]],Tbl_Additionals[L to],"&gt;"&amp;C104)*Tbl_Load_distrib[[#This Row],[L_elt]]</f>
        <v>4.166666666666667</v>
      </c>
      <c r="I105" s="260">
        <f ca="1">SUMIFS(Tbl_Deck_Tank[Spread],Tbl_Deck_Tank[L from],"&lt;"&amp;Tbl_Load_distrib[[#This Row],[x]],Tbl_Deck_Tank[L to],"&gt;"&amp;C104)*Tbl_Load_distrib[[#This Row],[L_elt]]</f>
        <v>0</v>
      </c>
      <c r="J105" s="137"/>
      <c r="K105" s="165">
        <f>IFERROR(Tbl_Long_Section[[#This Row],[H Deck-Bottom]],NA())</f>
        <v>4</v>
      </c>
      <c r="L105" s="829">
        <f>M_depth-Tbl_Load_distrib[[#This Row],[H Deck-Bottom]]</f>
        <v>0</v>
      </c>
      <c r="M105" s="929">
        <f>IFERROR(Tbl_Load_distrib[[#This Row],[x]]-C104,0)</f>
        <v>0.5</v>
      </c>
      <c r="N105" s="929">
        <f ca="1">IF(ISNA(Tbl_Load_distrib[[#This Row],[x]]),NA(),IF(ISTEXT(N104),0,IF(N104=0,$Z$3,N104-($Z$3-$AA$3)/(Lpp-FE_size)*Tbl_Load_distrib[[#This Row],[L_elt]])))</f>
        <v>1.0184006708508178</v>
      </c>
      <c r="O105" s="166">
        <f ca="1">IF(ISNUMBER(O104),(IF((N104-L104)&lt;0,0,N104-L104)+IF((Tbl_Load_distrib[[#This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0.50907131607574474</v>
      </c>
      <c r="P105" s="929">
        <f ca="1">IF(ISNA(Tbl_Load_distrib[[#This Row],[x]]),NA(),IF(ISTEXT(P104),0,IF(P104=0,LongSection_DraftAft,P104-(LongSection_DraftAft-LongSection_DraftFore)/(Lpp-FE_size)*Tbl_Load_distrib[[#This Row],[L_elt]])))</f>
        <v>0.99816582532395859</v>
      </c>
      <c r="Q105" s="166">
        <f ca="1">IF(ISNUMBER(Q104),(IF((P104-L104)&lt;0,0,P104-L104)+IF((Tbl_Load_distrib[[#This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0.49908528841313882</v>
      </c>
      <c r="R105" s="167">
        <f ca="1">ρ_sw*Tbl_Load_distrib[[#This Row],[Elt Area corrected]]*B/k_depl</f>
        <v>10.224449700164516</v>
      </c>
      <c r="S105" s="180">
        <f ca="1">Tbl_Load_distrib[[#This Row],[Section Weight]]-Tbl_Load_distrib[[#This Row],[Floating Elt]]</f>
        <v>-1.3911163668311826</v>
      </c>
      <c r="T105" s="183">
        <f ca="1">IF(ISTEXT($T104),0,$T104+Tbl_Load_distrib[[#This Row],[Net force / Elt]])</f>
        <v>-54.464963112486735</v>
      </c>
      <c r="U105" s="169">
        <f ca="1">IF(ISTEXT($U104),0,$U104+Tbl_Load_distrib[[#This Row],[Shearing Force]]*Tbl_Load_distrib[[#This Row],[L_elt]])</f>
        <v>532.00457957608455</v>
      </c>
    </row>
    <row r="106" spans="2:21" x14ac:dyDescent="0.25">
      <c r="B106" s="136">
        <f t="shared" si="3"/>
        <v>100</v>
      </c>
      <c r="C106" s="139">
        <f t="shared" si="4"/>
        <v>50</v>
      </c>
      <c r="D106" s="152">
        <f ca="1">SUM(Tbl_Load_distrib[[#This Row],[Hull &amp; Structure]:[Reserved]])</f>
        <v>8.8333333333333339</v>
      </c>
      <c r="E106" s="147">
        <f>SUMIFS(Tbl_Hull_Structure[Spread],Tbl_Hull_Structure[L from],"&lt;"&amp;Tbl_Load_distrib[[#This Row],[x]],Tbl_Hull_Structure[L to],"&gt;"&amp;C105)*Tbl_Load_distrib[[#This Row],[L_elt]]</f>
        <v>4.666666666666667</v>
      </c>
      <c r="F106" s="260">
        <f ca="1">SUMIFS(Tbl_Ballasts[Spread],Tbl_Ballasts[L from],"&lt;"&amp;Tbl_Load_distrib[[#This Row],[x]],Tbl_Ballasts[L to],"&gt;"&amp;C105)*Tbl_Load_distrib[[#This Row],[L_elt]]</f>
        <v>0</v>
      </c>
      <c r="G106" s="260">
        <f>SUMIFS(Tbl_Lifting[Spread],Tbl_Lifting[L from],"&lt;"&amp;Tbl_Load_distrib[[#This Row],[x]],Tbl_Lifting[L to],"&gt;"&amp;C105)*Tbl_Load_distrib[[#This Row],[L_elt]]</f>
        <v>0</v>
      </c>
      <c r="H106" s="260">
        <f>SUMIFS(Tbl_Additionals[Spread],Tbl_Additionals[L from],"&lt;"&amp;Tbl_Load_distrib[[#This Row],[x]],Tbl_Additionals[L to],"&gt;"&amp;C105)*Tbl_Load_distrib[[#This Row],[L_elt]]</f>
        <v>4.166666666666667</v>
      </c>
      <c r="I106" s="260">
        <f ca="1">SUMIFS(Tbl_Deck_Tank[Spread],Tbl_Deck_Tank[L from],"&lt;"&amp;Tbl_Load_distrib[[#This Row],[x]],Tbl_Deck_Tank[L to],"&gt;"&amp;C105)*Tbl_Load_distrib[[#This Row],[L_elt]]</f>
        <v>0</v>
      </c>
      <c r="J106" s="137"/>
      <c r="K106" s="165">
        <f>IFERROR(Tbl_Long_Section[[#This Row],[H Deck-Bottom]],NA())</f>
        <v>4</v>
      </c>
      <c r="L106" s="829">
        <f>M_depth-Tbl_Load_distrib[[#This Row],[H Deck-Bottom]]</f>
        <v>0</v>
      </c>
      <c r="M106" s="929">
        <f>IFERROR(Tbl_Load_distrib[[#This Row],[x]]-C105,0)</f>
        <v>0.5</v>
      </c>
      <c r="N106" s="929">
        <f ca="1">IF(ISNA(Tbl_Load_distrib[[#This Row],[x]]),NA(),IF(ISTEXT(N105),0,IF(N105=0,$Z$3,N105-($Z$3-$AA$3)/(Lpp-FE_size)*Tbl_Load_distrib[[#This Row],[L_elt]])))</f>
        <v>1.0189167482494745</v>
      </c>
      <c r="O106" s="166">
        <f ca="1">IF(ISNUMBER(O105),(IF((N105-L105)&lt;0,0,N105-L105)+IF((Tbl_Load_distrib[[#This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0.50932935477507302</v>
      </c>
      <c r="P106" s="929">
        <f ca="1">IF(ISNA(Tbl_Load_distrib[[#This Row],[x]]),NA(),IF(ISTEXT(P105),0,IF(P105=0,LongSection_DraftAft,P105-(LongSection_DraftAft-LongSection_DraftFore)/(Lpp-FE_size)*Tbl_Load_distrib[[#This Row],[L_elt]])))</f>
        <v>0.99815632231932039</v>
      </c>
      <c r="Q106" s="166">
        <f ca="1">IF(ISNUMBER(Q105),(IF((P105-L105)&lt;0,0,P105-L105)+IF((Tbl_Load_distrib[[#This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0.49908053691081977</v>
      </c>
      <c r="R106" s="167">
        <f ca="1">ρ_sw*Tbl_Load_distrib[[#This Row],[Elt Area corrected]]*B/k_depl</f>
        <v>10.224352359093581</v>
      </c>
      <c r="S106" s="180">
        <f ca="1">Tbl_Load_distrib[[#This Row],[Section Weight]]-Tbl_Load_distrib[[#This Row],[Floating Elt]]</f>
        <v>-1.3910190257602473</v>
      </c>
      <c r="T106" s="183">
        <f ca="1">IF(ISTEXT($T105),0,$T105+Tbl_Load_distrib[[#This Row],[Net force / Elt]])</f>
        <v>-55.855982138246986</v>
      </c>
      <c r="U106" s="169">
        <f ca="1">IF(ISTEXT($U105),0,$U105+Tbl_Load_distrib[[#This Row],[Shearing Force]]*Tbl_Load_distrib[[#This Row],[L_elt]])</f>
        <v>504.07658850696106</v>
      </c>
    </row>
    <row r="107" spans="2:21" x14ac:dyDescent="0.25">
      <c r="B107" s="136">
        <f t="shared" si="3"/>
        <v>101</v>
      </c>
      <c r="C107" s="139">
        <f t="shared" si="4"/>
        <v>50.5</v>
      </c>
      <c r="D107" s="152">
        <f ca="1">SUM(Tbl_Load_distrib[[#This Row],[Hull &amp; Structure]:[Reserved]])</f>
        <v>8.8333333333333339</v>
      </c>
      <c r="E107" s="147">
        <f>SUMIFS(Tbl_Hull_Structure[Spread],Tbl_Hull_Structure[L from],"&lt;"&amp;Tbl_Load_distrib[[#This Row],[x]],Tbl_Hull_Structure[L to],"&gt;"&amp;C106)*Tbl_Load_distrib[[#This Row],[L_elt]]</f>
        <v>4.666666666666667</v>
      </c>
      <c r="F107" s="260">
        <f ca="1">SUMIFS(Tbl_Ballasts[Spread],Tbl_Ballasts[L from],"&lt;"&amp;Tbl_Load_distrib[[#This Row],[x]],Tbl_Ballasts[L to],"&gt;"&amp;C106)*Tbl_Load_distrib[[#This Row],[L_elt]]</f>
        <v>0</v>
      </c>
      <c r="G107" s="260">
        <f>SUMIFS(Tbl_Lifting[Spread],Tbl_Lifting[L from],"&lt;"&amp;Tbl_Load_distrib[[#This Row],[x]],Tbl_Lifting[L to],"&gt;"&amp;C106)*Tbl_Load_distrib[[#This Row],[L_elt]]</f>
        <v>0</v>
      </c>
      <c r="H107" s="260">
        <f>SUMIFS(Tbl_Additionals[Spread],Tbl_Additionals[L from],"&lt;"&amp;Tbl_Load_distrib[[#This Row],[x]],Tbl_Additionals[L to],"&gt;"&amp;C106)*Tbl_Load_distrib[[#This Row],[L_elt]]</f>
        <v>4.166666666666667</v>
      </c>
      <c r="I107" s="260">
        <f ca="1">SUMIFS(Tbl_Deck_Tank[Spread],Tbl_Deck_Tank[L from],"&lt;"&amp;Tbl_Load_distrib[[#This Row],[x]],Tbl_Deck_Tank[L to],"&gt;"&amp;C106)*Tbl_Load_distrib[[#This Row],[L_elt]]</f>
        <v>0</v>
      </c>
      <c r="J107" s="137"/>
      <c r="K107" s="165">
        <f>IFERROR(Tbl_Long_Section[[#This Row],[H Deck-Bottom]],NA())</f>
        <v>4</v>
      </c>
      <c r="L107" s="829">
        <f>M_depth-Tbl_Load_distrib[[#This Row],[H Deck-Bottom]]</f>
        <v>0</v>
      </c>
      <c r="M107" s="929">
        <f>IFERROR(Tbl_Load_distrib[[#This Row],[x]]-C106,0)</f>
        <v>0.5</v>
      </c>
      <c r="N107" s="929">
        <f ca="1">IF(ISNA(Tbl_Load_distrib[[#This Row],[x]]),NA(),IF(ISTEXT(N106),0,IF(N106=0,$Z$3,N106-($Z$3-$AA$3)/(Lpp-FE_size)*Tbl_Load_distrib[[#This Row],[L_elt]])))</f>
        <v>1.0194328256481313</v>
      </c>
      <c r="O107" s="166">
        <f ca="1">IF(ISNUMBER(O106),(IF((N106-L106)&lt;0,0,N106-L106)+IF((Tbl_Load_distrib[[#This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0.50958739347440152</v>
      </c>
      <c r="P107" s="929">
        <f ca="1">IF(ISNA(Tbl_Load_distrib[[#This Row],[x]]),NA(),IF(ISTEXT(P106),0,IF(P106=0,LongSection_DraftAft,P106-(LongSection_DraftAft-LongSection_DraftFore)/(Lpp-FE_size)*Tbl_Load_distrib[[#This Row],[L_elt]])))</f>
        <v>0.99814681931468219</v>
      </c>
      <c r="Q107" s="166">
        <f ca="1">IF(ISNUMBER(Q106),(IF((P106-L106)&lt;0,0,P106-L106)+IF((Tbl_Load_distrib[[#This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0.49907578540850062</v>
      </c>
      <c r="R107" s="167">
        <f ca="1">ρ_sw*Tbl_Load_distrib[[#This Row],[Elt Area corrected]]*B/k_depl</f>
        <v>10.224255018022646</v>
      </c>
      <c r="S107" s="180">
        <f ca="1">Tbl_Load_distrib[[#This Row],[Section Weight]]-Tbl_Load_distrib[[#This Row],[Floating Elt]]</f>
        <v>-1.390921684689312</v>
      </c>
      <c r="T107" s="183">
        <f ca="1">IF(ISTEXT($T106),0,$T106+Tbl_Load_distrib[[#This Row],[Net force / Elt]])</f>
        <v>-57.246903822936297</v>
      </c>
      <c r="U107" s="169">
        <f ca="1">IF(ISTEXT($U106),0,$U106+Tbl_Load_distrib[[#This Row],[Shearing Force]]*Tbl_Load_distrib[[#This Row],[L_elt]])</f>
        <v>475.45313659549294</v>
      </c>
    </row>
    <row r="108" spans="2:21" x14ac:dyDescent="0.25">
      <c r="B108" s="136">
        <f t="shared" si="3"/>
        <v>102</v>
      </c>
      <c r="C108" s="139">
        <f t="shared" si="4"/>
        <v>51</v>
      </c>
      <c r="D108" s="152">
        <f ca="1">SUM(Tbl_Load_distrib[[#This Row],[Hull &amp; Structure]:[Reserved]])</f>
        <v>8.8333333333333339</v>
      </c>
      <c r="E108" s="147">
        <f>SUMIFS(Tbl_Hull_Structure[Spread],Tbl_Hull_Structure[L from],"&lt;"&amp;Tbl_Load_distrib[[#This Row],[x]],Tbl_Hull_Structure[L to],"&gt;"&amp;C107)*Tbl_Load_distrib[[#This Row],[L_elt]]</f>
        <v>4.666666666666667</v>
      </c>
      <c r="F108" s="260">
        <f ca="1">SUMIFS(Tbl_Ballasts[Spread],Tbl_Ballasts[L from],"&lt;"&amp;Tbl_Load_distrib[[#This Row],[x]],Tbl_Ballasts[L to],"&gt;"&amp;C107)*Tbl_Load_distrib[[#This Row],[L_elt]]</f>
        <v>0</v>
      </c>
      <c r="G108" s="260">
        <f>SUMIFS(Tbl_Lifting[Spread],Tbl_Lifting[L from],"&lt;"&amp;Tbl_Load_distrib[[#This Row],[x]],Tbl_Lifting[L to],"&gt;"&amp;C107)*Tbl_Load_distrib[[#This Row],[L_elt]]</f>
        <v>0</v>
      </c>
      <c r="H108" s="260">
        <f>SUMIFS(Tbl_Additionals[Spread],Tbl_Additionals[L from],"&lt;"&amp;Tbl_Load_distrib[[#This Row],[x]],Tbl_Additionals[L to],"&gt;"&amp;C107)*Tbl_Load_distrib[[#This Row],[L_elt]]</f>
        <v>4.166666666666667</v>
      </c>
      <c r="I108" s="260">
        <f ca="1">SUMIFS(Tbl_Deck_Tank[Spread],Tbl_Deck_Tank[L from],"&lt;"&amp;Tbl_Load_distrib[[#This Row],[x]],Tbl_Deck_Tank[L to],"&gt;"&amp;C107)*Tbl_Load_distrib[[#This Row],[L_elt]]</f>
        <v>0</v>
      </c>
      <c r="J108" s="137"/>
      <c r="K108" s="165">
        <f>IFERROR(Tbl_Long_Section[[#This Row],[H Deck-Bottom]],NA())</f>
        <v>4</v>
      </c>
      <c r="L108" s="829">
        <f>M_depth-Tbl_Load_distrib[[#This Row],[H Deck-Bottom]]</f>
        <v>0</v>
      </c>
      <c r="M108" s="929">
        <f>IFERROR(Tbl_Load_distrib[[#This Row],[x]]-C107,0)</f>
        <v>0.5</v>
      </c>
      <c r="N108" s="929">
        <f ca="1">IF(ISNA(Tbl_Load_distrib[[#This Row],[x]]),NA(),IF(ISTEXT(N107),0,IF(N107=0,$Z$3,N107-($Z$3-$AA$3)/(Lpp-FE_size)*Tbl_Load_distrib[[#This Row],[L_elt]])))</f>
        <v>1.0199489030467881</v>
      </c>
      <c r="O108" s="166">
        <f ca="1">IF(ISNUMBER(O107),(IF((N107-L107)&lt;0,0,N107-L107)+IF((Tbl_Load_distrib[[#This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0.5098454321737298</v>
      </c>
      <c r="P108" s="929">
        <f ca="1">IF(ISNA(Tbl_Load_distrib[[#This Row],[x]]),NA(),IF(ISTEXT(P107),0,IF(P107=0,LongSection_DraftAft,P107-(LongSection_DraftAft-LongSection_DraftFore)/(Lpp-FE_size)*Tbl_Load_distrib[[#This Row],[L_elt]])))</f>
        <v>0.99813731631004399</v>
      </c>
      <c r="Q108" s="166">
        <f ca="1">IF(ISNUMBER(Q107),(IF((P107-L107)&lt;0,0,P107-L107)+IF((Tbl_Load_distrib[[#This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0.49907103390618157</v>
      </c>
      <c r="R108" s="167">
        <f ca="1">ρ_sw*Tbl_Load_distrib[[#This Row],[Elt Area corrected]]*B/k_depl</f>
        <v>10.224157676951714</v>
      </c>
      <c r="S108" s="180">
        <f ca="1">Tbl_Load_distrib[[#This Row],[Section Weight]]-Tbl_Load_distrib[[#This Row],[Floating Elt]]</f>
        <v>-1.3908243436183803</v>
      </c>
      <c r="T108" s="183">
        <f ca="1">IF(ISTEXT($T107),0,$T107+Tbl_Load_distrib[[#This Row],[Net force / Elt]])</f>
        <v>-58.63772816655468</v>
      </c>
      <c r="U108" s="169">
        <f ca="1">IF(ISTEXT($U107),0,$U107+Tbl_Load_distrib[[#This Row],[Shearing Force]]*Tbl_Load_distrib[[#This Row],[L_elt]])</f>
        <v>446.1342725122156</v>
      </c>
    </row>
    <row r="109" spans="2:21" x14ac:dyDescent="0.25">
      <c r="B109" s="136">
        <f t="shared" si="3"/>
        <v>103</v>
      </c>
      <c r="C109" s="139">
        <f t="shared" si="4"/>
        <v>51.5</v>
      </c>
      <c r="D109" s="152">
        <f ca="1">SUM(Tbl_Load_distrib[[#This Row],[Hull &amp; Structure]:[Reserved]])</f>
        <v>8.8333333333333339</v>
      </c>
      <c r="E109" s="147">
        <f>SUMIFS(Tbl_Hull_Structure[Spread],Tbl_Hull_Structure[L from],"&lt;"&amp;Tbl_Load_distrib[[#This Row],[x]],Tbl_Hull_Structure[L to],"&gt;"&amp;C108)*Tbl_Load_distrib[[#This Row],[L_elt]]</f>
        <v>4.666666666666667</v>
      </c>
      <c r="F109" s="260">
        <f ca="1">SUMIFS(Tbl_Ballasts[Spread],Tbl_Ballasts[L from],"&lt;"&amp;Tbl_Load_distrib[[#This Row],[x]],Tbl_Ballasts[L to],"&gt;"&amp;C108)*Tbl_Load_distrib[[#This Row],[L_elt]]</f>
        <v>0</v>
      </c>
      <c r="G109" s="260">
        <f>SUMIFS(Tbl_Lifting[Spread],Tbl_Lifting[L from],"&lt;"&amp;Tbl_Load_distrib[[#This Row],[x]],Tbl_Lifting[L to],"&gt;"&amp;C108)*Tbl_Load_distrib[[#This Row],[L_elt]]</f>
        <v>0</v>
      </c>
      <c r="H109" s="260">
        <f>SUMIFS(Tbl_Additionals[Spread],Tbl_Additionals[L from],"&lt;"&amp;Tbl_Load_distrib[[#This Row],[x]],Tbl_Additionals[L to],"&gt;"&amp;C108)*Tbl_Load_distrib[[#This Row],[L_elt]]</f>
        <v>4.166666666666667</v>
      </c>
      <c r="I109" s="260">
        <f ca="1">SUMIFS(Tbl_Deck_Tank[Spread],Tbl_Deck_Tank[L from],"&lt;"&amp;Tbl_Load_distrib[[#This Row],[x]],Tbl_Deck_Tank[L to],"&gt;"&amp;C108)*Tbl_Load_distrib[[#This Row],[L_elt]]</f>
        <v>0</v>
      </c>
      <c r="J109" s="137"/>
      <c r="K109" s="165">
        <f>IFERROR(Tbl_Long_Section[[#This Row],[H Deck-Bottom]],NA())</f>
        <v>4</v>
      </c>
      <c r="L109" s="829">
        <f>M_depth-Tbl_Load_distrib[[#This Row],[H Deck-Bottom]]</f>
        <v>0</v>
      </c>
      <c r="M109" s="929">
        <f>IFERROR(Tbl_Load_distrib[[#This Row],[x]]-C108,0)</f>
        <v>0.5</v>
      </c>
      <c r="N109" s="929">
        <f ca="1">IF(ISNA(Tbl_Load_distrib[[#This Row],[x]]),NA(),IF(ISTEXT(N108),0,IF(N108=0,$Z$3,N108-($Z$3-$AA$3)/(Lpp-FE_size)*Tbl_Load_distrib[[#This Row],[L_elt]])))</f>
        <v>1.0204649804454449</v>
      </c>
      <c r="O109" s="166">
        <f ca="1">IF(ISNUMBER(O108),(IF((N108-L108)&lt;0,0,N108-L108)+IF((Tbl_Load_distrib[[#This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0.5101034708730583</v>
      </c>
      <c r="P109" s="929">
        <f ca="1">IF(ISNA(Tbl_Load_distrib[[#This Row],[x]]),NA(),IF(ISTEXT(P108),0,IF(P108=0,LongSection_DraftAft,P108-(LongSection_DraftAft-LongSection_DraftFore)/(Lpp-FE_size)*Tbl_Load_distrib[[#This Row],[L_elt]])))</f>
        <v>0.99812781330540579</v>
      </c>
      <c r="Q109" s="166">
        <f ca="1">IF(ISNUMBER(Q108),(IF((P108-L108)&lt;0,0,P108-L108)+IF((Tbl_Load_distrib[[#This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0.49906628240386242</v>
      </c>
      <c r="R109" s="167">
        <f ca="1">ρ_sw*Tbl_Load_distrib[[#This Row],[Elt Area corrected]]*B/k_depl</f>
        <v>10.224060335880777</v>
      </c>
      <c r="S109" s="180">
        <f ca="1">Tbl_Load_distrib[[#This Row],[Section Weight]]-Tbl_Load_distrib[[#This Row],[Floating Elt]]</f>
        <v>-1.3907270025474432</v>
      </c>
      <c r="T109" s="183">
        <f ca="1">IF(ISTEXT($T108),0,$T108+Tbl_Load_distrib[[#This Row],[Net force / Elt]])</f>
        <v>-60.028455169102124</v>
      </c>
      <c r="U109" s="169">
        <f ca="1">IF(ISTEXT($U108),0,$U108+Tbl_Load_distrib[[#This Row],[Shearing Force]]*Tbl_Load_distrib[[#This Row],[L_elt]])</f>
        <v>416.12004492766454</v>
      </c>
    </row>
    <row r="110" spans="2:21" x14ac:dyDescent="0.25">
      <c r="B110" s="136">
        <f t="shared" si="3"/>
        <v>104</v>
      </c>
      <c r="C110" s="139">
        <f t="shared" si="4"/>
        <v>52</v>
      </c>
      <c r="D110" s="152">
        <f ca="1">SUM(Tbl_Load_distrib[[#This Row],[Hull &amp; Structure]:[Reserved]])</f>
        <v>8.8333333333333339</v>
      </c>
      <c r="E110" s="147">
        <f>SUMIFS(Tbl_Hull_Structure[Spread],Tbl_Hull_Structure[L from],"&lt;"&amp;Tbl_Load_distrib[[#This Row],[x]],Tbl_Hull_Structure[L to],"&gt;"&amp;C109)*Tbl_Load_distrib[[#This Row],[L_elt]]</f>
        <v>4.666666666666667</v>
      </c>
      <c r="F110" s="260">
        <f ca="1">SUMIFS(Tbl_Ballasts[Spread],Tbl_Ballasts[L from],"&lt;"&amp;Tbl_Load_distrib[[#This Row],[x]],Tbl_Ballasts[L to],"&gt;"&amp;C109)*Tbl_Load_distrib[[#This Row],[L_elt]]</f>
        <v>0</v>
      </c>
      <c r="G110" s="260">
        <f>SUMIFS(Tbl_Lifting[Spread],Tbl_Lifting[L from],"&lt;"&amp;Tbl_Load_distrib[[#This Row],[x]],Tbl_Lifting[L to],"&gt;"&amp;C109)*Tbl_Load_distrib[[#This Row],[L_elt]]</f>
        <v>0</v>
      </c>
      <c r="H110" s="260">
        <f>SUMIFS(Tbl_Additionals[Spread],Tbl_Additionals[L from],"&lt;"&amp;Tbl_Load_distrib[[#This Row],[x]],Tbl_Additionals[L to],"&gt;"&amp;C109)*Tbl_Load_distrib[[#This Row],[L_elt]]</f>
        <v>4.166666666666667</v>
      </c>
      <c r="I110" s="260">
        <f ca="1">SUMIFS(Tbl_Deck_Tank[Spread],Tbl_Deck_Tank[L from],"&lt;"&amp;Tbl_Load_distrib[[#This Row],[x]],Tbl_Deck_Tank[L to],"&gt;"&amp;C109)*Tbl_Load_distrib[[#This Row],[L_elt]]</f>
        <v>0</v>
      </c>
      <c r="J110" s="137"/>
      <c r="K110" s="165">
        <f>IFERROR(Tbl_Long_Section[[#This Row],[H Deck-Bottom]],NA())</f>
        <v>4</v>
      </c>
      <c r="L110" s="829">
        <f>M_depth-Tbl_Load_distrib[[#This Row],[H Deck-Bottom]]</f>
        <v>0</v>
      </c>
      <c r="M110" s="929">
        <f>IFERROR(Tbl_Load_distrib[[#This Row],[x]]-C109,0)</f>
        <v>0.5</v>
      </c>
      <c r="N110" s="929">
        <f ca="1">IF(ISNA(Tbl_Load_distrib[[#This Row],[x]]),NA(),IF(ISTEXT(N109),0,IF(N109=0,$Z$3,N109-($Z$3-$AA$3)/(Lpp-FE_size)*Tbl_Load_distrib[[#This Row],[L_elt]])))</f>
        <v>1.0209810578441016</v>
      </c>
      <c r="O110" s="166">
        <f ca="1">IF(ISNUMBER(O109),(IF((N109-L109)&lt;0,0,N109-L109)+IF((Tbl_Load_distrib[[#This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0.51036150957238657</v>
      </c>
      <c r="P110" s="929">
        <f ca="1">IF(ISNA(Tbl_Load_distrib[[#This Row],[x]]),NA(),IF(ISTEXT(P109),0,IF(P109=0,LongSection_DraftAft,P109-(LongSection_DraftAft-LongSection_DraftFore)/(Lpp-FE_size)*Tbl_Load_distrib[[#This Row],[L_elt]])))</f>
        <v>0.99811831030076759</v>
      </c>
      <c r="Q110" s="166">
        <f ca="1">IF(ISNUMBER(Q109),(IF((P109-L109)&lt;0,0,P109-L109)+IF((Tbl_Load_distrib[[#This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0.49906153090154337</v>
      </c>
      <c r="R110" s="167">
        <f ca="1">ρ_sw*Tbl_Load_distrib[[#This Row],[Elt Area corrected]]*B/k_depl</f>
        <v>10.223962994809844</v>
      </c>
      <c r="S110" s="180">
        <f ca="1">Tbl_Load_distrib[[#This Row],[Section Weight]]-Tbl_Load_distrib[[#This Row],[Floating Elt]]</f>
        <v>-1.3906296614765097</v>
      </c>
      <c r="T110" s="183">
        <f ca="1">IF(ISTEXT($T109),0,$T109+Tbl_Load_distrib[[#This Row],[Net force / Elt]])</f>
        <v>-61.419084830578633</v>
      </c>
      <c r="U110" s="169">
        <f ca="1">IF(ISTEXT($U109),0,$U109+Tbl_Load_distrib[[#This Row],[Shearing Force]]*Tbl_Load_distrib[[#This Row],[L_elt]])</f>
        <v>385.41050251237522</v>
      </c>
    </row>
    <row r="111" spans="2:21" x14ac:dyDescent="0.25">
      <c r="B111" s="136">
        <f t="shared" si="3"/>
        <v>105</v>
      </c>
      <c r="C111" s="139">
        <f t="shared" si="4"/>
        <v>52.5</v>
      </c>
      <c r="D111" s="152">
        <f ca="1">SUM(Tbl_Load_distrib[[#This Row],[Hull &amp; Structure]:[Reserved]])</f>
        <v>8.8333333333333339</v>
      </c>
      <c r="E111" s="147">
        <f>SUMIFS(Tbl_Hull_Structure[Spread],Tbl_Hull_Structure[L from],"&lt;"&amp;Tbl_Load_distrib[[#This Row],[x]],Tbl_Hull_Structure[L to],"&gt;"&amp;C110)*Tbl_Load_distrib[[#This Row],[L_elt]]</f>
        <v>4.666666666666667</v>
      </c>
      <c r="F111" s="260">
        <f ca="1">SUMIFS(Tbl_Ballasts[Spread],Tbl_Ballasts[L from],"&lt;"&amp;Tbl_Load_distrib[[#This Row],[x]],Tbl_Ballasts[L to],"&gt;"&amp;C110)*Tbl_Load_distrib[[#This Row],[L_elt]]</f>
        <v>0</v>
      </c>
      <c r="G111" s="260">
        <f>SUMIFS(Tbl_Lifting[Spread],Tbl_Lifting[L from],"&lt;"&amp;Tbl_Load_distrib[[#This Row],[x]],Tbl_Lifting[L to],"&gt;"&amp;C110)*Tbl_Load_distrib[[#This Row],[L_elt]]</f>
        <v>0</v>
      </c>
      <c r="H111" s="260">
        <f>SUMIFS(Tbl_Additionals[Spread],Tbl_Additionals[L from],"&lt;"&amp;Tbl_Load_distrib[[#This Row],[x]],Tbl_Additionals[L to],"&gt;"&amp;C110)*Tbl_Load_distrib[[#This Row],[L_elt]]</f>
        <v>4.166666666666667</v>
      </c>
      <c r="I111" s="260">
        <f ca="1">SUMIFS(Tbl_Deck_Tank[Spread],Tbl_Deck_Tank[L from],"&lt;"&amp;Tbl_Load_distrib[[#This Row],[x]],Tbl_Deck_Tank[L to],"&gt;"&amp;C110)*Tbl_Load_distrib[[#This Row],[L_elt]]</f>
        <v>0</v>
      </c>
      <c r="J111" s="137"/>
      <c r="K111" s="165">
        <f>IFERROR(Tbl_Long_Section[[#This Row],[H Deck-Bottom]],NA())</f>
        <v>4</v>
      </c>
      <c r="L111" s="829">
        <f>M_depth-Tbl_Load_distrib[[#This Row],[H Deck-Bottom]]</f>
        <v>0</v>
      </c>
      <c r="M111" s="929">
        <f>IFERROR(Tbl_Load_distrib[[#This Row],[x]]-C110,0)</f>
        <v>0.5</v>
      </c>
      <c r="N111" s="929">
        <f ca="1">IF(ISNA(Tbl_Load_distrib[[#This Row],[x]]),NA(),IF(ISTEXT(N110),0,IF(N110=0,$Z$3,N110-($Z$3-$AA$3)/(Lpp-FE_size)*Tbl_Load_distrib[[#This Row],[L_elt]])))</f>
        <v>1.0214971352427584</v>
      </c>
      <c r="O111" s="166">
        <f ca="1">IF(ISNUMBER(O110),(IF((N110-L110)&lt;0,0,N110-L110)+IF((Tbl_Load_distrib[[#This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0.51061954827171507</v>
      </c>
      <c r="P111" s="929">
        <f ca="1">IF(ISNA(Tbl_Load_distrib[[#This Row],[x]]),NA(),IF(ISTEXT(P110),0,IF(P110=0,LongSection_DraftAft,P110-(LongSection_DraftAft-LongSection_DraftFore)/(Lpp-FE_size)*Tbl_Load_distrib[[#This Row],[L_elt]])))</f>
        <v>0.99810880729612939</v>
      </c>
      <c r="Q111" s="166">
        <f ca="1">IF(ISNUMBER(Q110),(IF((P110-L110)&lt;0,0,P110-L110)+IF((Tbl_Load_distrib[[#This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0.49905677939922422</v>
      </c>
      <c r="R111" s="167">
        <f ca="1">ρ_sw*Tbl_Load_distrib[[#This Row],[Elt Area corrected]]*B/k_depl</f>
        <v>10.223865653738908</v>
      </c>
      <c r="S111" s="180">
        <f ca="1">Tbl_Load_distrib[[#This Row],[Section Weight]]-Tbl_Load_distrib[[#This Row],[Floating Elt]]</f>
        <v>-1.3905323204055744</v>
      </c>
      <c r="T111" s="183">
        <f ca="1">IF(ISTEXT($T110),0,$T110+Tbl_Load_distrib[[#This Row],[Net force / Elt]])</f>
        <v>-62.809617150984209</v>
      </c>
      <c r="U111" s="169">
        <f ca="1">IF(ISTEXT($U110),0,$U110+Tbl_Load_distrib[[#This Row],[Shearing Force]]*Tbl_Load_distrib[[#This Row],[L_elt]])</f>
        <v>354.00569393688312</v>
      </c>
    </row>
    <row r="112" spans="2:21" x14ac:dyDescent="0.25">
      <c r="B112" s="136">
        <f t="shared" si="3"/>
        <v>106</v>
      </c>
      <c r="C112" s="139">
        <f t="shared" si="4"/>
        <v>53</v>
      </c>
      <c r="D112" s="152">
        <f ca="1">SUM(Tbl_Load_distrib[[#This Row],[Hull &amp; Structure]:[Reserved]])</f>
        <v>8.8333333333333339</v>
      </c>
      <c r="E112" s="147">
        <f>SUMIFS(Tbl_Hull_Structure[Spread],Tbl_Hull_Structure[L from],"&lt;"&amp;Tbl_Load_distrib[[#This Row],[x]],Tbl_Hull_Structure[L to],"&gt;"&amp;C111)*Tbl_Load_distrib[[#This Row],[L_elt]]</f>
        <v>4.666666666666667</v>
      </c>
      <c r="F112" s="260">
        <f ca="1">SUMIFS(Tbl_Ballasts[Spread],Tbl_Ballasts[L from],"&lt;"&amp;Tbl_Load_distrib[[#This Row],[x]],Tbl_Ballasts[L to],"&gt;"&amp;C111)*Tbl_Load_distrib[[#This Row],[L_elt]]</f>
        <v>0</v>
      </c>
      <c r="G112" s="260">
        <f>SUMIFS(Tbl_Lifting[Spread],Tbl_Lifting[L from],"&lt;"&amp;Tbl_Load_distrib[[#This Row],[x]],Tbl_Lifting[L to],"&gt;"&amp;C111)*Tbl_Load_distrib[[#This Row],[L_elt]]</f>
        <v>0</v>
      </c>
      <c r="H112" s="260">
        <f>SUMIFS(Tbl_Additionals[Spread],Tbl_Additionals[L from],"&lt;"&amp;Tbl_Load_distrib[[#This Row],[x]],Tbl_Additionals[L to],"&gt;"&amp;C111)*Tbl_Load_distrib[[#This Row],[L_elt]]</f>
        <v>4.166666666666667</v>
      </c>
      <c r="I112" s="260">
        <f ca="1">SUMIFS(Tbl_Deck_Tank[Spread],Tbl_Deck_Tank[L from],"&lt;"&amp;Tbl_Load_distrib[[#This Row],[x]],Tbl_Deck_Tank[L to],"&gt;"&amp;C111)*Tbl_Load_distrib[[#This Row],[L_elt]]</f>
        <v>0</v>
      </c>
      <c r="J112" s="137"/>
      <c r="K112" s="165">
        <f>IFERROR(Tbl_Long_Section[[#This Row],[H Deck-Bottom]],NA())</f>
        <v>4</v>
      </c>
      <c r="L112" s="829">
        <f>M_depth-Tbl_Load_distrib[[#This Row],[H Deck-Bottom]]</f>
        <v>0</v>
      </c>
      <c r="M112" s="929">
        <f>IFERROR(Tbl_Load_distrib[[#This Row],[x]]-C111,0)</f>
        <v>0.5</v>
      </c>
      <c r="N112" s="929">
        <f ca="1">IF(ISNA(Tbl_Load_distrib[[#This Row],[x]]),NA(),IF(ISTEXT(N111),0,IF(N111=0,$Z$3,N111-($Z$3-$AA$3)/(Lpp-FE_size)*Tbl_Load_distrib[[#This Row],[L_elt]])))</f>
        <v>1.0220132126414152</v>
      </c>
      <c r="O112" s="166">
        <f ca="1">IF(ISNUMBER(O111),(IF((N111-L111)&lt;0,0,N111-L111)+IF((Tbl_Load_distrib[[#This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0.51087758697104335</v>
      </c>
      <c r="P112" s="929">
        <f ca="1">IF(ISNA(Tbl_Load_distrib[[#This Row],[x]]),NA(),IF(ISTEXT(P111),0,IF(P111=0,LongSection_DraftAft,P111-(LongSection_DraftAft-LongSection_DraftFore)/(Lpp-FE_size)*Tbl_Load_distrib[[#This Row],[L_elt]])))</f>
        <v>0.99809930429149119</v>
      </c>
      <c r="Q112" s="166">
        <f ca="1">IF(ISNUMBER(Q111),(IF((P111-L111)&lt;0,0,P111-L111)+IF((Tbl_Load_distrib[[#This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0.49905202789690517</v>
      </c>
      <c r="R112" s="167">
        <f ca="1">ρ_sw*Tbl_Load_distrib[[#This Row],[Elt Area corrected]]*B/k_depl</f>
        <v>10.223768312667975</v>
      </c>
      <c r="S112" s="180">
        <f ca="1">Tbl_Load_distrib[[#This Row],[Section Weight]]-Tbl_Load_distrib[[#This Row],[Floating Elt]]</f>
        <v>-1.3904349793346409</v>
      </c>
      <c r="T112" s="183">
        <f ca="1">IF(ISTEXT($T111),0,$T111+Tbl_Load_distrib[[#This Row],[Net force / Elt]])</f>
        <v>-64.200052130318852</v>
      </c>
      <c r="U112" s="169">
        <f ca="1">IF(ISTEXT($U111),0,$U111+Tbl_Load_distrib[[#This Row],[Shearing Force]]*Tbl_Load_distrib[[#This Row],[L_elt]])</f>
        <v>321.90566787172372</v>
      </c>
    </row>
    <row r="113" spans="2:21" x14ac:dyDescent="0.25">
      <c r="B113" s="136">
        <f t="shared" si="3"/>
        <v>107</v>
      </c>
      <c r="C113" s="139">
        <f t="shared" si="4"/>
        <v>53.5</v>
      </c>
      <c r="D113" s="152">
        <f ca="1">SUM(Tbl_Load_distrib[[#This Row],[Hull &amp; Structure]:[Reserved]])</f>
        <v>8.8333333333333339</v>
      </c>
      <c r="E113" s="147">
        <f>SUMIFS(Tbl_Hull_Structure[Spread],Tbl_Hull_Structure[L from],"&lt;"&amp;Tbl_Load_distrib[[#This Row],[x]],Tbl_Hull_Structure[L to],"&gt;"&amp;C112)*Tbl_Load_distrib[[#This Row],[L_elt]]</f>
        <v>4.666666666666667</v>
      </c>
      <c r="F113" s="260">
        <f ca="1">SUMIFS(Tbl_Ballasts[Spread],Tbl_Ballasts[L from],"&lt;"&amp;Tbl_Load_distrib[[#This Row],[x]],Tbl_Ballasts[L to],"&gt;"&amp;C112)*Tbl_Load_distrib[[#This Row],[L_elt]]</f>
        <v>0</v>
      </c>
      <c r="G113" s="260">
        <f>SUMIFS(Tbl_Lifting[Spread],Tbl_Lifting[L from],"&lt;"&amp;Tbl_Load_distrib[[#This Row],[x]],Tbl_Lifting[L to],"&gt;"&amp;C112)*Tbl_Load_distrib[[#This Row],[L_elt]]</f>
        <v>0</v>
      </c>
      <c r="H113" s="260">
        <f>SUMIFS(Tbl_Additionals[Spread],Tbl_Additionals[L from],"&lt;"&amp;Tbl_Load_distrib[[#This Row],[x]],Tbl_Additionals[L to],"&gt;"&amp;C112)*Tbl_Load_distrib[[#This Row],[L_elt]]</f>
        <v>4.166666666666667</v>
      </c>
      <c r="I113" s="260">
        <f ca="1">SUMIFS(Tbl_Deck_Tank[Spread],Tbl_Deck_Tank[L from],"&lt;"&amp;Tbl_Load_distrib[[#This Row],[x]],Tbl_Deck_Tank[L to],"&gt;"&amp;C112)*Tbl_Load_distrib[[#This Row],[L_elt]]</f>
        <v>0</v>
      </c>
      <c r="J113" s="137"/>
      <c r="K113" s="165">
        <f>IFERROR(Tbl_Long_Section[[#This Row],[H Deck-Bottom]],NA())</f>
        <v>4</v>
      </c>
      <c r="L113" s="829">
        <f>M_depth-Tbl_Load_distrib[[#This Row],[H Deck-Bottom]]</f>
        <v>0</v>
      </c>
      <c r="M113" s="929">
        <f>IFERROR(Tbl_Load_distrib[[#This Row],[x]]-C112,0)</f>
        <v>0.5</v>
      </c>
      <c r="N113" s="929">
        <f ca="1">IF(ISNA(Tbl_Load_distrib[[#This Row],[x]]),NA(),IF(ISTEXT(N112),0,IF(N112=0,$Z$3,N112-($Z$3-$AA$3)/(Lpp-FE_size)*Tbl_Load_distrib[[#This Row],[L_elt]])))</f>
        <v>1.022529290040072</v>
      </c>
      <c r="O113" s="166">
        <f ca="1">IF(ISNUMBER(O112),(IF((N112-L112)&lt;0,0,N112-L112)+IF((Tbl_Load_distrib[[#This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0.51113562567037185</v>
      </c>
      <c r="P113" s="929">
        <f ca="1">IF(ISNA(Tbl_Load_distrib[[#This Row],[x]]),NA(),IF(ISTEXT(P112),0,IF(P112=0,LongSection_DraftAft,P112-(LongSection_DraftAft-LongSection_DraftFore)/(Lpp-FE_size)*Tbl_Load_distrib[[#This Row],[L_elt]])))</f>
        <v>0.99808980128685298</v>
      </c>
      <c r="Q113" s="166">
        <f ca="1">IF(ISNUMBER(Q112),(IF((P112-L112)&lt;0,0,P112-L112)+IF((Tbl_Load_distrib[[#This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0.49904727639458601</v>
      </c>
      <c r="R113" s="167">
        <f ca="1">ρ_sw*Tbl_Load_distrib[[#This Row],[Elt Area corrected]]*B/k_depl</f>
        <v>10.223670971597041</v>
      </c>
      <c r="S113" s="180">
        <f ca="1">Tbl_Load_distrib[[#This Row],[Section Weight]]-Tbl_Load_distrib[[#This Row],[Floating Elt]]</f>
        <v>-1.3903376382637074</v>
      </c>
      <c r="T113" s="183">
        <f ca="1">IF(ISTEXT($T112),0,$T112+Tbl_Load_distrib[[#This Row],[Net force / Elt]])</f>
        <v>-65.590389768582554</v>
      </c>
      <c r="U113" s="169">
        <f ca="1">IF(ISTEXT($U112),0,$U112+Tbl_Load_distrib[[#This Row],[Shearing Force]]*Tbl_Load_distrib[[#This Row],[L_elt]])</f>
        <v>289.11047298743244</v>
      </c>
    </row>
    <row r="114" spans="2:21" x14ac:dyDescent="0.25">
      <c r="B114" s="136">
        <f t="shared" si="3"/>
        <v>108</v>
      </c>
      <c r="C114" s="139">
        <f t="shared" si="4"/>
        <v>54</v>
      </c>
      <c r="D114" s="152">
        <f ca="1">SUM(Tbl_Load_distrib[[#This Row],[Hull &amp; Structure]:[Reserved]])</f>
        <v>8.8333333333333339</v>
      </c>
      <c r="E114" s="147">
        <f>SUMIFS(Tbl_Hull_Structure[Spread],Tbl_Hull_Structure[L from],"&lt;"&amp;Tbl_Load_distrib[[#This Row],[x]],Tbl_Hull_Structure[L to],"&gt;"&amp;C113)*Tbl_Load_distrib[[#This Row],[L_elt]]</f>
        <v>4.666666666666667</v>
      </c>
      <c r="F114" s="260">
        <f ca="1">SUMIFS(Tbl_Ballasts[Spread],Tbl_Ballasts[L from],"&lt;"&amp;Tbl_Load_distrib[[#This Row],[x]],Tbl_Ballasts[L to],"&gt;"&amp;C113)*Tbl_Load_distrib[[#This Row],[L_elt]]</f>
        <v>0</v>
      </c>
      <c r="G114" s="260">
        <f>SUMIFS(Tbl_Lifting[Spread],Tbl_Lifting[L from],"&lt;"&amp;Tbl_Load_distrib[[#This Row],[x]],Tbl_Lifting[L to],"&gt;"&amp;C113)*Tbl_Load_distrib[[#This Row],[L_elt]]</f>
        <v>0</v>
      </c>
      <c r="H114" s="260">
        <f>SUMIFS(Tbl_Additionals[Spread],Tbl_Additionals[L from],"&lt;"&amp;Tbl_Load_distrib[[#This Row],[x]],Tbl_Additionals[L to],"&gt;"&amp;C113)*Tbl_Load_distrib[[#This Row],[L_elt]]</f>
        <v>4.166666666666667</v>
      </c>
      <c r="I114" s="260">
        <f ca="1">SUMIFS(Tbl_Deck_Tank[Spread],Tbl_Deck_Tank[L from],"&lt;"&amp;Tbl_Load_distrib[[#This Row],[x]],Tbl_Deck_Tank[L to],"&gt;"&amp;C113)*Tbl_Load_distrib[[#This Row],[L_elt]]</f>
        <v>0</v>
      </c>
      <c r="J114" s="137"/>
      <c r="K114" s="165">
        <f>IFERROR(Tbl_Long_Section[[#This Row],[H Deck-Bottom]],NA())</f>
        <v>4</v>
      </c>
      <c r="L114" s="829">
        <f>M_depth-Tbl_Load_distrib[[#This Row],[H Deck-Bottom]]</f>
        <v>0</v>
      </c>
      <c r="M114" s="929">
        <f>IFERROR(Tbl_Load_distrib[[#This Row],[x]]-C113,0)</f>
        <v>0.5</v>
      </c>
      <c r="N114" s="929">
        <f ca="1">IF(ISNA(Tbl_Load_distrib[[#This Row],[x]]),NA(),IF(ISTEXT(N113),0,IF(N113=0,$Z$3,N113-($Z$3-$AA$3)/(Lpp-FE_size)*Tbl_Load_distrib[[#This Row],[L_elt]])))</f>
        <v>1.0230453674387288</v>
      </c>
      <c r="O114" s="166">
        <f ca="1">IF(ISNUMBER(O113),(IF((N113-L113)&lt;0,0,N113-L113)+IF((Tbl_Load_distrib[[#This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0.51139366436970013</v>
      </c>
      <c r="P114" s="929">
        <f ca="1">IF(ISNA(Tbl_Load_distrib[[#This Row],[x]]),NA(),IF(ISTEXT(P113),0,IF(P113=0,LongSection_DraftAft,P113-(LongSection_DraftAft-LongSection_DraftFore)/(Lpp-FE_size)*Tbl_Load_distrib[[#This Row],[L_elt]])))</f>
        <v>0.99808029828221478</v>
      </c>
      <c r="Q114" s="166">
        <f ca="1">IF(ISNUMBER(Q113),(IF((P113-L113)&lt;0,0,P113-L113)+IF((Tbl_Load_distrib[[#This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0.49904252489226697</v>
      </c>
      <c r="R114" s="167">
        <f ca="1">ρ_sw*Tbl_Load_distrib[[#This Row],[Elt Area corrected]]*B/k_depl</f>
        <v>10.223573630526106</v>
      </c>
      <c r="S114" s="180">
        <f ca="1">Tbl_Load_distrib[[#This Row],[Section Weight]]-Tbl_Load_distrib[[#This Row],[Floating Elt]]</f>
        <v>-1.3902402971927721</v>
      </c>
      <c r="T114" s="183">
        <f ca="1">IF(ISTEXT($T113),0,$T113+Tbl_Load_distrib[[#This Row],[Net force / Elt]])</f>
        <v>-66.98063006577533</v>
      </c>
      <c r="U114" s="169">
        <f ca="1">IF(ISTEXT($U113),0,$U113+Tbl_Load_distrib[[#This Row],[Shearing Force]]*Tbl_Load_distrib[[#This Row],[L_elt]])</f>
        <v>255.62015795454477</v>
      </c>
    </row>
    <row r="115" spans="2:21" x14ac:dyDescent="0.25">
      <c r="B115" s="136">
        <f t="shared" si="3"/>
        <v>109</v>
      </c>
      <c r="C115" s="139">
        <f t="shared" si="4"/>
        <v>54.5</v>
      </c>
      <c r="D115" s="152">
        <f ca="1">SUM(Tbl_Load_distrib[[#This Row],[Hull &amp; Structure]:[Reserved]])</f>
        <v>8.8333333333333339</v>
      </c>
      <c r="E115" s="147">
        <f>SUMIFS(Tbl_Hull_Structure[Spread],Tbl_Hull_Structure[L from],"&lt;"&amp;Tbl_Load_distrib[[#This Row],[x]],Tbl_Hull_Structure[L to],"&gt;"&amp;C114)*Tbl_Load_distrib[[#This Row],[L_elt]]</f>
        <v>4.666666666666667</v>
      </c>
      <c r="F115" s="260">
        <f ca="1">SUMIFS(Tbl_Ballasts[Spread],Tbl_Ballasts[L from],"&lt;"&amp;Tbl_Load_distrib[[#This Row],[x]],Tbl_Ballasts[L to],"&gt;"&amp;C114)*Tbl_Load_distrib[[#This Row],[L_elt]]</f>
        <v>0</v>
      </c>
      <c r="G115" s="260">
        <f>SUMIFS(Tbl_Lifting[Spread],Tbl_Lifting[L from],"&lt;"&amp;Tbl_Load_distrib[[#This Row],[x]],Tbl_Lifting[L to],"&gt;"&amp;C114)*Tbl_Load_distrib[[#This Row],[L_elt]]</f>
        <v>0</v>
      </c>
      <c r="H115" s="260">
        <f>SUMIFS(Tbl_Additionals[Spread],Tbl_Additionals[L from],"&lt;"&amp;Tbl_Load_distrib[[#This Row],[x]],Tbl_Additionals[L to],"&gt;"&amp;C114)*Tbl_Load_distrib[[#This Row],[L_elt]]</f>
        <v>4.166666666666667</v>
      </c>
      <c r="I115" s="260">
        <f ca="1">SUMIFS(Tbl_Deck_Tank[Spread],Tbl_Deck_Tank[L from],"&lt;"&amp;Tbl_Load_distrib[[#This Row],[x]],Tbl_Deck_Tank[L to],"&gt;"&amp;C114)*Tbl_Load_distrib[[#This Row],[L_elt]]</f>
        <v>0</v>
      </c>
      <c r="J115" s="137"/>
      <c r="K115" s="165">
        <f>IFERROR(Tbl_Long_Section[[#This Row],[H Deck-Bottom]],NA())</f>
        <v>4</v>
      </c>
      <c r="L115" s="829">
        <f>M_depth-Tbl_Load_distrib[[#This Row],[H Deck-Bottom]]</f>
        <v>0</v>
      </c>
      <c r="M115" s="929">
        <f>IFERROR(Tbl_Load_distrib[[#This Row],[x]]-C114,0)</f>
        <v>0.5</v>
      </c>
      <c r="N115" s="929">
        <f ca="1">IF(ISNA(Tbl_Load_distrib[[#This Row],[x]]),NA(),IF(ISTEXT(N114),0,IF(N114=0,$Z$3,N114-($Z$3-$AA$3)/(Lpp-FE_size)*Tbl_Load_distrib[[#This Row],[L_elt]])))</f>
        <v>1.0235614448373855</v>
      </c>
      <c r="O115" s="166">
        <f ca="1">IF(ISNUMBER(O114),(IF((N114-L114)&lt;0,0,N114-L114)+IF((Tbl_Load_distrib[[#This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0.51165170306902863</v>
      </c>
      <c r="P115" s="929">
        <f ca="1">IF(ISNA(Tbl_Load_distrib[[#This Row],[x]]),NA(),IF(ISTEXT(P114),0,IF(P114=0,LongSection_DraftAft,P114-(LongSection_DraftAft-LongSection_DraftFore)/(Lpp-FE_size)*Tbl_Load_distrib[[#This Row],[L_elt]])))</f>
        <v>0.99807079527757658</v>
      </c>
      <c r="Q115" s="166">
        <f ca="1">IF(ISNUMBER(Q114),(IF((P114-L114)&lt;0,0,P114-L114)+IF((Tbl_Load_distrib[[#This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0.49903777338994781</v>
      </c>
      <c r="R115" s="167">
        <f ca="1">ρ_sw*Tbl_Load_distrib[[#This Row],[Elt Area corrected]]*B/k_depl</f>
        <v>10.223476289455169</v>
      </c>
      <c r="S115" s="180">
        <f ca="1">Tbl_Load_distrib[[#This Row],[Section Weight]]-Tbl_Load_distrib[[#This Row],[Floating Elt]]</f>
        <v>-1.390142956121835</v>
      </c>
      <c r="T115" s="183">
        <f ca="1">IF(ISTEXT($T114),0,$T114+Tbl_Load_distrib[[#This Row],[Net force / Elt]])</f>
        <v>-68.370773021897165</v>
      </c>
      <c r="U115" s="169">
        <f ca="1">IF(ISTEXT($U114),0,$U114+Tbl_Load_distrib[[#This Row],[Shearing Force]]*Tbl_Load_distrib[[#This Row],[L_elt]])</f>
        <v>221.43477144359619</v>
      </c>
    </row>
    <row r="116" spans="2:21" x14ac:dyDescent="0.25">
      <c r="B116" s="136">
        <f t="shared" si="3"/>
        <v>110</v>
      </c>
      <c r="C116" s="139">
        <f t="shared" si="4"/>
        <v>55</v>
      </c>
      <c r="D116" s="152">
        <f ca="1">SUM(Tbl_Load_distrib[[#This Row],[Hull &amp; Structure]:[Reserved]])</f>
        <v>8.8333333333333339</v>
      </c>
      <c r="E116" s="147">
        <f>SUMIFS(Tbl_Hull_Structure[Spread],Tbl_Hull_Structure[L from],"&lt;"&amp;Tbl_Load_distrib[[#This Row],[x]],Tbl_Hull_Structure[L to],"&gt;"&amp;C115)*Tbl_Load_distrib[[#This Row],[L_elt]]</f>
        <v>4.666666666666667</v>
      </c>
      <c r="F116" s="260">
        <f ca="1">SUMIFS(Tbl_Ballasts[Spread],Tbl_Ballasts[L from],"&lt;"&amp;Tbl_Load_distrib[[#This Row],[x]],Tbl_Ballasts[L to],"&gt;"&amp;C115)*Tbl_Load_distrib[[#This Row],[L_elt]]</f>
        <v>0</v>
      </c>
      <c r="G116" s="260">
        <f>SUMIFS(Tbl_Lifting[Spread],Tbl_Lifting[L from],"&lt;"&amp;Tbl_Load_distrib[[#This Row],[x]],Tbl_Lifting[L to],"&gt;"&amp;C115)*Tbl_Load_distrib[[#This Row],[L_elt]]</f>
        <v>0</v>
      </c>
      <c r="H116" s="260">
        <f>SUMIFS(Tbl_Additionals[Spread],Tbl_Additionals[L from],"&lt;"&amp;Tbl_Load_distrib[[#This Row],[x]],Tbl_Additionals[L to],"&gt;"&amp;C115)*Tbl_Load_distrib[[#This Row],[L_elt]]</f>
        <v>4.166666666666667</v>
      </c>
      <c r="I116" s="260">
        <f ca="1">SUMIFS(Tbl_Deck_Tank[Spread],Tbl_Deck_Tank[L from],"&lt;"&amp;Tbl_Load_distrib[[#This Row],[x]],Tbl_Deck_Tank[L to],"&gt;"&amp;C115)*Tbl_Load_distrib[[#This Row],[L_elt]]</f>
        <v>0</v>
      </c>
      <c r="J116" s="137"/>
      <c r="K116" s="165">
        <f>IFERROR(Tbl_Long_Section[[#This Row],[H Deck-Bottom]],NA())</f>
        <v>4</v>
      </c>
      <c r="L116" s="829">
        <f>M_depth-Tbl_Load_distrib[[#This Row],[H Deck-Bottom]]</f>
        <v>0</v>
      </c>
      <c r="M116" s="929">
        <f>IFERROR(Tbl_Load_distrib[[#This Row],[x]]-C115,0)</f>
        <v>0.5</v>
      </c>
      <c r="N116" s="929">
        <f ca="1">IF(ISNA(Tbl_Load_distrib[[#This Row],[x]]),NA(),IF(ISTEXT(N115),0,IF(N115=0,$Z$3,N115-($Z$3-$AA$3)/(Lpp-FE_size)*Tbl_Load_distrib[[#This Row],[L_elt]])))</f>
        <v>1.0240775222360423</v>
      </c>
      <c r="O116" s="166">
        <f ca="1">IF(ISNUMBER(O115),(IF((N115-L115)&lt;0,0,N115-L115)+IF((Tbl_Load_distrib[[#This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0.51190974176835691</v>
      </c>
      <c r="P116" s="929">
        <f ca="1">IF(ISNA(Tbl_Load_distrib[[#This Row],[x]]),NA(),IF(ISTEXT(P115),0,IF(P115=0,LongSection_DraftAft,P115-(LongSection_DraftAft-LongSection_DraftFore)/(Lpp-FE_size)*Tbl_Load_distrib[[#This Row],[L_elt]])))</f>
        <v>0.99806129227293838</v>
      </c>
      <c r="Q116" s="166">
        <f ca="1">IF(ISNUMBER(Q115),(IF((P115-L115)&lt;0,0,P115-L115)+IF((Tbl_Load_distrib[[#This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0.49903302188762877</v>
      </c>
      <c r="R116" s="167">
        <f ca="1">ρ_sw*Tbl_Load_distrib[[#This Row],[Elt Area corrected]]*B/k_depl</f>
        <v>10.223378948384235</v>
      </c>
      <c r="S116" s="180">
        <f ca="1">Tbl_Load_distrib[[#This Row],[Section Weight]]-Tbl_Load_distrib[[#This Row],[Floating Elt]]</f>
        <v>-1.3900456150509015</v>
      </c>
      <c r="T116" s="183">
        <f ca="1">IF(ISTEXT($T115),0,$T115+Tbl_Load_distrib[[#This Row],[Net force / Elt]])</f>
        <v>-69.760818636948073</v>
      </c>
      <c r="U116" s="169">
        <f ca="1">IF(ISTEXT($U115),0,$U115+Tbl_Load_distrib[[#This Row],[Shearing Force]]*Tbl_Load_distrib[[#This Row],[L_elt]])</f>
        <v>186.55436212512217</v>
      </c>
    </row>
    <row r="117" spans="2:21" x14ac:dyDescent="0.25">
      <c r="B117" s="136">
        <f t="shared" si="3"/>
        <v>111</v>
      </c>
      <c r="C117" s="139">
        <f t="shared" si="4"/>
        <v>55.5</v>
      </c>
      <c r="D117" s="152">
        <f ca="1">SUM(Tbl_Load_distrib[[#This Row],[Hull &amp; Structure]:[Reserved]])</f>
        <v>8.8333333333333339</v>
      </c>
      <c r="E117" s="147">
        <f>SUMIFS(Tbl_Hull_Structure[Spread],Tbl_Hull_Structure[L from],"&lt;"&amp;Tbl_Load_distrib[[#This Row],[x]],Tbl_Hull_Structure[L to],"&gt;"&amp;C116)*Tbl_Load_distrib[[#This Row],[L_elt]]</f>
        <v>4.666666666666667</v>
      </c>
      <c r="F117" s="260">
        <f ca="1">SUMIFS(Tbl_Ballasts[Spread],Tbl_Ballasts[L from],"&lt;"&amp;Tbl_Load_distrib[[#This Row],[x]],Tbl_Ballasts[L to],"&gt;"&amp;C116)*Tbl_Load_distrib[[#This Row],[L_elt]]</f>
        <v>0</v>
      </c>
      <c r="G117" s="260">
        <f>SUMIFS(Tbl_Lifting[Spread],Tbl_Lifting[L from],"&lt;"&amp;Tbl_Load_distrib[[#This Row],[x]],Tbl_Lifting[L to],"&gt;"&amp;C116)*Tbl_Load_distrib[[#This Row],[L_elt]]</f>
        <v>0</v>
      </c>
      <c r="H117" s="260">
        <f>SUMIFS(Tbl_Additionals[Spread],Tbl_Additionals[L from],"&lt;"&amp;Tbl_Load_distrib[[#This Row],[x]],Tbl_Additionals[L to],"&gt;"&amp;C116)*Tbl_Load_distrib[[#This Row],[L_elt]]</f>
        <v>4.166666666666667</v>
      </c>
      <c r="I117" s="260">
        <f ca="1">SUMIFS(Tbl_Deck_Tank[Spread],Tbl_Deck_Tank[L from],"&lt;"&amp;Tbl_Load_distrib[[#This Row],[x]],Tbl_Deck_Tank[L to],"&gt;"&amp;C116)*Tbl_Load_distrib[[#This Row],[L_elt]]</f>
        <v>0</v>
      </c>
      <c r="J117" s="137"/>
      <c r="K117" s="165">
        <f>IFERROR(Tbl_Long_Section[[#This Row],[H Deck-Bottom]],NA())</f>
        <v>3.72</v>
      </c>
      <c r="L117" s="829">
        <f>M_depth-Tbl_Load_distrib[[#This Row],[H Deck-Bottom]]</f>
        <v>0.2799999999999998</v>
      </c>
      <c r="M117" s="929">
        <f>IFERROR(Tbl_Load_distrib[[#This Row],[x]]-C116,0)</f>
        <v>0.5</v>
      </c>
      <c r="N117" s="929">
        <f ca="1">IF(ISNA(Tbl_Load_distrib[[#This Row],[x]]),NA(),IF(ISTEXT(N116),0,IF(N116=0,$Z$3,N116-($Z$3-$AA$3)/(Lpp-FE_size)*Tbl_Load_distrib[[#This Row],[L_elt]])))</f>
        <v>1.0245935996346991</v>
      </c>
      <c r="O117" s="166">
        <f ca="1">IF(ISNUMBER(O116),(IF((N116-L116)&lt;0,0,N116-L116)+IF((Tbl_Load_distrib[[#This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0.4421677804676854</v>
      </c>
      <c r="P117" s="929">
        <f ca="1">IF(ISNA(Tbl_Load_distrib[[#This Row],[x]]),NA(),IF(ISTEXT(P116),0,IF(P116=0,LongSection_DraftAft,P116-(LongSection_DraftAft-LongSection_DraftFore)/(Lpp-FE_size)*Tbl_Load_distrib[[#This Row],[L_elt]])))</f>
        <v>0.99805178926830018</v>
      </c>
      <c r="Q117" s="166">
        <f ca="1">IF(ISNUMBER(Q116),(IF((P116-L116)&lt;0,0,P116-L116)+IF((Tbl_Load_distrib[[#This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0.42902827038530966</v>
      </c>
      <c r="R117" s="167">
        <f ca="1">ρ_sw*Tbl_Load_distrib[[#This Row],[Elt Area corrected]]*B/k_depl</f>
        <v>8.7892351715084143</v>
      </c>
      <c r="S117" s="180">
        <f ca="1">Tbl_Load_distrib[[#This Row],[Section Weight]]-Tbl_Load_distrib[[#This Row],[Floating Elt]]</f>
        <v>4.4098161824919657E-2</v>
      </c>
      <c r="T117" s="183">
        <f ca="1">IF(ISTEXT($T116),0,$T116+Tbl_Load_distrib[[#This Row],[Net force / Elt]])</f>
        <v>-69.716720475123154</v>
      </c>
      <c r="U117" s="169">
        <f ca="1">IF(ISTEXT($U116),0,$U116+Tbl_Load_distrib[[#This Row],[Shearing Force]]*Tbl_Load_distrib[[#This Row],[L_elt]])</f>
        <v>151.69600188756058</v>
      </c>
    </row>
    <row r="118" spans="2:21" x14ac:dyDescent="0.25">
      <c r="B118" s="136">
        <f t="shared" si="3"/>
        <v>112</v>
      </c>
      <c r="C118" s="139">
        <f t="shared" si="4"/>
        <v>56</v>
      </c>
      <c r="D118" s="152">
        <f ca="1">SUM(Tbl_Load_distrib[[#This Row],[Hull &amp; Structure]:[Reserved]])</f>
        <v>8.8333333333333339</v>
      </c>
      <c r="E118" s="147">
        <f>SUMIFS(Tbl_Hull_Structure[Spread],Tbl_Hull_Structure[L from],"&lt;"&amp;Tbl_Load_distrib[[#This Row],[x]],Tbl_Hull_Structure[L to],"&gt;"&amp;C117)*Tbl_Load_distrib[[#This Row],[L_elt]]</f>
        <v>4.666666666666667</v>
      </c>
      <c r="F118" s="260">
        <f ca="1">SUMIFS(Tbl_Ballasts[Spread],Tbl_Ballasts[L from],"&lt;"&amp;Tbl_Load_distrib[[#This Row],[x]],Tbl_Ballasts[L to],"&gt;"&amp;C117)*Tbl_Load_distrib[[#This Row],[L_elt]]</f>
        <v>0</v>
      </c>
      <c r="G118" s="260">
        <f>SUMIFS(Tbl_Lifting[Spread],Tbl_Lifting[L from],"&lt;"&amp;Tbl_Load_distrib[[#This Row],[x]],Tbl_Lifting[L to],"&gt;"&amp;C117)*Tbl_Load_distrib[[#This Row],[L_elt]]</f>
        <v>0</v>
      </c>
      <c r="H118" s="260">
        <f>SUMIFS(Tbl_Additionals[Spread],Tbl_Additionals[L from],"&lt;"&amp;Tbl_Load_distrib[[#This Row],[x]],Tbl_Additionals[L to],"&gt;"&amp;C117)*Tbl_Load_distrib[[#This Row],[L_elt]]</f>
        <v>4.166666666666667</v>
      </c>
      <c r="I118" s="260">
        <f ca="1">SUMIFS(Tbl_Deck_Tank[Spread],Tbl_Deck_Tank[L from],"&lt;"&amp;Tbl_Load_distrib[[#This Row],[x]],Tbl_Deck_Tank[L to],"&gt;"&amp;C117)*Tbl_Load_distrib[[#This Row],[L_elt]]</f>
        <v>0</v>
      </c>
      <c r="J118" s="137"/>
      <c r="K118" s="165">
        <f>IFERROR(Tbl_Long_Section[[#This Row],[H Deck-Bottom]],NA())</f>
        <v>3.4400000000000004</v>
      </c>
      <c r="L118" s="829">
        <f>M_depth-Tbl_Load_distrib[[#This Row],[H Deck-Bottom]]</f>
        <v>0.55999999999999961</v>
      </c>
      <c r="M118" s="929">
        <f>IFERROR(Tbl_Load_distrib[[#This Row],[x]]-C117,0)</f>
        <v>0.5</v>
      </c>
      <c r="N118" s="929">
        <f ca="1">IF(ISNA(Tbl_Load_distrib[[#This Row],[x]]),NA(),IF(ISTEXT(N117),0,IF(N117=0,$Z$3,N117-($Z$3-$AA$3)/(Lpp-FE_size)*Tbl_Load_distrib[[#This Row],[L_elt]])))</f>
        <v>1.0251096770333559</v>
      </c>
      <c r="O118" s="166">
        <f ca="1">IF(ISNUMBER(O117),(IF((N117-L117)&lt;0,0,N117-L117)+IF((Tbl_Load_distrib[[#This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0.30242581916701389</v>
      </c>
      <c r="P118" s="929">
        <f ca="1">IF(ISNA(Tbl_Load_distrib[[#This Row],[x]]),NA(),IF(ISTEXT(P117),0,IF(P117=0,LongSection_DraftAft,P117-(LongSection_DraftAft-LongSection_DraftFore)/(Lpp-FE_size)*Tbl_Load_distrib[[#This Row],[L_elt]])))</f>
        <v>0.99804228626366198</v>
      </c>
      <c r="Q118" s="166">
        <f ca="1">IF(ISNUMBER(Q117),(IF((P117-L117)&lt;0,0,P117-L117)+IF((Tbl_Load_distrib[[#This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0.28902351888299072</v>
      </c>
      <c r="R118" s="167">
        <f ca="1">ρ_sw*Tbl_Load_distrib[[#This Row],[Elt Area corrected]]*B/k_depl</f>
        <v>5.9210449588277063</v>
      </c>
      <c r="S118" s="180">
        <f ca="1">Tbl_Load_distrib[[#This Row],[Section Weight]]-Tbl_Load_distrib[[#This Row],[Floating Elt]]</f>
        <v>2.9122883745056276</v>
      </c>
      <c r="T118" s="183">
        <f ca="1">IF(ISTEXT($T117),0,$T117+Tbl_Load_distrib[[#This Row],[Net force / Elt]])</f>
        <v>-66.804432100617532</v>
      </c>
      <c r="U118" s="169">
        <f ca="1">IF(ISTEXT($U117),0,$U117+Tbl_Load_distrib[[#This Row],[Shearing Force]]*Tbl_Load_distrib[[#This Row],[L_elt]])</f>
        <v>118.29378583725182</v>
      </c>
    </row>
    <row r="119" spans="2:21" x14ac:dyDescent="0.25">
      <c r="B119" s="136">
        <f t="shared" si="3"/>
        <v>113</v>
      </c>
      <c r="C119" s="139">
        <f t="shared" si="4"/>
        <v>56.5</v>
      </c>
      <c r="D119" s="152">
        <f ca="1">SUM(Tbl_Load_distrib[[#This Row],[Hull &amp; Structure]:[Reserved]])</f>
        <v>8.8333333333333339</v>
      </c>
      <c r="E119" s="147">
        <f>SUMIFS(Tbl_Hull_Structure[Spread],Tbl_Hull_Structure[L from],"&lt;"&amp;Tbl_Load_distrib[[#This Row],[x]],Tbl_Hull_Structure[L to],"&gt;"&amp;C118)*Tbl_Load_distrib[[#This Row],[L_elt]]</f>
        <v>4.666666666666667</v>
      </c>
      <c r="F119" s="260">
        <f ca="1">SUMIFS(Tbl_Ballasts[Spread],Tbl_Ballasts[L from],"&lt;"&amp;Tbl_Load_distrib[[#This Row],[x]],Tbl_Ballasts[L to],"&gt;"&amp;C118)*Tbl_Load_distrib[[#This Row],[L_elt]]</f>
        <v>0</v>
      </c>
      <c r="G119" s="260">
        <f>SUMIFS(Tbl_Lifting[Spread],Tbl_Lifting[L from],"&lt;"&amp;Tbl_Load_distrib[[#This Row],[x]],Tbl_Lifting[L to],"&gt;"&amp;C118)*Tbl_Load_distrib[[#This Row],[L_elt]]</f>
        <v>0</v>
      </c>
      <c r="H119" s="260">
        <f>SUMIFS(Tbl_Additionals[Spread],Tbl_Additionals[L from],"&lt;"&amp;Tbl_Load_distrib[[#This Row],[x]],Tbl_Additionals[L to],"&gt;"&amp;C118)*Tbl_Load_distrib[[#This Row],[L_elt]]</f>
        <v>4.166666666666667</v>
      </c>
      <c r="I119" s="260">
        <f ca="1">SUMIFS(Tbl_Deck_Tank[Spread],Tbl_Deck_Tank[L from],"&lt;"&amp;Tbl_Load_distrib[[#This Row],[x]],Tbl_Deck_Tank[L to],"&gt;"&amp;C118)*Tbl_Load_distrib[[#This Row],[L_elt]]</f>
        <v>0</v>
      </c>
      <c r="J119" s="137"/>
      <c r="K119" s="165">
        <f>IFERROR(Tbl_Long_Section[[#This Row],[H Deck-Bottom]],NA())</f>
        <v>3.1599999999999997</v>
      </c>
      <c r="L119" s="829">
        <f>M_depth-Tbl_Load_distrib[[#This Row],[H Deck-Bottom]]</f>
        <v>0.8400000000000003</v>
      </c>
      <c r="M119" s="929">
        <f>IFERROR(Tbl_Load_distrib[[#This Row],[x]]-C118,0)</f>
        <v>0.5</v>
      </c>
      <c r="N119" s="929">
        <f ca="1">IF(ISNA(Tbl_Load_distrib[[#This Row],[x]]),NA(),IF(ISTEXT(N118),0,IF(N118=0,$Z$3,N118-($Z$3-$AA$3)/(Lpp-FE_size)*Tbl_Load_distrib[[#This Row],[L_elt]])))</f>
        <v>1.0256257544320126</v>
      </c>
      <c r="O119" s="166">
        <f ca="1">IF(ISNUMBER(O118),(IF((N118-L118)&lt;0,0,N118-L118)+IF((Tbl_Load_distrib[[#This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0.16268385786634215</v>
      </c>
      <c r="P119" s="929">
        <f ca="1">IF(ISNA(Tbl_Load_distrib[[#This Row],[x]]),NA(),IF(ISTEXT(P118),0,IF(P118=0,LongSection_DraftAft,P118-(LongSection_DraftAft-LongSection_DraftFore)/(Lpp-FE_size)*Tbl_Load_distrib[[#This Row],[L_elt]])))</f>
        <v>0.99803278325902378</v>
      </c>
      <c r="Q119" s="166">
        <f ca="1">IF(ISNUMBER(Q118),(IF((P118-L118)&lt;0,0,P118-L118)+IF((Tbl_Load_distrib[[#This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0.14901876738067146</v>
      </c>
      <c r="R119" s="167">
        <f ca="1">ρ_sw*Tbl_Load_distrib[[#This Row],[Elt Area corrected]]*B/k_depl</f>
        <v>3.0528547461469935</v>
      </c>
      <c r="S119" s="180">
        <f ca="1">Tbl_Load_distrib[[#This Row],[Section Weight]]-Tbl_Load_distrib[[#This Row],[Floating Elt]]</f>
        <v>5.7804785871863409</v>
      </c>
      <c r="T119" s="183">
        <f ca="1">IF(ISTEXT($T118),0,$T118+Tbl_Load_distrib[[#This Row],[Net force / Elt]])</f>
        <v>-61.023953513431195</v>
      </c>
      <c r="U119" s="169">
        <f ca="1">IF(ISTEXT($U118),0,$U118+Tbl_Load_distrib[[#This Row],[Shearing Force]]*Tbl_Load_distrib[[#This Row],[L_elt]])</f>
        <v>87.78180908053622</v>
      </c>
    </row>
    <row r="120" spans="2:21" x14ac:dyDescent="0.25">
      <c r="B120" s="136">
        <f t="shared" si="3"/>
        <v>114</v>
      </c>
      <c r="C120" s="139">
        <f t="shared" si="4"/>
        <v>57</v>
      </c>
      <c r="D120" s="152">
        <f ca="1">SUM(Tbl_Load_distrib[[#This Row],[Hull &amp; Structure]:[Reserved]])</f>
        <v>8.8333333333333339</v>
      </c>
      <c r="E120" s="147">
        <f>SUMIFS(Tbl_Hull_Structure[Spread],Tbl_Hull_Structure[L from],"&lt;"&amp;Tbl_Load_distrib[[#This Row],[x]],Tbl_Hull_Structure[L to],"&gt;"&amp;C119)*Tbl_Load_distrib[[#This Row],[L_elt]]</f>
        <v>4.666666666666667</v>
      </c>
      <c r="F120" s="260">
        <f ca="1">SUMIFS(Tbl_Ballasts[Spread],Tbl_Ballasts[L from],"&lt;"&amp;Tbl_Load_distrib[[#This Row],[x]],Tbl_Ballasts[L to],"&gt;"&amp;C119)*Tbl_Load_distrib[[#This Row],[L_elt]]</f>
        <v>0</v>
      </c>
      <c r="G120" s="260">
        <f>SUMIFS(Tbl_Lifting[Spread],Tbl_Lifting[L from],"&lt;"&amp;Tbl_Load_distrib[[#This Row],[x]],Tbl_Lifting[L to],"&gt;"&amp;C119)*Tbl_Load_distrib[[#This Row],[L_elt]]</f>
        <v>0</v>
      </c>
      <c r="H120" s="260">
        <f>SUMIFS(Tbl_Additionals[Spread],Tbl_Additionals[L from],"&lt;"&amp;Tbl_Load_distrib[[#This Row],[x]],Tbl_Additionals[L to],"&gt;"&amp;C119)*Tbl_Load_distrib[[#This Row],[L_elt]]</f>
        <v>4.166666666666667</v>
      </c>
      <c r="I120" s="260">
        <f ca="1">SUMIFS(Tbl_Deck_Tank[Spread],Tbl_Deck_Tank[L from],"&lt;"&amp;Tbl_Load_distrib[[#This Row],[x]],Tbl_Deck_Tank[L to],"&gt;"&amp;C119)*Tbl_Load_distrib[[#This Row],[L_elt]]</f>
        <v>0</v>
      </c>
      <c r="J120" s="137"/>
      <c r="K120" s="165">
        <f>IFERROR(Tbl_Long_Section[[#This Row],[H Deck-Bottom]],NA())</f>
        <v>2.88</v>
      </c>
      <c r="L120" s="829">
        <f>M_depth-Tbl_Load_distrib[[#This Row],[H Deck-Bottom]]</f>
        <v>1.1200000000000001</v>
      </c>
      <c r="M120" s="929">
        <f>IFERROR(Tbl_Load_distrib[[#This Row],[x]]-C119,0)</f>
        <v>0.5</v>
      </c>
      <c r="N120" s="929">
        <f ca="1">IF(ISNA(Tbl_Load_distrib[[#This Row],[x]]),NA(),IF(ISTEXT(N119),0,IF(N119=0,$Z$3,N119-($Z$3-$AA$3)/(Lpp-FE_size)*Tbl_Load_distrib[[#This Row],[L_elt]])))</f>
        <v>1.0261418318306694</v>
      </c>
      <c r="O120" s="166">
        <f ca="1">IF(ISNUMBER(O119),(IF((N119-L119)&lt;0,0,N119-L119)+IF((Tbl_Load_distrib[[#This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4.6406438608003087E-2</v>
      </c>
      <c r="P120" s="929">
        <f ca="1">IF(ISNA(Tbl_Load_distrib[[#This Row],[x]]),NA(),IF(ISTEXT(P119),0,IF(P119=0,LongSection_DraftAft,P119-(LongSection_DraftAft-LongSection_DraftFore)/(Lpp-FE_size)*Tbl_Load_distrib[[#This Row],[L_elt]])))</f>
        <v>0.99802328025438558</v>
      </c>
      <c r="Q120" s="166">
        <f ca="1">IF(ISNUMBER(Q119),(IF((P119-L119)&lt;0,0,P119-L119)+IF((Tbl_Load_distrib[[#This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3.950819581475587E-2</v>
      </c>
      <c r="R120" s="167">
        <f ca="1">ρ_sw*Tbl_Load_distrib[[#This Row],[Elt Area corrected]]*B/k_depl</f>
        <v>0.80937981990331775</v>
      </c>
      <c r="S120" s="180">
        <f ca="1">Tbl_Load_distrib[[#This Row],[Section Weight]]-Tbl_Load_distrib[[#This Row],[Floating Elt]]</f>
        <v>8.0239535134300155</v>
      </c>
      <c r="T120" s="183">
        <f ca="1">IF(ISTEXT($T119),0,$T119+Tbl_Load_distrib[[#This Row],[Net force / Elt]])</f>
        <v>-53.00000000000118</v>
      </c>
      <c r="U120" s="169">
        <f ca="1">IF(ISTEXT($U119),0,$U119+Tbl_Load_distrib[[#This Row],[Shearing Force]]*Tbl_Load_distrib[[#This Row],[L_elt]])</f>
        <v>61.281809080535631</v>
      </c>
    </row>
    <row r="121" spans="2:21" x14ac:dyDescent="0.25">
      <c r="B121" s="136">
        <f t="shared" si="3"/>
        <v>115</v>
      </c>
      <c r="C121" s="139">
        <f t="shared" si="4"/>
        <v>57.5</v>
      </c>
      <c r="D121" s="152">
        <f ca="1">SUM(Tbl_Load_distrib[[#This Row],[Hull &amp; Structure]:[Reserved]])</f>
        <v>8.8333333333333339</v>
      </c>
      <c r="E121" s="147">
        <f>SUMIFS(Tbl_Hull_Structure[Spread],Tbl_Hull_Structure[L from],"&lt;"&amp;Tbl_Load_distrib[[#This Row],[x]],Tbl_Hull_Structure[L to],"&gt;"&amp;C120)*Tbl_Load_distrib[[#This Row],[L_elt]]</f>
        <v>4.666666666666667</v>
      </c>
      <c r="F121" s="260">
        <f ca="1">SUMIFS(Tbl_Ballasts[Spread],Tbl_Ballasts[L from],"&lt;"&amp;Tbl_Load_distrib[[#This Row],[x]],Tbl_Ballasts[L to],"&gt;"&amp;C120)*Tbl_Load_distrib[[#This Row],[L_elt]]</f>
        <v>0</v>
      </c>
      <c r="G121" s="260">
        <f>SUMIFS(Tbl_Lifting[Spread],Tbl_Lifting[L from],"&lt;"&amp;Tbl_Load_distrib[[#This Row],[x]],Tbl_Lifting[L to],"&gt;"&amp;C120)*Tbl_Load_distrib[[#This Row],[L_elt]]</f>
        <v>0</v>
      </c>
      <c r="H121" s="260">
        <f>SUMIFS(Tbl_Additionals[Spread],Tbl_Additionals[L from],"&lt;"&amp;Tbl_Load_distrib[[#This Row],[x]],Tbl_Additionals[L to],"&gt;"&amp;C120)*Tbl_Load_distrib[[#This Row],[L_elt]]</f>
        <v>4.166666666666667</v>
      </c>
      <c r="I121" s="260">
        <f ca="1">SUMIFS(Tbl_Deck_Tank[Spread],Tbl_Deck_Tank[L from],"&lt;"&amp;Tbl_Load_distrib[[#This Row],[x]],Tbl_Deck_Tank[L to],"&gt;"&amp;C120)*Tbl_Load_distrib[[#This Row],[L_elt]]</f>
        <v>0</v>
      </c>
      <c r="J121" s="137"/>
      <c r="K121" s="165">
        <f>IFERROR(Tbl_Long_Section[[#This Row],[H Deck-Bottom]],NA())</f>
        <v>2.6</v>
      </c>
      <c r="L121" s="829">
        <f>M_depth-Tbl_Load_distrib[[#This Row],[H Deck-Bottom]]</f>
        <v>1.4</v>
      </c>
      <c r="M121" s="929">
        <f>IFERROR(Tbl_Load_distrib[[#This Row],[x]]-C120,0)</f>
        <v>0.5</v>
      </c>
      <c r="N121" s="929">
        <f ca="1">IF(ISNA(Tbl_Load_distrib[[#This Row],[x]]),NA(),IF(ISTEXT(N120),0,IF(N120=0,$Z$3,N120-($Z$3-$AA$3)/(Lpp-FE_size)*Tbl_Load_distrib[[#This Row],[L_elt]])))</f>
        <v>1.0266579092293262</v>
      </c>
      <c r="O121" s="166">
        <f ca="1">IF(ISNUMBER(O120),(IF((N120-L120)&lt;0,0,N120-L120)+IF((Tbl_Load_distrib[[#This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v>
      </c>
      <c r="P121" s="929">
        <f ca="1">IF(ISNA(Tbl_Load_distrib[[#This Row],[x]]),NA(),IF(ISTEXT(P120),0,IF(P120=0,LongSection_DraftAft,P120-(LongSection_DraftAft-LongSection_DraftFore)/(Lpp-FE_size)*Tbl_Load_distrib[[#This Row],[L_elt]])))</f>
        <v>0.99801377724974738</v>
      </c>
      <c r="Q121" s="166">
        <f ca="1">IF(ISNUMBER(Q120),(IF((P120-L120)&lt;0,0,P120-L120)+IF((Tbl_Load_distrib[[#This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v>
      </c>
      <c r="R121" s="167">
        <f ca="1">ρ_sw*Tbl_Load_distrib[[#This Row],[Elt Area corrected]]*B/k_depl</f>
        <v>0</v>
      </c>
      <c r="S121" s="180">
        <f ca="1">Tbl_Load_distrib[[#This Row],[Section Weight]]-Tbl_Load_distrib[[#This Row],[Floating Elt]]</f>
        <v>8.8333333333333339</v>
      </c>
      <c r="T121" s="183">
        <f ca="1">IF(ISTEXT($T120),0,$T120+Tbl_Load_distrib[[#This Row],[Net force / Elt]])</f>
        <v>-44.166666666667844</v>
      </c>
      <c r="U121" s="169">
        <f ca="1">IF(ISTEXT($U120),0,$U120+Tbl_Load_distrib[[#This Row],[Shearing Force]]*Tbl_Load_distrib[[#This Row],[L_elt]])</f>
        <v>39.198475747201712</v>
      </c>
    </row>
    <row r="122" spans="2:21" x14ac:dyDescent="0.25">
      <c r="B122" s="136">
        <f t="shared" si="3"/>
        <v>116</v>
      </c>
      <c r="C122" s="139">
        <f t="shared" si="4"/>
        <v>58</v>
      </c>
      <c r="D122" s="152">
        <f ca="1">SUM(Tbl_Load_distrib[[#This Row],[Hull &amp; Structure]:[Reserved]])</f>
        <v>8.8333333333333339</v>
      </c>
      <c r="E122" s="147">
        <f>SUMIFS(Tbl_Hull_Structure[Spread],Tbl_Hull_Structure[L from],"&lt;"&amp;Tbl_Load_distrib[[#This Row],[x]],Tbl_Hull_Structure[L to],"&gt;"&amp;C121)*Tbl_Load_distrib[[#This Row],[L_elt]]</f>
        <v>4.666666666666667</v>
      </c>
      <c r="F122" s="260">
        <f ca="1">SUMIFS(Tbl_Ballasts[Spread],Tbl_Ballasts[L from],"&lt;"&amp;Tbl_Load_distrib[[#This Row],[x]],Tbl_Ballasts[L to],"&gt;"&amp;C121)*Tbl_Load_distrib[[#This Row],[L_elt]]</f>
        <v>0</v>
      </c>
      <c r="G122" s="260">
        <f>SUMIFS(Tbl_Lifting[Spread],Tbl_Lifting[L from],"&lt;"&amp;Tbl_Load_distrib[[#This Row],[x]],Tbl_Lifting[L to],"&gt;"&amp;C121)*Tbl_Load_distrib[[#This Row],[L_elt]]</f>
        <v>0</v>
      </c>
      <c r="H122" s="260">
        <f>SUMIFS(Tbl_Additionals[Spread],Tbl_Additionals[L from],"&lt;"&amp;Tbl_Load_distrib[[#This Row],[x]],Tbl_Additionals[L to],"&gt;"&amp;C121)*Tbl_Load_distrib[[#This Row],[L_elt]]</f>
        <v>4.166666666666667</v>
      </c>
      <c r="I122" s="260">
        <f ca="1">SUMIFS(Tbl_Deck_Tank[Spread],Tbl_Deck_Tank[L from],"&lt;"&amp;Tbl_Load_distrib[[#This Row],[x]],Tbl_Deck_Tank[L to],"&gt;"&amp;C121)*Tbl_Load_distrib[[#This Row],[L_elt]]</f>
        <v>0</v>
      </c>
      <c r="J122" s="137"/>
      <c r="K122" s="165">
        <f>IFERROR(Tbl_Long_Section[[#This Row],[H Deck-Bottom]],NA())</f>
        <v>2.3200000000000003</v>
      </c>
      <c r="L122" s="829">
        <f>M_depth-Tbl_Load_distrib[[#This Row],[H Deck-Bottom]]</f>
        <v>1.6799999999999997</v>
      </c>
      <c r="M122" s="929">
        <f>IFERROR(Tbl_Load_distrib[[#This Row],[x]]-C121,0)</f>
        <v>0.5</v>
      </c>
      <c r="N122" s="929">
        <f ca="1">IF(ISNA(Tbl_Load_distrib[[#This Row],[x]]),NA(),IF(ISTEXT(N121),0,IF(N121=0,$Z$3,N121-($Z$3-$AA$3)/(Lpp-FE_size)*Tbl_Load_distrib[[#This Row],[L_elt]])))</f>
        <v>1.027173986627983</v>
      </c>
      <c r="O122" s="166">
        <f ca="1">IF(ISNUMBER(O121),(IF((N121-L121)&lt;0,0,N121-L121)+IF((Tbl_Load_distrib[[#This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v>
      </c>
      <c r="P122" s="929">
        <f ca="1">IF(ISNA(Tbl_Load_distrib[[#This Row],[x]]),NA(),IF(ISTEXT(P121),0,IF(P121=0,LongSection_DraftAft,P121-(LongSection_DraftAft-LongSection_DraftFore)/(Lpp-FE_size)*Tbl_Load_distrib[[#This Row],[L_elt]])))</f>
        <v>0.99800427424510918</v>
      </c>
      <c r="Q122" s="166">
        <f ca="1">IF(ISNUMBER(Q121),(IF((P121-L121)&lt;0,0,P121-L121)+IF((Tbl_Load_distrib[[#This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v>
      </c>
      <c r="R122" s="167">
        <f ca="1">ρ_sw*Tbl_Load_distrib[[#This Row],[Elt Area corrected]]*B/k_depl</f>
        <v>0</v>
      </c>
      <c r="S122" s="180">
        <f ca="1">Tbl_Load_distrib[[#This Row],[Section Weight]]-Tbl_Load_distrib[[#This Row],[Floating Elt]]</f>
        <v>8.8333333333333339</v>
      </c>
      <c r="T122" s="183">
        <f ca="1">IF(ISTEXT($T121),0,$T121+Tbl_Load_distrib[[#This Row],[Net force / Elt]])</f>
        <v>-35.333333333334508</v>
      </c>
      <c r="U122" s="169">
        <f ca="1">IF(ISTEXT($U121),0,$U121+Tbl_Load_distrib[[#This Row],[Shearing Force]]*Tbl_Load_distrib[[#This Row],[L_elt]])</f>
        <v>21.531809080534458</v>
      </c>
    </row>
    <row r="123" spans="2:21" x14ac:dyDescent="0.25">
      <c r="B123" s="136">
        <f t="shared" si="3"/>
        <v>117</v>
      </c>
      <c r="C123" s="139">
        <f t="shared" si="4"/>
        <v>58.5</v>
      </c>
      <c r="D123" s="152">
        <f ca="1">SUM(Tbl_Load_distrib[[#This Row],[Hull &amp; Structure]:[Reserved]])</f>
        <v>8.8333333333333339</v>
      </c>
      <c r="E123" s="147">
        <f>SUMIFS(Tbl_Hull_Structure[Spread],Tbl_Hull_Structure[L from],"&lt;"&amp;Tbl_Load_distrib[[#This Row],[x]],Tbl_Hull_Structure[L to],"&gt;"&amp;C122)*Tbl_Load_distrib[[#This Row],[L_elt]]</f>
        <v>4.666666666666667</v>
      </c>
      <c r="F123" s="260">
        <f ca="1">SUMIFS(Tbl_Ballasts[Spread],Tbl_Ballasts[L from],"&lt;"&amp;Tbl_Load_distrib[[#This Row],[x]],Tbl_Ballasts[L to],"&gt;"&amp;C122)*Tbl_Load_distrib[[#This Row],[L_elt]]</f>
        <v>0</v>
      </c>
      <c r="G123" s="260">
        <f>SUMIFS(Tbl_Lifting[Spread],Tbl_Lifting[L from],"&lt;"&amp;Tbl_Load_distrib[[#This Row],[x]],Tbl_Lifting[L to],"&gt;"&amp;C122)*Tbl_Load_distrib[[#This Row],[L_elt]]</f>
        <v>0</v>
      </c>
      <c r="H123" s="260">
        <f>SUMIFS(Tbl_Additionals[Spread],Tbl_Additionals[L from],"&lt;"&amp;Tbl_Load_distrib[[#This Row],[x]],Tbl_Additionals[L to],"&gt;"&amp;C122)*Tbl_Load_distrib[[#This Row],[L_elt]]</f>
        <v>4.166666666666667</v>
      </c>
      <c r="I123" s="260">
        <f ca="1">SUMIFS(Tbl_Deck_Tank[Spread],Tbl_Deck_Tank[L from],"&lt;"&amp;Tbl_Load_distrib[[#This Row],[x]],Tbl_Deck_Tank[L to],"&gt;"&amp;C122)*Tbl_Load_distrib[[#This Row],[L_elt]]</f>
        <v>0</v>
      </c>
      <c r="J123" s="137"/>
      <c r="K123" s="165">
        <f>IFERROR(Tbl_Long_Section[[#This Row],[H Deck-Bottom]],NA())</f>
        <v>2.04</v>
      </c>
      <c r="L123" s="829">
        <f>M_depth-Tbl_Load_distrib[[#This Row],[H Deck-Bottom]]</f>
        <v>1.96</v>
      </c>
      <c r="M123" s="929">
        <f>IFERROR(Tbl_Load_distrib[[#This Row],[x]]-C122,0)</f>
        <v>0.5</v>
      </c>
      <c r="N123" s="929">
        <f ca="1">IF(ISNA(Tbl_Load_distrib[[#This Row],[x]]),NA(),IF(ISTEXT(N122),0,IF(N122=0,$Z$3,N122-($Z$3-$AA$3)/(Lpp-FE_size)*Tbl_Load_distrib[[#This Row],[L_elt]])))</f>
        <v>1.0276900640266398</v>
      </c>
      <c r="O123" s="166">
        <f ca="1">IF(ISNUMBER(O122),(IF((N122-L122)&lt;0,0,N122-L122)+IF((Tbl_Load_distrib[[#This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v>
      </c>
      <c r="P123" s="929">
        <f ca="1">IF(ISNA(Tbl_Load_distrib[[#This Row],[x]]),NA(),IF(ISTEXT(P122),0,IF(P122=0,LongSection_DraftAft,P122-(LongSection_DraftAft-LongSection_DraftFore)/(Lpp-FE_size)*Tbl_Load_distrib[[#This Row],[L_elt]])))</f>
        <v>0.99799477124047098</v>
      </c>
      <c r="Q123" s="166">
        <f ca="1">IF(ISNUMBER(Q122),(IF((P122-L122)&lt;0,0,P122-L122)+IF((Tbl_Load_distrib[[#This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v>
      </c>
      <c r="R123" s="167">
        <f ca="1">ρ_sw*Tbl_Load_distrib[[#This Row],[Elt Area corrected]]*B/k_depl</f>
        <v>0</v>
      </c>
      <c r="S123" s="180">
        <f ca="1">Tbl_Load_distrib[[#This Row],[Section Weight]]-Tbl_Load_distrib[[#This Row],[Floating Elt]]</f>
        <v>8.8333333333333339</v>
      </c>
      <c r="T123" s="183">
        <f ca="1">IF(ISTEXT($T122),0,$T122+Tbl_Load_distrib[[#This Row],[Net force / Elt]])</f>
        <v>-26.500000000001172</v>
      </c>
      <c r="U123" s="169">
        <f ca="1">IF(ISTEXT($U122),0,$U122+Tbl_Load_distrib[[#This Row],[Shearing Force]]*Tbl_Load_distrib[[#This Row],[L_elt]])</f>
        <v>8.281809080533872</v>
      </c>
    </row>
    <row r="124" spans="2:21" x14ac:dyDescent="0.25">
      <c r="B124" s="136">
        <f t="shared" si="3"/>
        <v>118</v>
      </c>
      <c r="C124" s="139">
        <f t="shared" si="4"/>
        <v>59</v>
      </c>
      <c r="D124" s="152">
        <f ca="1">SUM(Tbl_Load_distrib[[#This Row],[Hull &amp; Structure]:[Reserved]])</f>
        <v>8.8333333333333339</v>
      </c>
      <c r="E124" s="147">
        <f>SUMIFS(Tbl_Hull_Structure[Spread],Tbl_Hull_Structure[L from],"&lt;"&amp;Tbl_Load_distrib[[#This Row],[x]],Tbl_Hull_Structure[L to],"&gt;"&amp;C123)*Tbl_Load_distrib[[#This Row],[L_elt]]</f>
        <v>4.666666666666667</v>
      </c>
      <c r="F124" s="260">
        <f ca="1">SUMIFS(Tbl_Ballasts[Spread],Tbl_Ballasts[L from],"&lt;"&amp;Tbl_Load_distrib[[#This Row],[x]],Tbl_Ballasts[L to],"&gt;"&amp;C123)*Tbl_Load_distrib[[#This Row],[L_elt]]</f>
        <v>0</v>
      </c>
      <c r="G124" s="260">
        <f>SUMIFS(Tbl_Lifting[Spread],Tbl_Lifting[L from],"&lt;"&amp;Tbl_Load_distrib[[#This Row],[x]],Tbl_Lifting[L to],"&gt;"&amp;C123)*Tbl_Load_distrib[[#This Row],[L_elt]]</f>
        <v>0</v>
      </c>
      <c r="H124" s="260">
        <f>SUMIFS(Tbl_Additionals[Spread],Tbl_Additionals[L from],"&lt;"&amp;Tbl_Load_distrib[[#This Row],[x]],Tbl_Additionals[L to],"&gt;"&amp;C123)*Tbl_Load_distrib[[#This Row],[L_elt]]</f>
        <v>4.166666666666667</v>
      </c>
      <c r="I124" s="260">
        <f ca="1">SUMIFS(Tbl_Deck_Tank[Spread],Tbl_Deck_Tank[L from],"&lt;"&amp;Tbl_Load_distrib[[#This Row],[x]],Tbl_Deck_Tank[L to],"&gt;"&amp;C123)*Tbl_Load_distrib[[#This Row],[L_elt]]</f>
        <v>0</v>
      </c>
      <c r="J124" s="137"/>
      <c r="K124" s="165">
        <f>IFERROR(Tbl_Long_Section[[#This Row],[H Deck-Bottom]],NA())</f>
        <v>1.76</v>
      </c>
      <c r="L124" s="829">
        <f>M_depth-Tbl_Load_distrib[[#This Row],[H Deck-Bottom]]</f>
        <v>2.2400000000000002</v>
      </c>
      <c r="M124" s="929">
        <f>IFERROR(Tbl_Load_distrib[[#This Row],[x]]-C123,0)</f>
        <v>0.5</v>
      </c>
      <c r="N124" s="929">
        <f ca="1">IF(ISNA(Tbl_Load_distrib[[#This Row],[x]]),NA(),IF(ISTEXT(N123),0,IF(N123=0,$Z$3,N123-($Z$3-$AA$3)/(Lpp-FE_size)*Tbl_Load_distrib[[#This Row],[L_elt]])))</f>
        <v>1.0282061414252965</v>
      </c>
      <c r="O124" s="166">
        <f ca="1">IF(ISNUMBER(O123),(IF((N123-L123)&lt;0,0,N123-L123)+IF((Tbl_Load_distrib[[#This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v>
      </c>
      <c r="P124" s="929">
        <f ca="1">IF(ISNA(Tbl_Load_distrib[[#This Row],[x]]),NA(),IF(ISTEXT(P123),0,IF(P123=0,LongSection_DraftAft,P123-(LongSection_DraftAft-LongSection_DraftFore)/(Lpp-FE_size)*Tbl_Load_distrib[[#This Row],[L_elt]])))</f>
        <v>0.99798526823583278</v>
      </c>
      <c r="Q124" s="166">
        <f ca="1">IF(ISNUMBER(Q123),(IF((P123-L123)&lt;0,0,P123-L123)+IF((Tbl_Load_distrib[[#This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v>
      </c>
      <c r="R124" s="167">
        <f ca="1">ρ_sw*Tbl_Load_distrib[[#This Row],[Elt Area corrected]]*B/k_depl</f>
        <v>0</v>
      </c>
      <c r="S124" s="180">
        <f ca="1">Tbl_Load_distrib[[#This Row],[Section Weight]]-Tbl_Load_distrib[[#This Row],[Floating Elt]]</f>
        <v>8.8333333333333339</v>
      </c>
      <c r="T124" s="183">
        <f ca="1">IF(ISTEXT($T123),0,$T123+Tbl_Load_distrib[[#This Row],[Net force / Elt]])</f>
        <v>-17.666666666667837</v>
      </c>
      <c r="U124" s="169">
        <f ca="1">IF(ISTEXT($U123),0,$U123+Tbl_Load_distrib[[#This Row],[Shearing Force]]*Tbl_Load_distrib[[#This Row],[L_elt]])</f>
        <v>-0.55152425280004636</v>
      </c>
    </row>
    <row r="125" spans="2:21" x14ac:dyDescent="0.25">
      <c r="B125" s="136">
        <f t="shared" si="3"/>
        <v>119</v>
      </c>
      <c r="C125" s="139">
        <f t="shared" si="4"/>
        <v>59.5</v>
      </c>
      <c r="D125" s="152">
        <f ca="1">SUM(Tbl_Load_distrib[[#This Row],[Hull &amp; Structure]:[Reserved]])</f>
        <v>8.8333333333333339</v>
      </c>
      <c r="E125" s="147">
        <f>SUMIFS(Tbl_Hull_Structure[Spread],Tbl_Hull_Structure[L from],"&lt;"&amp;Tbl_Load_distrib[[#This Row],[x]],Tbl_Hull_Structure[L to],"&gt;"&amp;C124)*Tbl_Load_distrib[[#This Row],[L_elt]]</f>
        <v>4.666666666666667</v>
      </c>
      <c r="F125" s="260">
        <f ca="1">SUMIFS(Tbl_Ballasts[Spread],Tbl_Ballasts[L from],"&lt;"&amp;Tbl_Load_distrib[[#This Row],[x]],Tbl_Ballasts[L to],"&gt;"&amp;C124)*Tbl_Load_distrib[[#This Row],[L_elt]]</f>
        <v>0</v>
      </c>
      <c r="G125" s="260">
        <f>SUMIFS(Tbl_Lifting[Spread],Tbl_Lifting[L from],"&lt;"&amp;Tbl_Load_distrib[[#This Row],[x]],Tbl_Lifting[L to],"&gt;"&amp;C124)*Tbl_Load_distrib[[#This Row],[L_elt]]</f>
        <v>0</v>
      </c>
      <c r="H125" s="260">
        <f>SUMIFS(Tbl_Additionals[Spread],Tbl_Additionals[L from],"&lt;"&amp;Tbl_Load_distrib[[#This Row],[x]],Tbl_Additionals[L to],"&gt;"&amp;C124)*Tbl_Load_distrib[[#This Row],[L_elt]]</f>
        <v>4.166666666666667</v>
      </c>
      <c r="I125" s="260">
        <f ca="1">SUMIFS(Tbl_Deck_Tank[Spread],Tbl_Deck_Tank[L from],"&lt;"&amp;Tbl_Load_distrib[[#This Row],[x]],Tbl_Deck_Tank[L to],"&gt;"&amp;C124)*Tbl_Load_distrib[[#This Row],[L_elt]]</f>
        <v>0</v>
      </c>
      <c r="J125" s="137"/>
      <c r="K125" s="165">
        <f>IFERROR(Tbl_Long_Section[[#This Row],[H Deck-Bottom]],NA())</f>
        <v>1.48</v>
      </c>
      <c r="L125" s="829">
        <f>M_depth-Tbl_Load_distrib[[#This Row],[H Deck-Bottom]]</f>
        <v>2.52</v>
      </c>
      <c r="M125" s="929">
        <f>IFERROR(Tbl_Load_distrib[[#This Row],[x]]-C124,0)</f>
        <v>0.5</v>
      </c>
      <c r="N125" s="929">
        <f ca="1">IF(ISNA(Tbl_Load_distrib[[#This Row],[x]]),NA(),IF(ISTEXT(N124),0,IF(N124=0,$Z$3,N124-($Z$3-$AA$3)/(Lpp-FE_size)*Tbl_Load_distrib[[#This Row],[L_elt]])))</f>
        <v>1.0287222188239533</v>
      </c>
      <c r="O125" s="166">
        <f ca="1">IF(ISNUMBER(O124),(IF((N124-L124)&lt;0,0,N124-L124)+IF((Tbl_Load_distrib[[#This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v>
      </c>
      <c r="P125" s="929">
        <f ca="1">IF(ISNA(Tbl_Load_distrib[[#This Row],[x]]),NA(),IF(ISTEXT(P124),0,IF(P124=0,LongSection_DraftAft,P124-(LongSection_DraftAft-LongSection_DraftFore)/(Lpp-FE_size)*Tbl_Load_distrib[[#This Row],[L_elt]])))</f>
        <v>0.99797576523119458</v>
      </c>
      <c r="Q125" s="166">
        <f ca="1">IF(ISNUMBER(Q124),(IF((P124-L124)&lt;0,0,P124-L124)+IF((Tbl_Load_distrib[[#This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v>
      </c>
      <c r="R125" s="167">
        <f ca="1">ρ_sw*Tbl_Load_distrib[[#This Row],[Elt Area corrected]]*B/k_depl</f>
        <v>0</v>
      </c>
      <c r="S125" s="180">
        <f ca="1">Tbl_Load_distrib[[#This Row],[Section Weight]]-Tbl_Load_distrib[[#This Row],[Floating Elt]]</f>
        <v>8.8333333333333339</v>
      </c>
      <c r="T125" s="183">
        <f ca="1">IF(ISTEXT($T124),0,$T124+Tbl_Load_distrib[[#This Row],[Net force / Elt]])</f>
        <v>-8.8333333333345028</v>
      </c>
      <c r="U125" s="169">
        <f ca="1">IF(ISTEXT($U124),0,$U124+Tbl_Load_distrib[[#This Row],[Shearing Force]]*Tbl_Load_distrib[[#This Row],[L_elt]])</f>
        <v>-4.9681909194672977</v>
      </c>
    </row>
    <row r="126" spans="2:21" x14ac:dyDescent="0.25">
      <c r="B126" s="136">
        <f t="shared" si="3"/>
        <v>120</v>
      </c>
      <c r="C126" s="139">
        <f t="shared" si="4"/>
        <v>60</v>
      </c>
      <c r="D126" s="152">
        <f ca="1">SUM(Tbl_Load_distrib[[#This Row],[Hull &amp; Structure]:[Reserved]])</f>
        <v>8.8333333333333339</v>
      </c>
      <c r="E126" s="147">
        <f>SUMIFS(Tbl_Hull_Structure[Spread],Tbl_Hull_Structure[L from],"&lt;"&amp;Tbl_Load_distrib[[#This Row],[x]],Tbl_Hull_Structure[L to],"&gt;"&amp;C125)*Tbl_Load_distrib[[#This Row],[L_elt]]</f>
        <v>4.666666666666667</v>
      </c>
      <c r="F126" s="260">
        <f ca="1">SUMIFS(Tbl_Ballasts[Spread],Tbl_Ballasts[L from],"&lt;"&amp;Tbl_Load_distrib[[#This Row],[x]],Tbl_Ballasts[L to],"&gt;"&amp;C125)*Tbl_Load_distrib[[#This Row],[L_elt]]</f>
        <v>0</v>
      </c>
      <c r="G126" s="260">
        <f>SUMIFS(Tbl_Lifting[Spread],Tbl_Lifting[L from],"&lt;"&amp;Tbl_Load_distrib[[#This Row],[x]],Tbl_Lifting[L to],"&gt;"&amp;C125)*Tbl_Load_distrib[[#This Row],[L_elt]]</f>
        <v>0</v>
      </c>
      <c r="H126" s="260">
        <f>SUMIFS(Tbl_Additionals[Spread],Tbl_Additionals[L from],"&lt;"&amp;Tbl_Load_distrib[[#This Row],[x]],Tbl_Additionals[L to],"&gt;"&amp;C125)*Tbl_Load_distrib[[#This Row],[L_elt]]</f>
        <v>4.166666666666667</v>
      </c>
      <c r="I126" s="260">
        <f ca="1">SUMIFS(Tbl_Deck_Tank[Spread],Tbl_Deck_Tank[L from],"&lt;"&amp;Tbl_Load_distrib[[#This Row],[x]],Tbl_Deck_Tank[L to],"&gt;"&amp;C125)*Tbl_Load_distrib[[#This Row],[L_elt]]</f>
        <v>0</v>
      </c>
      <c r="J126" s="137"/>
      <c r="K126" s="165">
        <f>IFERROR(Tbl_Long_Section[[#This Row],[H Deck-Bottom]],NA())</f>
        <v>1.2</v>
      </c>
      <c r="L126" s="829">
        <f>M_depth-Tbl_Load_distrib[[#This Row],[H Deck-Bottom]]</f>
        <v>2.8</v>
      </c>
      <c r="M126" s="929">
        <f>IFERROR(Tbl_Load_distrib[[#This Row],[x]]-C125,0)</f>
        <v>0.5</v>
      </c>
      <c r="N126" s="929">
        <f ca="1">IF(ISNA(Tbl_Load_distrib[[#This Row],[x]]),NA(),IF(ISTEXT(N125),0,IF(N125=0,$Z$3,N125-($Z$3-$AA$3)/(Lpp-FE_size)*Tbl_Load_distrib[[#This Row],[L_elt]])))</f>
        <v>1.0292382962226101</v>
      </c>
      <c r="O126" s="166">
        <f ca="1">IF(ISNUMBER(O125),(IF((N125-L125)&lt;0,0,N125-L125)+IF((Tbl_Load_distrib[[#This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0</v>
      </c>
      <c r="P126" s="929">
        <f ca="1">IF(ISNA(Tbl_Load_distrib[[#This Row],[x]]),NA(),IF(ISTEXT(P125),0,IF(P125=0,LongSection_DraftAft,P125-(LongSection_DraftAft-LongSection_DraftFore)/(Lpp-FE_size)*Tbl_Load_distrib[[#This Row],[L_elt]])))</f>
        <v>0.99796626222655638</v>
      </c>
      <c r="Q126" s="166">
        <f ca="1">IF(ISNUMBER(Q125),(IF((P125-L125)&lt;0,0,P125-L125)+IF((Tbl_Load_distrib[[#This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0</v>
      </c>
      <c r="R126" s="167">
        <f ca="1">ρ_sw*Tbl_Load_distrib[[#This Row],[Elt Area corrected]]*B/k_depl</f>
        <v>0</v>
      </c>
      <c r="S126" s="180">
        <f ca="1">Tbl_Load_distrib[[#This Row],[Section Weight]]-Tbl_Load_distrib[[#This Row],[Floating Elt]]</f>
        <v>8.8333333333333339</v>
      </c>
      <c r="T126" s="183">
        <f ca="1">IF(ISTEXT($T125),0,$T125+Tbl_Load_distrib[[#This Row],[Net force / Elt]])</f>
        <v>-1.1688428003253648E-12</v>
      </c>
      <c r="U126" s="169">
        <f ca="1">IF(ISTEXT($U125),0,$U125+Tbl_Load_distrib[[#This Row],[Shearing Force]]*Tbl_Load_distrib[[#This Row],[L_elt]])</f>
        <v>-4.9681909194678822</v>
      </c>
    </row>
    <row r="127" spans="2:21" x14ac:dyDescent="0.25">
      <c r="B127" s="136" t="e">
        <f t="shared" si="3"/>
        <v>#N/A</v>
      </c>
      <c r="C127" s="139" t="e">
        <f t="shared" si="4"/>
        <v>#N/A</v>
      </c>
      <c r="D127" s="152">
        <f ca="1">SUM(Tbl_Load_distrib[[#This Row],[Hull &amp; Structure]:[Reserved]])</f>
        <v>0</v>
      </c>
      <c r="E127" s="147">
        <f>SUMIFS(Tbl_Hull_Structure[Spread],Tbl_Hull_Structure[L from],"&lt;"&amp;Tbl_Load_distrib[[#This Row],[x]],Tbl_Hull_Structure[L to],"&gt;"&amp;C126)*Tbl_Load_distrib[[#This Row],[L_elt]]</f>
        <v>0</v>
      </c>
      <c r="F127" s="260">
        <f ca="1">SUMIFS(Tbl_Ballasts[Spread],Tbl_Ballasts[L from],"&lt;"&amp;Tbl_Load_distrib[[#This Row],[x]],Tbl_Ballasts[L to],"&gt;"&amp;C126)*Tbl_Load_distrib[[#This Row],[L_elt]]</f>
        <v>0</v>
      </c>
      <c r="G127" s="260">
        <f>SUMIFS(Tbl_Lifting[Spread],Tbl_Lifting[L from],"&lt;"&amp;Tbl_Load_distrib[[#This Row],[x]],Tbl_Lifting[L to],"&gt;"&amp;C126)*Tbl_Load_distrib[[#This Row],[L_elt]]</f>
        <v>0</v>
      </c>
      <c r="H127" s="260">
        <f>SUMIFS(Tbl_Additionals[Spread],Tbl_Additionals[L from],"&lt;"&amp;Tbl_Load_distrib[[#This Row],[x]],Tbl_Additionals[L to],"&gt;"&amp;C126)*Tbl_Load_distrib[[#This Row],[L_elt]]</f>
        <v>0</v>
      </c>
      <c r="I127" s="260">
        <f ca="1">SUMIFS(Tbl_Deck_Tank[Spread],Tbl_Deck_Tank[L from],"&lt;"&amp;Tbl_Load_distrib[[#This Row],[x]],Tbl_Deck_Tank[L to],"&gt;"&amp;C126)*Tbl_Load_distrib[[#This Row],[L_elt]]</f>
        <v>0</v>
      </c>
      <c r="J127" s="137"/>
      <c r="K127" s="165" t="e">
        <f>IFERROR(Tbl_Long_Section[[#This Row],[H Deck-Bottom]],NA())</f>
        <v>#N/A</v>
      </c>
      <c r="L127" s="829" t="e">
        <f>M_depth-Tbl_Load_distrib[[#This Row],[H Deck-Bottom]]</f>
        <v>#N/A</v>
      </c>
      <c r="M127" s="929">
        <f>IFERROR(Tbl_Load_distrib[[#This Row],[x]]-C126,0)</f>
        <v>0</v>
      </c>
      <c r="N127" s="929" t="e">
        <f>IF(ISNA(Tbl_Load_distrib[[#This Row],[x]]),NA(),IF(ISTEXT(N126),0,IF(N126=0,$Z$3,N126-($Z$3-$AA$3)/(Lpp-FE_size)*Tbl_Load_distrib[[#This Row],[L_elt]])))</f>
        <v>#N/A</v>
      </c>
      <c r="O127" s="166" t="e">
        <f ca="1">IF(ISNUMBER(O126),(IF((N126-L126)&lt;0,0,N126-L126)+IF((Tbl_Load_distrib[[#This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27" s="929" t="e">
        <f>IF(ISNA(Tbl_Load_distrib[[#This Row],[x]]),NA(),IF(ISTEXT(P126),0,IF(P126=0,LongSection_DraftAft,P126-(LongSection_DraftAft-LongSection_DraftFore)/(Lpp-FE_size)*Tbl_Load_distrib[[#This Row],[L_elt]])))</f>
        <v>#N/A</v>
      </c>
      <c r="Q127" s="166" t="e">
        <f ca="1">IF(ISNUMBER(Q126),(IF((P126-L126)&lt;0,0,P126-L126)+IF((Tbl_Load_distrib[[#This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27" s="167" t="e">
        <f ca="1">ρ_sw*Tbl_Load_distrib[[#This Row],[Elt Area corrected]]*B/k_depl</f>
        <v>#N/A</v>
      </c>
      <c r="S127" s="180" t="e">
        <f ca="1">Tbl_Load_distrib[[#This Row],[Section Weight]]-Tbl_Load_distrib[[#This Row],[Floating Elt]]</f>
        <v>#N/A</v>
      </c>
      <c r="T127" s="183" t="e">
        <f ca="1">IF(ISTEXT($T126),0,$T126+Tbl_Load_distrib[[#This Row],[Net force / Elt]])</f>
        <v>#N/A</v>
      </c>
      <c r="U127" s="169" t="e">
        <f ca="1">IF(ISTEXT($U126),0,$U126+Tbl_Load_distrib[[#This Row],[Shearing Force]]*Tbl_Load_distrib[[#This Row],[L_elt]])</f>
        <v>#N/A</v>
      </c>
    </row>
    <row r="128" spans="2:21" x14ac:dyDescent="0.25">
      <c r="B128" s="136" t="e">
        <f t="shared" si="3"/>
        <v>#N/A</v>
      </c>
      <c r="C128" s="139" t="e">
        <f t="shared" si="4"/>
        <v>#N/A</v>
      </c>
      <c r="D128" s="152">
        <f ca="1">SUM(Tbl_Load_distrib[[#This Row],[Hull &amp; Structure]:[Reserved]])</f>
        <v>0</v>
      </c>
      <c r="E128" s="147">
        <f>SUMIFS(Tbl_Hull_Structure[Spread],Tbl_Hull_Structure[L from],"&lt;"&amp;Tbl_Load_distrib[[#This Row],[x]],Tbl_Hull_Structure[L to],"&gt;"&amp;C127)*Tbl_Load_distrib[[#This Row],[L_elt]]</f>
        <v>0</v>
      </c>
      <c r="F128" s="260">
        <f ca="1">SUMIFS(Tbl_Ballasts[Spread],Tbl_Ballasts[L from],"&lt;"&amp;Tbl_Load_distrib[[#This Row],[x]],Tbl_Ballasts[L to],"&gt;"&amp;C127)*Tbl_Load_distrib[[#This Row],[L_elt]]</f>
        <v>0</v>
      </c>
      <c r="G128" s="260">
        <f>SUMIFS(Tbl_Lifting[Spread],Tbl_Lifting[L from],"&lt;"&amp;Tbl_Load_distrib[[#This Row],[x]],Tbl_Lifting[L to],"&gt;"&amp;C127)*Tbl_Load_distrib[[#This Row],[L_elt]]</f>
        <v>0</v>
      </c>
      <c r="H128" s="260">
        <f>SUMIFS(Tbl_Additionals[Spread],Tbl_Additionals[L from],"&lt;"&amp;Tbl_Load_distrib[[#This Row],[x]],Tbl_Additionals[L to],"&gt;"&amp;C127)*Tbl_Load_distrib[[#This Row],[L_elt]]</f>
        <v>0</v>
      </c>
      <c r="I128" s="260">
        <f ca="1">SUMIFS(Tbl_Deck_Tank[Spread],Tbl_Deck_Tank[L from],"&lt;"&amp;Tbl_Load_distrib[[#This Row],[x]],Tbl_Deck_Tank[L to],"&gt;"&amp;C127)*Tbl_Load_distrib[[#This Row],[L_elt]]</f>
        <v>0</v>
      </c>
      <c r="J128" s="137"/>
      <c r="K128" s="165" t="e">
        <f>IFERROR(Tbl_Long_Section[[#This Row],[H Deck-Bottom]],NA())</f>
        <v>#N/A</v>
      </c>
      <c r="L128" s="829" t="e">
        <f>M_depth-Tbl_Load_distrib[[#This Row],[H Deck-Bottom]]</f>
        <v>#N/A</v>
      </c>
      <c r="M128" s="929">
        <f>IFERROR(Tbl_Load_distrib[[#This Row],[x]]-C127,0)</f>
        <v>0</v>
      </c>
      <c r="N128" s="929" t="e">
        <f>IF(ISNA(Tbl_Load_distrib[[#This Row],[x]]),NA(),IF(ISTEXT(N127),0,IF(N127=0,$Z$3,N127-($Z$3-$AA$3)/(Lpp-FE_size)*Tbl_Load_distrib[[#This Row],[L_elt]])))</f>
        <v>#N/A</v>
      </c>
      <c r="O128" s="166" t="e">
        <f ca="1">IF(ISNUMBER(O127),(IF((N127-L127)&lt;0,0,N127-L127)+IF((Tbl_Load_distrib[[#This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28" s="929" t="e">
        <f>IF(ISNA(Tbl_Load_distrib[[#This Row],[x]]),NA(),IF(ISTEXT(P127),0,IF(P127=0,LongSection_DraftAft,P127-(LongSection_DraftAft-LongSection_DraftFore)/(Lpp-FE_size)*Tbl_Load_distrib[[#This Row],[L_elt]])))</f>
        <v>#N/A</v>
      </c>
      <c r="Q128" s="166" t="e">
        <f ca="1">IF(ISNUMBER(Q127),(IF((P127-L127)&lt;0,0,P127-L127)+IF((Tbl_Load_distrib[[#This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28" s="167" t="e">
        <f ca="1">ρ_sw*Tbl_Load_distrib[[#This Row],[Elt Area corrected]]*B/k_depl</f>
        <v>#N/A</v>
      </c>
      <c r="S128" s="180" t="e">
        <f ca="1">Tbl_Load_distrib[[#This Row],[Section Weight]]-Tbl_Load_distrib[[#This Row],[Floating Elt]]</f>
        <v>#N/A</v>
      </c>
      <c r="T128" s="183" t="e">
        <f ca="1">IF(ISTEXT($T127),0,$T127+Tbl_Load_distrib[[#This Row],[Net force / Elt]])</f>
        <v>#N/A</v>
      </c>
      <c r="U128" s="169" t="e">
        <f ca="1">IF(ISTEXT($U127),0,$U127+Tbl_Load_distrib[[#This Row],[Shearing Force]]*Tbl_Load_distrib[[#This Row],[L_elt]])</f>
        <v>#N/A</v>
      </c>
    </row>
    <row r="129" spans="2:21" x14ac:dyDescent="0.25">
      <c r="B129" s="136" t="e">
        <f t="shared" si="3"/>
        <v>#N/A</v>
      </c>
      <c r="C129" s="139" t="e">
        <f t="shared" si="4"/>
        <v>#N/A</v>
      </c>
      <c r="D129" s="152">
        <f ca="1">SUM(Tbl_Load_distrib[[#This Row],[Hull &amp; Structure]:[Reserved]])</f>
        <v>0</v>
      </c>
      <c r="E129" s="147">
        <f>SUMIFS(Tbl_Hull_Structure[Spread],Tbl_Hull_Structure[L from],"&lt;"&amp;Tbl_Load_distrib[[#This Row],[x]],Tbl_Hull_Structure[L to],"&gt;"&amp;C128)*Tbl_Load_distrib[[#This Row],[L_elt]]</f>
        <v>0</v>
      </c>
      <c r="F129" s="260">
        <f ca="1">SUMIFS(Tbl_Ballasts[Spread],Tbl_Ballasts[L from],"&lt;"&amp;Tbl_Load_distrib[[#This Row],[x]],Tbl_Ballasts[L to],"&gt;"&amp;C128)*Tbl_Load_distrib[[#This Row],[L_elt]]</f>
        <v>0</v>
      </c>
      <c r="G129" s="260">
        <f>SUMIFS(Tbl_Lifting[Spread],Tbl_Lifting[L from],"&lt;"&amp;Tbl_Load_distrib[[#This Row],[x]],Tbl_Lifting[L to],"&gt;"&amp;C128)*Tbl_Load_distrib[[#This Row],[L_elt]]</f>
        <v>0</v>
      </c>
      <c r="H129" s="260">
        <f>SUMIFS(Tbl_Additionals[Spread],Tbl_Additionals[L from],"&lt;"&amp;Tbl_Load_distrib[[#This Row],[x]],Tbl_Additionals[L to],"&gt;"&amp;C128)*Tbl_Load_distrib[[#This Row],[L_elt]]</f>
        <v>0</v>
      </c>
      <c r="I129" s="260">
        <f ca="1">SUMIFS(Tbl_Deck_Tank[Spread],Tbl_Deck_Tank[L from],"&lt;"&amp;Tbl_Load_distrib[[#This Row],[x]],Tbl_Deck_Tank[L to],"&gt;"&amp;C128)*Tbl_Load_distrib[[#This Row],[L_elt]]</f>
        <v>0</v>
      </c>
      <c r="J129" s="137"/>
      <c r="K129" s="165" t="e">
        <f>IFERROR(Tbl_Long_Section[[#This Row],[H Deck-Bottom]],NA())</f>
        <v>#N/A</v>
      </c>
      <c r="L129" s="829" t="e">
        <f>M_depth-Tbl_Load_distrib[[#This Row],[H Deck-Bottom]]</f>
        <v>#N/A</v>
      </c>
      <c r="M129" s="929">
        <f>IFERROR(Tbl_Load_distrib[[#This Row],[x]]-C128,0)</f>
        <v>0</v>
      </c>
      <c r="N129" s="929" t="e">
        <f>IF(ISNA(Tbl_Load_distrib[[#This Row],[x]]),NA(),IF(ISTEXT(N128),0,IF(N128=0,$Z$3,N128-($Z$3-$AA$3)/(Lpp-FE_size)*Tbl_Load_distrib[[#This Row],[L_elt]])))</f>
        <v>#N/A</v>
      </c>
      <c r="O129" s="166" t="e">
        <f ca="1">IF(ISNUMBER(O128),(IF((N128-L128)&lt;0,0,N128-L128)+IF((Tbl_Load_distrib[[#This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29" s="929" t="e">
        <f>IF(ISNA(Tbl_Load_distrib[[#This Row],[x]]),NA(),IF(ISTEXT(P128),0,IF(P128=0,LongSection_DraftAft,P128-(LongSection_DraftAft-LongSection_DraftFore)/(Lpp-FE_size)*Tbl_Load_distrib[[#This Row],[L_elt]])))</f>
        <v>#N/A</v>
      </c>
      <c r="Q129" s="166" t="e">
        <f ca="1">IF(ISNUMBER(Q128),(IF((P128-L128)&lt;0,0,P128-L128)+IF((Tbl_Load_distrib[[#This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29" s="167" t="e">
        <f ca="1">ρ_sw*Tbl_Load_distrib[[#This Row],[Elt Area corrected]]*B/k_depl</f>
        <v>#N/A</v>
      </c>
      <c r="S129" s="180" t="e">
        <f ca="1">Tbl_Load_distrib[[#This Row],[Section Weight]]-Tbl_Load_distrib[[#This Row],[Floating Elt]]</f>
        <v>#N/A</v>
      </c>
      <c r="T129" s="183" t="e">
        <f ca="1">IF(ISTEXT($T128),0,$T128+Tbl_Load_distrib[[#This Row],[Net force / Elt]])</f>
        <v>#N/A</v>
      </c>
      <c r="U129" s="169" t="e">
        <f ca="1">IF(ISTEXT($U128),0,$U128+Tbl_Load_distrib[[#This Row],[Shearing Force]]*Tbl_Load_distrib[[#This Row],[L_elt]])</f>
        <v>#N/A</v>
      </c>
    </row>
    <row r="130" spans="2:21" x14ac:dyDescent="0.25">
      <c r="B130" s="136" t="e">
        <f t="shared" si="3"/>
        <v>#N/A</v>
      </c>
      <c r="C130" s="139" t="e">
        <f t="shared" si="4"/>
        <v>#N/A</v>
      </c>
      <c r="D130" s="152">
        <f ca="1">SUM(Tbl_Load_distrib[[#This Row],[Hull &amp; Structure]:[Reserved]])</f>
        <v>0</v>
      </c>
      <c r="E130" s="147">
        <f>SUMIFS(Tbl_Hull_Structure[Spread],Tbl_Hull_Structure[L from],"&lt;"&amp;Tbl_Load_distrib[[#This Row],[x]],Tbl_Hull_Structure[L to],"&gt;"&amp;C129)*Tbl_Load_distrib[[#This Row],[L_elt]]</f>
        <v>0</v>
      </c>
      <c r="F130" s="260">
        <f ca="1">SUMIFS(Tbl_Ballasts[Spread],Tbl_Ballasts[L from],"&lt;"&amp;Tbl_Load_distrib[[#This Row],[x]],Tbl_Ballasts[L to],"&gt;"&amp;C129)*Tbl_Load_distrib[[#This Row],[L_elt]]</f>
        <v>0</v>
      </c>
      <c r="G130" s="260">
        <f>SUMIFS(Tbl_Lifting[Spread],Tbl_Lifting[L from],"&lt;"&amp;Tbl_Load_distrib[[#This Row],[x]],Tbl_Lifting[L to],"&gt;"&amp;C129)*Tbl_Load_distrib[[#This Row],[L_elt]]</f>
        <v>0</v>
      </c>
      <c r="H130" s="260">
        <f>SUMIFS(Tbl_Additionals[Spread],Tbl_Additionals[L from],"&lt;"&amp;Tbl_Load_distrib[[#This Row],[x]],Tbl_Additionals[L to],"&gt;"&amp;C129)*Tbl_Load_distrib[[#This Row],[L_elt]]</f>
        <v>0</v>
      </c>
      <c r="I130" s="260">
        <f ca="1">SUMIFS(Tbl_Deck_Tank[Spread],Tbl_Deck_Tank[L from],"&lt;"&amp;Tbl_Load_distrib[[#This Row],[x]],Tbl_Deck_Tank[L to],"&gt;"&amp;C129)*Tbl_Load_distrib[[#This Row],[L_elt]]</f>
        <v>0</v>
      </c>
      <c r="J130" s="137"/>
      <c r="K130" s="165" t="e">
        <f>IFERROR(Tbl_Long_Section[[#This Row],[H Deck-Bottom]],NA())</f>
        <v>#N/A</v>
      </c>
      <c r="L130" s="829" t="e">
        <f>M_depth-Tbl_Load_distrib[[#This Row],[H Deck-Bottom]]</f>
        <v>#N/A</v>
      </c>
      <c r="M130" s="929">
        <f>IFERROR(Tbl_Load_distrib[[#This Row],[x]]-C129,0)</f>
        <v>0</v>
      </c>
      <c r="N130" s="929" t="e">
        <f>IF(ISNA(Tbl_Load_distrib[[#This Row],[x]]),NA(),IF(ISTEXT(N129),0,IF(N129=0,$Z$3,N129-($Z$3-$AA$3)/(Lpp-FE_size)*Tbl_Load_distrib[[#This Row],[L_elt]])))</f>
        <v>#N/A</v>
      </c>
      <c r="O130" s="166" t="e">
        <f ca="1">IF(ISNUMBER(O129),(IF((N129-L129)&lt;0,0,N129-L129)+IF((Tbl_Load_distrib[[#This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30" s="929" t="e">
        <f>IF(ISNA(Tbl_Load_distrib[[#This Row],[x]]),NA(),IF(ISTEXT(P129),0,IF(P129=0,LongSection_DraftAft,P129-(LongSection_DraftAft-LongSection_DraftFore)/(Lpp-FE_size)*Tbl_Load_distrib[[#This Row],[L_elt]])))</f>
        <v>#N/A</v>
      </c>
      <c r="Q130" s="166" t="e">
        <f ca="1">IF(ISNUMBER(Q129),(IF((P129-L129)&lt;0,0,P129-L129)+IF((Tbl_Load_distrib[[#This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30" s="167" t="e">
        <f ca="1">ρ_sw*Tbl_Load_distrib[[#This Row],[Elt Area corrected]]*B/k_depl</f>
        <v>#N/A</v>
      </c>
      <c r="S130" s="180" t="e">
        <f ca="1">Tbl_Load_distrib[[#This Row],[Section Weight]]-Tbl_Load_distrib[[#This Row],[Floating Elt]]</f>
        <v>#N/A</v>
      </c>
      <c r="T130" s="183" t="e">
        <f ca="1">IF(ISTEXT($T129),0,$T129+Tbl_Load_distrib[[#This Row],[Net force / Elt]])</f>
        <v>#N/A</v>
      </c>
      <c r="U130" s="169" t="e">
        <f ca="1">IF(ISTEXT($U129),0,$U129+Tbl_Load_distrib[[#This Row],[Shearing Force]]*Tbl_Load_distrib[[#This Row],[L_elt]])</f>
        <v>#N/A</v>
      </c>
    </row>
    <row r="131" spans="2:21" x14ac:dyDescent="0.25">
      <c r="B131" s="136" t="e">
        <f t="shared" si="3"/>
        <v>#N/A</v>
      </c>
      <c r="C131" s="139" t="e">
        <f t="shared" si="4"/>
        <v>#N/A</v>
      </c>
      <c r="D131" s="152">
        <f ca="1">SUM(Tbl_Load_distrib[[#This Row],[Hull &amp; Structure]:[Reserved]])</f>
        <v>0</v>
      </c>
      <c r="E131" s="147">
        <f>SUMIFS(Tbl_Hull_Structure[Spread],Tbl_Hull_Structure[L from],"&lt;"&amp;Tbl_Load_distrib[[#This Row],[x]],Tbl_Hull_Structure[L to],"&gt;"&amp;C130)*Tbl_Load_distrib[[#This Row],[L_elt]]</f>
        <v>0</v>
      </c>
      <c r="F131" s="260">
        <f ca="1">SUMIFS(Tbl_Ballasts[Spread],Tbl_Ballasts[L from],"&lt;"&amp;Tbl_Load_distrib[[#This Row],[x]],Tbl_Ballasts[L to],"&gt;"&amp;C130)*Tbl_Load_distrib[[#This Row],[L_elt]]</f>
        <v>0</v>
      </c>
      <c r="G131" s="260">
        <f>SUMIFS(Tbl_Lifting[Spread],Tbl_Lifting[L from],"&lt;"&amp;Tbl_Load_distrib[[#This Row],[x]],Tbl_Lifting[L to],"&gt;"&amp;C130)*Tbl_Load_distrib[[#This Row],[L_elt]]</f>
        <v>0</v>
      </c>
      <c r="H131" s="260">
        <f>SUMIFS(Tbl_Additionals[Spread],Tbl_Additionals[L from],"&lt;"&amp;Tbl_Load_distrib[[#This Row],[x]],Tbl_Additionals[L to],"&gt;"&amp;C130)*Tbl_Load_distrib[[#This Row],[L_elt]]</f>
        <v>0</v>
      </c>
      <c r="I131" s="260">
        <f ca="1">SUMIFS(Tbl_Deck_Tank[Spread],Tbl_Deck_Tank[L from],"&lt;"&amp;Tbl_Load_distrib[[#This Row],[x]],Tbl_Deck_Tank[L to],"&gt;"&amp;C130)*Tbl_Load_distrib[[#This Row],[L_elt]]</f>
        <v>0</v>
      </c>
      <c r="J131" s="137"/>
      <c r="K131" s="165" t="e">
        <f>IFERROR(Tbl_Long_Section[[#This Row],[H Deck-Bottom]],NA())</f>
        <v>#N/A</v>
      </c>
      <c r="L131" s="829" t="e">
        <f>M_depth-Tbl_Load_distrib[[#This Row],[H Deck-Bottom]]</f>
        <v>#N/A</v>
      </c>
      <c r="M131" s="929">
        <f>IFERROR(Tbl_Load_distrib[[#This Row],[x]]-C130,0)</f>
        <v>0</v>
      </c>
      <c r="N131" s="929" t="e">
        <f>IF(ISNA(Tbl_Load_distrib[[#This Row],[x]]),NA(),IF(ISTEXT(N130),0,IF(N130=0,$Z$3,N130-($Z$3-$AA$3)/(Lpp-FE_size)*Tbl_Load_distrib[[#This Row],[L_elt]])))</f>
        <v>#N/A</v>
      </c>
      <c r="O131" s="166" t="e">
        <f ca="1">IF(ISNUMBER(O130),(IF((N130-L130)&lt;0,0,N130-L130)+IF((Tbl_Load_distrib[[#This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31" s="929" t="e">
        <f>IF(ISNA(Tbl_Load_distrib[[#This Row],[x]]),NA(),IF(ISTEXT(P130),0,IF(P130=0,LongSection_DraftAft,P130-(LongSection_DraftAft-LongSection_DraftFore)/(Lpp-FE_size)*Tbl_Load_distrib[[#This Row],[L_elt]])))</f>
        <v>#N/A</v>
      </c>
      <c r="Q131" s="166" t="e">
        <f ca="1">IF(ISNUMBER(Q130),(IF((P130-L130)&lt;0,0,P130-L130)+IF((Tbl_Load_distrib[[#This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31" s="167" t="e">
        <f ca="1">ρ_sw*Tbl_Load_distrib[[#This Row],[Elt Area corrected]]*B/k_depl</f>
        <v>#N/A</v>
      </c>
      <c r="S131" s="180" t="e">
        <f ca="1">Tbl_Load_distrib[[#This Row],[Section Weight]]-Tbl_Load_distrib[[#This Row],[Floating Elt]]</f>
        <v>#N/A</v>
      </c>
      <c r="T131" s="183" t="e">
        <f ca="1">IF(ISTEXT($T130),0,$T130+Tbl_Load_distrib[[#This Row],[Net force / Elt]])</f>
        <v>#N/A</v>
      </c>
      <c r="U131" s="169" t="e">
        <f ca="1">IF(ISTEXT($U130),0,$U130+Tbl_Load_distrib[[#This Row],[Shearing Force]]*Tbl_Load_distrib[[#This Row],[L_elt]])</f>
        <v>#N/A</v>
      </c>
    </row>
    <row r="132" spans="2:21" x14ac:dyDescent="0.25">
      <c r="B132" s="136" t="e">
        <f t="shared" si="3"/>
        <v>#N/A</v>
      </c>
      <c r="C132" s="139" t="e">
        <f t="shared" si="4"/>
        <v>#N/A</v>
      </c>
      <c r="D132" s="152">
        <f ca="1">SUM(Tbl_Load_distrib[[#This Row],[Hull &amp; Structure]:[Reserved]])</f>
        <v>0</v>
      </c>
      <c r="E132" s="147">
        <f>SUMIFS(Tbl_Hull_Structure[Spread],Tbl_Hull_Structure[L from],"&lt;"&amp;Tbl_Load_distrib[[#This Row],[x]],Tbl_Hull_Structure[L to],"&gt;"&amp;C131)*Tbl_Load_distrib[[#This Row],[L_elt]]</f>
        <v>0</v>
      </c>
      <c r="F132" s="260">
        <f ca="1">SUMIFS(Tbl_Ballasts[Spread],Tbl_Ballasts[L from],"&lt;"&amp;Tbl_Load_distrib[[#This Row],[x]],Tbl_Ballasts[L to],"&gt;"&amp;C131)*Tbl_Load_distrib[[#This Row],[L_elt]]</f>
        <v>0</v>
      </c>
      <c r="G132" s="260">
        <f>SUMIFS(Tbl_Lifting[Spread],Tbl_Lifting[L from],"&lt;"&amp;Tbl_Load_distrib[[#This Row],[x]],Tbl_Lifting[L to],"&gt;"&amp;C131)*Tbl_Load_distrib[[#This Row],[L_elt]]</f>
        <v>0</v>
      </c>
      <c r="H132" s="260">
        <f>SUMIFS(Tbl_Additionals[Spread],Tbl_Additionals[L from],"&lt;"&amp;Tbl_Load_distrib[[#This Row],[x]],Tbl_Additionals[L to],"&gt;"&amp;C131)*Tbl_Load_distrib[[#This Row],[L_elt]]</f>
        <v>0</v>
      </c>
      <c r="I132" s="260">
        <f ca="1">SUMIFS(Tbl_Deck_Tank[Spread],Tbl_Deck_Tank[L from],"&lt;"&amp;Tbl_Load_distrib[[#This Row],[x]],Tbl_Deck_Tank[L to],"&gt;"&amp;C131)*Tbl_Load_distrib[[#This Row],[L_elt]]</f>
        <v>0</v>
      </c>
      <c r="J132" s="137"/>
      <c r="K132" s="165" t="e">
        <f>IFERROR(Tbl_Long_Section[[#This Row],[H Deck-Bottom]],NA())</f>
        <v>#N/A</v>
      </c>
      <c r="L132" s="829" t="e">
        <f>M_depth-Tbl_Load_distrib[[#This Row],[H Deck-Bottom]]</f>
        <v>#N/A</v>
      </c>
      <c r="M132" s="929">
        <f>IFERROR(Tbl_Load_distrib[[#This Row],[x]]-C131,0)</f>
        <v>0</v>
      </c>
      <c r="N132" s="929" t="e">
        <f>IF(ISNA(Tbl_Load_distrib[[#This Row],[x]]),NA(),IF(ISTEXT(N131),0,IF(N131=0,$Z$3,N131-($Z$3-$AA$3)/(Lpp-FE_size)*Tbl_Load_distrib[[#This Row],[L_elt]])))</f>
        <v>#N/A</v>
      </c>
      <c r="O132" s="166" t="e">
        <f ca="1">IF(ISNUMBER(O131),(IF((N131-L131)&lt;0,0,N131-L131)+IF((Tbl_Load_distrib[[#This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32" s="929" t="e">
        <f>IF(ISNA(Tbl_Load_distrib[[#This Row],[x]]),NA(),IF(ISTEXT(P131),0,IF(P131=0,LongSection_DraftAft,P131-(LongSection_DraftAft-LongSection_DraftFore)/(Lpp-FE_size)*Tbl_Load_distrib[[#This Row],[L_elt]])))</f>
        <v>#N/A</v>
      </c>
      <c r="Q132" s="166" t="e">
        <f ca="1">IF(ISNUMBER(Q131),(IF((P131-L131)&lt;0,0,P131-L131)+IF((Tbl_Load_distrib[[#This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32" s="167" t="e">
        <f ca="1">ρ_sw*Tbl_Load_distrib[[#This Row],[Elt Area corrected]]*B/k_depl</f>
        <v>#N/A</v>
      </c>
      <c r="S132" s="180" t="e">
        <f ca="1">Tbl_Load_distrib[[#This Row],[Section Weight]]-Tbl_Load_distrib[[#This Row],[Floating Elt]]</f>
        <v>#N/A</v>
      </c>
      <c r="T132" s="183" t="e">
        <f ca="1">IF(ISTEXT($T131),0,$T131+Tbl_Load_distrib[[#This Row],[Net force / Elt]])</f>
        <v>#N/A</v>
      </c>
      <c r="U132" s="169" t="e">
        <f ca="1">IF(ISTEXT($U131),0,$U131+Tbl_Load_distrib[[#This Row],[Shearing Force]]*Tbl_Load_distrib[[#This Row],[L_elt]])</f>
        <v>#N/A</v>
      </c>
    </row>
    <row r="133" spans="2:21" x14ac:dyDescent="0.25">
      <c r="B133" s="136" t="e">
        <f t="shared" si="3"/>
        <v>#N/A</v>
      </c>
      <c r="C133" s="139" t="e">
        <f t="shared" si="4"/>
        <v>#N/A</v>
      </c>
      <c r="D133" s="152">
        <f ca="1">SUM(Tbl_Load_distrib[[#This Row],[Hull &amp; Structure]:[Reserved]])</f>
        <v>0</v>
      </c>
      <c r="E133" s="147">
        <f>SUMIFS(Tbl_Hull_Structure[Spread],Tbl_Hull_Structure[L from],"&lt;"&amp;Tbl_Load_distrib[[#This Row],[x]],Tbl_Hull_Structure[L to],"&gt;"&amp;C132)*Tbl_Load_distrib[[#This Row],[L_elt]]</f>
        <v>0</v>
      </c>
      <c r="F133" s="260">
        <f ca="1">SUMIFS(Tbl_Ballasts[Spread],Tbl_Ballasts[L from],"&lt;"&amp;Tbl_Load_distrib[[#This Row],[x]],Tbl_Ballasts[L to],"&gt;"&amp;C132)*Tbl_Load_distrib[[#This Row],[L_elt]]</f>
        <v>0</v>
      </c>
      <c r="G133" s="260">
        <f>SUMIFS(Tbl_Lifting[Spread],Tbl_Lifting[L from],"&lt;"&amp;Tbl_Load_distrib[[#This Row],[x]],Tbl_Lifting[L to],"&gt;"&amp;C132)*Tbl_Load_distrib[[#This Row],[L_elt]]</f>
        <v>0</v>
      </c>
      <c r="H133" s="260">
        <f>SUMIFS(Tbl_Additionals[Spread],Tbl_Additionals[L from],"&lt;"&amp;Tbl_Load_distrib[[#This Row],[x]],Tbl_Additionals[L to],"&gt;"&amp;C132)*Tbl_Load_distrib[[#This Row],[L_elt]]</f>
        <v>0</v>
      </c>
      <c r="I133" s="260">
        <f ca="1">SUMIFS(Tbl_Deck_Tank[Spread],Tbl_Deck_Tank[L from],"&lt;"&amp;Tbl_Load_distrib[[#This Row],[x]],Tbl_Deck_Tank[L to],"&gt;"&amp;C132)*Tbl_Load_distrib[[#This Row],[L_elt]]</f>
        <v>0</v>
      </c>
      <c r="J133" s="137"/>
      <c r="K133" s="165" t="e">
        <f>IFERROR(Tbl_Long_Section[[#This Row],[H Deck-Bottom]],NA())</f>
        <v>#N/A</v>
      </c>
      <c r="L133" s="829" t="e">
        <f>M_depth-Tbl_Load_distrib[[#This Row],[H Deck-Bottom]]</f>
        <v>#N/A</v>
      </c>
      <c r="M133" s="929">
        <f>IFERROR(Tbl_Load_distrib[[#This Row],[x]]-C132,0)</f>
        <v>0</v>
      </c>
      <c r="N133" s="929" t="e">
        <f>IF(ISNA(Tbl_Load_distrib[[#This Row],[x]]),NA(),IF(ISTEXT(N132),0,IF(N132=0,$Z$3,N132-($Z$3-$AA$3)/(Lpp-FE_size)*Tbl_Load_distrib[[#This Row],[L_elt]])))</f>
        <v>#N/A</v>
      </c>
      <c r="O133" s="166" t="e">
        <f ca="1">IF(ISNUMBER(O132),(IF((N132-L132)&lt;0,0,N132-L132)+IF((Tbl_Load_distrib[[#This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33" s="929" t="e">
        <f>IF(ISNA(Tbl_Load_distrib[[#This Row],[x]]),NA(),IF(ISTEXT(P132),0,IF(P132=0,LongSection_DraftAft,P132-(LongSection_DraftAft-LongSection_DraftFore)/(Lpp-FE_size)*Tbl_Load_distrib[[#This Row],[L_elt]])))</f>
        <v>#N/A</v>
      </c>
      <c r="Q133" s="166" t="e">
        <f ca="1">IF(ISNUMBER(Q132),(IF((P132-L132)&lt;0,0,P132-L132)+IF((Tbl_Load_distrib[[#This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33" s="167" t="e">
        <f ca="1">ρ_sw*Tbl_Load_distrib[[#This Row],[Elt Area corrected]]*B/k_depl</f>
        <v>#N/A</v>
      </c>
      <c r="S133" s="180" t="e">
        <f ca="1">Tbl_Load_distrib[[#This Row],[Section Weight]]-Tbl_Load_distrib[[#This Row],[Floating Elt]]</f>
        <v>#N/A</v>
      </c>
      <c r="T133" s="183" t="e">
        <f ca="1">IF(ISTEXT($T132),0,$T132+Tbl_Load_distrib[[#This Row],[Net force / Elt]])</f>
        <v>#N/A</v>
      </c>
      <c r="U133" s="169" t="e">
        <f ca="1">IF(ISTEXT($U132),0,$U132+Tbl_Load_distrib[[#This Row],[Shearing Force]]*Tbl_Load_distrib[[#This Row],[L_elt]])</f>
        <v>#N/A</v>
      </c>
    </row>
    <row r="134" spans="2:21" x14ac:dyDescent="0.25">
      <c r="B134" s="136" t="e">
        <f t="shared" ref="B134:B197" si="5">IF(ISTEXT($B133),0,IF($B133+1&gt;Last_Frame,NA(),$B133+1))</f>
        <v>#N/A</v>
      </c>
      <c r="C134" s="139" t="e">
        <f t="shared" ref="C134:C197" si="6">IF(B134*FE_size&gt;Lpp,Lpp,B134*FE_size)</f>
        <v>#N/A</v>
      </c>
      <c r="D134" s="152">
        <f ca="1">SUM(Tbl_Load_distrib[[#This Row],[Hull &amp; Structure]:[Reserved]])</f>
        <v>0</v>
      </c>
      <c r="E134" s="260">
        <f>SUMIFS(Tbl_Hull_Structure[Spread],Tbl_Hull_Structure[L from],"&lt;"&amp;Tbl_Load_distrib[[#This Row],[x]],Tbl_Hull_Structure[L to],"&gt;"&amp;C133)*Tbl_Load_distrib[[#This Row],[L_elt]]</f>
        <v>0</v>
      </c>
      <c r="F134" s="260">
        <f ca="1">SUMIFS(Tbl_Ballasts[Spread],Tbl_Ballasts[L from],"&lt;"&amp;Tbl_Load_distrib[[#This Row],[x]],Tbl_Ballasts[L to],"&gt;"&amp;C133)*Tbl_Load_distrib[[#This Row],[L_elt]]</f>
        <v>0</v>
      </c>
      <c r="G134" s="260">
        <f>SUMIFS(Tbl_Lifting[Spread],Tbl_Lifting[L from],"&lt;"&amp;Tbl_Load_distrib[[#This Row],[x]],Tbl_Lifting[L to],"&gt;"&amp;C133)*Tbl_Load_distrib[[#This Row],[L_elt]]</f>
        <v>0</v>
      </c>
      <c r="H134" s="260">
        <f>SUMIFS(Tbl_Additionals[Spread],Tbl_Additionals[L from],"&lt;"&amp;Tbl_Load_distrib[[#This Row],[x]],Tbl_Additionals[L to],"&gt;"&amp;C133)*Tbl_Load_distrib[[#This Row],[L_elt]]</f>
        <v>0</v>
      </c>
      <c r="I134" s="260">
        <f ca="1">SUMIFS(Tbl_Deck_Tank[Spread],Tbl_Deck_Tank[L from],"&lt;"&amp;Tbl_Load_distrib[[#This Row],[x]],Tbl_Deck_Tank[L to],"&gt;"&amp;C133)*Tbl_Load_distrib[[#This Row],[L_elt]]</f>
        <v>0</v>
      </c>
      <c r="J134" s="137"/>
      <c r="K134" s="165" t="e">
        <f>IFERROR(Tbl_Long_Section[[#This Row],[H Deck-Bottom]],NA())</f>
        <v>#N/A</v>
      </c>
      <c r="L134" s="829" t="e">
        <f>M_depth-Tbl_Load_distrib[[#This Row],[H Deck-Bottom]]</f>
        <v>#N/A</v>
      </c>
      <c r="M134" s="929">
        <f>IFERROR(Tbl_Load_distrib[[#This Row],[x]]-C133,0)</f>
        <v>0</v>
      </c>
      <c r="N134" s="929" t="e">
        <f>IF(ISNA(Tbl_Load_distrib[[#This Row],[x]]),NA(),IF(ISTEXT(N133),0,IF(N133=0,$Z$3,N133-($Z$3-$AA$3)/(Lpp-FE_size)*Tbl_Load_distrib[[#This Row],[L_elt]])))</f>
        <v>#N/A</v>
      </c>
      <c r="O134" s="166" t="e">
        <f ca="1">IF(ISNUMBER(O133),(IF((N133-L133)&lt;0,0,N133-L133)+IF((Tbl_Load_distrib[[#This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34" s="929" t="e">
        <f>IF(ISNA(Tbl_Load_distrib[[#This Row],[x]]),NA(),IF(ISTEXT(P133),0,IF(P133=0,LongSection_DraftAft,P133-(LongSection_DraftAft-LongSection_DraftFore)/(Lpp-FE_size)*Tbl_Load_distrib[[#This Row],[L_elt]])))</f>
        <v>#N/A</v>
      </c>
      <c r="Q134" s="166" t="e">
        <f ca="1">IF(ISNUMBER(Q133),(IF((P133-L133)&lt;0,0,P133-L133)+IF((Tbl_Load_distrib[[#This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34" s="167" t="e">
        <f ca="1">ρ_sw*Tbl_Load_distrib[[#This Row],[Elt Area corrected]]*B/k_depl</f>
        <v>#N/A</v>
      </c>
      <c r="S134" s="167" t="e">
        <f ca="1">Tbl_Load_distrib[[#This Row],[Section Weight]]-Tbl_Load_distrib[[#This Row],[Floating Elt]]</f>
        <v>#N/A</v>
      </c>
      <c r="T134" s="183" t="e">
        <f ca="1">IF(ISTEXT($T133),0,$T133+Tbl_Load_distrib[[#This Row],[Net force / Elt]])</f>
        <v>#N/A</v>
      </c>
      <c r="U134" s="261" t="e">
        <f ca="1">IF(ISTEXT($U133),0,$U133+Tbl_Load_distrib[[#This Row],[Shearing Force]]*Tbl_Load_distrib[[#This Row],[L_elt]])</f>
        <v>#N/A</v>
      </c>
    </row>
    <row r="135" spans="2:21" x14ac:dyDescent="0.25">
      <c r="B135" s="136" t="e">
        <f t="shared" si="5"/>
        <v>#N/A</v>
      </c>
      <c r="C135" s="139" t="e">
        <f t="shared" si="6"/>
        <v>#N/A</v>
      </c>
      <c r="D135" s="152">
        <f ca="1">SUM(Tbl_Load_distrib[[#This Row],[Hull &amp; Structure]:[Reserved]])</f>
        <v>0</v>
      </c>
      <c r="E135" s="260">
        <f>SUMIFS(Tbl_Hull_Structure[Spread],Tbl_Hull_Structure[L from],"&lt;"&amp;Tbl_Load_distrib[[#This Row],[x]],Tbl_Hull_Structure[L to],"&gt;"&amp;C134)*Tbl_Load_distrib[[#This Row],[L_elt]]</f>
        <v>0</v>
      </c>
      <c r="F135" s="260">
        <f ca="1">SUMIFS(Tbl_Ballasts[Spread],Tbl_Ballasts[L from],"&lt;"&amp;Tbl_Load_distrib[[#This Row],[x]],Tbl_Ballasts[L to],"&gt;"&amp;C134)*Tbl_Load_distrib[[#This Row],[L_elt]]</f>
        <v>0</v>
      </c>
      <c r="G135" s="260">
        <f>SUMIFS(Tbl_Lifting[Spread],Tbl_Lifting[L from],"&lt;"&amp;Tbl_Load_distrib[[#This Row],[x]],Tbl_Lifting[L to],"&gt;"&amp;C134)*Tbl_Load_distrib[[#This Row],[L_elt]]</f>
        <v>0</v>
      </c>
      <c r="H135" s="260">
        <f>SUMIFS(Tbl_Additionals[Spread],Tbl_Additionals[L from],"&lt;"&amp;Tbl_Load_distrib[[#This Row],[x]],Tbl_Additionals[L to],"&gt;"&amp;C134)*Tbl_Load_distrib[[#This Row],[L_elt]]</f>
        <v>0</v>
      </c>
      <c r="I135" s="260">
        <f ca="1">SUMIFS(Tbl_Deck_Tank[Spread],Tbl_Deck_Tank[L from],"&lt;"&amp;Tbl_Load_distrib[[#This Row],[x]],Tbl_Deck_Tank[L to],"&gt;"&amp;C134)*Tbl_Load_distrib[[#This Row],[L_elt]]</f>
        <v>0</v>
      </c>
      <c r="J135" s="137"/>
      <c r="K135" s="165" t="e">
        <f>IFERROR(Tbl_Long_Section[[#This Row],[H Deck-Bottom]],NA())</f>
        <v>#N/A</v>
      </c>
      <c r="L135" s="829" t="e">
        <f>M_depth-Tbl_Load_distrib[[#This Row],[H Deck-Bottom]]</f>
        <v>#N/A</v>
      </c>
      <c r="M135" s="929">
        <f>IFERROR(Tbl_Load_distrib[[#This Row],[x]]-C134,0)</f>
        <v>0</v>
      </c>
      <c r="N135" s="929" t="e">
        <f>IF(ISNA(Tbl_Load_distrib[[#This Row],[x]]),NA(),IF(ISTEXT(N134),0,IF(N134=0,$Z$3,N134-($Z$3-$AA$3)/(Lpp-FE_size)*Tbl_Load_distrib[[#This Row],[L_elt]])))</f>
        <v>#N/A</v>
      </c>
      <c r="O135" s="166" t="e">
        <f ca="1">IF(ISNUMBER(O134),(IF((N134-L134)&lt;0,0,N134-L134)+IF((Tbl_Load_distrib[[#This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35" s="929" t="e">
        <f>IF(ISNA(Tbl_Load_distrib[[#This Row],[x]]),NA(),IF(ISTEXT(P134),0,IF(P134=0,LongSection_DraftAft,P134-(LongSection_DraftAft-LongSection_DraftFore)/(Lpp-FE_size)*Tbl_Load_distrib[[#This Row],[L_elt]])))</f>
        <v>#N/A</v>
      </c>
      <c r="Q135" s="166" t="e">
        <f ca="1">IF(ISNUMBER(Q134),(IF((P134-L134)&lt;0,0,P134-L134)+IF((Tbl_Load_distrib[[#This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35" s="167" t="e">
        <f ca="1">ρ_sw*Tbl_Load_distrib[[#This Row],[Elt Area corrected]]*B/k_depl</f>
        <v>#N/A</v>
      </c>
      <c r="S135" s="167" t="e">
        <f ca="1">Tbl_Load_distrib[[#This Row],[Section Weight]]-Tbl_Load_distrib[[#This Row],[Floating Elt]]</f>
        <v>#N/A</v>
      </c>
      <c r="T135" s="183" t="e">
        <f ca="1">IF(ISTEXT($T134),0,$T134+Tbl_Load_distrib[[#This Row],[Net force / Elt]])</f>
        <v>#N/A</v>
      </c>
      <c r="U135" s="261" t="e">
        <f ca="1">IF(ISTEXT($U134),0,$U134+Tbl_Load_distrib[[#This Row],[Shearing Force]]*Tbl_Load_distrib[[#This Row],[L_elt]])</f>
        <v>#N/A</v>
      </c>
    </row>
    <row r="136" spans="2:21" x14ac:dyDescent="0.25">
      <c r="B136" s="136" t="e">
        <f t="shared" si="5"/>
        <v>#N/A</v>
      </c>
      <c r="C136" s="139" t="e">
        <f t="shared" si="6"/>
        <v>#N/A</v>
      </c>
      <c r="D136" s="152">
        <f ca="1">SUM(Tbl_Load_distrib[[#This Row],[Hull &amp; Structure]:[Reserved]])</f>
        <v>0</v>
      </c>
      <c r="E136" s="260">
        <f>SUMIFS(Tbl_Hull_Structure[Spread],Tbl_Hull_Structure[L from],"&lt;"&amp;Tbl_Load_distrib[[#This Row],[x]],Tbl_Hull_Structure[L to],"&gt;"&amp;C135)*Tbl_Load_distrib[[#This Row],[L_elt]]</f>
        <v>0</v>
      </c>
      <c r="F136" s="260">
        <f ca="1">SUMIFS(Tbl_Ballasts[Spread],Tbl_Ballasts[L from],"&lt;"&amp;Tbl_Load_distrib[[#This Row],[x]],Tbl_Ballasts[L to],"&gt;"&amp;C135)*Tbl_Load_distrib[[#This Row],[L_elt]]</f>
        <v>0</v>
      </c>
      <c r="G136" s="260">
        <f>SUMIFS(Tbl_Lifting[Spread],Tbl_Lifting[L from],"&lt;"&amp;Tbl_Load_distrib[[#This Row],[x]],Tbl_Lifting[L to],"&gt;"&amp;C135)*Tbl_Load_distrib[[#This Row],[L_elt]]</f>
        <v>0</v>
      </c>
      <c r="H136" s="260">
        <f>SUMIFS(Tbl_Additionals[Spread],Tbl_Additionals[L from],"&lt;"&amp;Tbl_Load_distrib[[#This Row],[x]],Tbl_Additionals[L to],"&gt;"&amp;C135)*Tbl_Load_distrib[[#This Row],[L_elt]]</f>
        <v>0</v>
      </c>
      <c r="I136" s="260">
        <f ca="1">SUMIFS(Tbl_Deck_Tank[Spread],Tbl_Deck_Tank[L from],"&lt;"&amp;Tbl_Load_distrib[[#This Row],[x]],Tbl_Deck_Tank[L to],"&gt;"&amp;C135)*Tbl_Load_distrib[[#This Row],[L_elt]]</f>
        <v>0</v>
      </c>
      <c r="J136" s="137"/>
      <c r="K136" s="165" t="e">
        <f>IFERROR(Tbl_Long_Section[[#This Row],[H Deck-Bottom]],NA())</f>
        <v>#N/A</v>
      </c>
      <c r="L136" s="829" t="e">
        <f>M_depth-Tbl_Load_distrib[[#This Row],[H Deck-Bottom]]</f>
        <v>#N/A</v>
      </c>
      <c r="M136" s="929">
        <f>IFERROR(Tbl_Load_distrib[[#This Row],[x]]-C135,0)</f>
        <v>0</v>
      </c>
      <c r="N136" s="929" t="e">
        <f>IF(ISNA(Tbl_Load_distrib[[#This Row],[x]]),NA(),IF(ISTEXT(N135),0,IF(N135=0,$Z$3,N135-($Z$3-$AA$3)/(Lpp-FE_size)*Tbl_Load_distrib[[#This Row],[L_elt]])))</f>
        <v>#N/A</v>
      </c>
      <c r="O136" s="166" t="e">
        <f ca="1">IF(ISNUMBER(O135),(IF((N135-L135)&lt;0,0,N135-L135)+IF((Tbl_Load_distrib[[#This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36" s="929" t="e">
        <f>IF(ISNA(Tbl_Load_distrib[[#This Row],[x]]),NA(),IF(ISTEXT(P135),0,IF(P135=0,LongSection_DraftAft,P135-(LongSection_DraftAft-LongSection_DraftFore)/(Lpp-FE_size)*Tbl_Load_distrib[[#This Row],[L_elt]])))</f>
        <v>#N/A</v>
      </c>
      <c r="Q136" s="166" t="e">
        <f ca="1">IF(ISNUMBER(Q135),(IF((P135-L135)&lt;0,0,P135-L135)+IF((Tbl_Load_distrib[[#This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36" s="167" t="e">
        <f ca="1">ρ_sw*Tbl_Load_distrib[[#This Row],[Elt Area corrected]]*B/k_depl</f>
        <v>#N/A</v>
      </c>
      <c r="S136" s="167" t="e">
        <f ca="1">Tbl_Load_distrib[[#This Row],[Section Weight]]-Tbl_Load_distrib[[#This Row],[Floating Elt]]</f>
        <v>#N/A</v>
      </c>
      <c r="T136" s="183" t="e">
        <f ca="1">IF(ISTEXT($T135),0,$T135+Tbl_Load_distrib[[#This Row],[Net force / Elt]])</f>
        <v>#N/A</v>
      </c>
      <c r="U136" s="261" t="e">
        <f ca="1">IF(ISTEXT($U135),0,$U135+Tbl_Load_distrib[[#This Row],[Shearing Force]]*Tbl_Load_distrib[[#This Row],[L_elt]])</f>
        <v>#N/A</v>
      </c>
    </row>
    <row r="137" spans="2:21" x14ac:dyDescent="0.25">
      <c r="B137" s="136" t="e">
        <f t="shared" si="5"/>
        <v>#N/A</v>
      </c>
      <c r="C137" s="139" t="e">
        <f t="shared" si="6"/>
        <v>#N/A</v>
      </c>
      <c r="D137" s="152">
        <f ca="1">SUM(Tbl_Load_distrib[[#This Row],[Hull &amp; Structure]:[Reserved]])</f>
        <v>0</v>
      </c>
      <c r="E137" s="260">
        <f>SUMIFS(Tbl_Hull_Structure[Spread],Tbl_Hull_Structure[L from],"&lt;"&amp;Tbl_Load_distrib[[#This Row],[x]],Tbl_Hull_Structure[L to],"&gt;"&amp;C136)*Tbl_Load_distrib[[#This Row],[L_elt]]</f>
        <v>0</v>
      </c>
      <c r="F137" s="260">
        <f ca="1">SUMIFS(Tbl_Ballasts[Spread],Tbl_Ballasts[L from],"&lt;"&amp;Tbl_Load_distrib[[#This Row],[x]],Tbl_Ballasts[L to],"&gt;"&amp;C136)*Tbl_Load_distrib[[#This Row],[L_elt]]</f>
        <v>0</v>
      </c>
      <c r="G137" s="260">
        <f>SUMIFS(Tbl_Lifting[Spread],Tbl_Lifting[L from],"&lt;"&amp;Tbl_Load_distrib[[#This Row],[x]],Tbl_Lifting[L to],"&gt;"&amp;C136)*Tbl_Load_distrib[[#This Row],[L_elt]]</f>
        <v>0</v>
      </c>
      <c r="H137" s="260">
        <f>SUMIFS(Tbl_Additionals[Spread],Tbl_Additionals[L from],"&lt;"&amp;Tbl_Load_distrib[[#This Row],[x]],Tbl_Additionals[L to],"&gt;"&amp;C136)*Tbl_Load_distrib[[#This Row],[L_elt]]</f>
        <v>0</v>
      </c>
      <c r="I137" s="260">
        <f ca="1">SUMIFS(Tbl_Deck_Tank[Spread],Tbl_Deck_Tank[L from],"&lt;"&amp;Tbl_Load_distrib[[#This Row],[x]],Tbl_Deck_Tank[L to],"&gt;"&amp;C136)*Tbl_Load_distrib[[#This Row],[L_elt]]</f>
        <v>0</v>
      </c>
      <c r="J137" s="137"/>
      <c r="K137" s="165" t="e">
        <f>IFERROR(Tbl_Long_Section[[#This Row],[H Deck-Bottom]],NA())</f>
        <v>#N/A</v>
      </c>
      <c r="L137" s="829" t="e">
        <f>M_depth-Tbl_Load_distrib[[#This Row],[H Deck-Bottom]]</f>
        <v>#N/A</v>
      </c>
      <c r="M137" s="929">
        <f>IFERROR(Tbl_Load_distrib[[#This Row],[x]]-C136,0)</f>
        <v>0</v>
      </c>
      <c r="N137" s="929" t="e">
        <f>IF(ISNA(Tbl_Load_distrib[[#This Row],[x]]),NA(),IF(ISTEXT(N136),0,IF(N136=0,$Z$3,N136-($Z$3-$AA$3)/(Lpp-FE_size)*Tbl_Load_distrib[[#This Row],[L_elt]])))</f>
        <v>#N/A</v>
      </c>
      <c r="O137" s="166" t="e">
        <f ca="1">IF(ISNUMBER(O136),(IF((N136-L136)&lt;0,0,N136-L136)+IF((Tbl_Load_distrib[[#This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37" s="929" t="e">
        <f>IF(ISNA(Tbl_Load_distrib[[#This Row],[x]]),NA(),IF(ISTEXT(P136),0,IF(P136=0,LongSection_DraftAft,P136-(LongSection_DraftAft-LongSection_DraftFore)/(Lpp-FE_size)*Tbl_Load_distrib[[#This Row],[L_elt]])))</f>
        <v>#N/A</v>
      </c>
      <c r="Q137" s="166" t="e">
        <f ca="1">IF(ISNUMBER(Q136),(IF((P136-L136)&lt;0,0,P136-L136)+IF((Tbl_Load_distrib[[#This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37" s="167" t="e">
        <f ca="1">ρ_sw*Tbl_Load_distrib[[#This Row],[Elt Area corrected]]*B/k_depl</f>
        <v>#N/A</v>
      </c>
      <c r="S137" s="167" t="e">
        <f ca="1">Tbl_Load_distrib[[#This Row],[Section Weight]]-Tbl_Load_distrib[[#This Row],[Floating Elt]]</f>
        <v>#N/A</v>
      </c>
      <c r="T137" s="183" t="e">
        <f ca="1">IF(ISTEXT($T136),0,$T136+Tbl_Load_distrib[[#This Row],[Net force / Elt]])</f>
        <v>#N/A</v>
      </c>
      <c r="U137" s="261" t="e">
        <f ca="1">IF(ISTEXT($U136),0,$U136+Tbl_Load_distrib[[#This Row],[Shearing Force]]*Tbl_Load_distrib[[#This Row],[L_elt]])</f>
        <v>#N/A</v>
      </c>
    </row>
    <row r="138" spans="2:21" x14ac:dyDescent="0.25">
      <c r="B138" s="136" t="e">
        <f t="shared" si="5"/>
        <v>#N/A</v>
      </c>
      <c r="C138" s="139" t="e">
        <f t="shared" si="6"/>
        <v>#N/A</v>
      </c>
      <c r="D138" s="152">
        <f ca="1">SUM(Tbl_Load_distrib[[#This Row],[Hull &amp; Structure]:[Reserved]])</f>
        <v>0</v>
      </c>
      <c r="E138" s="260">
        <f>SUMIFS(Tbl_Hull_Structure[Spread],Tbl_Hull_Structure[L from],"&lt;"&amp;Tbl_Load_distrib[[#This Row],[x]],Tbl_Hull_Structure[L to],"&gt;"&amp;C137)*Tbl_Load_distrib[[#This Row],[L_elt]]</f>
        <v>0</v>
      </c>
      <c r="F138" s="260">
        <f ca="1">SUMIFS(Tbl_Ballasts[Spread],Tbl_Ballasts[L from],"&lt;"&amp;Tbl_Load_distrib[[#This Row],[x]],Tbl_Ballasts[L to],"&gt;"&amp;C137)*Tbl_Load_distrib[[#This Row],[L_elt]]</f>
        <v>0</v>
      </c>
      <c r="G138" s="260">
        <f>SUMIFS(Tbl_Lifting[Spread],Tbl_Lifting[L from],"&lt;"&amp;Tbl_Load_distrib[[#This Row],[x]],Tbl_Lifting[L to],"&gt;"&amp;C137)*Tbl_Load_distrib[[#This Row],[L_elt]]</f>
        <v>0</v>
      </c>
      <c r="H138" s="260">
        <f>SUMIFS(Tbl_Additionals[Spread],Tbl_Additionals[L from],"&lt;"&amp;Tbl_Load_distrib[[#This Row],[x]],Tbl_Additionals[L to],"&gt;"&amp;C137)*Tbl_Load_distrib[[#This Row],[L_elt]]</f>
        <v>0</v>
      </c>
      <c r="I138" s="260">
        <f ca="1">SUMIFS(Tbl_Deck_Tank[Spread],Tbl_Deck_Tank[L from],"&lt;"&amp;Tbl_Load_distrib[[#This Row],[x]],Tbl_Deck_Tank[L to],"&gt;"&amp;C137)*Tbl_Load_distrib[[#This Row],[L_elt]]</f>
        <v>0</v>
      </c>
      <c r="J138" s="137"/>
      <c r="K138" s="165" t="e">
        <f>IFERROR(Tbl_Long_Section[[#This Row],[H Deck-Bottom]],NA())</f>
        <v>#N/A</v>
      </c>
      <c r="L138" s="829" t="e">
        <f>M_depth-Tbl_Load_distrib[[#This Row],[H Deck-Bottom]]</f>
        <v>#N/A</v>
      </c>
      <c r="M138" s="929">
        <f>IFERROR(Tbl_Load_distrib[[#This Row],[x]]-C137,0)</f>
        <v>0</v>
      </c>
      <c r="N138" s="929" t="e">
        <f>IF(ISNA(Tbl_Load_distrib[[#This Row],[x]]),NA(),IF(ISTEXT(N137),0,IF(N137=0,$Z$3,N137-($Z$3-$AA$3)/(Lpp-FE_size)*Tbl_Load_distrib[[#This Row],[L_elt]])))</f>
        <v>#N/A</v>
      </c>
      <c r="O138" s="166" t="e">
        <f ca="1">IF(ISNUMBER(O137),(IF((N137-L137)&lt;0,0,N137-L137)+IF((Tbl_Load_distrib[[#This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38" s="929" t="e">
        <f>IF(ISNA(Tbl_Load_distrib[[#This Row],[x]]),NA(),IF(ISTEXT(P137),0,IF(P137=0,LongSection_DraftAft,P137-(LongSection_DraftAft-LongSection_DraftFore)/(Lpp-FE_size)*Tbl_Load_distrib[[#This Row],[L_elt]])))</f>
        <v>#N/A</v>
      </c>
      <c r="Q138" s="166" t="e">
        <f ca="1">IF(ISNUMBER(Q137),(IF((P137-L137)&lt;0,0,P137-L137)+IF((Tbl_Load_distrib[[#This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38" s="167" t="e">
        <f ca="1">ρ_sw*Tbl_Load_distrib[[#This Row],[Elt Area corrected]]*B/k_depl</f>
        <v>#N/A</v>
      </c>
      <c r="S138" s="167" t="e">
        <f ca="1">Tbl_Load_distrib[[#This Row],[Section Weight]]-Tbl_Load_distrib[[#This Row],[Floating Elt]]</f>
        <v>#N/A</v>
      </c>
      <c r="T138" s="183" t="e">
        <f ca="1">IF(ISTEXT($T137),0,$T137+Tbl_Load_distrib[[#This Row],[Net force / Elt]])</f>
        <v>#N/A</v>
      </c>
      <c r="U138" s="261" t="e">
        <f ca="1">IF(ISTEXT($U137),0,$U137+Tbl_Load_distrib[[#This Row],[Shearing Force]]*Tbl_Load_distrib[[#This Row],[L_elt]])</f>
        <v>#N/A</v>
      </c>
    </row>
    <row r="139" spans="2:21" x14ac:dyDescent="0.25">
      <c r="B139" s="136" t="e">
        <f t="shared" si="5"/>
        <v>#N/A</v>
      </c>
      <c r="C139" s="139" t="e">
        <f t="shared" si="6"/>
        <v>#N/A</v>
      </c>
      <c r="D139" s="152">
        <f ca="1">SUM(Tbl_Load_distrib[[#This Row],[Hull &amp; Structure]:[Reserved]])</f>
        <v>0</v>
      </c>
      <c r="E139" s="260">
        <f>SUMIFS(Tbl_Hull_Structure[Spread],Tbl_Hull_Structure[L from],"&lt;"&amp;Tbl_Load_distrib[[#This Row],[x]],Tbl_Hull_Structure[L to],"&gt;"&amp;C138)*Tbl_Load_distrib[[#This Row],[L_elt]]</f>
        <v>0</v>
      </c>
      <c r="F139" s="260">
        <f ca="1">SUMIFS(Tbl_Ballasts[Spread],Tbl_Ballasts[L from],"&lt;"&amp;Tbl_Load_distrib[[#This Row],[x]],Tbl_Ballasts[L to],"&gt;"&amp;C138)*Tbl_Load_distrib[[#This Row],[L_elt]]</f>
        <v>0</v>
      </c>
      <c r="G139" s="260">
        <f>SUMIFS(Tbl_Lifting[Spread],Tbl_Lifting[L from],"&lt;"&amp;Tbl_Load_distrib[[#This Row],[x]],Tbl_Lifting[L to],"&gt;"&amp;C138)*Tbl_Load_distrib[[#This Row],[L_elt]]</f>
        <v>0</v>
      </c>
      <c r="H139" s="260">
        <f>SUMIFS(Tbl_Additionals[Spread],Tbl_Additionals[L from],"&lt;"&amp;Tbl_Load_distrib[[#This Row],[x]],Tbl_Additionals[L to],"&gt;"&amp;C138)*Tbl_Load_distrib[[#This Row],[L_elt]]</f>
        <v>0</v>
      </c>
      <c r="I139" s="260">
        <f ca="1">SUMIFS(Tbl_Deck_Tank[Spread],Tbl_Deck_Tank[L from],"&lt;"&amp;Tbl_Load_distrib[[#This Row],[x]],Tbl_Deck_Tank[L to],"&gt;"&amp;C138)*Tbl_Load_distrib[[#This Row],[L_elt]]</f>
        <v>0</v>
      </c>
      <c r="J139" s="137"/>
      <c r="K139" s="165" t="e">
        <f>IFERROR(Tbl_Long_Section[[#This Row],[H Deck-Bottom]],NA())</f>
        <v>#N/A</v>
      </c>
      <c r="L139" s="829" t="e">
        <f>M_depth-Tbl_Load_distrib[[#This Row],[H Deck-Bottom]]</f>
        <v>#N/A</v>
      </c>
      <c r="M139" s="929">
        <f>IFERROR(Tbl_Load_distrib[[#This Row],[x]]-C138,0)</f>
        <v>0</v>
      </c>
      <c r="N139" s="929" t="e">
        <f>IF(ISNA(Tbl_Load_distrib[[#This Row],[x]]),NA(),IF(ISTEXT(N138),0,IF(N138=0,$Z$3,N138-($Z$3-$AA$3)/(Lpp-FE_size)*Tbl_Load_distrib[[#This Row],[L_elt]])))</f>
        <v>#N/A</v>
      </c>
      <c r="O139" s="166" t="e">
        <f ca="1">IF(ISNUMBER(O138),(IF((N138-L138)&lt;0,0,N138-L138)+IF((Tbl_Load_distrib[[#This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39" s="929" t="e">
        <f>IF(ISNA(Tbl_Load_distrib[[#This Row],[x]]),NA(),IF(ISTEXT(P138),0,IF(P138=0,LongSection_DraftAft,P138-(LongSection_DraftAft-LongSection_DraftFore)/(Lpp-FE_size)*Tbl_Load_distrib[[#This Row],[L_elt]])))</f>
        <v>#N/A</v>
      </c>
      <c r="Q139" s="166" t="e">
        <f ca="1">IF(ISNUMBER(Q138),(IF((P138-L138)&lt;0,0,P138-L138)+IF((Tbl_Load_distrib[[#This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39" s="167" t="e">
        <f ca="1">ρ_sw*Tbl_Load_distrib[[#This Row],[Elt Area corrected]]*B/k_depl</f>
        <v>#N/A</v>
      </c>
      <c r="S139" s="167" t="e">
        <f ca="1">Tbl_Load_distrib[[#This Row],[Section Weight]]-Tbl_Load_distrib[[#This Row],[Floating Elt]]</f>
        <v>#N/A</v>
      </c>
      <c r="T139" s="183" t="e">
        <f ca="1">IF(ISTEXT($T138),0,$T138+Tbl_Load_distrib[[#This Row],[Net force / Elt]])</f>
        <v>#N/A</v>
      </c>
      <c r="U139" s="261" t="e">
        <f ca="1">IF(ISTEXT($U138),0,$U138+Tbl_Load_distrib[[#This Row],[Shearing Force]]*Tbl_Load_distrib[[#This Row],[L_elt]])</f>
        <v>#N/A</v>
      </c>
    </row>
    <row r="140" spans="2:21" x14ac:dyDescent="0.25">
      <c r="B140" s="136" t="e">
        <f t="shared" si="5"/>
        <v>#N/A</v>
      </c>
      <c r="C140" s="139" t="e">
        <f t="shared" si="6"/>
        <v>#N/A</v>
      </c>
      <c r="D140" s="152">
        <f ca="1">SUM(Tbl_Load_distrib[[#This Row],[Hull &amp; Structure]:[Reserved]])</f>
        <v>0</v>
      </c>
      <c r="E140" s="260">
        <f>SUMIFS(Tbl_Hull_Structure[Spread],Tbl_Hull_Structure[L from],"&lt;"&amp;Tbl_Load_distrib[[#This Row],[x]],Tbl_Hull_Structure[L to],"&gt;"&amp;C139)*Tbl_Load_distrib[[#This Row],[L_elt]]</f>
        <v>0</v>
      </c>
      <c r="F140" s="260">
        <f ca="1">SUMIFS(Tbl_Ballasts[Spread],Tbl_Ballasts[L from],"&lt;"&amp;Tbl_Load_distrib[[#This Row],[x]],Tbl_Ballasts[L to],"&gt;"&amp;C139)*Tbl_Load_distrib[[#This Row],[L_elt]]</f>
        <v>0</v>
      </c>
      <c r="G140" s="260">
        <f>SUMIFS(Tbl_Lifting[Spread],Tbl_Lifting[L from],"&lt;"&amp;Tbl_Load_distrib[[#This Row],[x]],Tbl_Lifting[L to],"&gt;"&amp;C139)*Tbl_Load_distrib[[#This Row],[L_elt]]</f>
        <v>0</v>
      </c>
      <c r="H140" s="260">
        <f>SUMIFS(Tbl_Additionals[Spread],Tbl_Additionals[L from],"&lt;"&amp;Tbl_Load_distrib[[#This Row],[x]],Tbl_Additionals[L to],"&gt;"&amp;C139)*Tbl_Load_distrib[[#This Row],[L_elt]]</f>
        <v>0</v>
      </c>
      <c r="I140" s="260">
        <f ca="1">SUMIFS(Tbl_Deck_Tank[Spread],Tbl_Deck_Tank[L from],"&lt;"&amp;Tbl_Load_distrib[[#This Row],[x]],Tbl_Deck_Tank[L to],"&gt;"&amp;C139)*Tbl_Load_distrib[[#This Row],[L_elt]]</f>
        <v>0</v>
      </c>
      <c r="J140" s="137"/>
      <c r="K140" s="165" t="e">
        <f>IFERROR(Tbl_Long_Section[[#This Row],[H Deck-Bottom]],NA())</f>
        <v>#N/A</v>
      </c>
      <c r="L140" s="829" t="e">
        <f>M_depth-Tbl_Load_distrib[[#This Row],[H Deck-Bottom]]</f>
        <v>#N/A</v>
      </c>
      <c r="M140" s="929">
        <f>IFERROR(Tbl_Load_distrib[[#This Row],[x]]-C139,0)</f>
        <v>0</v>
      </c>
      <c r="N140" s="929" t="e">
        <f>IF(ISNA(Tbl_Load_distrib[[#This Row],[x]]),NA(),IF(ISTEXT(N139),0,IF(N139=0,$Z$3,N139-($Z$3-$AA$3)/(Lpp-FE_size)*Tbl_Load_distrib[[#This Row],[L_elt]])))</f>
        <v>#N/A</v>
      </c>
      <c r="O140" s="166" t="e">
        <f ca="1">IF(ISNUMBER(O139),(IF((N139-L139)&lt;0,0,N139-L139)+IF((Tbl_Load_distrib[[#This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40" s="929" t="e">
        <f>IF(ISNA(Tbl_Load_distrib[[#This Row],[x]]),NA(),IF(ISTEXT(P139),0,IF(P139=0,LongSection_DraftAft,P139-(LongSection_DraftAft-LongSection_DraftFore)/(Lpp-FE_size)*Tbl_Load_distrib[[#This Row],[L_elt]])))</f>
        <v>#N/A</v>
      </c>
      <c r="Q140" s="166" t="e">
        <f ca="1">IF(ISNUMBER(Q139),(IF((P139-L139)&lt;0,0,P139-L139)+IF((Tbl_Load_distrib[[#This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40" s="167" t="e">
        <f ca="1">ρ_sw*Tbl_Load_distrib[[#This Row],[Elt Area corrected]]*B/k_depl</f>
        <v>#N/A</v>
      </c>
      <c r="S140" s="167" t="e">
        <f ca="1">Tbl_Load_distrib[[#This Row],[Section Weight]]-Tbl_Load_distrib[[#This Row],[Floating Elt]]</f>
        <v>#N/A</v>
      </c>
      <c r="T140" s="183" t="e">
        <f ca="1">IF(ISTEXT($T139),0,$T139+Tbl_Load_distrib[[#This Row],[Net force / Elt]])</f>
        <v>#N/A</v>
      </c>
      <c r="U140" s="261" t="e">
        <f ca="1">IF(ISTEXT($U139),0,$U139+Tbl_Load_distrib[[#This Row],[Shearing Force]]*Tbl_Load_distrib[[#This Row],[L_elt]])</f>
        <v>#N/A</v>
      </c>
    </row>
    <row r="141" spans="2:21" x14ac:dyDescent="0.25">
      <c r="B141" s="136" t="e">
        <f t="shared" si="5"/>
        <v>#N/A</v>
      </c>
      <c r="C141" s="139" t="e">
        <f t="shared" si="6"/>
        <v>#N/A</v>
      </c>
      <c r="D141" s="152">
        <f ca="1">SUM(Tbl_Load_distrib[[#This Row],[Hull &amp; Structure]:[Reserved]])</f>
        <v>0</v>
      </c>
      <c r="E141" s="260">
        <f>SUMIFS(Tbl_Hull_Structure[Spread],Tbl_Hull_Structure[L from],"&lt;"&amp;Tbl_Load_distrib[[#This Row],[x]],Tbl_Hull_Structure[L to],"&gt;"&amp;C140)*Tbl_Load_distrib[[#This Row],[L_elt]]</f>
        <v>0</v>
      </c>
      <c r="F141" s="260">
        <f ca="1">SUMIFS(Tbl_Ballasts[Spread],Tbl_Ballasts[L from],"&lt;"&amp;Tbl_Load_distrib[[#This Row],[x]],Tbl_Ballasts[L to],"&gt;"&amp;C140)*Tbl_Load_distrib[[#This Row],[L_elt]]</f>
        <v>0</v>
      </c>
      <c r="G141" s="260">
        <f>SUMIFS(Tbl_Lifting[Spread],Tbl_Lifting[L from],"&lt;"&amp;Tbl_Load_distrib[[#This Row],[x]],Tbl_Lifting[L to],"&gt;"&amp;C140)*Tbl_Load_distrib[[#This Row],[L_elt]]</f>
        <v>0</v>
      </c>
      <c r="H141" s="260">
        <f>SUMIFS(Tbl_Additionals[Spread],Tbl_Additionals[L from],"&lt;"&amp;Tbl_Load_distrib[[#This Row],[x]],Tbl_Additionals[L to],"&gt;"&amp;C140)*Tbl_Load_distrib[[#This Row],[L_elt]]</f>
        <v>0</v>
      </c>
      <c r="I141" s="260">
        <f ca="1">SUMIFS(Tbl_Deck_Tank[Spread],Tbl_Deck_Tank[L from],"&lt;"&amp;Tbl_Load_distrib[[#This Row],[x]],Tbl_Deck_Tank[L to],"&gt;"&amp;C140)*Tbl_Load_distrib[[#This Row],[L_elt]]</f>
        <v>0</v>
      </c>
      <c r="J141" s="137"/>
      <c r="K141" s="165" t="e">
        <f>IFERROR(Tbl_Long_Section[[#This Row],[H Deck-Bottom]],NA())</f>
        <v>#N/A</v>
      </c>
      <c r="L141" s="829" t="e">
        <f>M_depth-Tbl_Load_distrib[[#This Row],[H Deck-Bottom]]</f>
        <v>#N/A</v>
      </c>
      <c r="M141" s="929">
        <f>IFERROR(Tbl_Load_distrib[[#This Row],[x]]-C140,0)</f>
        <v>0</v>
      </c>
      <c r="N141" s="929" t="e">
        <f>IF(ISNA(Tbl_Load_distrib[[#This Row],[x]]),NA(),IF(ISTEXT(N140),0,IF(N140=0,$Z$3,N140-($Z$3-$AA$3)/(Lpp-FE_size)*Tbl_Load_distrib[[#This Row],[L_elt]])))</f>
        <v>#N/A</v>
      </c>
      <c r="O141" s="166" t="e">
        <f ca="1">IF(ISNUMBER(O140),(IF((N140-L140)&lt;0,0,N140-L140)+IF((Tbl_Load_distrib[[#This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41" s="929" t="e">
        <f>IF(ISNA(Tbl_Load_distrib[[#This Row],[x]]),NA(),IF(ISTEXT(P140),0,IF(P140=0,LongSection_DraftAft,P140-(LongSection_DraftAft-LongSection_DraftFore)/(Lpp-FE_size)*Tbl_Load_distrib[[#This Row],[L_elt]])))</f>
        <v>#N/A</v>
      </c>
      <c r="Q141" s="166" t="e">
        <f ca="1">IF(ISNUMBER(Q140),(IF((P140-L140)&lt;0,0,P140-L140)+IF((Tbl_Load_distrib[[#This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41" s="167" t="e">
        <f ca="1">ρ_sw*Tbl_Load_distrib[[#This Row],[Elt Area corrected]]*B/k_depl</f>
        <v>#N/A</v>
      </c>
      <c r="S141" s="167" t="e">
        <f ca="1">Tbl_Load_distrib[[#This Row],[Section Weight]]-Tbl_Load_distrib[[#This Row],[Floating Elt]]</f>
        <v>#N/A</v>
      </c>
      <c r="T141" s="183" t="e">
        <f ca="1">IF(ISTEXT($T140),0,$T140+Tbl_Load_distrib[[#This Row],[Net force / Elt]])</f>
        <v>#N/A</v>
      </c>
      <c r="U141" s="261" t="e">
        <f ca="1">IF(ISTEXT($U140),0,$U140+Tbl_Load_distrib[[#This Row],[Shearing Force]]*Tbl_Load_distrib[[#This Row],[L_elt]])</f>
        <v>#N/A</v>
      </c>
    </row>
    <row r="142" spans="2:21" x14ac:dyDescent="0.25">
      <c r="B142" s="136" t="e">
        <f t="shared" si="5"/>
        <v>#N/A</v>
      </c>
      <c r="C142" s="139" t="e">
        <f t="shared" si="6"/>
        <v>#N/A</v>
      </c>
      <c r="D142" s="152">
        <f ca="1">SUM(Tbl_Load_distrib[[#This Row],[Hull &amp; Structure]:[Reserved]])</f>
        <v>0</v>
      </c>
      <c r="E142" s="260">
        <f>SUMIFS(Tbl_Hull_Structure[Spread],Tbl_Hull_Structure[L from],"&lt;"&amp;Tbl_Load_distrib[[#This Row],[x]],Tbl_Hull_Structure[L to],"&gt;"&amp;C141)*Tbl_Load_distrib[[#This Row],[L_elt]]</f>
        <v>0</v>
      </c>
      <c r="F142" s="260">
        <f ca="1">SUMIFS(Tbl_Ballasts[Spread],Tbl_Ballasts[L from],"&lt;"&amp;Tbl_Load_distrib[[#This Row],[x]],Tbl_Ballasts[L to],"&gt;"&amp;C141)*Tbl_Load_distrib[[#This Row],[L_elt]]</f>
        <v>0</v>
      </c>
      <c r="G142" s="260">
        <f>SUMIFS(Tbl_Lifting[Spread],Tbl_Lifting[L from],"&lt;"&amp;Tbl_Load_distrib[[#This Row],[x]],Tbl_Lifting[L to],"&gt;"&amp;C141)*Tbl_Load_distrib[[#This Row],[L_elt]]</f>
        <v>0</v>
      </c>
      <c r="H142" s="260">
        <f>SUMIFS(Tbl_Additionals[Spread],Tbl_Additionals[L from],"&lt;"&amp;Tbl_Load_distrib[[#This Row],[x]],Tbl_Additionals[L to],"&gt;"&amp;C141)*Tbl_Load_distrib[[#This Row],[L_elt]]</f>
        <v>0</v>
      </c>
      <c r="I142" s="260">
        <f ca="1">SUMIFS(Tbl_Deck_Tank[Spread],Tbl_Deck_Tank[L from],"&lt;"&amp;Tbl_Load_distrib[[#This Row],[x]],Tbl_Deck_Tank[L to],"&gt;"&amp;C141)*Tbl_Load_distrib[[#This Row],[L_elt]]</f>
        <v>0</v>
      </c>
      <c r="J142" s="137"/>
      <c r="K142" s="165" t="e">
        <f>IFERROR(Tbl_Long_Section[[#This Row],[H Deck-Bottom]],NA())</f>
        <v>#N/A</v>
      </c>
      <c r="L142" s="829" t="e">
        <f>M_depth-Tbl_Load_distrib[[#This Row],[H Deck-Bottom]]</f>
        <v>#N/A</v>
      </c>
      <c r="M142" s="929">
        <f>IFERROR(Tbl_Load_distrib[[#This Row],[x]]-C141,0)</f>
        <v>0</v>
      </c>
      <c r="N142" s="929" t="e">
        <f>IF(ISNA(Tbl_Load_distrib[[#This Row],[x]]),NA(),IF(ISTEXT(N141),0,IF(N141=0,$Z$3,N141-($Z$3-$AA$3)/(Lpp-FE_size)*Tbl_Load_distrib[[#This Row],[L_elt]])))</f>
        <v>#N/A</v>
      </c>
      <c r="O142" s="166" t="e">
        <f ca="1">IF(ISNUMBER(O141),(IF((N141-L141)&lt;0,0,N141-L141)+IF((Tbl_Load_distrib[[#This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42" s="929" t="e">
        <f>IF(ISNA(Tbl_Load_distrib[[#This Row],[x]]),NA(),IF(ISTEXT(P141),0,IF(P141=0,LongSection_DraftAft,P141-(LongSection_DraftAft-LongSection_DraftFore)/(Lpp-FE_size)*Tbl_Load_distrib[[#This Row],[L_elt]])))</f>
        <v>#N/A</v>
      </c>
      <c r="Q142" s="166" t="e">
        <f ca="1">IF(ISNUMBER(Q141),(IF((P141-L141)&lt;0,0,P141-L141)+IF((Tbl_Load_distrib[[#This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42" s="167" t="e">
        <f ca="1">ρ_sw*Tbl_Load_distrib[[#This Row],[Elt Area corrected]]*B/k_depl</f>
        <v>#N/A</v>
      </c>
      <c r="S142" s="167" t="e">
        <f ca="1">Tbl_Load_distrib[[#This Row],[Section Weight]]-Tbl_Load_distrib[[#This Row],[Floating Elt]]</f>
        <v>#N/A</v>
      </c>
      <c r="T142" s="183" t="e">
        <f ca="1">IF(ISTEXT($T141),0,$T141+Tbl_Load_distrib[[#This Row],[Net force / Elt]])</f>
        <v>#N/A</v>
      </c>
      <c r="U142" s="261" t="e">
        <f ca="1">IF(ISTEXT($U141),0,$U141+Tbl_Load_distrib[[#This Row],[Shearing Force]]*Tbl_Load_distrib[[#This Row],[L_elt]])</f>
        <v>#N/A</v>
      </c>
    </row>
    <row r="143" spans="2:21" x14ac:dyDescent="0.25">
      <c r="B143" s="136" t="e">
        <f t="shared" si="5"/>
        <v>#N/A</v>
      </c>
      <c r="C143" s="139" t="e">
        <f t="shared" si="6"/>
        <v>#N/A</v>
      </c>
      <c r="D143" s="152">
        <f ca="1">SUM(Tbl_Load_distrib[[#This Row],[Hull &amp; Structure]:[Reserved]])</f>
        <v>0</v>
      </c>
      <c r="E143" s="260">
        <f>SUMIFS(Tbl_Hull_Structure[Spread],Tbl_Hull_Structure[L from],"&lt;"&amp;Tbl_Load_distrib[[#This Row],[x]],Tbl_Hull_Structure[L to],"&gt;"&amp;C142)*Tbl_Load_distrib[[#This Row],[L_elt]]</f>
        <v>0</v>
      </c>
      <c r="F143" s="260">
        <f ca="1">SUMIFS(Tbl_Ballasts[Spread],Tbl_Ballasts[L from],"&lt;"&amp;Tbl_Load_distrib[[#This Row],[x]],Tbl_Ballasts[L to],"&gt;"&amp;C142)*Tbl_Load_distrib[[#This Row],[L_elt]]</f>
        <v>0</v>
      </c>
      <c r="G143" s="260">
        <f>SUMIFS(Tbl_Lifting[Spread],Tbl_Lifting[L from],"&lt;"&amp;Tbl_Load_distrib[[#This Row],[x]],Tbl_Lifting[L to],"&gt;"&amp;C142)*Tbl_Load_distrib[[#This Row],[L_elt]]</f>
        <v>0</v>
      </c>
      <c r="H143" s="260">
        <f>SUMIFS(Tbl_Additionals[Spread],Tbl_Additionals[L from],"&lt;"&amp;Tbl_Load_distrib[[#This Row],[x]],Tbl_Additionals[L to],"&gt;"&amp;C142)*Tbl_Load_distrib[[#This Row],[L_elt]]</f>
        <v>0</v>
      </c>
      <c r="I143" s="260">
        <f ca="1">SUMIFS(Tbl_Deck_Tank[Spread],Tbl_Deck_Tank[L from],"&lt;"&amp;Tbl_Load_distrib[[#This Row],[x]],Tbl_Deck_Tank[L to],"&gt;"&amp;C142)*Tbl_Load_distrib[[#This Row],[L_elt]]</f>
        <v>0</v>
      </c>
      <c r="J143" s="137"/>
      <c r="K143" s="165" t="e">
        <f>IFERROR(Tbl_Long_Section[[#This Row],[H Deck-Bottom]],NA())</f>
        <v>#N/A</v>
      </c>
      <c r="L143" s="829" t="e">
        <f>M_depth-Tbl_Load_distrib[[#This Row],[H Deck-Bottom]]</f>
        <v>#N/A</v>
      </c>
      <c r="M143" s="929">
        <f>IFERROR(Tbl_Load_distrib[[#This Row],[x]]-C142,0)</f>
        <v>0</v>
      </c>
      <c r="N143" s="929" t="e">
        <f>IF(ISNA(Tbl_Load_distrib[[#This Row],[x]]),NA(),IF(ISTEXT(N142),0,IF(N142=0,$Z$3,N142-($Z$3-$AA$3)/(Lpp-FE_size)*Tbl_Load_distrib[[#This Row],[L_elt]])))</f>
        <v>#N/A</v>
      </c>
      <c r="O143" s="166" t="e">
        <f ca="1">IF(ISNUMBER(O142),(IF((N142-L142)&lt;0,0,N142-L142)+IF((Tbl_Load_distrib[[#This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43" s="929" t="e">
        <f>IF(ISNA(Tbl_Load_distrib[[#This Row],[x]]),NA(),IF(ISTEXT(P142),0,IF(P142=0,LongSection_DraftAft,P142-(LongSection_DraftAft-LongSection_DraftFore)/(Lpp-FE_size)*Tbl_Load_distrib[[#This Row],[L_elt]])))</f>
        <v>#N/A</v>
      </c>
      <c r="Q143" s="166" t="e">
        <f ca="1">IF(ISNUMBER(Q142),(IF((P142-L142)&lt;0,0,P142-L142)+IF((Tbl_Load_distrib[[#This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43" s="167" t="e">
        <f ca="1">ρ_sw*Tbl_Load_distrib[[#This Row],[Elt Area corrected]]*B/k_depl</f>
        <v>#N/A</v>
      </c>
      <c r="S143" s="167" t="e">
        <f ca="1">Tbl_Load_distrib[[#This Row],[Section Weight]]-Tbl_Load_distrib[[#This Row],[Floating Elt]]</f>
        <v>#N/A</v>
      </c>
      <c r="T143" s="183" t="e">
        <f ca="1">IF(ISTEXT($T142),0,$T142+Tbl_Load_distrib[[#This Row],[Net force / Elt]])</f>
        <v>#N/A</v>
      </c>
      <c r="U143" s="261" t="e">
        <f ca="1">IF(ISTEXT($U142),0,$U142+Tbl_Load_distrib[[#This Row],[Shearing Force]]*Tbl_Load_distrib[[#This Row],[L_elt]])</f>
        <v>#N/A</v>
      </c>
    </row>
    <row r="144" spans="2:21" x14ac:dyDescent="0.25">
      <c r="B144" s="136" t="e">
        <f t="shared" si="5"/>
        <v>#N/A</v>
      </c>
      <c r="C144" s="139" t="e">
        <f t="shared" si="6"/>
        <v>#N/A</v>
      </c>
      <c r="D144" s="152">
        <f ca="1">SUM(Tbl_Load_distrib[[#This Row],[Hull &amp; Structure]:[Reserved]])</f>
        <v>0</v>
      </c>
      <c r="E144" s="260">
        <f>SUMIFS(Tbl_Hull_Structure[Spread],Tbl_Hull_Structure[L from],"&lt;"&amp;Tbl_Load_distrib[[#This Row],[x]],Tbl_Hull_Structure[L to],"&gt;"&amp;C143)*Tbl_Load_distrib[[#This Row],[L_elt]]</f>
        <v>0</v>
      </c>
      <c r="F144" s="260">
        <f ca="1">SUMIFS(Tbl_Ballasts[Spread],Tbl_Ballasts[L from],"&lt;"&amp;Tbl_Load_distrib[[#This Row],[x]],Tbl_Ballasts[L to],"&gt;"&amp;C143)*Tbl_Load_distrib[[#This Row],[L_elt]]</f>
        <v>0</v>
      </c>
      <c r="G144" s="260">
        <f>SUMIFS(Tbl_Lifting[Spread],Tbl_Lifting[L from],"&lt;"&amp;Tbl_Load_distrib[[#This Row],[x]],Tbl_Lifting[L to],"&gt;"&amp;C143)*Tbl_Load_distrib[[#This Row],[L_elt]]</f>
        <v>0</v>
      </c>
      <c r="H144" s="260">
        <f>SUMIFS(Tbl_Additionals[Spread],Tbl_Additionals[L from],"&lt;"&amp;Tbl_Load_distrib[[#This Row],[x]],Tbl_Additionals[L to],"&gt;"&amp;C143)*Tbl_Load_distrib[[#This Row],[L_elt]]</f>
        <v>0</v>
      </c>
      <c r="I144" s="260">
        <f ca="1">SUMIFS(Tbl_Deck_Tank[Spread],Tbl_Deck_Tank[L from],"&lt;"&amp;Tbl_Load_distrib[[#This Row],[x]],Tbl_Deck_Tank[L to],"&gt;"&amp;C143)*Tbl_Load_distrib[[#This Row],[L_elt]]</f>
        <v>0</v>
      </c>
      <c r="J144" s="137"/>
      <c r="K144" s="165" t="e">
        <f>IFERROR(Tbl_Long_Section[[#This Row],[H Deck-Bottom]],NA())</f>
        <v>#N/A</v>
      </c>
      <c r="L144" s="829" t="e">
        <f>M_depth-Tbl_Load_distrib[[#This Row],[H Deck-Bottom]]</f>
        <v>#N/A</v>
      </c>
      <c r="M144" s="929">
        <f>IFERROR(Tbl_Load_distrib[[#This Row],[x]]-C143,0)</f>
        <v>0</v>
      </c>
      <c r="N144" s="929" t="e">
        <f>IF(ISNA(Tbl_Load_distrib[[#This Row],[x]]),NA(),IF(ISTEXT(N143),0,IF(N143=0,$Z$3,N143-($Z$3-$AA$3)/(Lpp-FE_size)*Tbl_Load_distrib[[#This Row],[L_elt]])))</f>
        <v>#N/A</v>
      </c>
      <c r="O144" s="166" t="e">
        <f ca="1">IF(ISNUMBER(O143),(IF((N143-L143)&lt;0,0,N143-L143)+IF((Tbl_Load_distrib[[#This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44" s="929" t="e">
        <f>IF(ISNA(Tbl_Load_distrib[[#This Row],[x]]),NA(),IF(ISTEXT(P143),0,IF(P143=0,LongSection_DraftAft,P143-(LongSection_DraftAft-LongSection_DraftFore)/(Lpp-FE_size)*Tbl_Load_distrib[[#This Row],[L_elt]])))</f>
        <v>#N/A</v>
      </c>
      <c r="Q144" s="166" t="e">
        <f ca="1">IF(ISNUMBER(Q143),(IF((P143-L143)&lt;0,0,P143-L143)+IF((Tbl_Load_distrib[[#This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44" s="167" t="e">
        <f ca="1">ρ_sw*Tbl_Load_distrib[[#This Row],[Elt Area corrected]]*B/k_depl</f>
        <v>#N/A</v>
      </c>
      <c r="S144" s="167" t="e">
        <f ca="1">Tbl_Load_distrib[[#This Row],[Section Weight]]-Tbl_Load_distrib[[#This Row],[Floating Elt]]</f>
        <v>#N/A</v>
      </c>
      <c r="T144" s="183" t="e">
        <f ca="1">IF(ISTEXT($T143),0,$T143+Tbl_Load_distrib[[#This Row],[Net force / Elt]])</f>
        <v>#N/A</v>
      </c>
      <c r="U144" s="261" t="e">
        <f ca="1">IF(ISTEXT($U143),0,$U143+Tbl_Load_distrib[[#This Row],[Shearing Force]]*Tbl_Load_distrib[[#This Row],[L_elt]])</f>
        <v>#N/A</v>
      </c>
    </row>
    <row r="145" spans="2:21" x14ac:dyDescent="0.25">
      <c r="B145" s="136" t="e">
        <f t="shared" si="5"/>
        <v>#N/A</v>
      </c>
      <c r="C145" s="139" t="e">
        <f t="shared" si="6"/>
        <v>#N/A</v>
      </c>
      <c r="D145" s="152">
        <f ca="1">SUM(Tbl_Load_distrib[[#This Row],[Hull &amp; Structure]:[Reserved]])</f>
        <v>0</v>
      </c>
      <c r="E145" s="260">
        <f>SUMIFS(Tbl_Hull_Structure[Spread],Tbl_Hull_Structure[L from],"&lt;"&amp;Tbl_Load_distrib[[#This Row],[x]],Tbl_Hull_Structure[L to],"&gt;"&amp;C144)*Tbl_Load_distrib[[#This Row],[L_elt]]</f>
        <v>0</v>
      </c>
      <c r="F145" s="260">
        <f ca="1">SUMIFS(Tbl_Ballasts[Spread],Tbl_Ballasts[L from],"&lt;"&amp;Tbl_Load_distrib[[#This Row],[x]],Tbl_Ballasts[L to],"&gt;"&amp;C144)*Tbl_Load_distrib[[#This Row],[L_elt]]</f>
        <v>0</v>
      </c>
      <c r="G145" s="260">
        <f>SUMIFS(Tbl_Lifting[Spread],Tbl_Lifting[L from],"&lt;"&amp;Tbl_Load_distrib[[#This Row],[x]],Tbl_Lifting[L to],"&gt;"&amp;C144)*Tbl_Load_distrib[[#This Row],[L_elt]]</f>
        <v>0</v>
      </c>
      <c r="H145" s="260">
        <f>SUMIFS(Tbl_Additionals[Spread],Tbl_Additionals[L from],"&lt;"&amp;Tbl_Load_distrib[[#This Row],[x]],Tbl_Additionals[L to],"&gt;"&amp;C144)*Tbl_Load_distrib[[#This Row],[L_elt]]</f>
        <v>0</v>
      </c>
      <c r="I145" s="260">
        <f ca="1">SUMIFS(Tbl_Deck_Tank[Spread],Tbl_Deck_Tank[L from],"&lt;"&amp;Tbl_Load_distrib[[#This Row],[x]],Tbl_Deck_Tank[L to],"&gt;"&amp;C144)*Tbl_Load_distrib[[#This Row],[L_elt]]</f>
        <v>0</v>
      </c>
      <c r="J145" s="137"/>
      <c r="K145" s="165" t="e">
        <f>IFERROR(Tbl_Long_Section[[#This Row],[H Deck-Bottom]],NA())</f>
        <v>#N/A</v>
      </c>
      <c r="L145" s="829" t="e">
        <f>M_depth-Tbl_Load_distrib[[#This Row],[H Deck-Bottom]]</f>
        <v>#N/A</v>
      </c>
      <c r="M145" s="929">
        <f>IFERROR(Tbl_Load_distrib[[#This Row],[x]]-C144,0)</f>
        <v>0</v>
      </c>
      <c r="N145" s="929" t="e">
        <f>IF(ISNA(Tbl_Load_distrib[[#This Row],[x]]),NA(),IF(ISTEXT(N144),0,IF(N144=0,$Z$3,N144-($Z$3-$AA$3)/(Lpp-FE_size)*Tbl_Load_distrib[[#This Row],[L_elt]])))</f>
        <v>#N/A</v>
      </c>
      <c r="O145" s="166" t="e">
        <f ca="1">IF(ISNUMBER(O144),(IF((N144-L144)&lt;0,0,N144-L144)+IF((Tbl_Load_distrib[[#This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45" s="929" t="e">
        <f>IF(ISNA(Tbl_Load_distrib[[#This Row],[x]]),NA(),IF(ISTEXT(P144),0,IF(P144=0,LongSection_DraftAft,P144-(LongSection_DraftAft-LongSection_DraftFore)/(Lpp-FE_size)*Tbl_Load_distrib[[#This Row],[L_elt]])))</f>
        <v>#N/A</v>
      </c>
      <c r="Q145" s="166" t="e">
        <f ca="1">IF(ISNUMBER(Q144),(IF((P144-L144)&lt;0,0,P144-L144)+IF((Tbl_Load_distrib[[#This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45" s="167" t="e">
        <f ca="1">ρ_sw*Tbl_Load_distrib[[#This Row],[Elt Area corrected]]*B/k_depl</f>
        <v>#N/A</v>
      </c>
      <c r="S145" s="167" t="e">
        <f ca="1">Tbl_Load_distrib[[#This Row],[Section Weight]]-Tbl_Load_distrib[[#This Row],[Floating Elt]]</f>
        <v>#N/A</v>
      </c>
      <c r="T145" s="183" t="e">
        <f ca="1">IF(ISTEXT($T144),0,$T144+Tbl_Load_distrib[[#This Row],[Net force / Elt]])</f>
        <v>#N/A</v>
      </c>
      <c r="U145" s="261" t="e">
        <f ca="1">IF(ISTEXT($U144),0,$U144+Tbl_Load_distrib[[#This Row],[Shearing Force]]*Tbl_Load_distrib[[#This Row],[L_elt]])</f>
        <v>#N/A</v>
      </c>
    </row>
    <row r="146" spans="2:21" x14ac:dyDescent="0.25">
      <c r="B146" s="136" t="e">
        <f t="shared" si="5"/>
        <v>#N/A</v>
      </c>
      <c r="C146" s="139" t="e">
        <f t="shared" si="6"/>
        <v>#N/A</v>
      </c>
      <c r="D146" s="152">
        <f ca="1">SUM(Tbl_Load_distrib[[#This Row],[Hull &amp; Structure]:[Reserved]])</f>
        <v>0</v>
      </c>
      <c r="E146" s="260">
        <f>SUMIFS(Tbl_Hull_Structure[Spread],Tbl_Hull_Structure[L from],"&lt;"&amp;Tbl_Load_distrib[[#This Row],[x]],Tbl_Hull_Structure[L to],"&gt;"&amp;C145)*Tbl_Load_distrib[[#This Row],[L_elt]]</f>
        <v>0</v>
      </c>
      <c r="F146" s="260">
        <f ca="1">SUMIFS(Tbl_Ballasts[Spread],Tbl_Ballasts[L from],"&lt;"&amp;Tbl_Load_distrib[[#This Row],[x]],Tbl_Ballasts[L to],"&gt;"&amp;C145)*Tbl_Load_distrib[[#This Row],[L_elt]]</f>
        <v>0</v>
      </c>
      <c r="G146" s="260">
        <f>SUMIFS(Tbl_Lifting[Spread],Tbl_Lifting[L from],"&lt;"&amp;Tbl_Load_distrib[[#This Row],[x]],Tbl_Lifting[L to],"&gt;"&amp;C145)*Tbl_Load_distrib[[#This Row],[L_elt]]</f>
        <v>0</v>
      </c>
      <c r="H146" s="260">
        <f>SUMIFS(Tbl_Additionals[Spread],Tbl_Additionals[L from],"&lt;"&amp;Tbl_Load_distrib[[#This Row],[x]],Tbl_Additionals[L to],"&gt;"&amp;C145)*Tbl_Load_distrib[[#This Row],[L_elt]]</f>
        <v>0</v>
      </c>
      <c r="I146" s="260">
        <f ca="1">SUMIFS(Tbl_Deck_Tank[Spread],Tbl_Deck_Tank[L from],"&lt;"&amp;Tbl_Load_distrib[[#This Row],[x]],Tbl_Deck_Tank[L to],"&gt;"&amp;C145)*Tbl_Load_distrib[[#This Row],[L_elt]]</f>
        <v>0</v>
      </c>
      <c r="J146" s="137"/>
      <c r="K146" s="165" t="e">
        <f>IFERROR(Tbl_Long_Section[[#This Row],[H Deck-Bottom]],NA())</f>
        <v>#N/A</v>
      </c>
      <c r="L146" s="829" t="e">
        <f>M_depth-Tbl_Load_distrib[[#This Row],[H Deck-Bottom]]</f>
        <v>#N/A</v>
      </c>
      <c r="M146" s="929">
        <f>IFERROR(Tbl_Load_distrib[[#This Row],[x]]-C145,0)</f>
        <v>0</v>
      </c>
      <c r="N146" s="929" t="e">
        <f>IF(ISNA(Tbl_Load_distrib[[#This Row],[x]]),NA(),IF(ISTEXT(N145),0,IF(N145=0,$Z$3,N145-($Z$3-$AA$3)/(Lpp-FE_size)*Tbl_Load_distrib[[#This Row],[L_elt]])))</f>
        <v>#N/A</v>
      </c>
      <c r="O146" s="166" t="e">
        <f ca="1">IF(ISNUMBER(O145),(IF((N145-L145)&lt;0,0,N145-L145)+IF((Tbl_Load_distrib[[#This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46" s="929" t="e">
        <f>IF(ISNA(Tbl_Load_distrib[[#This Row],[x]]),NA(),IF(ISTEXT(P145),0,IF(P145=0,LongSection_DraftAft,P145-(LongSection_DraftAft-LongSection_DraftFore)/(Lpp-FE_size)*Tbl_Load_distrib[[#This Row],[L_elt]])))</f>
        <v>#N/A</v>
      </c>
      <c r="Q146" s="166" t="e">
        <f ca="1">IF(ISNUMBER(Q145),(IF((P145-L145)&lt;0,0,P145-L145)+IF((Tbl_Load_distrib[[#This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46" s="167" t="e">
        <f ca="1">ρ_sw*Tbl_Load_distrib[[#This Row],[Elt Area corrected]]*B/k_depl</f>
        <v>#N/A</v>
      </c>
      <c r="S146" s="167" t="e">
        <f ca="1">Tbl_Load_distrib[[#This Row],[Section Weight]]-Tbl_Load_distrib[[#This Row],[Floating Elt]]</f>
        <v>#N/A</v>
      </c>
      <c r="T146" s="183" t="e">
        <f ca="1">IF(ISTEXT($T145),0,$T145+Tbl_Load_distrib[[#This Row],[Net force / Elt]])</f>
        <v>#N/A</v>
      </c>
      <c r="U146" s="261" t="e">
        <f ca="1">IF(ISTEXT($U145),0,$U145+Tbl_Load_distrib[[#This Row],[Shearing Force]]*Tbl_Load_distrib[[#This Row],[L_elt]])</f>
        <v>#N/A</v>
      </c>
    </row>
    <row r="147" spans="2:21" x14ac:dyDescent="0.25">
      <c r="B147" s="136" t="e">
        <f t="shared" si="5"/>
        <v>#N/A</v>
      </c>
      <c r="C147" s="139" t="e">
        <f t="shared" si="6"/>
        <v>#N/A</v>
      </c>
      <c r="D147" s="152">
        <f ca="1">SUM(Tbl_Load_distrib[[#This Row],[Hull &amp; Structure]:[Reserved]])</f>
        <v>0</v>
      </c>
      <c r="E147" s="260">
        <f>SUMIFS(Tbl_Hull_Structure[Spread],Tbl_Hull_Structure[L from],"&lt;"&amp;Tbl_Load_distrib[[#This Row],[x]],Tbl_Hull_Structure[L to],"&gt;"&amp;C146)*Tbl_Load_distrib[[#This Row],[L_elt]]</f>
        <v>0</v>
      </c>
      <c r="F147" s="260">
        <f ca="1">SUMIFS(Tbl_Ballasts[Spread],Tbl_Ballasts[L from],"&lt;"&amp;Tbl_Load_distrib[[#This Row],[x]],Tbl_Ballasts[L to],"&gt;"&amp;C146)*Tbl_Load_distrib[[#This Row],[L_elt]]</f>
        <v>0</v>
      </c>
      <c r="G147" s="260">
        <f>SUMIFS(Tbl_Lifting[Spread],Tbl_Lifting[L from],"&lt;"&amp;Tbl_Load_distrib[[#This Row],[x]],Tbl_Lifting[L to],"&gt;"&amp;C146)*Tbl_Load_distrib[[#This Row],[L_elt]]</f>
        <v>0</v>
      </c>
      <c r="H147" s="260">
        <f>SUMIFS(Tbl_Additionals[Spread],Tbl_Additionals[L from],"&lt;"&amp;Tbl_Load_distrib[[#This Row],[x]],Tbl_Additionals[L to],"&gt;"&amp;C146)*Tbl_Load_distrib[[#This Row],[L_elt]]</f>
        <v>0</v>
      </c>
      <c r="I147" s="260">
        <f ca="1">SUMIFS(Tbl_Deck_Tank[Spread],Tbl_Deck_Tank[L from],"&lt;"&amp;Tbl_Load_distrib[[#This Row],[x]],Tbl_Deck_Tank[L to],"&gt;"&amp;C146)*Tbl_Load_distrib[[#This Row],[L_elt]]</f>
        <v>0</v>
      </c>
      <c r="J147" s="137"/>
      <c r="K147" s="165" t="e">
        <f>IFERROR(Tbl_Long_Section[[#This Row],[H Deck-Bottom]],NA())</f>
        <v>#N/A</v>
      </c>
      <c r="L147" s="829" t="e">
        <f>M_depth-Tbl_Load_distrib[[#This Row],[H Deck-Bottom]]</f>
        <v>#N/A</v>
      </c>
      <c r="M147" s="929">
        <f>IFERROR(Tbl_Load_distrib[[#This Row],[x]]-C146,0)</f>
        <v>0</v>
      </c>
      <c r="N147" s="929" t="e">
        <f>IF(ISNA(Tbl_Load_distrib[[#This Row],[x]]),NA(),IF(ISTEXT(N146),0,IF(N146=0,$Z$3,N146-($Z$3-$AA$3)/(Lpp-FE_size)*Tbl_Load_distrib[[#This Row],[L_elt]])))</f>
        <v>#N/A</v>
      </c>
      <c r="O147" s="166" t="e">
        <f ca="1">IF(ISNUMBER(O146),(IF((N146-L146)&lt;0,0,N146-L146)+IF((Tbl_Load_distrib[[#This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47" s="929" t="e">
        <f>IF(ISNA(Tbl_Load_distrib[[#This Row],[x]]),NA(),IF(ISTEXT(P146),0,IF(P146=0,LongSection_DraftAft,P146-(LongSection_DraftAft-LongSection_DraftFore)/(Lpp-FE_size)*Tbl_Load_distrib[[#This Row],[L_elt]])))</f>
        <v>#N/A</v>
      </c>
      <c r="Q147" s="166" t="e">
        <f ca="1">IF(ISNUMBER(Q146),(IF((P146-L146)&lt;0,0,P146-L146)+IF((Tbl_Load_distrib[[#This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47" s="167" t="e">
        <f ca="1">ρ_sw*Tbl_Load_distrib[[#This Row],[Elt Area corrected]]*B/k_depl</f>
        <v>#N/A</v>
      </c>
      <c r="S147" s="167" t="e">
        <f ca="1">Tbl_Load_distrib[[#This Row],[Section Weight]]-Tbl_Load_distrib[[#This Row],[Floating Elt]]</f>
        <v>#N/A</v>
      </c>
      <c r="T147" s="183" t="e">
        <f ca="1">IF(ISTEXT($T146),0,$T146+Tbl_Load_distrib[[#This Row],[Net force / Elt]])</f>
        <v>#N/A</v>
      </c>
      <c r="U147" s="261" t="e">
        <f ca="1">IF(ISTEXT($U146),0,$U146+Tbl_Load_distrib[[#This Row],[Shearing Force]]*Tbl_Load_distrib[[#This Row],[L_elt]])</f>
        <v>#N/A</v>
      </c>
    </row>
    <row r="148" spans="2:21" x14ac:dyDescent="0.25">
      <c r="B148" s="136" t="e">
        <f t="shared" si="5"/>
        <v>#N/A</v>
      </c>
      <c r="C148" s="139" t="e">
        <f t="shared" si="6"/>
        <v>#N/A</v>
      </c>
      <c r="D148" s="152">
        <f ca="1">SUM(Tbl_Load_distrib[[#This Row],[Hull &amp; Structure]:[Reserved]])</f>
        <v>0</v>
      </c>
      <c r="E148" s="260">
        <f>SUMIFS(Tbl_Hull_Structure[Spread],Tbl_Hull_Structure[L from],"&lt;"&amp;Tbl_Load_distrib[[#This Row],[x]],Tbl_Hull_Structure[L to],"&gt;"&amp;C147)*Tbl_Load_distrib[[#This Row],[L_elt]]</f>
        <v>0</v>
      </c>
      <c r="F148" s="260">
        <f ca="1">SUMIFS(Tbl_Ballasts[Spread],Tbl_Ballasts[L from],"&lt;"&amp;Tbl_Load_distrib[[#This Row],[x]],Tbl_Ballasts[L to],"&gt;"&amp;C147)*Tbl_Load_distrib[[#This Row],[L_elt]]</f>
        <v>0</v>
      </c>
      <c r="G148" s="260">
        <f>SUMIFS(Tbl_Lifting[Spread],Tbl_Lifting[L from],"&lt;"&amp;Tbl_Load_distrib[[#This Row],[x]],Tbl_Lifting[L to],"&gt;"&amp;C147)*Tbl_Load_distrib[[#This Row],[L_elt]]</f>
        <v>0</v>
      </c>
      <c r="H148" s="260">
        <f>SUMIFS(Tbl_Additionals[Spread],Tbl_Additionals[L from],"&lt;"&amp;Tbl_Load_distrib[[#This Row],[x]],Tbl_Additionals[L to],"&gt;"&amp;C147)*Tbl_Load_distrib[[#This Row],[L_elt]]</f>
        <v>0</v>
      </c>
      <c r="I148" s="260">
        <f ca="1">SUMIFS(Tbl_Deck_Tank[Spread],Tbl_Deck_Tank[L from],"&lt;"&amp;Tbl_Load_distrib[[#This Row],[x]],Tbl_Deck_Tank[L to],"&gt;"&amp;C147)*Tbl_Load_distrib[[#This Row],[L_elt]]</f>
        <v>0</v>
      </c>
      <c r="J148" s="137"/>
      <c r="K148" s="165" t="e">
        <f>IFERROR(Tbl_Long_Section[[#This Row],[H Deck-Bottom]],NA())</f>
        <v>#N/A</v>
      </c>
      <c r="L148" s="829" t="e">
        <f>M_depth-Tbl_Load_distrib[[#This Row],[H Deck-Bottom]]</f>
        <v>#N/A</v>
      </c>
      <c r="M148" s="929">
        <f>IFERROR(Tbl_Load_distrib[[#This Row],[x]]-C147,0)</f>
        <v>0</v>
      </c>
      <c r="N148" s="929" t="e">
        <f>IF(ISNA(Tbl_Load_distrib[[#This Row],[x]]),NA(),IF(ISTEXT(N147),0,IF(N147=0,$Z$3,N147-($Z$3-$AA$3)/(Lpp-FE_size)*Tbl_Load_distrib[[#This Row],[L_elt]])))</f>
        <v>#N/A</v>
      </c>
      <c r="O148" s="166" t="e">
        <f ca="1">IF(ISNUMBER(O147),(IF((N147-L147)&lt;0,0,N147-L147)+IF((Tbl_Load_distrib[[#This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48" s="929" t="e">
        <f>IF(ISNA(Tbl_Load_distrib[[#This Row],[x]]),NA(),IF(ISTEXT(P147),0,IF(P147=0,LongSection_DraftAft,P147-(LongSection_DraftAft-LongSection_DraftFore)/(Lpp-FE_size)*Tbl_Load_distrib[[#This Row],[L_elt]])))</f>
        <v>#N/A</v>
      </c>
      <c r="Q148" s="166" t="e">
        <f ca="1">IF(ISNUMBER(Q147),(IF((P147-L147)&lt;0,0,P147-L147)+IF((Tbl_Load_distrib[[#This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48" s="167" t="e">
        <f ca="1">ρ_sw*Tbl_Load_distrib[[#This Row],[Elt Area corrected]]*B/k_depl</f>
        <v>#N/A</v>
      </c>
      <c r="S148" s="167" t="e">
        <f ca="1">Tbl_Load_distrib[[#This Row],[Section Weight]]-Tbl_Load_distrib[[#This Row],[Floating Elt]]</f>
        <v>#N/A</v>
      </c>
      <c r="T148" s="183" t="e">
        <f ca="1">IF(ISTEXT($T147),0,$T147+Tbl_Load_distrib[[#This Row],[Net force / Elt]])</f>
        <v>#N/A</v>
      </c>
      <c r="U148" s="261" t="e">
        <f ca="1">IF(ISTEXT($U147),0,$U147+Tbl_Load_distrib[[#This Row],[Shearing Force]]*Tbl_Load_distrib[[#This Row],[L_elt]])</f>
        <v>#N/A</v>
      </c>
    </row>
    <row r="149" spans="2:21" x14ac:dyDescent="0.25">
      <c r="B149" s="136" t="e">
        <f t="shared" si="5"/>
        <v>#N/A</v>
      </c>
      <c r="C149" s="139" t="e">
        <f t="shared" si="6"/>
        <v>#N/A</v>
      </c>
      <c r="D149" s="152">
        <f ca="1">SUM(Tbl_Load_distrib[[#This Row],[Hull &amp; Structure]:[Reserved]])</f>
        <v>0</v>
      </c>
      <c r="E149" s="260">
        <f>SUMIFS(Tbl_Hull_Structure[Spread],Tbl_Hull_Structure[L from],"&lt;"&amp;Tbl_Load_distrib[[#This Row],[x]],Tbl_Hull_Structure[L to],"&gt;"&amp;C148)*Tbl_Load_distrib[[#This Row],[L_elt]]</f>
        <v>0</v>
      </c>
      <c r="F149" s="260">
        <f ca="1">SUMIFS(Tbl_Ballasts[Spread],Tbl_Ballasts[L from],"&lt;"&amp;Tbl_Load_distrib[[#This Row],[x]],Tbl_Ballasts[L to],"&gt;"&amp;C148)*Tbl_Load_distrib[[#This Row],[L_elt]]</f>
        <v>0</v>
      </c>
      <c r="G149" s="260">
        <f>SUMIFS(Tbl_Lifting[Spread],Tbl_Lifting[L from],"&lt;"&amp;Tbl_Load_distrib[[#This Row],[x]],Tbl_Lifting[L to],"&gt;"&amp;C148)*Tbl_Load_distrib[[#This Row],[L_elt]]</f>
        <v>0</v>
      </c>
      <c r="H149" s="260">
        <f>SUMIFS(Tbl_Additionals[Spread],Tbl_Additionals[L from],"&lt;"&amp;Tbl_Load_distrib[[#This Row],[x]],Tbl_Additionals[L to],"&gt;"&amp;C148)*Tbl_Load_distrib[[#This Row],[L_elt]]</f>
        <v>0</v>
      </c>
      <c r="I149" s="260">
        <f ca="1">SUMIFS(Tbl_Deck_Tank[Spread],Tbl_Deck_Tank[L from],"&lt;"&amp;Tbl_Load_distrib[[#This Row],[x]],Tbl_Deck_Tank[L to],"&gt;"&amp;C148)*Tbl_Load_distrib[[#This Row],[L_elt]]</f>
        <v>0</v>
      </c>
      <c r="J149" s="137"/>
      <c r="K149" s="165" t="e">
        <f>IFERROR(Tbl_Long_Section[[#This Row],[H Deck-Bottom]],NA())</f>
        <v>#N/A</v>
      </c>
      <c r="L149" s="829" t="e">
        <f>M_depth-Tbl_Load_distrib[[#This Row],[H Deck-Bottom]]</f>
        <v>#N/A</v>
      </c>
      <c r="M149" s="929">
        <f>IFERROR(Tbl_Load_distrib[[#This Row],[x]]-C148,0)</f>
        <v>0</v>
      </c>
      <c r="N149" s="929" t="e">
        <f>IF(ISNA(Tbl_Load_distrib[[#This Row],[x]]),NA(),IF(ISTEXT(N148),0,IF(N148=0,$Z$3,N148-($Z$3-$AA$3)/(Lpp-FE_size)*Tbl_Load_distrib[[#This Row],[L_elt]])))</f>
        <v>#N/A</v>
      </c>
      <c r="O149" s="166" t="e">
        <f ca="1">IF(ISNUMBER(O148),(IF((N148-L148)&lt;0,0,N148-L148)+IF((Tbl_Load_distrib[[#This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49" s="929" t="e">
        <f>IF(ISNA(Tbl_Load_distrib[[#This Row],[x]]),NA(),IF(ISTEXT(P148),0,IF(P148=0,LongSection_DraftAft,P148-(LongSection_DraftAft-LongSection_DraftFore)/(Lpp-FE_size)*Tbl_Load_distrib[[#This Row],[L_elt]])))</f>
        <v>#N/A</v>
      </c>
      <c r="Q149" s="166" t="e">
        <f ca="1">IF(ISNUMBER(Q148),(IF((P148-L148)&lt;0,0,P148-L148)+IF((Tbl_Load_distrib[[#This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49" s="167" t="e">
        <f ca="1">ρ_sw*Tbl_Load_distrib[[#This Row],[Elt Area corrected]]*B/k_depl</f>
        <v>#N/A</v>
      </c>
      <c r="S149" s="167" t="e">
        <f ca="1">Tbl_Load_distrib[[#This Row],[Section Weight]]-Tbl_Load_distrib[[#This Row],[Floating Elt]]</f>
        <v>#N/A</v>
      </c>
      <c r="T149" s="183" t="e">
        <f ca="1">IF(ISTEXT($T148),0,$T148+Tbl_Load_distrib[[#This Row],[Net force / Elt]])</f>
        <v>#N/A</v>
      </c>
      <c r="U149" s="261" t="e">
        <f ca="1">IF(ISTEXT($U148),0,$U148+Tbl_Load_distrib[[#This Row],[Shearing Force]]*Tbl_Load_distrib[[#This Row],[L_elt]])</f>
        <v>#N/A</v>
      </c>
    </row>
    <row r="150" spans="2:21" x14ac:dyDescent="0.25">
      <c r="B150" s="136" t="e">
        <f t="shared" si="5"/>
        <v>#N/A</v>
      </c>
      <c r="C150" s="139" t="e">
        <f t="shared" si="6"/>
        <v>#N/A</v>
      </c>
      <c r="D150" s="152">
        <f ca="1">SUM(Tbl_Load_distrib[[#This Row],[Hull &amp; Structure]:[Reserved]])</f>
        <v>0</v>
      </c>
      <c r="E150" s="260">
        <f>SUMIFS(Tbl_Hull_Structure[Spread],Tbl_Hull_Structure[L from],"&lt;"&amp;Tbl_Load_distrib[[#This Row],[x]],Tbl_Hull_Structure[L to],"&gt;"&amp;C149)*Tbl_Load_distrib[[#This Row],[L_elt]]</f>
        <v>0</v>
      </c>
      <c r="F150" s="260">
        <f ca="1">SUMIFS(Tbl_Ballasts[Spread],Tbl_Ballasts[L from],"&lt;"&amp;Tbl_Load_distrib[[#This Row],[x]],Tbl_Ballasts[L to],"&gt;"&amp;C149)*Tbl_Load_distrib[[#This Row],[L_elt]]</f>
        <v>0</v>
      </c>
      <c r="G150" s="260">
        <f>SUMIFS(Tbl_Lifting[Spread],Tbl_Lifting[L from],"&lt;"&amp;Tbl_Load_distrib[[#This Row],[x]],Tbl_Lifting[L to],"&gt;"&amp;C149)*Tbl_Load_distrib[[#This Row],[L_elt]]</f>
        <v>0</v>
      </c>
      <c r="H150" s="260">
        <f>SUMIFS(Tbl_Additionals[Spread],Tbl_Additionals[L from],"&lt;"&amp;Tbl_Load_distrib[[#This Row],[x]],Tbl_Additionals[L to],"&gt;"&amp;C149)*Tbl_Load_distrib[[#This Row],[L_elt]]</f>
        <v>0</v>
      </c>
      <c r="I150" s="260">
        <f ca="1">SUMIFS(Tbl_Deck_Tank[Spread],Tbl_Deck_Tank[L from],"&lt;"&amp;Tbl_Load_distrib[[#This Row],[x]],Tbl_Deck_Tank[L to],"&gt;"&amp;C149)*Tbl_Load_distrib[[#This Row],[L_elt]]</f>
        <v>0</v>
      </c>
      <c r="J150" s="137"/>
      <c r="K150" s="165" t="e">
        <f>IFERROR(Tbl_Long_Section[[#This Row],[H Deck-Bottom]],NA())</f>
        <v>#N/A</v>
      </c>
      <c r="L150" s="829" t="e">
        <f>M_depth-Tbl_Load_distrib[[#This Row],[H Deck-Bottom]]</f>
        <v>#N/A</v>
      </c>
      <c r="M150" s="929">
        <f>IFERROR(Tbl_Load_distrib[[#This Row],[x]]-C149,0)</f>
        <v>0</v>
      </c>
      <c r="N150" s="929" t="e">
        <f>IF(ISNA(Tbl_Load_distrib[[#This Row],[x]]),NA(),IF(ISTEXT(N149),0,IF(N149=0,$Z$3,N149-($Z$3-$AA$3)/(Lpp-FE_size)*Tbl_Load_distrib[[#This Row],[L_elt]])))</f>
        <v>#N/A</v>
      </c>
      <c r="O150" s="166" t="e">
        <f ca="1">IF(ISNUMBER(O149),(IF((N149-L149)&lt;0,0,N149-L149)+IF((Tbl_Load_distrib[[#This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50" s="929" t="e">
        <f>IF(ISNA(Tbl_Load_distrib[[#This Row],[x]]),NA(),IF(ISTEXT(P149),0,IF(P149=0,LongSection_DraftAft,P149-(LongSection_DraftAft-LongSection_DraftFore)/(Lpp-FE_size)*Tbl_Load_distrib[[#This Row],[L_elt]])))</f>
        <v>#N/A</v>
      </c>
      <c r="Q150" s="166" t="e">
        <f ca="1">IF(ISNUMBER(Q149),(IF((P149-L149)&lt;0,0,P149-L149)+IF((Tbl_Load_distrib[[#This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50" s="167" t="e">
        <f ca="1">ρ_sw*Tbl_Load_distrib[[#This Row],[Elt Area corrected]]*B/k_depl</f>
        <v>#N/A</v>
      </c>
      <c r="S150" s="167" t="e">
        <f ca="1">Tbl_Load_distrib[[#This Row],[Section Weight]]-Tbl_Load_distrib[[#This Row],[Floating Elt]]</f>
        <v>#N/A</v>
      </c>
      <c r="T150" s="183" t="e">
        <f ca="1">IF(ISTEXT($T149),0,$T149+Tbl_Load_distrib[[#This Row],[Net force / Elt]])</f>
        <v>#N/A</v>
      </c>
      <c r="U150" s="261" t="e">
        <f ca="1">IF(ISTEXT($U149),0,$U149+Tbl_Load_distrib[[#This Row],[Shearing Force]]*Tbl_Load_distrib[[#This Row],[L_elt]])</f>
        <v>#N/A</v>
      </c>
    </row>
    <row r="151" spans="2:21" x14ac:dyDescent="0.25">
      <c r="B151" s="136" t="e">
        <f t="shared" si="5"/>
        <v>#N/A</v>
      </c>
      <c r="C151" s="139" t="e">
        <f t="shared" si="6"/>
        <v>#N/A</v>
      </c>
      <c r="D151" s="152">
        <f ca="1">SUM(Tbl_Load_distrib[[#This Row],[Hull &amp; Structure]:[Reserved]])</f>
        <v>0</v>
      </c>
      <c r="E151" s="260">
        <f>SUMIFS(Tbl_Hull_Structure[Spread],Tbl_Hull_Structure[L from],"&lt;"&amp;Tbl_Load_distrib[[#This Row],[x]],Tbl_Hull_Structure[L to],"&gt;"&amp;C150)*Tbl_Load_distrib[[#This Row],[L_elt]]</f>
        <v>0</v>
      </c>
      <c r="F151" s="260">
        <f ca="1">SUMIFS(Tbl_Ballasts[Spread],Tbl_Ballasts[L from],"&lt;"&amp;Tbl_Load_distrib[[#This Row],[x]],Tbl_Ballasts[L to],"&gt;"&amp;C150)*Tbl_Load_distrib[[#This Row],[L_elt]]</f>
        <v>0</v>
      </c>
      <c r="G151" s="260">
        <f>SUMIFS(Tbl_Lifting[Spread],Tbl_Lifting[L from],"&lt;"&amp;Tbl_Load_distrib[[#This Row],[x]],Tbl_Lifting[L to],"&gt;"&amp;C150)*Tbl_Load_distrib[[#This Row],[L_elt]]</f>
        <v>0</v>
      </c>
      <c r="H151" s="260">
        <f>SUMIFS(Tbl_Additionals[Spread],Tbl_Additionals[L from],"&lt;"&amp;Tbl_Load_distrib[[#This Row],[x]],Tbl_Additionals[L to],"&gt;"&amp;C150)*Tbl_Load_distrib[[#This Row],[L_elt]]</f>
        <v>0</v>
      </c>
      <c r="I151" s="260">
        <f ca="1">SUMIFS(Tbl_Deck_Tank[Spread],Tbl_Deck_Tank[L from],"&lt;"&amp;Tbl_Load_distrib[[#This Row],[x]],Tbl_Deck_Tank[L to],"&gt;"&amp;C150)*Tbl_Load_distrib[[#This Row],[L_elt]]</f>
        <v>0</v>
      </c>
      <c r="J151" s="137"/>
      <c r="K151" s="165" t="e">
        <f>IFERROR(Tbl_Long_Section[[#This Row],[H Deck-Bottom]],NA())</f>
        <v>#N/A</v>
      </c>
      <c r="L151" s="829" t="e">
        <f>M_depth-Tbl_Load_distrib[[#This Row],[H Deck-Bottom]]</f>
        <v>#N/A</v>
      </c>
      <c r="M151" s="929">
        <f>IFERROR(Tbl_Load_distrib[[#This Row],[x]]-C150,0)</f>
        <v>0</v>
      </c>
      <c r="N151" s="929" t="e">
        <f>IF(ISNA(Tbl_Load_distrib[[#This Row],[x]]),NA(),IF(ISTEXT(N150),0,IF(N150=0,$Z$3,N150-($Z$3-$AA$3)/(Lpp-FE_size)*Tbl_Load_distrib[[#This Row],[L_elt]])))</f>
        <v>#N/A</v>
      </c>
      <c r="O151" s="166" t="e">
        <f ca="1">IF(ISNUMBER(O150),(IF((N150-L150)&lt;0,0,N150-L150)+IF((Tbl_Load_distrib[[#This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51" s="929" t="e">
        <f>IF(ISNA(Tbl_Load_distrib[[#This Row],[x]]),NA(),IF(ISTEXT(P150),0,IF(P150=0,LongSection_DraftAft,P150-(LongSection_DraftAft-LongSection_DraftFore)/(Lpp-FE_size)*Tbl_Load_distrib[[#This Row],[L_elt]])))</f>
        <v>#N/A</v>
      </c>
      <c r="Q151" s="166" t="e">
        <f ca="1">IF(ISNUMBER(Q150),(IF((P150-L150)&lt;0,0,P150-L150)+IF((Tbl_Load_distrib[[#This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51" s="167" t="e">
        <f ca="1">ρ_sw*Tbl_Load_distrib[[#This Row],[Elt Area corrected]]*B/k_depl</f>
        <v>#N/A</v>
      </c>
      <c r="S151" s="167" t="e">
        <f ca="1">Tbl_Load_distrib[[#This Row],[Section Weight]]-Tbl_Load_distrib[[#This Row],[Floating Elt]]</f>
        <v>#N/A</v>
      </c>
      <c r="T151" s="183" t="e">
        <f ca="1">IF(ISTEXT($T150),0,$T150+Tbl_Load_distrib[[#This Row],[Net force / Elt]])</f>
        <v>#N/A</v>
      </c>
      <c r="U151" s="261" t="e">
        <f ca="1">IF(ISTEXT($U150),0,$U150+Tbl_Load_distrib[[#This Row],[Shearing Force]]*Tbl_Load_distrib[[#This Row],[L_elt]])</f>
        <v>#N/A</v>
      </c>
    </row>
    <row r="152" spans="2:21" x14ac:dyDescent="0.25">
      <c r="B152" s="136" t="e">
        <f t="shared" si="5"/>
        <v>#N/A</v>
      </c>
      <c r="C152" s="139" t="e">
        <f t="shared" si="6"/>
        <v>#N/A</v>
      </c>
      <c r="D152" s="152">
        <f ca="1">SUM(Tbl_Load_distrib[[#This Row],[Hull &amp; Structure]:[Reserved]])</f>
        <v>0</v>
      </c>
      <c r="E152" s="260">
        <f>SUMIFS(Tbl_Hull_Structure[Spread],Tbl_Hull_Structure[L from],"&lt;"&amp;Tbl_Load_distrib[[#This Row],[x]],Tbl_Hull_Structure[L to],"&gt;"&amp;C151)*Tbl_Load_distrib[[#This Row],[L_elt]]</f>
        <v>0</v>
      </c>
      <c r="F152" s="260">
        <f ca="1">SUMIFS(Tbl_Ballasts[Spread],Tbl_Ballasts[L from],"&lt;"&amp;Tbl_Load_distrib[[#This Row],[x]],Tbl_Ballasts[L to],"&gt;"&amp;C151)*Tbl_Load_distrib[[#This Row],[L_elt]]</f>
        <v>0</v>
      </c>
      <c r="G152" s="260">
        <f>SUMIFS(Tbl_Lifting[Spread],Tbl_Lifting[L from],"&lt;"&amp;Tbl_Load_distrib[[#This Row],[x]],Tbl_Lifting[L to],"&gt;"&amp;C151)*Tbl_Load_distrib[[#This Row],[L_elt]]</f>
        <v>0</v>
      </c>
      <c r="H152" s="260">
        <f>SUMIFS(Tbl_Additionals[Spread],Tbl_Additionals[L from],"&lt;"&amp;Tbl_Load_distrib[[#This Row],[x]],Tbl_Additionals[L to],"&gt;"&amp;C151)*Tbl_Load_distrib[[#This Row],[L_elt]]</f>
        <v>0</v>
      </c>
      <c r="I152" s="260">
        <f ca="1">SUMIFS(Tbl_Deck_Tank[Spread],Tbl_Deck_Tank[L from],"&lt;"&amp;Tbl_Load_distrib[[#This Row],[x]],Tbl_Deck_Tank[L to],"&gt;"&amp;C151)*Tbl_Load_distrib[[#This Row],[L_elt]]</f>
        <v>0</v>
      </c>
      <c r="J152" s="137"/>
      <c r="K152" s="165" t="e">
        <f>IFERROR(Tbl_Long_Section[[#This Row],[H Deck-Bottom]],NA())</f>
        <v>#N/A</v>
      </c>
      <c r="L152" s="829" t="e">
        <f>M_depth-Tbl_Load_distrib[[#This Row],[H Deck-Bottom]]</f>
        <v>#N/A</v>
      </c>
      <c r="M152" s="929">
        <f>IFERROR(Tbl_Load_distrib[[#This Row],[x]]-C151,0)</f>
        <v>0</v>
      </c>
      <c r="N152" s="929" t="e">
        <f>IF(ISNA(Tbl_Load_distrib[[#This Row],[x]]),NA(),IF(ISTEXT(N151),0,IF(N151=0,$Z$3,N151-($Z$3-$AA$3)/(Lpp-FE_size)*Tbl_Load_distrib[[#This Row],[L_elt]])))</f>
        <v>#N/A</v>
      </c>
      <c r="O152" s="166" t="e">
        <f ca="1">IF(ISNUMBER(O151),(IF((N151-L151)&lt;0,0,N151-L151)+IF((Tbl_Load_distrib[[#This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52" s="929" t="e">
        <f>IF(ISNA(Tbl_Load_distrib[[#This Row],[x]]),NA(),IF(ISTEXT(P151),0,IF(P151=0,LongSection_DraftAft,P151-(LongSection_DraftAft-LongSection_DraftFore)/(Lpp-FE_size)*Tbl_Load_distrib[[#This Row],[L_elt]])))</f>
        <v>#N/A</v>
      </c>
      <c r="Q152" s="166" t="e">
        <f ca="1">IF(ISNUMBER(Q151),(IF((P151-L151)&lt;0,0,P151-L151)+IF((Tbl_Load_distrib[[#This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52" s="167" t="e">
        <f ca="1">ρ_sw*Tbl_Load_distrib[[#This Row],[Elt Area corrected]]*B/k_depl</f>
        <v>#N/A</v>
      </c>
      <c r="S152" s="167" t="e">
        <f ca="1">Tbl_Load_distrib[[#This Row],[Section Weight]]-Tbl_Load_distrib[[#This Row],[Floating Elt]]</f>
        <v>#N/A</v>
      </c>
      <c r="T152" s="183" t="e">
        <f ca="1">IF(ISTEXT($T151),0,$T151+Tbl_Load_distrib[[#This Row],[Net force / Elt]])</f>
        <v>#N/A</v>
      </c>
      <c r="U152" s="261" t="e">
        <f ca="1">IF(ISTEXT($U151),0,$U151+Tbl_Load_distrib[[#This Row],[Shearing Force]]*Tbl_Load_distrib[[#This Row],[L_elt]])</f>
        <v>#N/A</v>
      </c>
    </row>
    <row r="153" spans="2:21" x14ac:dyDescent="0.25">
      <c r="B153" s="136" t="e">
        <f t="shared" si="5"/>
        <v>#N/A</v>
      </c>
      <c r="C153" s="139" t="e">
        <f t="shared" si="6"/>
        <v>#N/A</v>
      </c>
      <c r="D153" s="152">
        <f ca="1">SUM(Tbl_Load_distrib[[#This Row],[Hull &amp; Structure]:[Reserved]])</f>
        <v>0</v>
      </c>
      <c r="E153" s="260">
        <f>SUMIFS(Tbl_Hull_Structure[Spread],Tbl_Hull_Structure[L from],"&lt;"&amp;Tbl_Load_distrib[[#This Row],[x]],Tbl_Hull_Structure[L to],"&gt;"&amp;C152)*Tbl_Load_distrib[[#This Row],[L_elt]]</f>
        <v>0</v>
      </c>
      <c r="F153" s="260">
        <f ca="1">SUMIFS(Tbl_Ballasts[Spread],Tbl_Ballasts[L from],"&lt;"&amp;Tbl_Load_distrib[[#This Row],[x]],Tbl_Ballasts[L to],"&gt;"&amp;C152)*Tbl_Load_distrib[[#This Row],[L_elt]]</f>
        <v>0</v>
      </c>
      <c r="G153" s="260">
        <f>SUMIFS(Tbl_Lifting[Spread],Tbl_Lifting[L from],"&lt;"&amp;Tbl_Load_distrib[[#This Row],[x]],Tbl_Lifting[L to],"&gt;"&amp;C152)*Tbl_Load_distrib[[#This Row],[L_elt]]</f>
        <v>0</v>
      </c>
      <c r="H153" s="260">
        <f>SUMIFS(Tbl_Additionals[Spread],Tbl_Additionals[L from],"&lt;"&amp;Tbl_Load_distrib[[#This Row],[x]],Tbl_Additionals[L to],"&gt;"&amp;C152)*Tbl_Load_distrib[[#This Row],[L_elt]]</f>
        <v>0</v>
      </c>
      <c r="I153" s="260">
        <f ca="1">SUMIFS(Tbl_Deck_Tank[Spread],Tbl_Deck_Tank[L from],"&lt;"&amp;Tbl_Load_distrib[[#This Row],[x]],Tbl_Deck_Tank[L to],"&gt;"&amp;C152)*Tbl_Load_distrib[[#This Row],[L_elt]]</f>
        <v>0</v>
      </c>
      <c r="J153" s="137"/>
      <c r="K153" s="165" t="e">
        <f>IFERROR(Tbl_Long_Section[[#This Row],[H Deck-Bottom]],NA())</f>
        <v>#N/A</v>
      </c>
      <c r="L153" s="829" t="e">
        <f>M_depth-Tbl_Load_distrib[[#This Row],[H Deck-Bottom]]</f>
        <v>#N/A</v>
      </c>
      <c r="M153" s="929">
        <f>IFERROR(Tbl_Load_distrib[[#This Row],[x]]-C152,0)</f>
        <v>0</v>
      </c>
      <c r="N153" s="929" t="e">
        <f>IF(ISNA(Tbl_Load_distrib[[#This Row],[x]]),NA(),IF(ISTEXT(N152),0,IF(N152=0,$Z$3,N152-($Z$3-$AA$3)/(Lpp-FE_size)*Tbl_Load_distrib[[#This Row],[L_elt]])))</f>
        <v>#N/A</v>
      </c>
      <c r="O153" s="166" t="e">
        <f ca="1">IF(ISNUMBER(O152),(IF((N152-L152)&lt;0,0,N152-L152)+IF((Tbl_Load_distrib[[#This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53" s="929" t="e">
        <f>IF(ISNA(Tbl_Load_distrib[[#This Row],[x]]),NA(),IF(ISTEXT(P152),0,IF(P152=0,LongSection_DraftAft,P152-(LongSection_DraftAft-LongSection_DraftFore)/(Lpp-FE_size)*Tbl_Load_distrib[[#This Row],[L_elt]])))</f>
        <v>#N/A</v>
      </c>
      <c r="Q153" s="166" t="e">
        <f ca="1">IF(ISNUMBER(Q152),(IF((P152-L152)&lt;0,0,P152-L152)+IF((Tbl_Load_distrib[[#This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53" s="167" t="e">
        <f ca="1">ρ_sw*Tbl_Load_distrib[[#This Row],[Elt Area corrected]]*B/k_depl</f>
        <v>#N/A</v>
      </c>
      <c r="S153" s="167" t="e">
        <f ca="1">Tbl_Load_distrib[[#This Row],[Section Weight]]-Tbl_Load_distrib[[#This Row],[Floating Elt]]</f>
        <v>#N/A</v>
      </c>
      <c r="T153" s="183" t="e">
        <f ca="1">IF(ISTEXT($T152),0,$T152+Tbl_Load_distrib[[#This Row],[Net force / Elt]])</f>
        <v>#N/A</v>
      </c>
      <c r="U153" s="261" t="e">
        <f ca="1">IF(ISTEXT($U152),0,$U152+Tbl_Load_distrib[[#This Row],[Shearing Force]]*Tbl_Load_distrib[[#This Row],[L_elt]])</f>
        <v>#N/A</v>
      </c>
    </row>
    <row r="154" spans="2:21" x14ac:dyDescent="0.25">
      <c r="B154" s="136" t="e">
        <f t="shared" si="5"/>
        <v>#N/A</v>
      </c>
      <c r="C154" s="139" t="e">
        <f t="shared" si="6"/>
        <v>#N/A</v>
      </c>
      <c r="D154" s="152">
        <f ca="1">SUM(Tbl_Load_distrib[[#This Row],[Hull &amp; Structure]:[Reserved]])</f>
        <v>0</v>
      </c>
      <c r="E154" s="260">
        <f>SUMIFS(Tbl_Hull_Structure[Spread],Tbl_Hull_Structure[L from],"&lt;"&amp;Tbl_Load_distrib[[#This Row],[x]],Tbl_Hull_Structure[L to],"&gt;"&amp;C153)*Tbl_Load_distrib[[#This Row],[L_elt]]</f>
        <v>0</v>
      </c>
      <c r="F154" s="260">
        <f ca="1">SUMIFS(Tbl_Ballasts[Spread],Tbl_Ballasts[L from],"&lt;"&amp;Tbl_Load_distrib[[#This Row],[x]],Tbl_Ballasts[L to],"&gt;"&amp;C153)*Tbl_Load_distrib[[#This Row],[L_elt]]</f>
        <v>0</v>
      </c>
      <c r="G154" s="260">
        <f>SUMIFS(Tbl_Lifting[Spread],Tbl_Lifting[L from],"&lt;"&amp;Tbl_Load_distrib[[#This Row],[x]],Tbl_Lifting[L to],"&gt;"&amp;C153)*Tbl_Load_distrib[[#This Row],[L_elt]]</f>
        <v>0</v>
      </c>
      <c r="H154" s="260">
        <f>SUMIFS(Tbl_Additionals[Spread],Tbl_Additionals[L from],"&lt;"&amp;Tbl_Load_distrib[[#This Row],[x]],Tbl_Additionals[L to],"&gt;"&amp;C153)*Tbl_Load_distrib[[#This Row],[L_elt]]</f>
        <v>0</v>
      </c>
      <c r="I154" s="260">
        <f ca="1">SUMIFS(Tbl_Deck_Tank[Spread],Tbl_Deck_Tank[L from],"&lt;"&amp;Tbl_Load_distrib[[#This Row],[x]],Tbl_Deck_Tank[L to],"&gt;"&amp;C153)*Tbl_Load_distrib[[#This Row],[L_elt]]</f>
        <v>0</v>
      </c>
      <c r="J154" s="137"/>
      <c r="K154" s="165" t="e">
        <f>IFERROR(Tbl_Long_Section[[#This Row],[H Deck-Bottom]],NA())</f>
        <v>#N/A</v>
      </c>
      <c r="L154" s="829" t="e">
        <f>M_depth-Tbl_Load_distrib[[#This Row],[H Deck-Bottom]]</f>
        <v>#N/A</v>
      </c>
      <c r="M154" s="929">
        <f>IFERROR(Tbl_Load_distrib[[#This Row],[x]]-C153,0)</f>
        <v>0</v>
      </c>
      <c r="N154" s="929" t="e">
        <f>IF(ISNA(Tbl_Load_distrib[[#This Row],[x]]),NA(),IF(ISTEXT(N153),0,IF(N153=0,$Z$3,N153-($Z$3-$AA$3)/(Lpp-FE_size)*Tbl_Load_distrib[[#This Row],[L_elt]])))</f>
        <v>#N/A</v>
      </c>
      <c r="O154" s="166" t="e">
        <f ca="1">IF(ISNUMBER(O153),(IF((N153-L153)&lt;0,0,N153-L153)+IF((Tbl_Load_distrib[[#This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54" s="929" t="e">
        <f>IF(ISNA(Tbl_Load_distrib[[#This Row],[x]]),NA(),IF(ISTEXT(P153),0,IF(P153=0,LongSection_DraftAft,P153-(LongSection_DraftAft-LongSection_DraftFore)/(Lpp-FE_size)*Tbl_Load_distrib[[#This Row],[L_elt]])))</f>
        <v>#N/A</v>
      </c>
      <c r="Q154" s="166" t="e">
        <f ca="1">IF(ISNUMBER(Q153),(IF((P153-L153)&lt;0,0,P153-L153)+IF((Tbl_Load_distrib[[#This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54" s="167" t="e">
        <f ca="1">ρ_sw*Tbl_Load_distrib[[#This Row],[Elt Area corrected]]*B/k_depl</f>
        <v>#N/A</v>
      </c>
      <c r="S154" s="167" t="e">
        <f ca="1">Tbl_Load_distrib[[#This Row],[Section Weight]]-Tbl_Load_distrib[[#This Row],[Floating Elt]]</f>
        <v>#N/A</v>
      </c>
      <c r="T154" s="183" t="e">
        <f ca="1">IF(ISTEXT($T153),0,$T153+Tbl_Load_distrib[[#This Row],[Net force / Elt]])</f>
        <v>#N/A</v>
      </c>
      <c r="U154" s="261" t="e">
        <f ca="1">IF(ISTEXT($U153),0,$U153+Tbl_Load_distrib[[#This Row],[Shearing Force]]*Tbl_Load_distrib[[#This Row],[L_elt]])</f>
        <v>#N/A</v>
      </c>
    </row>
    <row r="155" spans="2:21" x14ac:dyDescent="0.25">
      <c r="B155" s="136" t="e">
        <f t="shared" si="5"/>
        <v>#N/A</v>
      </c>
      <c r="C155" s="139" t="e">
        <f t="shared" si="6"/>
        <v>#N/A</v>
      </c>
      <c r="D155" s="152">
        <f ca="1">SUM(Tbl_Load_distrib[[#This Row],[Hull &amp; Structure]:[Reserved]])</f>
        <v>0</v>
      </c>
      <c r="E155" s="260">
        <f>SUMIFS(Tbl_Hull_Structure[Spread],Tbl_Hull_Structure[L from],"&lt;"&amp;Tbl_Load_distrib[[#This Row],[x]],Tbl_Hull_Structure[L to],"&gt;"&amp;C154)*Tbl_Load_distrib[[#This Row],[L_elt]]</f>
        <v>0</v>
      </c>
      <c r="F155" s="260">
        <f ca="1">SUMIFS(Tbl_Ballasts[Spread],Tbl_Ballasts[L from],"&lt;"&amp;Tbl_Load_distrib[[#This Row],[x]],Tbl_Ballasts[L to],"&gt;"&amp;C154)*Tbl_Load_distrib[[#This Row],[L_elt]]</f>
        <v>0</v>
      </c>
      <c r="G155" s="260">
        <f>SUMIFS(Tbl_Lifting[Spread],Tbl_Lifting[L from],"&lt;"&amp;Tbl_Load_distrib[[#This Row],[x]],Tbl_Lifting[L to],"&gt;"&amp;C154)*Tbl_Load_distrib[[#This Row],[L_elt]]</f>
        <v>0</v>
      </c>
      <c r="H155" s="260">
        <f>SUMIFS(Tbl_Additionals[Spread],Tbl_Additionals[L from],"&lt;"&amp;Tbl_Load_distrib[[#This Row],[x]],Tbl_Additionals[L to],"&gt;"&amp;C154)*Tbl_Load_distrib[[#This Row],[L_elt]]</f>
        <v>0</v>
      </c>
      <c r="I155" s="260">
        <f ca="1">SUMIFS(Tbl_Deck_Tank[Spread],Tbl_Deck_Tank[L from],"&lt;"&amp;Tbl_Load_distrib[[#This Row],[x]],Tbl_Deck_Tank[L to],"&gt;"&amp;C154)*Tbl_Load_distrib[[#This Row],[L_elt]]</f>
        <v>0</v>
      </c>
      <c r="J155" s="137"/>
      <c r="K155" s="165" t="e">
        <f>IFERROR(Tbl_Long_Section[[#This Row],[H Deck-Bottom]],NA())</f>
        <v>#N/A</v>
      </c>
      <c r="L155" s="829" t="e">
        <f>M_depth-Tbl_Load_distrib[[#This Row],[H Deck-Bottom]]</f>
        <v>#N/A</v>
      </c>
      <c r="M155" s="929">
        <f>IFERROR(Tbl_Load_distrib[[#This Row],[x]]-C154,0)</f>
        <v>0</v>
      </c>
      <c r="N155" s="929" t="e">
        <f>IF(ISNA(Tbl_Load_distrib[[#This Row],[x]]),NA(),IF(ISTEXT(N154),0,IF(N154=0,$Z$3,N154-($Z$3-$AA$3)/(Lpp-FE_size)*Tbl_Load_distrib[[#This Row],[L_elt]])))</f>
        <v>#N/A</v>
      </c>
      <c r="O155" s="166" t="e">
        <f ca="1">IF(ISNUMBER(O154),(IF((N154-L154)&lt;0,0,N154-L154)+IF((Tbl_Load_distrib[[#This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55" s="929" t="e">
        <f>IF(ISNA(Tbl_Load_distrib[[#This Row],[x]]),NA(),IF(ISTEXT(P154),0,IF(P154=0,LongSection_DraftAft,P154-(LongSection_DraftAft-LongSection_DraftFore)/(Lpp-FE_size)*Tbl_Load_distrib[[#This Row],[L_elt]])))</f>
        <v>#N/A</v>
      </c>
      <c r="Q155" s="166" t="e">
        <f ca="1">IF(ISNUMBER(Q154),(IF((P154-L154)&lt;0,0,P154-L154)+IF((Tbl_Load_distrib[[#This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55" s="167" t="e">
        <f ca="1">ρ_sw*Tbl_Load_distrib[[#This Row],[Elt Area corrected]]*B/k_depl</f>
        <v>#N/A</v>
      </c>
      <c r="S155" s="167" t="e">
        <f ca="1">Tbl_Load_distrib[[#This Row],[Section Weight]]-Tbl_Load_distrib[[#This Row],[Floating Elt]]</f>
        <v>#N/A</v>
      </c>
      <c r="T155" s="183" t="e">
        <f ca="1">IF(ISTEXT($T154),0,$T154+Tbl_Load_distrib[[#This Row],[Net force / Elt]])</f>
        <v>#N/A</v>
      </c>
      <c r="U155" s="261" t="e">
        <f ca="1">IF(ISTEXT($U154),0,$U154+Tbl_Load_distrib[[#This Row],[Shearing Force]]*Tbl_Load_distrib[[#This Row],[L_elt]])</f>
        <v>#N/A</v>
      </c>
    </row>
    <row r="156" spans="2:21" x14ac:dyDescent="0.25">
      <c r="B156" s="136" t="e">
        <f t="shared" si="5"/>
        <v>#N/A</v>
      </c>
      <c r="C156" s="139" t="e">
        <f t="shared" si="6"/>
        <v>#N/A</v>
      </c>
      <c r="D156" s="152">
        <f ca="1">SUM(Tbl_Load_distrib[[#This Row],[Hull &amp; Structure]:[Reserved]])</f>
        <v>0</v>
      </c>
      <c r="E156" s="260">
        <f>SUMIFS(Tbl_Hull_Structure[Spread],Tbl_Hull_Structure[L from],"&lt;"&amp;Tbl_Load_distrib[[#This Row],[x]],Tbl_Hull_Structure[L to],"&gt;"&amp;C155)*Tbl_Load_distrib[[#This Row],[L_elt]]</f>
        <v>0</v>
      </c>
      <c r="F156" s="260">
        <f ca="1">SUMIFS(Tbl_Ballasts[Spread],Tbl_Ballasts[L from],"&lt;"&amp;Tbl_Load_distrib[[#This Row],[x]],Tbl_Ballasts[L to],"&gt;"&amp;C155)*Tbl_Load_distrib[[#This Row],[L_elt]]</f>
        <v>0</v>
      </c>
      <c r="G156" s="260">
        <f>SUMIFS(Tbl_Lifting[Spread],Tbl_Lifting[L from],"&lt;"&amp;Tbl_Load_distrib[[#This Row],[x]],Tbl_Lifting[L to],"&gt;"&amp;C155)*Tbl_Load_distrib[[#This Row],[L_elt]]</f>
        <v>0</v>
      </c>
      <c r="H156" s="260">
        <f>SUMIFS(Tbl_Additionals[Spread],Tbl_Additionals[L from],"&lt;"&amp;Tbl_Load_distrib[[#This Row],[x]],Tbl_Additionals[L to],"&gt;"&amp;C155)*Tbl_Load_distrib[[#This Row],[L_elt]]</f>
        <v>0</v>
      </c>
      <c r="I156" s="260">
        <f ca="1">SUMIFS(Tbl_Deck_Tank[Spread],Tbl_Deck_Tank[L from],"&lt;"&amp;Tbl_Load_distrib[[#This Row],[x]],Tbl_Deck_Tank[L to],"&gt;"&amp;C155)*Tbl_Load_distrib[[#This Row],[L_elt]]</f>
        <v>0</v>
      </c>
      <c r="J156" s="137"/>
      <c r="K156" s="165" t="e">
        <f>IFERROR(Tbl_Long_Section[[#This Row],[H Deck-Bottom]],NA())</f>
        <v>#N/A</v>
      </c>
      <c r="L156" s="829" t="e">
        <f>M_depth-Tbl_Load_distrib[[#This Row],[H Deck-Bottom]]</f>
        <v>#N/A</v>
      </c>
      <c r="M156" s="929">
        <f>IFERROR(Tbl_Load_distrib[[#This Row],[x]]-C155,0)</f>
        <v>0</v>
      </c>
      <c r="N156" s="929" t="e">
        <f>IF(ISNA(Tbl_Load_distrib[[#This Row],[x]]),NA(),IF(ISTEXT(N155),0,IF(N155=0,$Z$3,N155-($Z$3-$AA$3)/(Lpp-FE_size)*Tbl_Load_distrib[[#This Row],[L_elt]])))</f>
        <v>#N/A</v>
      </c>
      <c r="O156" s="166" t="e">
        <f ca="1">IF(ISNUMBER(O155),(IF((N155-L155)&lt;0,0,N155-L155)+IF((Tbl_Load_distrib[[#This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56" s="929" t="e">
        <f>IF(ISNA(Tbl_Load_distrib[[#This Row],[x]]),NA(),IF(ISTEXT(P155),0,IF(P155=0,LongSection_DraftAft,P155-(LongSection_DraftAft-LongSection_DraftFore)/(Lpp-FE_size)*Tbl_Load_distrib[[#This Row],[L_elt]])))</f>
        <v>#N/A</v>
      </c>
      <c r="Q156" s="166" t="e">
        <f ca="1">IF(ISNUMBER(Q155),(IF((P155-L155)&lt;0,0,P155-L155)+IF((Tbl_Load_distrib[[#This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56" s="167" t="e">
        <f ca="1">ρ_sw*Tbl_Load_distrib[[#This Row],[Elt Area corrected]]*B/k_depl</f>
        <v>#N/A</v>
      </c>
      <c r="S156" s="167" t="e">
        <f ca="1">Tbl_Load_distrib[[#This Row],[Section Weight]]-Tbl_Load_distrib[[#This Row],[Floating Elt]]</f>
        <v>#N/A</v>
      </c>
      <c r="T156" s="183" t="e">
        <f ca="1">IF(ISTEXT($T155),0,$T155+Tbl_Load_distrib[[#This Row],[Net force / Elt]])</f>
        <v>#N/A</v>
      </c>
      <c r="U156" s="261" t="e">
        <f ca="1">IF(ISTEXT($U155),0,$U155+Tbl_Load_distrib[[#This Row],[Shearing Force]]*Tbl_Load_distrib[[#This Row],[L_elt]])</f>
        <v>#N/A</v>
      </c>
    </row>
    <row r="157" spans="2:21" x14ac:dyDescent="0.25">
      <c r="B157" s="136" t="e">
        <f t="shared" si="5"/>
        <v>#N/A</v>
      </c>
      <c r="C157" s="139" t="e">
        <f t="shared" si="6"/>
        <v>#N/A</v>
      </c>
      <c r="D157" s="152">
        <f ca="1">SUM(Tbl_Load_distrib[[#This Row],[Hull &amp; Structure]:[Reserved]])</f>
        <v>0</v>
      </c>
      <c r="E157" s="260">
        <f>SUMIFS(Tbl_Hull_Structure[Spread],Tbl_Hull_Structure[L from],"&lt;"&amp;Tbl_Load_distrib[[#This Row],[x]],Tbl_Hull_Structure[L to],"&gt;"&amp;C156)*Tbl_Load_distrib[[#This Row],[L_elt]]</f>
        <v>0</v>
      </c>
      <c r="F157" s="260">
        <f ca="1">SUMIFS(Tbl_Ballasts[Spread],Tbl_Ballasts[L from],"&lt;"&amp;Tbl_Load_distrib[[#This Row],[x]],Tbl_Ballasts[L to],"&gt;"&amp;C156)*Tbl_Load_distrib[[#This Row],[L_elt]]</f>
        <v>0</v>
      </c>
      <c r="G157" s="260">
        <f>SUMIFS(Tbl_Lifting[Spread],Tbl_Lifting[L from],"&lt;"&amp;Tbl_Load_distrib[[#This Row],[x]],Tbl_Lifting[L to],"&gt;"&amp;C156)*Tbl_Load_distrib[[#This Row],[L_elt]]</f>
        <v>0</v>
      </c>
      <c r="H157" s="260">
        <f>SUMIFS(Tbl_Additionals[Spread],Tbl_Additionals[L from],"&lt;"&amp;Tbl_Load_distrib[[#This Row],[x]],Tbl_Additionals[L to],"&gt;"&amp;C156)*Tbl_Load_distrib[[#This Row],[L_elt]]</f>
        <v>0</v>
      </c>
      <c r="I157" s="260">
        <f ca="1">SUMIFS(Tbl_Deck_Tank[Spread],Tbl_Deck_Tank[L from],"&lt;"&amp;Tbl_Load_distrib[[#This Row],[x]],Tbl_Deck_Tank[L to],"&gt;"&amp;C156)*Tbl_Load_distrib[[#This Row],[L_elt]]</f>
        <v>0</v>
      </c>
      <c r="J157" s="137"/>
      <c r="K157" s="165" t="e">
        <f>IFERROR(Tbl_Long_Section[[#This Row],[H Deck-Bottom]],NA())</f>
        <v>#N/A</v>
      </c>
      <c r="L157" s="829" t="e">
        <f>M_depth-Tbl_Load_distrib[[#This Row],[H Deck-Bottom]]</f>
        <v>#N/A</v>
      </c>
      <c r="M157" s="929">
        <f>IFERROR(Tbl_Load_distrib[[#This Row],[x]]-C156,0)</f>
        <v>0</v>
      </c>
      <c r="N157" s="929" t="e">
        <f>IF(ISNA(Tbl_Load_distrib[[#This Row],[x]]),NA(),IF(ISTEXT(N156),0,IF(N156=0,$Z$3,N156-($Z$3-$AA$3)/(Lpp-FE_size)*Tbl_Load_distrib[[#This Row],[L_elt]])))</f>
        <v>#N/A</v>
      </c>
      <c r="O157" s="166" t="e">
        <f ca="1">IF(ISNUMBER(O156),(IF((N156-L156)&lt;0,0,N156-L156)+IF((Tbl_Load_distrib[[#This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57" s="929" t="e">
        <f>IF(ISNA(Tbl_Load_distrib[[#This Row],[x]]),NA(),IF(ISTEXT(P156),0,IF(P156=0,LongSection_DraftAft,P156-(LongSection_DraftAft-LongSection_DraftFore)/(Lpp-FE_size)*Tbl_Load_distrib[[#This Row],[L_elt]])))</f>
        <v>#N/A</v>
      </c>
      <c r="Q157" s="166" t="e">
        <f ca="1">IF(ISNUMBER(Q156),(IF((P156-L156)&lt;0,0,P156-L156)+IF((Tbl_Load_distrib[[#This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57" s="167" t="e">
        <f ca="1">ρ_sw*Tbl_Load_distrib[[#This Row],[Elt Area corrected]]*B/k_depl</f>
        <v>#N/A</v>
      </c>
      <c r="S157" s="167" t="e">
        <f ca="1">Tbl_Load_distrib[[#This Row],[Section Weight]]-Tbl_Load_distrib[[#This Row],[Floating Elt]]</f>
        <v>#N/A</v>
      </c>
      <c r="T157" s="183" t="e">
        <f ca="1">IF(ISTEXT($T156),0,$T156+Tbl_Load_distrib[[#This Row],[Net force / Elt]])</f>
        <v>#N/A</v>
      </c>
      <c r="U157" s="261" t="e">
        <f ca="1">IF(ISTEXT($U156),0,$U156+Tbl_Load_distrib[[#This Row],[Shearing Force]]*Tbl_Load_distrib[[#This Row],[L_elt]])</f>
        <v>#N/A</v>
      </c>
    </row>
    <row r="158" spans="2:21" x14ac:dyDescent="0.25">
      <c r="B158" s="136" t="e">
        <f t="shared" si="5"/>
        <v>#N/A</v>
      </c>
      <c r="C158" s="139" t="e">
        <f t="shared" si="6"/>
        <v>#N/A</v>
      </c>
      <c r="D158" s="152">
        <f ca="1">SUM(Tbl_Load_distrib[[#This Row],[Hull &amp; Structure]:[Reserved]])</f>
        <v>0</v>
      </c>
      <c r="E158" s="260">
        <f>SUMIFS(Tbl_Hull_Structure[Spread],Tbl_Hull_Structure[L from],"&lt;"&amp;Tbl_Load_distrib[[#This Row],[x]],Tbl_Hull_Structure[L to],"&gt;"&amp;C157)*Tbl_Load_distrib[[#This Row],[L_elt]]</f>
        <v>0</v>
      </c>
      <c r="F158" s="260">
        <f ca="1">SUMIFS(Tbl_Ballasts[Spread],Tbl_Ballasts[L from],"&lt;"&amp;Tbl_Load_distrib[[#This Row],[x]],Tbl_Ballasts[L to],"&gt;"&amp;C157)*Tbl_Load_distrib[[#This Row],[L_elt]]</f>
        <v>0</v>
      </c>
      <c r="G158" s="260">
        <f>SUMIFS(Tbl_Lifting[Spread],Tbl_Lifting[L from],"&lt;"&amp;Tbl_Load_distrib[[#This Row],[x]],Tbl_Lifting[L to],"&gt;"&amp;C157)*Tbl_Load_distrib[[#This Row],[L_elt]]</f>
        <v>0</v>
      </c>
      <c r="H158" s="260">
        <f>SUMIFS(Tbl_Additionals[Spread],Tbl_Additionals[L from],"&lt;"&amp;Tbl_Load_distrib[[#This Row],[x]],Tbl_Additionals[L to],"&gt;"&amp;C157)*Tbl_Load_distrib[[#This Row],[L_elt]]</f>
        <v>0</v>
      </c>
      <c r="I158" s="260">
        <f ca="1">SUMIFS(Tbl_Deck_Tank[Spread],Tbl_Deck_Tank[L from],"&lt;"&amp;Tbl_Load_distrib[[#This Row],[x]],Tbl_Deck_Tank[L to],"&gt;"&amp;C157)*Tbl_Load_distrib[[#This Row],[L_elt]]</f>
        <v>0</v>
      </c>
      <c r="J158" s="137"/>
      <c r="K158" s="165" t="e">
        <f>IFERROR(Tbl_Long_Section[[#This Row],[H Deck-Bottom]],NA())</f>
        <v>#N/A</v>
      </c>
      <c r="L158" s="829" t="e">
        <f>M_depth-Tbl_Load_distrib[[#This Row],[H Deck-Bottom]]</f>
        <v>#N/A</v>
      </c>
      <c r="M158" s="929">
        <f>IFERROR(Tbl_Load_distrib[[#This Row],[x]]-C157,0)</f>
        <v>0</v>
      </c>
      <c r="N158" s="929" t="e">
        <f>IF(ISNA(Tbl_Load_distrib[[#This Row],[x]]),NA(),IF(ISTEXT(N157),0,IF(N157=0,$Z$3,N157-($Z$3-$AA$3)/(Lpp-FE_size)*Tbl_Load_distrib[[#This Row],[L_elt]])))</f>
        <v>#N/A</v>
      </c>
      <c r="O158" s="166" t="e">
        <f ca="1">IF(ISNUMBER(O157),(IF((N157-L157)&lt;0,0,N157-L157)+IF((Tbl_Load_distrib[[#This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58" s="929" t="e">
        <f>IF(ISNA(Tbl_Load_distrib[[#This Row],[x]]),NA(),IF(ISTEXT(P157),0,IF(P157=0,LongSection_DraftAft,P157-(LongSection_DraftAft-LongSection_DraftFore)/(Lpp-FE_size)*Tbl_Load_distrib[[#This Row],[L_elt]])))</f>
        <v>#N/A</v>
      </c>
      <c r="Q158" s="166" t="e">
        <f ca="1">IF(ISNUMBER(Q157),(IF((P157-L157)&lt;0,0,P157-L157)+IF((Tbl_Load_distrib[[#This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58" s="167" t="e">
        <f ca="1">ρ_sw*Tbl_Load_distrib[[#This Row],[Elt Area corrected]]*B/k_depl</f>
        <v>#N/A</v>
      </c>
      <c r="S158" s="167" t="e">
        <f ca="1">Tbl_Load_distrib[[#This Row],[Section Weight]]-Tbl_Load_distrib[[#This Row],[Floating Elt]]</f>
        <v>#N/A</v>
      </c>
      <c r="T158" s="183" t="e">
        <f ca="1">IF(ISTEXT($T157),0,$T157+Tbl_Load_distrib[[#This Row],[Net force / Elt]])</f>
        <v>#N/A</v>
      </c>
      <c r="U158" s="261" t="e">
        <f ca="1">IF(ISTEXT($U157),0,$U157+Tbl_Load_distrib[[#This Row],[Shearing Force]]*Tbl_Load_distrib[[#This Row],[L_elt]])</f>
        <v>#N/A</v>
      </c>
    </row>
    <row r="159" spans="2:21" x14ac:dyDescent="0.25">
      <c r="B159" s="136" t="e">
        <f t="shared" si="5"/>
        <v>#N/A</v>
      </c>
      <c r="C159" s="139" t="e">
        <f t="shared" si="6"/>
        <v>#N/A</v>
      </c>
      <c r="D159" s="152">
        <f ca="1">SUM(Tbl_Load_distrib[[#This Row],[Hull &amp; Structure]:[Reserved]])</f>
        <v>0</v>
      </c>
      <c r="E159" s="260">
        <f>SUMIFS(Tbl_Hull_Structure[Spread],Tbl_Hull_Structure[L from],"&lt;"&amp;Tbl_Load_distrib[[#This Row],[x]],Tbl_Hull_Structure[L to],"&gt;"&amp;C158)*Tbl_Load_distrib[[#This Row],[L_elt]]</f>
        <v>0</v>
      </c>
      <c r="F159" s="260">
        <f ca="1">SUMIFS(Tbl_Ballasts[Spread],Tbl_Ballasts[L from],"&lt;"&amp;Tbl_Load_distrib[[#This Row],[x]],Tbl_Ballasts[L to],"&gt;"&amp;C158)*Tbl_Load_distrib[[#This Row],[L_elt]]</f>
        <v>0</v>
      </c>
      <c r="G159" s="260">
        <f>SUMIFS(Tbl_Lifting[Spread],Tbl_Lifting[L from],"&lt;"&amp;Tbl_Load_distrib[[#This Row],[x]],Tbl_Lifting[L to],"&gt;"&amp;C158)*Tbl_Load_distrib[[#This Row],[L_elt]]</f>
        <v>0</v>
      </c>
      <c r="H159" s="260">
        <f>SUMIFS(Tbl_Additionals[Spread],Tbl_Additionals[L from],"&lt;"&amp;Tbl_Load_distrib[[#This Row],[x]],Tbl_Additionals[L to],"&gt;"&amp;C158)*Tbl_Load_distrib[[#This Row],[L_elt]]</f>
        <v>0</v>
      </c>
      <c r="I159" s="260">
        <f ca="1">SUMIFS(Tbl_Deck_Tank[Spread],Tbl_Deck_Tank[L from],"&lt;"&amp;Tbl_Load_distrib[[#This Row],[x]],Tbl_Deck_Tank[L to],"&gt;"&amp;C158)*Tbl_Load_distrib[[#This Row],[L_elt]]</f>
        <v>0</v>
      </c>
      <c r="J159" s="137"/>
      <c r="K159" s="165" t="e">
        <f>IFERROR(Tbl_Long_Section[[#This Row],[H Deck-Bottom]],NA())</f>
        <v>#N/A</v>
      </c>
      <c r="L159" s="829" t="e">
        <f>M_depth-Tbl_Load_distrib[[#This Row],[H Deck-Bottom]]</f>
        <v>#N/A</v>
      </c>
      <c r="M159" s="929">
        <f>IFERROR(Tbl_Load_distrib[[#This Row],[x]]-C158,0)</f>
        <v>0</v>
      </c>
      <c r="N159" s="929" t="e">
        <f>IF(ISNA(Tbl_Load_distrib[[#This Row],[x]]),NA(),IF(ISTEXT(N158),0,IF(N158=0,$Z$3,N158-($Z$3-$AA$3)/(Lpp-FE_size)*Tbl_Load_distrib[[#This Row],[L_elt]])))</f>
        <v>#N/A</v>
      </c>
      <c r="O159" s="166" t="e">
        <f ca="1">IF(ISNUMBER(O158),(IF((N158-L158)&lt;0,0,N158-L158)+IF((Tbl_Load_distrib[[#This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59" s="929" t="e">
        <f>IF(ISNA(Tbl_Load_distrib[[#This Row],[x]]),NA(),IF(ISTEXT(P158),0,IF(P158=0,LongSection_DraftAft,P158-(LongSection_DraftAft-LongSection_DraftFore)/(Lpp-FE_size)*Tbl_Load_distrib[[#This Row],[L_elt]])))</f>
        <v>#N/A</v>
      </c>
      <c r="Q159" s="166" t="e">
        <f ca="1">IF(ISNUMBER(Q158),(IF((P158-L158)&lt;0,0,P158-L158)+IF((Tbl_Load_distrib[[#This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59" s="167" t="e">
        <f ca="1">ρ_sw*Tbl_Load_distrib[[#This Row],[Elt Area corrected]]*B/k_depl</f>
        <v>#N/A</v>
      </c>
      <c r="S159" s="167" t="e">
        <f ca="1">Tbl_Load_distrib[[#This Row],[Section Weight]]-Tbl_Load_distrib[[#This Row],[Floating Elt]]</f>
        <v>#N/A</v>
      </c>
      <c r="T159" s="183" t="e">
        <f ca="1">IF(ISTEXT($T158),0,$T158+Tbl_Load_distrib[[#This Row],[Net force / Elt]])</f>
        <v>#N/A</v>
      </c>
      <c r="U159" s="261" t="e">
        <f ca="1">IF(ISTEXT($U158),0,$U158+Tbl_Load_distrib[[#This Row],[Shearing Force]]*Tbl_Load_distrib[[#This Row],[L_elt]])</f>
        <v>#N/A</v>
      </c>
    </row>
    <row r="160" spans="2:21" x14ac:dyDescent="0.25">
      <c r="B160" s="136" t="e">
        <f t="shared" si="5"/>
        <v>#N/A</v>
      </c>
      <c r="C160" s="139" t="e">
        <f t="shared" si="6"/>
        <v>#N/A</v>
      </c>
      <c r="D160" s="152">
        <f ca="1">SUM(Tbl_Load_distrib[[#This Row],[Hull &amp; Structure]:[Reserved]])</f>
        <v>0</v>
      </c>
      <c r="E160" s="260">
        <f>SUMIFS(Tbl_Hull_Structure[Spread],Tbl_Hull_Structure[L from],"&lt;"&amp;Tbl_Load_distrib[[#This Row],[x]],Tbl_Hull_Structure[L to],"&gt;"&amp;C159)*Tbl_Load_distrib[[#This Row],[L_elt]]</f>
        <v>0</v>
      </c>
      <c r="F160" s="260">
        <f ca="1">SUMIFS(Tbl_Ballasts[Spread],Tbl_Ballasts[L from],"&lt;"&amp;Tbl_Load_distrib[[#This Row],[x]],Tbl_Ballasts[L to],"&gt;"&amp;C159)*Tbl_Load_distrib[[#This Row],[L_elt]]</f>
        <v>0</v>
      </c>
      <c r="G160" s="260">
        <f>SUMIFS(Tbl_Lifting[Spread],Tbl_Lifting[L from],"&lt;"&amp;Tbl_Load_distrib[[#This Row],[x]],Tbl_Lifting[L to],"&gt;"&amp;C159)*Tbl_Load_distrib[[#This Row],[L_elt]]</f>
        <v>0</v>
      </c>
      <c r="H160" s="260">
        <f>SUMIFS(Tbl_Additionals[Spread],Tbl_Additionals[L from],"&lt;"&amp;Tbl_Load_distrib[[#This Row],[x]],Tbl_Additionals[L to],"&gt;"&amp;C159)*Tbl_Load_distrib[[#This Row],[L_elt]]</f>
        <v>0</v>
      </c>
      <c r="I160" s="260">
        <f ca="1">SUMIFS(Tbl_Deck_Tank[Spread],Tbl_Deck_Tank[L from],"&lt;"&amp;Tbl_Load_distrib[[#This Row],[x]],Tbl_Deck_Tank[L to],"&gt;"&amp;C159)*Tbl_Load_distrib[[#This Row],[L_elt]]</f>
        <v>0</v>
      </c>
      <c r="J160" s="137"/>
      <c r="K160" s="165" t="e">
        <f>IFERROR(Tbl_Long_Section[[#This Row],[H Deck-Bottom]],NA())</f>
        <v>#N/A</v>
      </c>
      <c r="L160" s="829" t="e">
        <f>M_depth-Tbl_Load_distrib[[#This Row],[H Deck-Bottom]]</f>
        <v>#N/A</v>
      </c>
      <c r="M160" s="929">
        <f>IFERROR(Tbl_Load_distrib[[#This Row],[x]]-C159,0)</f>
        <v>0</v>
      </c>
      <c r="N160" s="929" t="e">
        <f>IF(ISNA(Tbl_Load_distrib[[#This Row],[x]]),NA(),IF(ISTEXT(N159),0,IF(N159=0,$Z$3,N159-($Z$3-$AA$3)/(Lpp-FE_size)*Tbl_Load_distrib[[#This Row],[L_elt]])))</f>
        <v>#N/A</v>
      </c>
      <c r="O160" s="166" t="e">
        <f ca="1">IF(ISNUMBER(O159),(IF((N159-L159)&lt;0,0,N159-L159)+IF((Tbl_Load_distrib[[#This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60" s="929" t="e">
        <f>IF(ISNA(Tbl_Load_distrib[[#This Row],[x]]),NA(),IF(ISTEXT(P159),0,IF(P159=0,LongSection_DraftAft,P159-(LongSection_DraftAft-LongSection_DraftFore)/(Lpp-FE_size)*Tbl_Load_distrib[[#This Row],[L_elt]])))</f>
        <v>#N/A</v>
      </c>
      <c r="Q160" s="166" t="e">
        <f ca="1">IF(ISNUMBER(Q159),(IF((P159-L159)&lt;0,0,P159-L159)+IF((Tbl_Load_distrib[[#This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60" s="167" t="e">
        <f ca="1">ρ_sw*Tbl_Load_distrib[[#This Row],[Elt Area corrected]]*B/k_depl</f>
        <v>#N/A</v>
      </c>
      <c r="S160" s="167" t="e">
        <f ca="1">Tbl_Load_distrib[[#This Row],[Section Weight]]-Tbl_Load_distrib[[#This Row],[Floating Elt]]</f>
        <v>#N/A</v>
      </c>
      <c r="T160" s="183" t="e">
        <f ca="1">IF(ISTEXT($T159),0,$T159+Tbl_Load_distrib[[#This Row],[Net force / Elt]])</f>
        <v>#N/A</v>
      </c>
      <c r="U160" s="261" t="e">
        <f ca="1">IF(ISTEXT($U159),0,$U159+Tbl_Load_distrib[[#This Row],[Shearing Force]]*Tbl_Load_distrib[[#This Row],[L_elt]])</f>
        <v>#N/A</v>
      </c>
    </row>
    <row r="161" spans="2:21" x14ac:dyDescent="0.25">
      <c r="B161" s="136" t="e">
        <f t="shared" si="5"/>
        <v>#N/A</v>
      </c>
      <c r="C161" s="139" t="e">
        <f t="shared" si="6"/>
        <v>#N/A</v>
      </c>
      <c r="D161" s="152">
        <f ca="1">SUM(Tbl_Load_distrib[[#This Row],[Hull &amp; Structure]:[Reserved]])</f>
        <v>0</v>
      </c>
      <c r="E161" s="260">
        <f>SUMIFS(Tbl_Hull_Structure[Spread],Tbl_Hull_Structure[L from],"&lt;"&amp;Tbl_Load_distrib[[#This Row],[x]],Tbl_Hull_Structure[L to],"&gt;"&amp;C160)*Tbl_Load_distrib[[#This Row],[L_elt]]</f>
        <v>0</v>
      </c>
      <c r="F161" s="260">
        <f ca="1">SUMIFS(Tbl_Ballasts[Spread],Tbl_Ballasts[L from],"&lt;"&amp;Tbl_Load_distrib[[#This Row],[x]],Tbl_Ballasts[L to],"&gt;"&amp;C160)*Tbl_Load_distrib[[#This Row],[L_elt]]</f>
        <v>0</v>
      </c>
      <c r="G161" s="260">
        <f>SUMIFS(Tbl_Lifting[Spread],Tbl_Lifting[L from],"&lt;"&amp;Tbl_Load_distrib[[#This Row],[x]],Tbl_Lifting[L to],"&gt;"&amp;C160)*Tbl_Load_distrib[[#This Row],[L_elt]]</f>
        <v>0</v>
      </c>
      <c r="H161" s="260">
        <f>SUMIFS(Tbl_Additionals[Spread],Tbl_Additionals[L from],"&lt;"&amp;Tbl_Load_distrib[[#This Row],[x]],Tbl_Additionals[L to],"&gt;"&amp;C160)*Tbl_Load_distrib[[#This Row],[L_elt]]</f>
        <v>0</v>
      </c>
      <c r="I161" s="260">
        <f ca="1">SUMIFS(Tbl_Deck_Tank[Spread],Tbl_Deck_Tank[L from],"&lt;"&amp;Tbl_Load_distrib[[#This Row],[x]],Tbl_Deck_Tank[L to],"&gt;"&amp;C160)*Tbl_Load_distrib[[#This Row],[L_elt]]</f>
        <v>0</v>
      </c>
      <c r="J161" s="137"/>
      <c r="K161" s="165" t="e">
        <f>IFERROR(Tbl_Long_Section[[#This Row],[H Deck-Bottom]],NA())</f>
        <v>#N/A</v>
      </c>
      <c r="L161" s="829" t="e">
        <f>M_depth-Tbl_Load_distrib[[#This Row],[H Deck-Bottom]]</f>
        <v>#N/A</v>
      </c>
      <c r="M161" s="929">
        <f>IFERROR(Tbl_Load_distrib[[#This Row],[x]]-C160,0)</f>
        <v>0</v>
      </c>
      <c r="N161" s="929" t="e">
        <f>IF(ISNA(Tbl_Load_distrib[[#This Row],[x]]),NA(),IF(ISTEXT(N160),0,IF(N160=0,$Z$3,N160-($Z$3-$AA$3)/(Lpp-FE_size)*Tbl_Load_distrib[[#This Row],[L_elt]])))</f>
        <v>#N/A</v>
      </c>
      <c r="O161" s="166" t="e">
        <f ca="1">IF(ISNUMBER(O160),(IF((N160-L160)&lt;0,0,N160-L160)+IF((Tbl_Load_distrib[[#This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61" s="929" t="e">
        <f>IF(ISNA(Tbl_Load_distrib[[#This Row],[x]]),NA(),IF(ISTEXT(P160),0,IF(P160=0,LongSection_DraftAft,P160-(LongSection_DraftAft-LongSection_DraftFore)/(Lpp-FE_size)*Tbl_Load_distrib[[#This Row],[L_elt]])))</f>
        <v>#N/A</v>
      </c>
      <c r="Q161" s="166" t="e">
        <f ca="1">IF(ISNUMBER(Q160),(IF((P160-L160)&lt;0,0,P160-L160)+IF((Tbl_Load_distrib[[#This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61" s="167" t="e">
        <f ca="1">ρ_sw*Tbl_Load_distrib[[#This Row],[Elt Area corrected]]*B/k_depl</f>
        <v>#N/A</v>
      </c>
      <c r="S161" s="167" t="e">
        <f ca="1">Tbl_Load_distrib[[#This Row],[Section Weight]]-Tbl_Load_distrib[[#This Row],[Floating Elt]]</f>
        <v>#N/A</v>
      </c>
      <c r="T161" s="183" t="e">
        <f ca="1">IF(ISTEXT($T160),0,$T160+Tbl_Load_distrib[[#This Row],[Net force / Elt]])</f>
        <v>#N/A</v>
      </c>
      <c r="U161" s="261" t="e">
        <f ca="1">IF(ISTEXT($U160),0,$U160+Tbl_Load_distrib[[#This Row],[Shearing Force]]*Tbl_Load_distrib[[#This Row],[L_elt]])</f>
        <v>#N/A</v>
      </c>
    </row>
    <row r="162" spans="2:21" x14ac:dyDescent="0.25">
      <c r="B162" s="136" t="e">
        <f t="shared" si="5"/>
        <v>#N/A</v>
      </c>
      <c r="C162" s="139" t="e">
        <f t="shared" si="6"/>
        <v>#N/A</v>
      </c>
      <c r="D162" s="152">
        <f ca="1">SUM(Tbl_Load_distrib[[#This Row],[Hull &amp; Structure]:[Reserved]])</f>
        <v>0</v>
      </c>
      <c r="E162" s="260">
        <f>SUMIFS(Tbl_Hull_Structure[Spread],Tbl_Hull_Structure[L from],"&lt;"&amp;Tbl_Load_distrib[[#This Row],[x]],Tbl_Hull_Structure[L to],"&gt;"&amp;C161)*Tbl_Load_distrib[[#This Row],[L_elt]]</f>
        <v>0</v>
      </c>
      <c r="F162" s="260">
        <f ca="1">SUMIFS(Tbl_Ballasts[Spread],Tbl_Ballasts[L from],"&lt;"&amp;Tbl_Load_distrib[[#This Row],[x]],Tbl_Ballasts[L to],"&gt;"&amp;C161)*Tbl_Load_distrib[[#This Row],[L_elt]]</f>
        <v>0</v>
      </c>
      <c r="G162" s="260">
        <f>SUMIFS(Tbl_Lifting[Spread],Tbl_Lifting[L from],"&lt;"&amp;Tbl_Load_distrib[[#This Row],[x]],Tbl_Lifting[L to],"&gt;"&amp;C161)*Tbl_Load_distrib[[#This Row],[L_elt]]</f>
        <v>0</v>
      </c>
      <c r="H162" s="260">
        <f>SUMIFS(Tbl_Additionals[Spread],Tbl_Additionals[L from],"&lt;"&amp;Tbl_Load_distrib[[#This Row],[x]],Tbl_Additionals[L to],"&gt;"&amp;C161)*Tbl_Load_distrib[[#This Row],[L_elt]]</f>
        <v>0</v>
      </c>
      <c r="I162" s="260">
        <f ca="1">SUMIFS(Tbl_Deck_Tank[Spread],Tbl_Deck_Tank[L from],"&lt;"&amp;Tbl_Load_distrib[[#This Row],[x]],Tbl_Deck_Tank[L to],"&gt;"&amp;C161)*Tbl_Load_distrib[[#This Row],[L_elt]]</f>
        <v>0</v>
      </c>
      <c r="J162" s="137"/>
      <c r="K162" s="165" t="e">
        <f>IFERROR(Tbl_Long_Section[[#This Row],[H Deck-Bottom]],NA())</f>
        <v>#N/A</v>
      </c>
      <c r="L162" s="829" t="e">
        <f>M_depth-Tbl_Load_distrib[[#This Row],[H Deck-Bottom]]</f>
        <v>#N/A</v>
      </c>
      <c r="M162" s="929">
        <f>IFERROR(Tbl_Load_distrib[[#This Row],[x]]-C161,0)</f>
        <v>0</v>
      </c>
      <c r="N162" s="929" t="e">
        <f>IF(ISNA(Tbl_Load_distrib[[#This Row],[x]]),NA(),IF(ISTEXT(N161),0,IF(N161=0,$Z$3,N161-($Z$3-$AA$3)/(Lpp-FE_size)*Tbl_Load_distrib[[#This Row],[L_elt]])))</f>
        <v>#N/A</v>
      </c>
      <c r="O162" s="166" t="e">
        <f ca="1">IF(ISNUMBER(O161),(IF((N161-L161)&lt;0,0,N161-L161)+IF((Tbl_Load_distrib[[#This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62" s="929" t="e">
        <f>IF(ISNA(Tbl_Load_distrib[[#This Row],[x]]),NA(),IF(ISTEXT(P161),0,IF(P161=0,LongSection_DraftAft,P161-(LongSection_DraftAft-LongSection_DraftFore)/(Lpp-FE_size)*Tbl_Load_distrib[[#This Row],[L_elt]])))</f>
        <v>#N/A</v>
      </c>
      <c r="Q162" s="166" t="e">
        <f ca="1">IF(ISNUMBER(Q161),(IF((P161-L161)&lt;0,0,P161-L161)+IF((Tbl_Load_distrib[[#This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62" s="167" t="e">
        <f ca="1">ρ_sw*Tbl_Load_distrib[[#This Row],[Elt Area corrected]]*B/k_depl</f>
        <v>#N/A</v>
      </c>
      <c r="S162" s="167" t="e">
        <f ca="1">Tbl_Load_distrib[[#This Row],[Section Weight]]-Tbl_Load_distrib[[#This Row],[Floating Elt]]</f>
        <v>#N/A</v>
      </c>
      <c r="T162" s="183" t="e">
        <f ca="1">IF(ISTEXT($T161),0,$T161+Tbl_Load_distrib[[#This Row],[Net force / Elt]])</f>
        <v>#N/A</v>
      </c>
      <c r="U162" s="261" t="e">
        <f ca="1">IF(ISTEXT($U161),0,$U161+Tbl_Load_distrib[[#This Row],[Shearing Force]]*Tbl_Load_distrib[[#This Row],[L_elt]])</f>
        <v>#N/A</v>
      </c>
    </row>
    <row r="163" spans="2:21" x14ac:dyDescent="0.25">
      <c r="B163" s="136" t="e">
        <f t="shared" si="5"/>
        <v>#N/A</v>
      </c>
      <c r="C163" s="139" t="e">
        <f t="shared" si="6"/>
        <v>#N/A</v>
      </c>
      <c r="D163" s="152">
        <f ca="1">SUM(Tbl_Load_distrib[[#This Row],[Hull &amp; Structure]:[Reserved]])</f>
        <v>0</v>
      </c>
      <c r="E163" s="260">
        <f>SUMIFS(Tbl_Hull_Structure[Spread],Tbl_Hull_Structure[L from],"&lt;"&amp;Tbl_Load_distrib[[#This Row],[x]],Tbl_Hull_Structure[L to],"&gt;"&amp;C162)*Tbl_Load_distrib[[#This Row],[L_elt]]</f>
        <v>0</v>
      </c>
      <c r="F163" s="260">
        <f ca="1">SUMIFS(Tbl_Ballasts[Spread],Tbl_Ballasts[L from],"&lt;"&amp;Tbl_Load_distrib[[#This Row],[x]],Tbl_Ballasts[L to],"&gt;"&amp;C162)*Tbl_Load_distrib[[#This Row],[L_elt]]</f>
        <v>0</v>
      </c>
      <c r="G163" s="260">
        <f>SUMIFS(Tbl_Lifting[Spread],Tbl_Lifting[L from],"&lt;"&amp;Tbl_Load_distrib[[#This Row],[x]],Tbl_Lifting[L to],"&gt;"&amp;C162)*Tbl_Load_distrib[[#This Row],[L_elt]]</f>
        <v>0</v>
      </c>
      <c r="H163" s="260">
        <f>SUMIFS(Tbl_Additionals[Spread],Tbl_Additionals[L from],"&lt;"&amp;Tbl_Load_distrib[[#This Row],[x]],Tbl_Additionals[L to],"&gt;"&amp;C162)*Tbl_Load_distrib[[#This Row],[L_elt]]</f>
        <v>0</v>
      </c>
      <c r="I163" s="260">
        <f ca="1">SUMIFS(Tbl_Deck_Tank[Spread],Tbl_Deck_Tank[L from],"&lt;"&amp;Tbl_Load_distrib[[#This Row],[x]],Tbl_Deck_Tank[L to],"&gt;"&amp;C162)*Tbl_Load_distrib[[#This Row],[L_elt]]</f>
        <v>0</v>
      </c>
      <c r="J163" s="137"/>
      <c r="K163" s="165" t="e">
        <f>IFERROR(Tbl_Long_Section[[#This Row],[H Deck-Bottom]],NA())</f>
        <v>#N/A</v>
      </c>
      <c r="L163" s="829" t="e">
        <f>M_depth-Tbl_Load_distrib[[#This Row],[H Deck-Bottom]]</f>
        <v>#N/A</v>
      </c>
      <c r="M163" s="929">
        <f>IFERROR(Tbl_Load_distrib[[#This Row],[x]]-C162,0)</f>
        <v>0</v>
      </c>
      <c r="N163" s="929" t="e">
        <f>IF(ISNA(Tbl_Load_distrib[[#This Row],[x]]),NA(),IF(ISTEXT(N162),0,IF(N162=0,$Z$3,N162-($Z$3-$AA$3)/(Lpp-FE_size)*Tbl_Load_distrib[[#This Row],[L_elt]])))</f>
        <v>#N/A</v>
      </c>
      <c r="O163" s="166" t="e">
        <f ca="1">IF(ISNUMBER(O162),(IF((N162-L162)&lt;0,0,N162-L162)+IF((Tbl_Load_distrib[[#This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63" s="929" t="e">
        <f>IF(ISNA(Tbl_Load_distrib[[#This Row],[x]]),NA(),IF(ISTEXT(P162),0,IF(P162=0,LongSection_DraftAft,P162-(LongSection_DraftAft-LongSection_DraftFore)/(Lpp-FE_size)*Tbl_Load_distrib[[#This Row],[L_elt]])))</f>
        <v>#N/A</v>
      </c>
      <c r="Q163" s="166" t="e">
        <f ca="1">IF(ISNUMBER(Q162),(IF((P162-L162)&lt;0,0,P162-L162)+IF((Tbl_Load_distrib[[#This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63" s="167" t="e">
        <f ca="1">ρ_sw*Tbl_Load_distrib[[#This Row],[Elt Area corrected]]*B/k_depl</f>
        <v>#N/A</v>
      </c>
      <c r="S163" s="167" t="e">
        <f ca="1">Tbl_Load_distrib[[#This Row],[Section Weight]]-Tbl_Load_distrib[[#This Row],[Floating Elt]]</f>
        <v>#N/A</v>
      </c>
      <c r="T163" s="183" t="e">
        <f ca="1">IF(ISTEXT($T162),0,$T162+Tbl_Load_distrib[[#This Row],[Net force / Elt]])</f>
        <v>#N/A</v>
      </c>
      <c r="U163" s="261" t="e">
        <f ca="1">IF(ISTEXT($U162),0,$U162+Tbl_Load_distrib[[#This Row],[Shearing Force]]*Tbl_Load_distrib[[#This Row],[L_elt]])</f>
        <v>#N/A</v>
      </c>
    </row>
    <row r="164" spans="2:21" x14ac:dyDescent="0.25">
      <c r="B164" s="136" t="e">
        <f t="shared" si="5"/>
        <v>#N/A</v>
      </c>
      <c r="C164" s="139" t="e">
        <f t="shared" si="6"/>
        <v>#N/A</v>
      </c>
      <c r="D164" s="152">
        <f ca="1">SUM(Tbl_Load_distrib[[#This Row],[Hull &amp; Structure]:[Reserved]])</f>
        <v>0</v>
      </c>
      <c r="E164" s="260">
        <f>SUMIFS(Tbl_Hull_Structure[Spread],Tbl_Hull_Structure[L from],"&lt;"&amp;Tbl_Load_distrib[[#This Row],[x]],Tbl_Hull_Structure[L to],"&gt;"&amp;C163)*Tbl_Load_distrib[[#This Row],[L_elt]]</f>
        <v>0</v>
      </c>
      <c r="F164" s="260">
        <f ca="1">SUMIFS(Tbl_Ballasts[Spread],Tbl_Ballasts[L from],"&lt;"&amp;Tbl_Load_distrib[[#This Row],[x]],Tbl_Ballasts[L to],"&gt;"&amp;C163)*Tbl_Load_distrib[[#This Row],[L_elt]]</f>
        <v>0</v>
      </c>
      <c r="G164" s="260">
        <f>SUMIFS(Tbl_Lifting[Spread],Tbl_Lifting[L from],"&lt;"&amp;Tbl_Load_distrib[[#This Row],[x]],Tbl_Lifting[L to],"&gt;"&amp;C163)*Tbl_Load_distrib[[#This Row],[L_elt]]</f>
        <v>0</v>
      </c>
      <c r="H164" s="260">
        <f>SUMIFS(Tbl_Additionals[Spread],Tbl_Additionals[L from],"&lt;"&amp;Tbl_Load_distrib[[#This Row],[x]],Tbl_Additionals[L to],"&gt;"&amp;C163)*Tbl_Load_distrib[[#This Row],[L_elt]]</f>
        <v>0</v>
      </c>
      <c r="I164" s="260">
        <f ca="1">SUMIFS(Tbl_Deck_Tank[Spread],Tbl_Deck_Tank[L from],"&lt;"&amp;Tbl_Load_distrib[[#This Row],[x]],Tbl_Deck_Tank[L to],"&gt;"&amp;C163)*Tbl_Load_distrib[[#This Row],[L_elt]]</f>
        <v>0</v>
      </c>
      <c r="J164" s="137"/>
      <c r="K164" s="165" t="e">
        <f>IFERROR(Tbl_Long_Section[[#This Row],[H Deck-Bottom]],NA())</f>
        <v>#N/A</v>
      </c>
      <c r="L164" s="829" t="e">
        <f>M_depth-Tbl_Load_distrib[[#This Row],[H Deck-Bottom]]</f>
        <v>#N/A</v>
      </c>
      <c r="M164" s="929">
        <f>IFERROR(Tbl_Load_distrib[[#This Row],[x]]-C163,0)</f>
        <v>0</v>
      </c>
      <c r="N164" s="929" t="e">
        <f>IF(ISNA(Tbl_Load_distrib[[#This Row],[x]]),NA(),IF(ISTEXT(N163),0,IF(N163=0,$Z$3,N163-($Z$3-$AA$3)/(Lpp-FE_size)*Tbl_Load_distrib[[#This Row],[L_elt]])))</f>
        <v>#N/A</v>
      </c>
      <c r="O164" s="166" t="e">
        <f ca="1">IF(ISNUMBER(O163),(IF((N163-L163)&lt;0,0,N163-L163)+IF((Tbl_Load_distrib[[#This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64" s="929" t="e">
        <f>IF(ISNA(Tbl_Load_distrib[[#This Row],[x]]),NA(),IF(ISTEXT(P163),0,IF(P163=0,LongSection_DraftAft,P163-(LongSection_DraftAft-LongSection_DraftFore)/(Lpp-FE_size)*Tbl_Load_distrib[[#This Row],[L_elt]])))</f>
        <v>#N/A</v>
      </c>
      <c r="Q164" s="166" t="e">
        <f ca="1">IF(ISNUMBER(Q163),(IF((P163-L163)&lt;0,0,P163-L163)+IF((Tbl_Load_distrib[[#This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64" s="167" t="e">
        <f ca="1">ρ_sw*Tbl_Load_distrib[[#This Row],[Elt Area corrected]]*B/k_depl</f>
        <v>#N/A</v>
      </c>
      <c r="S164" s="167" t="e">
        <f ca="1">Tbl_Load_distrib[[#This Row],[Section Weight]]-Tbl_Load_distrib[[#This Row],[Floating Elt]]</f>
        <v>#N/A</v>
      </c>
      <c r="T164" s="183" t="e">
        <f ca="1">IF(ISTEXT($T163),0,$T163+Tbl_Load_distrib[[#This Row],[Net force / Elt]])</f>
        <v>#N/A</v>
      </c>
      <c r="U164" s="261" t="e">
        <f ca="1">IF(ISTEXT($U163),0,$U163+Tbl_Load_distrib[[#This Row],[Shearing Force]]*Tbl_Load_distrib[[#This Row],[L_elt]])</f>
        <v>#N/A</v>
      </c>
    </row>
    <row r="165" spans="2:21" x14ac:dyDescent="0.25">
      <c r="B165" s="136" t="e">
        <f t="shared" si="5"/>
        <v>#N/A</v>
      </c>
      <c r="C165" s="139" t="e">
        <f t="shared" si="6"/>
        <v>#N/A</v>
      </c>
      <c r="D165" s="152">
        <f ca="1">SUM(Tbl_Load_distrib[[#This Row],[Hull &amp; Structure]:[Reserved]])</f>
        <v>0</v>
      </c>
      <c r="E165" s="260">
        <f>SUMIFS(Tbl_Hull_Structure[Spread],Tbl_Hull_Structure[L from],"&lt;"&amp;Tbl_Load_distrib[[#This Row],[x]],Tbl_Hull_Structure[L to],"&gt;"&amp;C164)*Tbl_Load_distrib[[#This Row],[L_elt]]</f>
        <v>0</v>
      </c>
      <c r="F165" s="260">
        <f ca="1">SUMIFS(Tbl_Ballasts[Spread],Tbl_Ballasts[L from],"&lt;"&amp;Tbl_Load_distrib[[#This Row],[x]],Tbl_Ballasts[L to],"&gt;"&amp;C164)*Tbl_Load_distrib[[#This Row],[L_elt]]</f>
        <v>0</v>
      </c>
      <c r="G165" s="260">
        <f>SUMIFS(Tbl_Lifting[Spread],Tbl_Lifting[L from],"&lt;"&amp;Tbl_Load_distrib[[#This Row],[x]],Tbl_Lifting[L to],"&gt;"&amp;C164)*Tbl_Load_distrib[[#This Row],[L_elt]]</f>
        <v>0</v>
      </c>
      <c r="H165" s="260">
        <f>SUMIFS(Tbl_Additionals[Spread],Tbl_Additionals[L from],"&lt;"&amp;Tbl_Load_distrib[[#This Row],[x]],Tbl_Additionals[L to],"&gt;"&amp;C164)*Tbl_Load_distrib[[#This Row],[L_elt]]</f>
        <v>0</v>
      </c>
      <c r="I165" s="260">
        <f ca="1">SUMIFS(Tbl_Deck_Tank[Spread],Tbl_Deck_Tank[L from],"&lt;"&amp;Tbl_Load_distrib[[#This Row],[x]],Tbl_Deck_Tank[L to],"&gt;"&amp;C164)*Tbl_Load_distrib[[#This Row],[L_elt]]</f>
        <v>0</v>
      </c>
      <c r="J165" s="137"/>
      <c r="K165" s="165" t="e">
        <f>IFERROR(Tbl_Long_Section[[#This Row],[H Deck-Bottom]],NA())</f>
        <v>#N/A</v>
      </c>
      <c r="L165" s="829" t="e">
        <f>M_depth-Tbl_Load_distrib[[#This Row],[H Deck-Bottom]]</f>
        <v>#N/A</v>
      </c>
      <c r="M165" s="929">
        <f>IFERROR(Tbl_Load_distrib[[#This Row],[x]]-C164,0)</f>
        <v>0</v>
      </c>
      <c r="N165" s="929" t="e">
        <f>IF(ISNA(Tbl_Load_distrib[[#This Row],[x]]),NA(),IF(ISTEXT(N164),0,IF(N164=0,$Z$3,N164-($Z$3-$AA$3)/(Lpp-FE_size)*Tbl_Load_distrib[[#This Row],[L_elt]])))</f>
        <v>#N/A</v>
      </c>
      <c r="O165" s="166" t="e">
        <f ca="1">IF(ISNUMBER(O164),(IF((N164-L164)&lt;0,0,N164-L164)+IF((Tbl_Load_distrib[[#This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65" s="929" t="e">
        <f>IF(ISNA(Tbl_Load_distrib[[#This Row],[x]]),NA(),IF(ISTEXT(P164),0,IF(P164=0,LongSection_DraftAft,P164-(LongSection_DraftAft-LongSection_DraftFore)/(Lpp-FE_size)*Tbl_Load_distrib[[#This Row],[L_elt]])))</f>
        <v>#N/A</v>
      </c>
      <c r="Q165" s="166" t="e">
        <f ca="1">IF(ISNUMBER(Q164),(IF((P164-L164)&lt;0,0,P164-L164)+IF((Tbl_Load_distrib[[#This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65" s="167" t="e">
        <f ca="1">ρ_sw*Tbl_Load_distrib[[#This Row],[Elt Area corrected]]*B/k_depl</f>
        <v>#N/A</v>
      </c>
      <c r="S165" s="167" t="e">
        <f ca="1">Tbl_Load_distrib[[#This Row],[Section Weight]]-Tbl_Load_distrib[[#This Row],[Floating Elt]]</f>
        <v>#N/A</v>
      </c>
      <c r="T165" s="183" t="e">
        <f ca="1">IF(ISTEXT($T164),0,$T164+Tbl_Load_distrib[[#This Row],[Net force / Elt]])</f>
        <v>#N/A</v>
      </c>
      <c r="U165" s="261" t="e">
        <f ca="1">IF(ISTEXT($U164),0,$U164+Tbl_Load_distrib[[#This Row],[Shearing Force]]*Tbl_Load_distrib[[#This Row],[L_elt]])</f>
        <v>#N/A</v>
      </c>
    </row>
    <row r="166" spans="2:21" x14ac:dyDescent="0.25">
      <c r="B166" s="136" t="e">
        <f t="shared" si="5"/>
        <v>#N/A</v>
      </c>
      <c r="C166" s="139" t="e">
        <f t="shared" si="6"/>
        <v>#N/A</v>
      </c>
      <c r="D166" s="152">
        <f ca="1">SUM(Tbl_Load_distrib[[#This Row],[Hull &amp; Structure]:[Reserved]])</f>
        <v>0</v>
      </c>
      <c r="E166" s="260">
        <f>SUMIFS(Tbl_Hull_Structure[Spread],Tbl_Hull_Structure[L from],"&lt;"&amp;Tbl_Load_distrib[[#This Row],[x]],Tbl_Hull_Structure[L to],"&gt;"&amp;C165)*Tbl_Load_distrib[[#This Row],[L_elt]]</f>
        <v>0</v>
      </c>
      <c r="F166" s="260">
        <f ca="1">SUMIFS(Tbl_Ballasts[Spread],Tbl_Ballasts[L from],"&lt;"&amp;Tbl_Load_distrib[[#This Row],[x]],Tbl_Ballasts[L to],"&gt;"&amp;C165)*Tbl_Load_distrib[[#This Row],[L_elt]]</f>
        <v>0</v>
      </c>
      <c r="G166" s="260">
        <f>SUMIFS(Tbl_Lifting[Spread],Tbl_Lifting[L from],"&lt;"&amp;Tbl_Load_distrib[[#This Row],[x]],Tbl_Lifting[L to],"&gt;"&amp;C165)*Tbl_Load_distrib[[#This Row],[L_elt]]</f>
        <v>0</v>
      </c>
      <c r="H166" s="260">
        <f>SUMIFS(Tbl_Additionals[Spread],Tbl_Additionals[L from],"&lt;"&amp;Tbl_Load_distrib[[#This Row],[x]],Tbl_Additionals[L to],"&gt;"&amp;C165)*Tbl_Load_distrib[[#This Row],[L_elt]]</f>
        <v>0</v>
      </c>
      <c r="I166" s="260">
        <f ca="1">SUMIFS(Tbl_Deck_Tank[Spread],Tbl_Deck_Tank[L from],"&lt;"&amp;Tbl_Load_distrib[[#This Row],[x]],Tbl_Deck_Tank[L to],"&gt;"&amp;C165)*Tbl_Load_distrib[[#This Row],[L_elt]]</f>
        <v>0</v>
      </c>
      <c r="J166" s="137"/>
      <c r="K166" s="165" t="e">
        <f>IFERROR(Tbl_Long_Section[[#This Row],[H Deck-Bottom]],NA())</f>
        <v>#N/A</v>
      </c>
      <c r="L166" s="829" t="e">
        <f>M_depth-Tbl_Load_distrib[[#This Row],[H Deck-Bottom]]</f>
        <v>#N/A</v>
      </c>
      <c r="M166" s="929">
        <f>IFERROR(Tbl_Load_distrib[[#This Row],[x]]-C165,0)</f>
        <v>0</v>
      </c>
      <c r="N166" s="929" t="e">
        <f>IF(ISNA(Tbl_Load_distrib[[#This Row],[x]]),NA(),IF(ISTEXT(N165),0,IF(N165=0,$Z$3,N165-($Z$3-$AA$3)/(Lpp-FE_size)*Tbl_Load_distrib[[#This Row],[L_elt]])))</f>
        <v>#N/A</v>
      </c>
      <c r="O166" s="166" t="e">
        <f ca="1">IF(ISNUMBER(O165),(IF((N165-L165)&lt;0,0,N165-L165)+IF((Tbl_Load_distrib[[#This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66" s="929" t="e">
        <f>IF(ISNA(Tbl_Load_distrib[[#This Row],[x]]),NA(),IF(ISTEXT(P165),0,IF(P165=0,LongSection_DraftAft,P165-(LongSection_DraftAft-LongSection_DraftFore)/(Lpp-FE_size)*Tbl_Load_distrib[[#This Row],[L_elt]])))</f>
        <v>#N/A</v>
      </c>
      <c r="Q166" s="166" t="e">
        <f ca="1">IF(ISNUMBER(Q165),(IF((P165-L165)&lt;0,0,P165-L165)+IF((Tbl_Load_distrib[[#This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66" s="167" t="e">
        <f ca="1">ρ_sw*Tbl_Load_distrib[[#This Row],[Elt Area corrected]]*B/k_depl</f>
        <v>#N/A</v>
      </c>
      <c r="S166" s="167" t="e">
        <f ca="1">Tbl_Load_distrib[[#This Row],[Section Weight]]-Tbl_Load_distrib[[#This Row],[Floating Elt]]</f>
        <v>#N/A</v>
      </c>
      <c r="T166" s="183" t="e">
        <f ca="1">IF(ISTEXT($T165),0,$T165+Tbl_Load_distrib[[#This Row],[Net force / Elt]])</f>
        <v>#N/A</v>
      </c>
      <c r="U166" s="261" t="e">
        <f ca="1">IF(ISTEXT($U165),0,$U165+Tbl_Load_distrib[[#This Row],[Shearing Force]]*Tbl_Load_distrib[[#This Row],[L_elt]])</f>
        <v>#N/A</v>
      </c>
    </row>
    <row r="167" spans="2:21" x14ac:dyDescent="0.25">
      <c r="B167" s="136" t="e">
        <f t="shared" si="5"/>
        <v>#N/A</v>
      </c>
      <c r="C167" s="139" t="e">
        <f t="shared" si="6"/>
        <v>#N/A</v>
      </c>
      <c r="D167" s="152">
        <f ca="1">SUM(Tbl_Load_distrib[[#This Row],[Hull &amp; Structure]:[Reserved]])</f>
        <v>0</v>
      </c>
      <c r="E167" s="260">
        <f>SUMIFS(Tbl_Hull_Structure[Spread],Tbl_Hull_Structure[L from],"&lt;"&amp;Tbl_Load_distrib[[#This Row],[x]],Tbl_Hull_Structure[L to],"&gt;"&amp;C166)*Tbl_Load_distrib[[#This Row],[L_elt]]</f>
        <v>0</v>
      </c>
      <c r="F167" s="260">
        <f ca="1">SUMIFS(Tbl_Ballasts[Spread],Tbl_Ballasts[L from],"&lt;"&amp;Tbl_Load_distrib[[#This Row],[x]],Tbl_Ballasts[L to],"&gt;"&amp;C166)*Tbl_Load_distrib[[#This Row],[L_elt]]</f>
        <v>0</v>
      </c>
      <c r="G167" s="260">
        <f>SUMIFS(Tbl_Lifting[Spread],Tbl_Lifting[L from],"&lt;"&amp;Tbl_Load_distrib[[#This Row],[x]],Tbl_Lifting[L to],"&gt;"&amp;C166)*Tbl_Load_distrib[[#This Row],[L_elt]]</f>
        <v>0</v>
      </c>
      <c r="H167" s="260">
        <f>SUMIFS(Tbl_Additionals[Spread],Tbl_Additionals[L from],"&lt;"&amp;Tbl_Load_distrib[[#This Row],[x]],Tbl_Additionals[L to],"&gt;"&amp;C166)*Tbl_Load_distrib[[#This Row],[L_elt]]</f>
        <v>0</v>
      </c>
      <c r="I167" s="260">
        <f ca="1">SUMIFS(Tbl_Deck_Tank[Spread],Tbl_Deck_Tank[L from],"&lt;"&amp;Tbl_Load_distrib[[#This Row],[x]],Tbl_Deck_Tank[L to],"&gt;"&amp;C166)*Tbl_Load_distrib[[#This Row],[L_elt]]</f>
        <v>0</v>
      </c>
      <c r="J167" s="137"/>
      <c r="K167" s="165" t="e">
        <f>IFERROR(Tbl_Long_Section[[#This Row],[H Deck-Bottom]],NA())</f>
        <v>#N/A</v>
      </c>
      <c r="L167" s="829" t="e">
        <f>M_depth-Tbl_Load_distrib[[#This Row],[H Deck-Bottom]]</f>
        <v>#N/A</v>
      </c>
      <c r="M167" s="929">
        <f>IFERROR(Tbl_Load_distrib[[#This Row],[x]]-C166,0)</f>
        <v>0</v>
      </c>
      <c r="N167" s="929" t="e">
        <f>IF(ISNA(Tbl_Load_distrib[[#This Row],[x]]),NA(),IF(ISTEXT(N166),0,IF(N166=0,$Z$3,N166-($Z$3-$AA$3)/(Lpp-FE_size)*Tbl_Load_distrib[[#This Row],[L_elt]])))</f>
        <v>#N/A</v>
      </c>
      <c r="O167" s="166" t="e">
        <f ca="1">IF(ISNUMBER(O166),(IF((N166-L166)&lt;0,0,N166-L166)+IF((Tbl_Load_distrib[[#This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67" s="929" t="e">
        <f>IF(ISNA(Tbl_Load_distrib[[#This Row],[x]]),NA(),IF(ISTEXT(P166),0,IF(P166=0,LongSection_DraftAft,P166-(LongSection_DraftAft-LongSection_DraftFore)/(Lpp-FE_size)*Tbl_Load_distrib[[#This Row],[L_elt]])))</f>
        <v>#N/A</v>
      </c>
      <c r="Q167" s="166" t="e">
        <f ca="1">IF(ISNUMBER(Q166),(IF((P166-L166)&lt;0,0,P166-L166)+IF((Tbl_Load_distrib[[#This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67" s="167" t="e">
        <f ca="1">ρ_sw*Tbl_Load_distrib[[#This Row],[Elt Area corrected]]*B/k_depl</f>
        <v>#N/A</v>
      </c>
      <c r="S167" s="167" t="e">
        <f ca="1">Tbl_Load_distrib[[#This Row],[Section Weight]]-Tbl_Load_distrib[[#This Row],[Floating Elt]]</f>
        <v>#N/A</v>
      </c>
      <c r="T167" s="183" t="e">
        <f ca="1">IF(ISTEXT($T166),0,$T166+Tbl_Load_distrib[[#This Row],[Net force / Elt]])</f>
        <v>#N/A</v>
      </c>
      <c r="U167" s="261" t="e">
        <f ca="1">IF(ISTEXT($U166),0,$U166+Tbl_Load_distrib[[#This Row],[Shearing Force]]*Tbl_Load_distrib[[#This Row],[L_elt]])</f>
        <v>#N/A</v>
      </c>
    </row>
    <row r="168" spans="2:21" x14ac:dyDescent="0.25">
      <c r="B168" s="136" t="e">
        <f t="shared" si="5"/>
        <v>#N/A</v>
      </c>
      <c r="C168" s="139" t="e">
        <f t="shared" si="6"/>
        <v>#N/A</v>
      </c>
      <c r="D168" s="152">
        <f ca="1">SUM(Tbl_Load_distrib[[#This Row],[Hull &amp; Structure]:[Reserved]])</f>
        <v>0</v>
      </c>
      <c r="E168" s="260">
        <f>SUMIFS(Tbl_Hull_Structure[Spread],Tbl_Hull_Structure[L from],"&lt;"&amp;Tbl_Load_distrib[[#This Row],[x]],Tbl_Hull_Structure[L to],"&gt;"&amp;C167)*Tbl_Load_distrib[[#This Row],[L_elt]]</f>
        <v>0</v>
      </c>
      <c r="F168" s="260">
        <f ca="1">SUMIFS(Tbl_Ballasts[Spread],Tbl_Ballasts[L from],"&lt;"&amp;Tbl_Load_distrib[[#This Row],[x]],Tbl_Ballasts[L to],"&gt;"&amp;C167)*Tbl_Load_distrib[[#This Row],[L_elt]]</f>
        <v>0</v>
      </c>
      <c r="G168" s="260">
        <f>SUMIFS(Tbl_Lifting[Spread],Tbl_Lifting[L from],"&lt;"&amp;Tbl_Load_distrib[[#This Row],[x]],Tbl_Lifting[L to],"&gt;"&amp;C167)*Tbl_Load_distrib[[#This Row],[L_elt]]</f>
        <v>0</v>
      </c>
      <c r="H168" s="260">
        <f>SUMIFS(Tbl_Additionals[Spread],Tbl_Additionals[L from],"&lt;"&amp;Tbl_Load_distrib[[#This Row],[x]],Tbl_Additionals[L to],"&gt;"&amp;C167)*Tbl_Load_distrib[[#This Row],[L_elt]]</f>
        <v>0</v>
      </c>
      <c r="I168" s="260">
        <f ca="1">SUMIFS(Tbl_Deck_Tank[Spread],Tbl_Deck_Tank[L from],"&lt;"&amp;Tbl_Load_distrib[[#This Row],[x]],Tbl_Deck_Tank[L to],"&gt;"&amp;C167)*Tbl_Load_distrib[[#This Row],[L_elt]]</f>
        <v>0</v>
      </c>
      <c r="J168" s="137"/>
      <c r="K168" s="165" t="e">
        <f>IFERROR(Tbl_Long_Section[[#This Row],[H Deck-Bottom]],NA())</f>
        <v>#N/A</v>
      </c>
      <c r="L168" s="829" t="e">
        <f>M_depth-Tbl_Load_distrib[[#This Row],[H Deck-Bottom]]</f>
        <v>#N/A</v>
      </c>
      <c r="M168" s="929">
        <f>IFERROR(Tbl_Load_distrib[[#This Row],[x]]-C167,0)</f>
        <v>0</v>
      </c>
      <c r="N168" s="929" t="e">
        <f>IF(ISNA(Tbl_Load_distrib[[#This Row],[x]]),NA(),IF(ISTEXT(N167),0,IF(N167=0,$Z$3,N167-($Z$3-$AA$3)/(Lpp-FE_size)*Tbl_Load_distrib[[#This Row],[L_elt]])))</f>
        <v>#N/A</v>
      </c>
      <c r="O168" s="166" t="e">
        <f ca="1">IF(ISNUMBER(O167),(IF((N167-L167)&lt;0,0,N167-L167)+IF((Tbl_Load_distrib[[#This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68" s="929" t="e">
        <f>IF(ISNA(Tbl_Load_distrib[[#This Row],[x]]),NA(),IF(ISTEXT(P167),0,IF(P167=0,LongSection_DraftAft,P167-(LongSection_DraftAft-LongSection_DraftFore)/(Lpp-FE_size)*Tbl_Load_distrib[[#This Row],[L_elt]])))</f>
        <v>#N/A</v>
      </c>
      <c r="Q168" s="166" t="e">
        <f ca="1">IF(ISNUMBER(Q167),(IF((P167-L167)&lt;0,0,P167-L167)+IF((Tbl_Load_distrib[[#This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68" s="167" t="e">
        <f ca="1">ρ_sw*Tbl_Load_distrib[[#This Row],[Elt Area corrected]]*B/k_depl</f>
        <v>#N/A</v>
      </c>
      <c r="S168" s="167" t="e">
        <f ca="1">Tbl_Load_distrib[[#This Row],[Section Weight]]-Tbl_Load_distrib[[#This Row],[Floating Elt]]</f>
        <v>#N/A</v>
      </c>
      <c r="T168" s="183" t="e">
        <f ca="1">IF(ISTEXT($T167),0,$T167+Tbl_Load_distrib[[#This Row],[Net force / Elt]])</f>
        <v>#N/A</v>
      </c>
      <c r="U168" s="261" t="e">
        <f ca="1">IF(ISTEXT($U167),0,$U167+Tbl_Load_distrib[[#This Row],[Shearing Force]]*Tbl_Load_distrib[[#This Row],[L_elt]])</f>
        <v>#N/A</v>
      </c>
    </row>
    <row r="169" spans="2:21" x14ac:dyDescent="0.25">
      <c r="B169" s="136" t="e">
        <f t="shared" si="5"/>
        <v>#N/A</v>
      </c>
      <c r="C169" s="139" t="e">
        <f t="shared" si="6"/>
        <v>#N/A</v>
      </c>
      <c r="D169" s="152">
        <f ca="1">SUM(Tbl_Load_distrib[[#This Row],[Hull &amp; Structure]:[Reserved]])</f>
        <v>0</v>
      </c>
      <c r="E169" s="260">
        <f>SUMIFS(Tbl_Hull_Structure[Spread],Tbl_Hull_Structure[L from],"&lt;"&amp;Tbl_Load_distrib[[#This Row],[x]],Tbl_Hull_Structure[L to],"&gt;"&amp;C168)*Tbl_Load_distrib[[#This Row],[L_elt]]</f>
        <v>0</v>
      </c>
      <c r="F169" s="260">
        <f ca="1">SUMIFS(Tbl_Ballasts[Spread],Tbl_Ballasts[L from],"&lt;"&amp;Tbl_Load_distrib[[#This Row],[x]],Tbl_Ballasts[L to],"&gt;"&amp;C168)*Tbl_Load_distrib[[#This Row],[L_elt]]</f>
        <v>0</v>
      </c>
      <c r="G169" s="260">
        <f>SUMIFS(Tbl_Lifting[Spread],Tbl_Lifting[L from],"&lt;"&amp;Tbl_Load_distrib[[#This Row],[x]],Tbl_Lifting[L to],"&gt;"&amp;C168)*Tbl_Load_distrib[[#This Row],[L_elt]]</f>
        <v>0</v>
      </c>
      <c r="H169" s="260">
        <f>SUMIFS(Tbl_Additionals[Spread],Tbl_Additionals[L from],"&lt;"&amp;Tbl_Load_distrib[[#This Row],[x]],Tbl_Additionals[L to],"&gt;"&amp;C168)*Tbl_Load_distrib[[#This Row],[L_elt]]</f>
        <v>0</v>
      </c>
      <c r="I169" s="260">
        <f ca="1">SUMIFS(Tbl_Deck_Tank[Spread],Tbl_Deck_Tank[L from],"&lt;"&amp;Tbl_Load_distrib[[#This Row],[x]],Tbl_Deck_Tank[L to],"&gt;"&amp;C168)*Tbl_Load_distrib[[#This Row],[L_elt]]</f>
        <v>0</v>
      </c>
      <c r="J169" s="137"/>
      <c r="K169" s="165" t="e">
        <f>IFERROR(Tbl_Long_Section[[#This Row],[H Deck-Bottom]],NA())</f>
        <v>#N/A</v>
      </c>
      <c r="L169" s="829" t="e">
        <f>M_depth-Tbl_Load_distrib[[#This Row],[H Deck-Bottom]]</f>
        <v>#N/A</v>
      </c>
      <c r="M169" s="929">
        <f>IFERROR(Tbl_Load_distrib[[#This Row],[x]]-C168,0)</f>
        <v>0</v>
      </c>
      <c r="N169" s="929" t="e">
        <f>IF(ISNA(Tbl_Load_distrib[[#This Row],[x]]),NA(),IF(ISTEXT(N168),0,IF(N168=0,$Z$3,N168-($Z$3-$AA$3)/(Lpp-FE_size)*Tbl_Load_distrib[[#This Row],[L_elt]])))</f>
        <v>#N/A</v>
      </c>
      <c r="O169" s="166" t="e">
        <f ca="1">IF(ISNUMBER(O168),(IF((N168-L168)&lt;0,0,N168-L168)+IF((Tbl_Load_distrib[[#This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69" s="929" t="e">
        <f>IF(ISNA(Tbl_Load_distrib[[#This Row],[x]]),NA(),IF(ISTEXT(P168),0,IF(P168=0,LongSection_DraftAft,P168-(LongSection_DraftAft-LongSection_DraftFore)/(Lpp-FE_size)*Tbl_Load_distrib[[#This Row],[L_elt]])))</f>
        <v>#N/A</v>
      </c>
      <c r="Q169" s="166" t="e">
        <f ca="1">IF(ISNUMBER(Q168),(IF((P168-L168)&lt;0,0,P168-L168)+IF((Tbl_Load_distrib[[#This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69" s="167" t="e">
        <f ca="1">ρ_sw*Tbl_Load_distrib[[#This Row],[Elt Area corrected]]*B/k_depl</f>
        <v>#N/A</v>
      </c>
      <c r="S169" s="167" t="e">
        <f ca="1">Tbl_Load_distrib[[#This Row],[Section Weight]]-Tbl_Load_distrib[[#This Row],[Floating Elt]]</f>
        <v>#N/A</v>
      </c>
      <c r="T169" s="183" t="e">
        <f ca="1">IF(ISTEXT($T168),0,$T168+Tbl_Load_distrib[[#This Row],[Net force / Elt]])</f>
        <v>#N/A</v>
      </c>
      <c r="U169" s="261" t="e">
        <f ca="1">IF(ISTEXT($U168),0,$U168+Tbl_Load_distrib[[#This Row],[Shearing Force]]*Tbl_Load_distrib[[#This Row],[L_elt]])</f>
        <v>#N/A</v>
      </c>
    </row>
    <row r="170" spans="2:21" x14ac:dyDescent="0.25">
      <c r="B170" s="136" t="e">
        <f t="shared" si="5"/>
        <v>#N/A</v>
      </c>
      <c r="C170" s="139" t="e">
        <f t="shared" si="6"/>
        <v>#N/A</v>
      </c>
      <c r="D170" s="152">
        <f ca="1">SUM(Tbl_Load_distrib[[#This Row],[Hull &amp; Structure]:[Reserved]])</f>
        <v>0</v>
      </c>
      <c r="E170" s="260">
        <f>SUMIFS(Tbl_Hull_Structure[Spread],Tbl_Hull_Structure[L from],"&lt;"&amp;Tbl_Load_distrib[[#This Row],[x]],Tbl_Hull_Structure[L to],"&gt;"&amp;C169)*Tbl_Load_distrib[[#This Row],[L_elt]]</f>
        <v>0</v>
      </c>
      <c r="F170" s="260">
        <f ca="1">SUMIFS(Tbl_Ballasts[Spread],Tbl_Ballasts[L from],"&lt;"&amp;Tbl_Load_distrib[[#This Row],[x]],Tbl_Ballasts[L to],"&gt;"&amp;C169)*Tbl_Load_distrib[[#This Row],[L_elt]]</f>
        <v>0</v>
      </c>
      <c r="G170" s="260">
        <f>SUMIFS(Tbl_Lifting[Spread],Tbl_Lifting[L from],"&lt;"&amp;Tbl_Load_distrib[[#This Row],[x]],Tbl_Lifting[L to],"&gt;"&amp;C169)*Tbl_Load_distrib[[#This Row],[L_elt]]</f>
        <v>0</v>
      </c>
      <c r="H170" s="260">
        <f>SUMIFS(Tbl_Additionals[Spread],Tbl_Additionals[L from],"&lt;"&amp;Tbl_Load_distrib[[#This Row],[x]],Tbl_Additionals[L to],"&gt;"&amp;C169)*Tbl_Load_distrib[[#This Row],[L_elt]]</f>
        <v>0</v>
      </c>
      <c r="I170" s="260">
        <f ca="1">SUMIFS(Tbl_Deck_Tank[Spread],Tbl_Deck_Tank[L from],"&lt;"&amp;Tbl_Load_distrib[[#This Row],[x]],Tbl_Deck_Tank[L to],"&gt;"&amp;C169)*Tbl_Load_distrib[[#This Row],[L_elt]]</f>
        <v>0</v>
      </c>
      <c r="J170" s="137"/>
      <c r="K170" s="165" t="e">
        <f>IFERROR(Tbl_Long_Section[[#This Row],[H Deck-Bottom]],NA())</f>
        <v>#N/A</v>
      </c>
      <c r="L170" s="829" t="e">
        <f>M_depth-Tbl_Load_distrib[[#This Row],[H Deck-Bottom]]</f>
        <v>#N/A</v>
      </c>
      <c r="M170" s="929">
        <f>IFERROR(Tbl_Load_distrib[[#This Row],[x]]-C169,0)</f>
        <v>0</v>
      </c>
      <c r="N170" s="929" t="e">
        <f>IF(ISNA(Tbl_Load_distrib[[#This Row],[x]]),NA(),IF(ISTEXT(N169),0,IF(N169=0,$Z$3,N169-($Z$3-$AA$3)/(Lpp-FE_size)*Tbl_Load_distrib[[#This Row],[L_elt]])))</f>
        <v>#N/A</v>
      </c>
      <c r="O170" s="166" t="e">
        <f ca="1">IF(ISNUMBER(O169),(IF((N169-L169)&lt;0,0,N169-L169)+IF((Tbl_Load_distrib[[#This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70" s="929" t="e">
        <f>IF(ISNA(Tbl_Load_distrib[[#This Row],[x]]),NA(),IF(ISTEXT(P169),0,IF(P169=0,LongSection_DraftAft,P169-(LongSection_DraftAft-LongSection_DraftFore)/(Lpp-FE_size)*Tbl_Load_distrib[[#This Row],[L_elt]])))</f>
        <v>#N/A</v>
      </c>
      <c r="Q170" s="166" t="e">
        <f ca="1">IF(ISNUMBER(Q169),(IF((P169-L169)&lt;0,0,P169-L169)+IF((Tbl_Load_distrib[[#This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70" s="167" t="e">
        <f ca="1">ρ_sw*Tbl_Load_distrib[[#This Row],[Elt Area corrected]]*B/k_depl</f>
        <v>#N/A</v>
      </c>
      <c r="S170" s="167" t="e">
        <f ca="1">Tbl_Load_distrib[[#This Row],[Section Weight]]-Tbl_Load_distrib[[#This Row],[Floating Elt]]</f>
        <v>#N/A</v>
      </c>
      <c r="T170" s="183" t="e">
        <f ca="1">IF(ISTEXT($T169),0,$T169+Tbl_Load_distrib[[#This Row],[Net force / Elt]])</f>
        <v>#N/A</v>
      </c>
      <c r="U170" s="261" t="e">
        <f ca="1">IF(ISTEXT($U169),0,$U169+Tbl_Load_distrib[[#This Row],[Shearing Force]]*Tbl_Load_distrib[[#This Row],[L_elt]])</f>
        <v>#N/A</v>
      </c>
    </row>
    <row r="171" spans="2:21" x14ac:dyDescent="0.25">
      <c r="B171" s="136" t="e">
        <f t="shared" si="5"/>
        <v>#N/A</v>
      </c>
      <c r="C171" s="139" t="e">
        <f t="shared" si="6"/>
        <v>#N/A</v>
      </c>
      <c r="D171" s="152">
        <f ca="1">SUM(Tbl_Load_distrib[[#This Row],[Hull &amp; Structure]:[Reserved]])</f>
        <v>0</v>
      </c>
      <c r="E171" s="260">
        <f>SUMIFS(Tbl_Hull_Structure[Spread],Tbl_Hull_Structure[L from],"&lt;"&amp;Tbl_Load_distrib[[#This Row],[x]],Tbl_Hull_Structure[L to],"&gt;"&amp;C170)*Tbl_Load_distrib[[#This Row],[L_elt]]</f>
        <v>0</v>
      </c>
      <c r="F171" s="260">
        <f ca="1">SUMIFS(Tbl_Ballasts[Spread],Tbl_Ballasts[L from],"&lt;"&amp;Tbl_Load_distrib[[#This Row],[x]],Tbl_Ballasts[L to],"&gt;"&amp;C170)*Tbl_Load_distrib[[#This Row],[L_elt]]</f>
        <v>0</v>
      </c>
      <c r="G171" s="260">
        <f>SUMIFS(Tbl_Lifting[Spread],Tbl_Lifting[L from],"&lt;"&amp;Tbl_Load_distrib[[#This Row],[x]],Tbl_Lifting[L to],"&gt;"&amp;C170)*Tbl_Load_distrib[[#This Row],[L_elt]]</f>
        <v>0</v>
      </c>
      <c r="H171" s="260">
        <f>SUMIFS(Tbl_Additionals[Spread],Tbl_Additionals[L from],"&lt;"&amp;Tbl_Load_distrib[[#This Row],[x]],Tbl_Additionals[L to],"&gt;"&amp;C170)*Tbl_Load_distrib[[#This Row],[L_elt]]</f>
        <v>0</v>
      </c>
      <c r="I171" s="260">
        <f ca="1">SUMIFS(Tbl_Deck_Tank[Spread],Tbl_Deck_Tank[L from],"&lt;"&amp;Tbl_Load_distrib[[#This Row],[x]],Tbl_Deck_Tank[L to],"&gt;"&amp;C170)*Tbl_Load_distrib[[#This Row],[L_elt]]</f>
        <v>0</v>
      </c>
      <c r="J171" s="137"/>
      <c r="K171" s="165" t="e">
        <f>IFERROR(Tbl_Long_Section[[#This Row],[H Deck-Bottom]],NA())</f>
        <v>#N/A</v>
      </c>
      <c r="L171" s="829" t="e">
        <f>M_depth-Tbl_Load_distrib[[#This Row],[H Deck-Bottom]]</f>
        <v>#N/A</v>
      </c>
      <c r="M171" s="929">
        <f>IFERROR(Tbl_Load_distrib[[#This Row],[x]]-C170,0)</f>
        <v>0</v>
      </c>
      <c r="N171" s="929" t="e">
        <f>IF(ISNA(Tbl_Load_distrib[[#This Row],[x]]),NA(),IF(ISTEXT(N170),0,IF(N170=0,$Z$3,N170-($Z$3-$AA$3)/(Lpp-FE_size)*Tbl_Load_distrib[[#This Row],[L_elt]])))</f>
        <v>#N/A</v>
      </c>
      <c r="O171" s="166" t="e">
        <f ca="1">IF(ISNUMBER(O170),(IF((N170-L170)&lt;0,0,N170-L170)+IF((Tbl_Load_distrib[[#This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71" s="929" t="e">
        <f>IF(ISNA(Tbl_Load_distrib[[#This Row],[x]]),NA(),IF(ISTEXT(P170),0,IF(P170=0,LongSection_DraftAft,P170-(LongSection_DraftAft-LongSection_DraftFore)/(Lpp-FE_size)*Tbl_Load_distrib[[#This Row],[L_elt]])))</f>
        <v>#N/A</v>
      </c>
      <c r="Q171" s="166" t="e">
        <f ca="1">IF(ISNUMBER(Q170),(IF((P170-L170)&lt;0,0,P170-L170)+IF((Tbl_Load_distrib[[#This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71" s="167" t="e">
        <f ca="1">ρ_sw*Tbl_Load_distrib[[#This Row],[Elt Area corrected]]*B/k_depl</f>
        <v>#N/A</v>
      </c>
      <c r="S171" s="167" t="e">
        <f ca="1">Tbl_Load_distrib[[#This Row],[Section Weight]]-Tbl_Load_distrib[[#This Row],[Floating Elt]]</f>
        <v>#N/A</v>
      </c>
      <c r="T171" s="183" t="e">
        <f ca="1">IF(ISTEXT($T170),0,$T170+Tbl_Load_distrib[[#This Row],[Net force / Elt]])</f>
        <v>#N/A</v>
      </c>
      <c r="U171" s="261" t="e">
        <f ca="1">IF(ISTEXT($U170),0,$U170+Tbl_Load_distrib[[#This Row],[Shearing Force]]*Tbl_Load_distrib[[#This Row],[L_elt]])</f>
        <v>#N/A</v>
      </c>
    </row>
    <row r="172" spans="2:21" x14ac:dyDescent="0.25">
      <c r="B172" s="136" t="e">
        <f t="shared" si="5"/>
        <v>#N/A</v>
      </c>
      <c r="C172" s="139" t="e">
        <f t="shared" si="6"/>
        <v>#N/A</v>
      </c>
      <c r="D172" s="152">
        <f ca="1">SUM(Tbl_Load_distrib[[#This Row],[Hull &amp; Structure]:[Reserved]])</f>
        <v>0</v>
      </c>
      <c r="E172" s="260">
        <f>SUMIFS(Tbl_Hull_Structure[Spread],Tbl_Hull_Structure[L from],"&lt;"&amp;Tbl_Load_distrib[[#This Row],[x]],Tbl_Hull_Structure[L to],"&gt;"&amp;C171)*Tbl_Load_distrib[[#This Row],[L_elt]]</f>
        <v>0</v>
      </c>
      <c r="F172" s="260">
        <f ca="1">SUMIFS(Tbl_Ballasts[Spread],Tbl_Ballasts[L from],"&lt;"&amp;Tbl_Load_distrib[[#This Row],[x]],Tbl_Ballasts[L to],"&gt;"&amp;C171)*Tbl_Load_distrib[[#This Row],[L_elt]]</f>
        <v>0</v>
      </c>
      <c r="G172" s="260">
        <f>SUMIFS(Tbl_Lifting[Spread],Tbl_Lifting[L from],"&lt;"&amp;Tbl_Load_distrib[[#This Row],[x]],Tbl_Lifting[L to],"&gt;"&amp;C171)*Tbl_Load_distrib[[#This Row],[L_elt]]</f>
        <v>0</v>
      </c>
      <c r="H172" s="260">
        <f>SUMIFS(Tbl_Additionals[Spread],Tbl_Additionals[L from],"&lt;"&amp;Tbl_Load_distrib[[#This Row],[x]],Tbl_Additionals[L to],"&gt;"&amp;C171)*Tbl_Load_distrib[[#This Row],[L_elt]]</f>
        <v>0</v>
      </c>
      <c r="I172" s="260">
        <f ca="1">SUMIFS(Tbl_Deck_Tank[Spread],Tbl_Deck_Tank[L from],"&lt;"&amp;Tbl_Load_distrib[[#This Row],[x]],Tbl_Deck_Tank[L to],"&gt;"&amp;C171)*Tbl_Load_distrib[[#This Row],[L_elt]]</f>
        <v>0</v>
      </c>
      <c r="J172" s="137"/>
      <c r="K172" s="165" t="e">
        <f>IFERROR(Tbl_Long_Section[[#This Row],[H Deck-Bottom]],NA())</f>
        <v>#N/A</v>
      </c>
      <c r="L172" s="829" t="e">
        <f>M_depth-Tbl_Load_distrib[[#This Row],[H Deck-Bottom]]</f>
        <v>#N/A</v>
      </c>
      <c r="M172" s="929">
        <f>IFERROR(Tbl_Load_distrib[[#This Row],[x]]-C171,0)</f>
        <v>0</v>
      </c>
      <c r="N172" s="929" t="e">
        <f>IF(ISNA(Tbl_Load_distrib[[#This Row],[x]]),NA(),IF(ISTEXT(N171),0,IF(N171=0,$Z$3,N171-($Z$3-$AA$3)/(Lpp-FE_size)*Tbl_Load_distrib[[#This Row],[L_elt]])))</f>
        <v>#N/A</v>
      </c>
      <c r="O172" s="166" t="e">
        <f ca="1">IF(ISNUMBER(O171),(IF((N171-L171)&lt;0,0,N171-L171)+IF((Tbl_Load_distrib[[#This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72" s="929" t="e">
        <f>IF(ISNA(Tbl_Load_distrib[[#This Row],[x]]),NA(),IF(ISTEXT(P171),0,IF(P171=0,LongSection_DraftAft,P171-(LongSection_DraftAft-LongSection_DraftFore)/(Lpp-FE_size)*Tbl_Load_distrib[[#This Row],[L_elt]])))</f>
        <v>#N/A</v>
      </c>
      <c r="Q172" s="166" t="e">
        <f ca="1">IF(ISNUMBER(Q171),(IF((P171-L171)&lt;0,0,P171-L171)+IF((Tbl_Load_distrib[[#This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72" s="167" t="e">
        <f ca="1">ρ_sw*Tbl_Load_distrib[[#This Row],[Elt Area corrected]]*B/k_depl</f>
        <v>#N/A</v>
      </c>
      <c r="S172" s="167" t="e">
        <f ca="1">Tbl_Load_distrib[[#This Row],[Section Weight]]-Tbl_Load_distrib[[#This Row],[Floating Elt]]</f>
        <v>#N/A</v>
      </c>
      <c r="T172" s="183" t="e">
        <f ca="1">IF(ISTEXT($T171),0,$T171+Tbl_Load_distrib[[#This Row],[Net force / Elt]])</f>
        <v>#N/A</v>
      </c>
      <c r="U172" s="261" t="e">
        <f ca="1">IF(ISTEXT($U171),0,$U171+Tbl_Load_distrib[[#This Row],[Shearing Force]]*Tbl_Load_distrib[[#This Row],[L_elt]])</f>
        <v>#N/A</v>
      </c>
    </row>
    <row r="173" spans="2:21" x14ac:dyDescent="0.25">
      <c r="B173" s="136" t="e">
        <f t="shared" si="5"/>
        <v>#N/A</v>
      </c>
      <c r="C173" s="139" t="e">
        <f t="shared" si="6"/>
        <v>#N/A</v>
      </c>
      <c r="D173" s="152">
        <f ca="1">SUM(Tbl_Load_distrib[[#This Row],[Hull &amp; Structure]:[Reserved]])</f>
        <v>0</v>
      </c>
      <c r="E173" s="260">
        <f>SUMIFS(Tbl_Hull_Structure[Spread],Tbl_Hull_Structure[L from],"&lt;"&amp;Tbl_Load_distrib[[#This Row],[x]],Tbl_Hull_Structure[L to],"&gt;"&amp;C172)*Tbl_Load_distrib[[#This Row],[L_elt]]</f>
        <v>0</v>
      </c>
      <c r="F173" s="260">
        <f ca="1">SUMIFS(Tbl_Ballasts[Spread],Tbl_Ballasts[L from],"&lt;"&amp;Tbl_Load_distrib[[#This Row],[x]],Tbl_Ballasts[L to],"&gt;"&amp;C172)*Tbl_Load_distrib[[#This Row],[L_elt]]</f>
        <v>0</v>
      </c>
      <c r="G173" s="260">
        <f>SUMIFS(Tbl_Lifting[Spread],Tbl_Lifting[L from],"&lt;"&amp;Tbl_Load_distrib[[#This Row],[x]],Tbl_Lifting[L to],"&gt;"&amp;C172)*Tbl_Load_distrib[[#This Row],[L_elt]]</f>
        <v>0</v>
      </c>
      <c r="H173" s="260">
        <f>SUMIFS(Tbl_Additionals[Spread],Tbl_Additionals[L from],"&lt;"&amp;Tbl_Load_distrib[[#This Row],[x]],Tbl_Additionals[L to],"&gt;"&amp;C172)*Tbl_Load_distrib[[#This Row],[L_elt]]</f>
        <v>0</v>
      </c>
      <c r="I173" s="260">
        <f ca="1">SUMIFS(Tbl_Deck_Tank[Spread],Tbl_Deck_Tank[L from],"&lt;"&amp;Tbl_Load_distrib[[#This Row],[x]],Tbl_Deck_Tank[L to],"&gt;"&amp;C172)*Tbl_Load_distrib[[#This Row],[L_elt]]</f>
        <v>0</v>
      </c>
      <c r="J173" s="137"/>
      <c r="K173" s="165" t="e">
        <f>IFERROR(Tbl_Long_Section[[#This Row],[H Deck-Bottom]],NA())</f>
        <v>#N/A</v>
      </c>
      <c r="L173" s="829" t="e">
        <f>M_depth-Tbl_Load_distrib[[#This Row],[H Deck-Bottom]]</f>
        <v>#N/A</v>
      </c>
      <c r="M173" s="929">
        <f>IFERROR(Tbl_Load_distrib[[#This Row],[x]]-C172,0)</f>
        <v>0</v>
      </c>
      <c r="N173" s="929" t="e">
        <f>IF(ISNA(Tbl_Load_distrib[[#This Row],[x]]),NA(),IF(ISTEXT(N172),0,IF(N172=0,$Z$3,N172-($Z$3-$AA$3)/(Lpp-FE_size)*Tbl_Load_distrib[[#This Row],[L_elt]])))</f>
        <v>#N/A</v>
      </c>
      <c r="O173" s="166" t="e">
        <f ca="1">IF(ISNUMBER(O172),(IF((N172-L172)&lt;0,0,N172-L172)+IF((Tbl_Load_distrib[[#This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73" s="929" t="e">
        <f>IF(ISNA(Tbl_Load_distrib[[#This Row],[x]]),NA(),IF(ISTEXT(P172),0,IF(P172=0,LongSection_DraftAft,P172-(LongSection_DraftAft-LongSection_DraftFore)/(Lpp-FE_size)*Tbl_Load_distrib[[#This Row],[L_elt]])))</f>
        <v>#N/A</v>
      </c>
      <c r="Q173" s="166" t="e">
        <f ca="1">IF(ISNUMBER(Q172),(IF((P172-L172)&lt;0,0,P172-L172)+IF((Tbl_Load_distrib[[#This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73" s="167" t="e">
        <f ca="1">ρ_sw*Tbl_Load_distrib[[#This Row],[Elt Area corrected]]*B/k_depl</f>
        <v>#N/A</v>
      </c>
      <c r="S173" s="167" t="e">
        <f ca="1">Tbl_Load_distrib[[#This Row],[Section Weight]]-Tbl_Load_distrib[[#This Row],[Floating Elt]]</f>
        <v>#N/A</v>
      </c>
      <c r="T173" s="183" t="e">
        <f ca="1">IF(ISTEXT($T172),0,$T172+Tbl_Load_distrib[[#This Row],[Net force / Elt]])</f>
        <v>#N/A</v>
      </c>
      <c r="U173" s="261" t="e">
        <f ca="1">IF(ISTEXT($U172),0,$U172+Tbl_Load_distrib[[#This Row],[Shearing Force]]*Tbl_Load_distrib[[#This Row],[L_elt]])</f>
        <v>#N/A</v>
      </c>
    </row>
    <row r="174" spans="2:21" x14ac:dyDescent="0.25">
      <c r="B174" s="136" t="e">
        <f t="shared" si="5"/>
        <v>#N/A</v>
      </c>
      <c r="C174" s="139" t="e">
        <f t="shared" si="6"/>
        <v>#N/A</v>
      </c>
      <c r="D174" s="152">
        <f ca="1">SUM(Tbl_Load_distrib[[#This Row],[Hull &amp; Structure]:[Reserved]])</f>
        <v>0</v>
      </c>
      <c r="E174" s="260">
        <f>SUMIFS(Tbl_Hull_Structure[Spread],Tbl_Hull_Structure[L from],"&lt;"&amp;Tbl_Load_distrib[[#This Row],[x]],Tbl_Hull_Structure[L to],"&gt;"&amp;C173)*Tbl_Load_distrib[[#This Row],[L_elt]]</f>
        <v>0</v>
      </c>
      <c r="F174" s="260">
        <f ca="1">SUMIFS(Tbl_Ballasts[Spread],Tbl_Ballasts[L from],"&lt;"&amp;Tbl_Load_distrib[[#This Row],[x]],Tbl_Ballasts[L to],"&gt;"&amp;C173)*Tbl_Load_distrib[[#This Row],[L_elt]]</f>
        <v>0</v>
      </c>
      <c r="G174" s="260">
        <f>SUMIFS(Tbl_Lifting[Spread],Tbl_Lifting[L from],"&lt;"&amp;Tbl_Load_distrib[[#This Row],[x]],Tbl_Lifting[L to],"&gt;"&amp;C173)*Tbl_Load_distrib[[#This Row],[L_elt]]</f>
        <v>0</v>
      </c>
      <c r="H174" s="260">
        <f>SUMIFS(Tbl_Additionals[Spread],Tbl_Additionals[L from],"&lt;"&amp;Tbl_Load_distrib[[#This Row],[x]],Tbl_Additionals[L to],"&gt;"&amp;C173)*Tbl_Load_distrib[[#This Row],[L_elt]]</f>
        <v>0</v>
      </c>
      <c r="I174" s="260">
        <f ca="1">SUMIFS(Tbl_Deck_Tank[Spread],Tbl_Deck_Tank[L from],"&lt;"&amp;Tbl_Load_distrib[[#This Row],[x]],Tbl_Deck_Tank[L to],"&gt;"&amp;C173)*Tbl_Load_distrib[[#This Row],[L_elt]]</f>
        <v>0</v>
      </c>
      <c r="J174" s="137"/>
      <c r="K174" s="165" t="e">
        <f>IFERROR(Tbl_Long_Section[[#This Row],[H Deck-Bottom]],NA())</f>
        <v>#N/A</v>
      </c>
      <c r="L174" s="829" t="e">
        <f>M_depth-Tbl_Load_distrib[[#This Row],[H Deck-Bottom]]</f>
        <v>#N/A</v>
      </c>
      <c r="M174" s="929">
        <f>IFERROR(Tbl_Load_distrib[[#This Row],[x]]-C173,0)</f>
        <v>0</v>
      </c>
      <c r="N174" s="929" t="e">
        <f>IF(ISNA(Tbl_Load_distrib[[#This Row],[x]]),NA(),IF(ISTEXT(N173),0,IF(N173=0,$Z$3,N173-($Z$3-$AA$3)/(Lpp-FE_size)*Tbl_Load_distrib[[#This Row],[L_elt]])))</f>
        <v>#N/A</v>
      </c>
      <c r="O174" s="166" t="e">
        <f ca="1">IF(ISNUMBER(O173),(IF((N173-L173)&lt;0,0,N173-L173)+IF((Tbl_Load_distrib[[#This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74" s="929" t="e">
        <f>IF(ISNA(Tbl_Load_distrib[[#This Row],[x]]),NA(),IF(ISTEXT(P173),0,IF(P173=0,LongSection_DraftAft,P173-(LongSection_DraftAft-LongSection_DraftFore)/(Lpp-FE_size)*Tbl_Load_distrib[[#This Row],[L_elt]])))</f>
        <v>#N/A</v>
      </c>
      <c r="Q174" s="166" t="e">
        <f ca="1">IF(ISNUMBER(Q173),(IF((P173-L173)&lt;0,0,P173-L173)+IF((Tbl_Load_distrib[[#This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74" s="167" t="e">
        <f ca="1">ρ_sw*Tbl_Load_distrib[[#This Row],[Elt Area corrected]]*B/k_depl</f>
        <v>#N/A</v>
      </c>
      <c r="S174" s="167" t="e">
        <f ca="1">Tbl_Load_distrib[[#This Row],[Section Weight]]-Tbl_Load_distrib[[#This Row],[Floating Elt]]</f>
        <v>#N/A</v>
      </c>
      <c r="T174" s="183" t="e">
        <f ca="1">IF(ISTEXT($T173),0,$T173+Tbl_Load_distrib[[#This Row],[Net force / Elt]])</f>
        <v>#N/A</v>
      </c>
      <c r="U174" s="261" t="e">
        <f ca="1">IF(ISTEXT($U173),0,$U173+Tbl_Load_distrib[[#This Row],[Shearing Force]]*Tbl_Load_distrib[[#This Row],[L_elt]])</f>
        <v>#N/A</v>
      </c>
    </row>
    <row r="175" spans="2:21" x14ac:dyDescent="0.25">
      <c r="B175" s="136" t="e">
        <f t="shared" si="5"/>
        <v>#N/A</v>
      </c>
      <c r="C175" s="139" t="e">
        <f t="shared" si="6"/>
        <v>#N/A</v>
      </c>
      <c r="D175" s="152">
        <f ca="1">SUM(Tbl_Load_distrib[[#This Row],[Hull &amp; Structure]:[Reserved]])</f>
        <v>0</v>
      </c>
      <c r="E175" s="260">
        <f>SUMIFS(Tbl_Hull_Structure[Spread],Tbl_Hull_Structure[L from],"&lt;"&amp;Tbl_Load_distrib[[#This Row],[x]],Tbl_Hull_Structure[L to],"&gt;"&amp;C174)*Tbl_Load_distrib[[#This Row],[L_elt]]</f>
        <v>0</v>
      </c>
      <c r="F175" s="260">
        <f ca="1">SUMIFS(Tbl_Ballasts[Spread],Tbl_Ballasts[L from],"&lt;"&amp;Tbl_Load_distrib[[#This Row],[x]],Tbl_Ballasts[L to],"&gt;"&amp;C174)*Tbl_Load_distrib[[#This Row],[L_elt]]</f>
        <v>0</v>
      </c>
      <c r="G175" s="260">
        <f>SUMIFS(Tbl_Lifting[Spread],Tbl_Lifting[L from],"&lt;"&amp;Tbl_Load_distrib[[#This Row],[x]],Tbl_Lifting[L to],"&gt;"&amp;C174)*Tbl_Load_distrib[[#This Row],[L_elt]]</f>
        <v>0</v>
      </c>
      <c r="H175" s="260">
        <f>SUMIFS(Tbl_Additionals[Spread],Tbl_Additionals[L from],"&lt;"&amp;Tbl_Load_distrib[[#This Row],[x]],Tbl_Additionals[L to],"&gt;"&amp;C174)*Tbl_Load_distrib[[#This Row],[L_elt]]</f>
        <v>0</v>
      </c>
      <c r="I175" s="260">
        <f ca="1">SUMIFS(Tbl_Deck_Tank[Spread],Tbl_Deck_Tank[L from],"&lt;"&amp;Tbl_Load_distrib[[#This Row],[x]],Tbl_Deck_Tank[L to],"&gt;"&amp;C174)*Tbl_Load_distrib[[#This Row],[L_elt]]</f>
        <v>0</v>
      </c>
      <c r="J175" s="137"/>
      <c r="K175" s="165" t="e">
        <f>IFERROR(Tbl_Long_Section[[#This Row],[H Deck-Bottom]],NA())</f>
        <v>#N/A</v>
      </c>
      <c r="L175" s="829" t="e">
        <f>M_depth-Tbl_Load_distrib[[#This Row],[H Deck-Bottom]]</f>
        <v>#N/A</v>
      </c>
      <c r="M175" s="929">
        <f>IFERROR(Tbl_Load_distrib[[#This Row],[x]]-C174,0)</f>
        <v>0</v>
      </c>
      <c r="N175" s="929" t="e">
        <f>IF(ISNA(Tbl_Load_distrib[[#This Row],[x]]),NA(),IF(ISTEXT(N174),0,IF(N174=0,$Z$3,N174-($Z$3-$AA$3)/(Lpp-FE_size)*Tbl_Load_distrib[[#This Row],[L_elt]])))</f>
        <v>#N/A</v>
      </c>
      <c r="O175" s="166" t="e">
        <f ca="1">IF(ISNUMBER(O174),(IF((N174-L174)&lt;0,0,N174-L174)+IF((Tbl_Load_distrib[[#This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75" s="929" t="e">
        <f>IF(ISNA(Tbl_Load_distrib[[#This Row],[x]]),NA(),IF(ISTEXT(P174),0,IF(P174=0,LongSection_DraftAft,P174-(LongSection_DraftAft-LongSection_DraftFore)/(Lpp-FE_size)*Tbl_Load_distrib[[#This Row],[L_elt]])))</f>
        <v>#N/A</v>
      </c>
      <c r="Q175" s="166" t="e">
        <f ca="1">IF(ISNUMBER(Q174),(IF((P174-L174)&lt;0,0,P174-L174)+IF((Tbl_Load_distrib[[#This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75" s="167" t="e">
        <f ca="1">ρ_sw*Tbl_Load_distrib[[#This Row],[Elt Area corrected]]*B/k_depl</f>
        <v>#N/A</v>
      </c>
      <c r="S175" s="167" t="e">
        <f ca="1">Tbl_Load_distrib[[#This Row],[Section Weight]]-Tbl_Load_distrib[[#This Row],[Floating Elt]]</f>
        <v>#N/A</v>
      </c>
      <c r="T175" s="183" t="e">
        <f ca="1">IF(ISTEXT($T174),0,$T174+Tbl_Load_distrib[[#This Row],[Net force / Elt]])</f>
        <v>#N/A</v>
      </c>
      <c r="U175" s="261" t="e">
        <f ca="1">IF(ISTEXT($U174),0,$U174+Tbl_Load_distrib[[#This Row],[Shearing Force]]*Tbl_Load_distrib[[#This Row],[L_elt]])</f>
        <v>#N/A</v>
      </c>
    </row>
    <row r="176" spans="2:21" x14ac:dyDescent="0.25">
      <c r="B176" s="136" t="e">
        <f t="shared" si="5"/>
        <v>#N/A</v>
      </c>
      <c r="C176" s="139" t="e">
        <f t="shared" si="6"/>
        <v>#N/A</v>
      </c>
      <c r="D176" s="152">
        <f ca="1">SUM(Tbl_Load_distrib[[#This Row],[Hull &amp; Structure]:[Reserved]])</f>
        <v>0</v>
      </c>
      <c r="E176" s="260">
        <f>SUMIFS(Tbl_Hull_Structure[Spread],Tbl_Hull_Structure[L from],"&lt;"&amp;Tbl_Load_distrib[[#This Row],[x]],Tbl_Hull_Structure[L to],"&gt;"&amp;C175)*Tbl_Load_distrib[[#This Row],[L_elt]]</f>
        <v>0</v>
      </c>
      <c r="F176" s="260">
        <f ca="1">SUMIFS(Tbl_Ballasts[Spread],Tbl_Ballasts[L from],"&lt;"&amp;Tbl_Load_distrib[[#This Row],[x]],Tbl_Ballasts[L to],"&gt;"&amp;C175)*Tbl_Load_distrib[[#This Row],[L_elt]]</f>
        <v>0</v>
      </c>
      <c r="G176" s="260">
        <f>SUMIFS(Tbl_Lifting[Spread],Tbl_Lifting[L from],"&lt;"&amp;Tbl_Load_distrib[[#This Row],[x]],Tbl_Lifting[L to],"&gt;"&amp;C175)*Tbl_Load_distrib[[#This Row],[L_elt]]</f>
        <v>0</v>
      </c>
      <c r="H176" s="260">
        <f>SUMIFS(Tbl_Additionals[Spread],Tbl_Additionals[L from],"&lt;"&amp;Tbl_Load_distrib[[#This Row],[x]],Tbl_Additionals[L to],"&gt;"&amp;C175)*Tbl_Load_distrib[[#This Row],[L_elt]]</f>
        <v>0</v>
      </c>
      <c r="I176" s="260">
        <f ca="1">SUMIFS(Tbl_Deck_Tank[Spread],Tbl_Deck_Tank[L from],"&lt;"&amp;Tbl_Load_distrib[[#This Row],[x]],Tbl_Deck_Tank[L to],"&gt;"&amp;C175)*Tbl_Load_distrib[[#This Row],[L_elt]]</f>
        <v>0</v>
      </c>
      <c r="J176" s="137"/>
      <c r="K176" s="165" t="e">
        <f>IFERROR(Tbl_Long_Section[[#This Row],[H Deck-Bottom]],NA())</f>
        <v>#N/A</v>
      </c>
      <c r="L176" s="829" t="e">
        <f>M_depth-Tbl_Load_distrib[[#This Row],[H Deck-Bottom]]</f>
        <v>#N/A</v>
      </c>
      <c r="M176" s="929">
        <f>IFERROR(Tbl_Load_distrib[[#This Row],[x]]-C175,0)</f>
        <v>0</v>
      </c>
      <c r="N176" s="929" t="e">
        <f>IF(ISNA(Tbl_Load_distrib[[#This Row],[x]]),NA(),IF(ISTEXT(N175),0,IF(N175=0,$Z$3,N175-($Z$3-$AA$3)/(Lpp-FE_size)*Tbl_Load_distrib[[#This Row],[L_elt]])))</f>
        <v>#N/A</v>
      </c>
      <c r="O176" s="166" t="e">
        <f ca="1">IF(ISNUMBER(O175),(IF((N175-L175)&lt;0,0,N175-L175)+IF((Tbl_Load_distrib[[#This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76" s="929" t="e">
        <f>IF(ISNA(Tbl_Load_distrib[[#This Row],[x]]),NA(),IF(ISTEXT(P175),0,IF(P175=0,LongSection_DraftAft,P175-(LongSection_DraftAft-LongSection_DraftFore)/(Lpp-FE_size)*Tbl_Load_distrib[[#This Row],[L_elt]])))</f>
        <v>#N/A</v>
      </c>
      <c r="Q176" s="166" t="e">
        <f ca="1">IF(ISNUMBER(Q175),(IF((P175-L175)&lt;0,0,P175-L175)+IF((Tbl_Load_distrib[[#This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76" s="167" t="e">
        <f ca="1">ρ_sw*Tbl_Load_distrib[[#This Row],[Elt Area corrected]]*B/k_depl</f>
        <v>#N/A</v>
      </c>
      <c r="S176" s="167" t="e">
        <f ca="1">Tbl_Load_distrib[[#This Row],[Section Weight]]-Tbl_Load_distrib[[#This Row],[Floating Elt]]</f>
        <v>#N/A</v>
      </c>
      <c r="T176" s="183" t="e">
        <f ca="1">IF(ISTEXT($T175),0,$T175+Tbl_Load_distrib[[#This Row],[Net force / Elt]])</f>
        <v>#N/A</v>
      </c>
      <c r="U176" s="261" t="e">
        <f ca="1">IF(ISTEXT($U175),0,$U175+Tbl_Load_distrib[[#This Row],[Shearing Force]]*Tbl_Load_distrib[[#This Row],[L_elt]])</f>
        <v>#N/A</v>
      </c>
    </row>
    <row r="177" spans="2:21" x14ac:dyDescent="0.25">
      <c r="B177" s="136" t="e">
        <f t="shared" si="5"/>
        <v>#N/A</v>
      </c>
      <c r="C177" s="139" t="e">
        <f t="shared" si="6"/>
        <v>#N/A</v>
      </c>
      <c r="D177" s="152">
        <f ca="1">SUM(Tbl_Load_distrib[[#This Row],[Hull &amp; Structure]:[Reserved]])</f>
        <v>0</v>
      </c>
      <c r="E177" s="260">
        <f>SUMIFS(Tbl_Hull_Structure[Spread],Tbl_Hull_Structure[L from],"&lt;"&amp;Tbl_Load_distrib[[#This Row],[x]],Tbl_Hull_Structure[L to],"&gt;"&amp;C176)*Tbl_Load_distrib[[#This Row],[L_elt]]</f>
        <v>0</v>
      </c>
      <c r="F177" s="260">
        <f ca="1">SUMIFS(Tbl_Ballasts[Spread],Tbl_Ballasts[L from],"&lt;"&amp;Tbl_Load_distrib[[#This Row],[x]],Tbl_Ballasts[L to],"&gt;"&amp;C176)*Tbl_Load_distrib[[#This Row],[L_elt]]</f>
        <v>0</v>
      </c>
      <c r="G177" s="260">
        <f>SUMIFS(Tbl_Lifting[Spread],Tbl_Lifting[L from],"&lt;"&amp;Tbl_Load_distrib[[#This Row],[x]],Tbl_Lifting[L to],"&gt;"&amp;C176)*Tbl_Load_distrib[[#This Row],[L_elt]]</f>
        <v>0</v>
      </c>
      <c r="H177" s="260">
        <f>SUMIFS(Tbl_Additionals[Spread],Tbl_Additionals[L from],"&lt;"&amp;Tbl_Load_distrib[[#This Row],[x]],Tbl_Additionals[L to],"&gt;"&amp;C176)*Tbl_Load_distrib[[#This Row],[L_elt]]</f>
        <v>0</v>
      </c>
      <c r="I177" s="260">
        <f ca="1">SUMIFS(Tbl_Deck_Tank[Spread],Tbl_Deck_Tank[L from],"&lt;"&amp;Tbl_Load_distrib[[#This Row],[x]],Tbl_Deck_Tank[L to],"&gt;"&amp;C176)*Tbl_Load_distrib[[#This Row],[L_elt]]</f>
        <v>0</v>
      </c>
      <c r="J177" s="137"/>
      <c r="K177" s="165" t="e">
        <f>IFERROR(Tbl_Long_Section[[#This Row],[H Deck-Bottom]],NA())</f>
        <v>#N/A</v>
      </c>
      <c r="L177" s="829" t="e">
        <f>M_depth-Tbl_Load_distrib[[#This Row],[H Deck-Bottom]]</f>
        <v>#N/A</v>
      </c>
      <c r="M177" s="929">
        <f>IFERROR(Tbl_Load_distrib[[#This Row],[x]]-C176,0)</f>
        <v>0</v>
      </c>
      <c r="N177" s="929" t="e">
        <f>IF(ISNA(Tbl_Load_distrib[[#This Row],[x]]),NA(),IF(ISTEXT(N176),0,IF(N176=0,$Z$3,N176-($Z$3-$AA$3)/(Lpp-FE_size)*Tbl_Load_distrib[[#This Row],[L_elt]])))</f>
        <v>#N/A</v>
      </c>
      <c r="O177" s="166" t="e">
        <f ca="1">IF(ISNUMBER(O176),(IF((N176-L176)&lt;0,0,N176-L176)+IF((Tbl_Load_distrib[[#This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77" s="929" t="e">
        <f>IF(ISNA(Tbl_Load_distrib[[#This Row],[x]]),NA(),IF(ISTEXT(P176),0,IF(P176=0,LongSection_DraftAft,P176-(LongSection_DraftAft-LongSection_DraftFore)/(Lpp-FE_size)*Tbl_Load_distrib[[#This Row],[L_elt]])))</f>
        <v>#N/A</v>
      </c>
      <c r="Q177" s="166" t="e">
        <f ca="1">IF(ISNUMBER(Q176),(IF((P176-L176)&lt;0,0,P176-L176)+IF((Tbl_Load_distrib[[#This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77" s="167" t="e">
        <f ca="1">ρ_sw*Tbl_Load_distrib[[#This Row],[Elt Area corrected]]*B/k_depl</f>
        <v>#N/A</v>
      </c>
      <c r="S177" s="167" t="e">
        <f ca="1">Tbl_Load_distrib[[#This Row],[Section Weight]]-Tbl_Load_distrib[[#This Row],[Floating Elt]]</f>
        <v>#N/A</v>
      </c>
      <c r="T177" s="183" t="e">
        <f ca="1">IF(ISTEXT($T176),0,$T176+Tbl_Load_distrib[[#This Row],[Net force / Elt]])</f>
        <v>#N/A</v>
      </c>
      <c r="U177" s="261" t="e">
        <f ca="1">IF(ISTEXT($U176),0,$U176+Tbl_Load_distrib[[#This Row],[Shearing Force]]*Tbl_Load_distrib[[#This Row],[L_elt]])</f>
        <v>#N/A</v>
      </c>
    </row>
    <row r="178" spans="2:21" x14ac:dyDescent="0.25">
      <c r="B178" s="136" t="e">
        <f t="shared" si="5"/>
        <v>#N/A</v>
      </c>
      <c r="C178" s="139" t="e">
        <f t="shared" si="6"/>
        <v>#N/A</v>
      </c>
      <c r="D178" s="152">
        <f ca="1">SUM(Tbl_Load_distrib[[#This Row],[Hull &amp; Structure]:[Reserved]])</f>
        <v>0</v>
      </c>
      <c r="E178" s="260">
        <f>SUMIFS(Tbl_Hull_Structure[Spread],Tbl_Hull_Structure[L from],"&lt;"&amp;Tbl_Load_distrib[[#This Row],[x]],Tbl_Hull_Structure[L to],"&gt;"&amp;C177)*Tbl_Load_distrib[[#This Row],[L_elt]]</f>
        <v>0</v>
      </c>
      <c r="F178" s="260">
        <f ca="1">SUMIFS(Tbl_Ballasts[Spread],Tbl_Ballasts[L from],"&lt;"&amp;Tbl_Load_distrib[[#This Row],[x]],Tbl_Ballasts[L to],"&gt;"&amp;C177)*Tbl_Load_distrib[[#This Row],[L_elt]]</f>
        <v>0</v>
      </c>
      <c r="G178" s="260">
        <f>SUMIFS(Tbl_Lifting[Spread],Tbl_Lifting[L from],"&lt;"&amp;Tbl_Load_distrib[[#This Row],[x]],Tbl_Lifting[L to],"&gt;"&amp;C177)*Tbl_Load_distrib[[#This Row],[L_elt]]</f>
        <v>0</v>
      </c>
      <c r="H178" s="260">
        <f>SUMIFS(Tbl_Additionals[Spread],Tbl_Additionals[L from],"&lt;"&amp;Tbl_Load_distrib[[#This Row],[x]],Tbl_Additionals[L to],"&gt;"&amp;C177)*Tbl_Load_distrib[[#This Row],[L_elt]]</f>
        <v>0</v>
      </c>
      <c r="I178" s="260">
        <f ca="1">SUMIFS(Tbl_Deck_Tank[Spread],Tbl_Deck_Tank[L from],"&lt;"&amp;Tbl_Load_distrib[[#This Row],[x]],Tbl_Deck_Tank[L to],"&gt;"&amp;C177)*Tbl_Load_distrib[[#This Row],[L_elt]]</f>
        <v>0</v>
      </c>
      <c r="J178" s="137"/>
      <c r="K178" s="165" t="e">
        <f>IFERROR(Tbl_Long_Section[[#This Row],[H Deck-Bottom]],NA())</f>
        <v>#N/A</v>
      </c>
      <c r="L178" s="829" t="e">
        <f>M_depth-Tbl_Load_distrib[[#This Row],[H Deck-Bottom]]</f>
        <v>#N/A</v>
      </c>
      <c r="M178" s="929">
        <f>IFERROR(Tbl_Load_distrib[[#This Row],[x]]-C177,0)</f>
        <v>0</v>
      </c>
      <c r="N178" s="929" t="e">
        <f>IF(ISNA(Tbl_Load_distrib[[#This Row],[x]]),NA(),IF(ISTEXT(N177),0,IF(N177=0,$Z$3,N177-($Z$3-$AA$3)/(Lpp-FE_size)*Tbl_Load_distrib[[#This Row],[L_elt]])))</f>
        <v>#N/A</v>
      </c>
      <c r="O178" s="166" t="e">
        <f ca="1">IF(ISNUMBER(O177),(IF((N177-L177)&lt;0,0,N177-L177)+IF((Tbl_Load_distrib[[#This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78" s="929" t="e">
        <f>IF(ISNA(Tbl_Load_distrib[[#This Row],[x]]),NA(),IF(ISTEXT(P177),0,IF(P177=0,LongSection_DraftAft,P177-(LongSection_DraftAft-LongSection_DraftFore)/(Lpp-FE_size)*Tbl_Load_distrib[[#This Row],[L_elt]])))</f>
        <v>#N/A</v>
      </c>
      <c r="Q178" s="166" t="e">
        <f ca="1">IF(ISNUMBER(Q177),(IF((P177-L177)&lt;0,0,P177-L177)+IF((Tbl_Load_distrib[[#This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78" s="167" t="e">
        <f ca="1">ρ_sw*Tbl_Load_distrib[[#This Row],[Elt Area corrected]]*B/k_depl</f>
        <v>#N/A</v>
      </c>
      <c r="S178" s="167" t="e">
        <f ca="1">Tbl_Load_distrib[[#This Row],[Section Weight]]-Tbl_Load_distrib[[#This Row],[Floating Elt]]</f>
        <v>#N/A</v>
      </c>
      <c r="T178" s="183" t="e">
        <f ca="1">IF(ISTEXT($T177),0,$T177+Tbl_Load_distrib[[#This Row],[Net force / Elt]])</f>
        <v>#N/A</v>
      </c>
      <c r="U178" s="261" t="e">
        <f ca="1">IF(ISTEXT($U177),0,$U177+Tbl_Load_distrib[[#This Row],[Shearing Force]]*Tbl_Load_distrib[[#This Row],[L_elt]])</f>
        <v>#N/A</v>
      </c>
    </row>
    <row r="179" spans="2:21" x14ac:dyDescent="0.25">
      <c r="B179" s="136" t="e">
        <f t="shared" si="5"/>
        <v>#N/A</v>
      </c>
      <c r="C179" s="139" t="e">
        <f t="shared" si="6"/>
        <v>#N/A</v>
      </c>
      <c r="D179" s="152">
        <f ca="1">SUM(Tbl_Load_distrib[[#This Row],[Hull &amp; Structure]:[Reserved]])</f>
        <v>0</v>
      </c>
      <c r="E179" s="260">
        <f>SUMIFS(Tbl_Hull_Structure[Spread],Tbl_Hull_Structure[L from],"&lt;"&amp;Tbl_Load_distrib[[#This Row],[x]],Tbl_Hull_Structure[L to],"&gt;"&amp;C178)*Tbl_Load_distrib[[#This Row],[L_elt]]</f>
        <v>0</v>
      </c>
      <c r="F179" s="260">
        <f ca="1">SUMIFS(Tbl_Ballasts[Spread],Tbl_Ballasts[L from],"&lt;"&amp;Tbl_Load_distrib[[#This Row],[x]],Tbl_Ballasts[L to],"&gt;"&amp;C178)*Tbl_Load_distrib[[#This Row],[L_elt]]</f>
        <v>0</v>
      </c>
      <c r="G179" s="260">
        <f>SUMIFS(Tbl_Lifting[Spread],Tbl_Lifting[L from],"&lt;"&amp;Tbl_Load_distrib[[#This Row],[x]],Tbl_Lifting[L to],"&gt;"&amp;C178)*Tbl_Load_distrib[[#This Row],[L_elt]]</f>
        <v>0</v>
      </c>
      <c r="H179" s="260">
        <f>SUMIFS(Tbl_Additionals[Spread],Tbl_Additionals[L from],"&lt;"&amp;Tbl_Load_distrib[[#This Row],[x]],Tbl_Additionals[L to],"&gt;"&amp;C178)*Tbl_Load_distrib[[#This Row],[L_elt]]</f>
        <v>0</v>
      </c>
      <c r="I179" s="260">
        <f ca="1">SUMIFS(Tbl_Deck_Tank[Spread],Tbl_Deck_Tank[L from],"&lt;"&amp;Tbl_Load_distrib[[#This Row],[x]],Tbl_Deck_Tank[L to],"&gt;"&amp;C178)*Tbl_Load_distrib[[#This Row],[L_elt]]</f>
        <v>0</v>
      </c>
      <c r="J179" s="137"/>
      <c r="K179" s="165" t="e">
        <f>IFERROR(Tbl_Long_Section[[#This Row],[H Deck-Bottom]],NA())</f>
        <v>#N/A</v>
      </c>
      <c r="L179" s="829" t="e">
        <f>M_depth-Tbl_Load_distrib[[#This Row],[H Deck-Bottom]]</f>
        <v>#N/A</v>
      </c>
      <c r="M179" s="929">
        <f>IFERROR(Tbl_Load_distrib[[#This Row],[x]]-C178,0)</f>
        <v>0</v>
      </c>
      <c r="N179" s="929" t="e">
        <f>IF(ISNA(Tbl_Load_distrib[[#This Row],[x]]),NA(),IF(ISTEXT(N178),0,IF(N178=0,$Z$3,N178-($Z$3-$AA$3)/(Lpp-FE_size)*Tbl_Load_distrib[[#This Row],[L_elt]])))</f>
        <v>#N/A</v>
      </c>
      <c r="O179" s="166" t="e">
        <f ca="1">IF(ISNUMBER(O178),(IF((N178-L178)&lt;0,0,N178-L178)+IF((Tbl_Load_distrib[[#This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79" s="929" t="e">
        <f>IF(ISNA(Tbl_Load_distrib[[#This Row],[x]]),NA(),IF(ISTEXT(P178),0,IF(P178=0,LongSection_DraftAft,P178-(LongSection_DraftAft-LongSection_DraftFore)/(Lpp-FE_size)*Tbl_Load_distrib[[#This Row],[L_elt]])))</f>
        <v>#N/A</v>
      </c>
      <c r="Q179" s="166" t="e">
        <f ca="1">IF(ISNUMBER(Q178),(IF((P178-L178)&lt;0,0,P178-L178)+IF((Tbl_Load_distrib[[#This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79" s="167" t="e">
        <f ca="1">ρ_sw*Tbl_Load_distrib[[#This Row],[Elt Area corrected]]*B/k_depl</f>
        <v>#N/A</v>
      </c>
      <c r="S179" s="167" t="e">
        <f ca="1">Tbl_Load_distrib[[#This Row],[Section Weight]]-Tbl_Load_distrib[[#This Row],[Floating Elt]]</f>
        <v>#N/A</v>
      </c>
      <c r="T179" s="183" t="e">
        <f ca="1">IF(ISTEXT($T178),0,$T178+Tbl_Load_distrib[[#This Row],[Net force / Elt]])</f>
        <v>#N/A</v>
      </c>
      <c r="U179" s="261" t="e">
        <f ca="1">IF(ISTEXT($U178),0,$U178+Tbl_Load_distrib[[#This Row],[Shearing Force]]*Tbl_Load_distrib[[#This Row],[L_elt]])</f>
        <v>#N/A</v>
      </c>
    </row>
    <row r="180" spans="2:21" x14ac:dyDescent="0.25">
      <c r="B180" s="136" t="e">
        <f t="shared" si="5"/>
        <v>#N/A</v>
      </c>
      <c r="C180" s="139" t="e">
        <f t="shared" si="6"/>
        <v>#N/A</v>
      </c>
      <c r="D180" s="152">
        <f ca="1">SUM(Tbl_Load_distrib[[#This Row],[Hull &amp; Structure]:[Reserved]])</f>
        <v>0</v>
      </c>
      <c r="E180" s="260">
        <f>SUMIFS(Tbl_Hull_Structure[Spread],Tbl_Hull_Structure[L from],"&lt;"&amp;Tbl_Load_distrib[[#This Row],[x]],Tbl_Hull_Structure[L to],"&gt;"&amp;C179)*Tbl_Load_distrib[[#This Row],[L_elt]]</f>
        <v>0</v>
      </c>
      <c r="F180" s="260">
        <f ca="1">SUMIFS(Tbl_Ballasts[Spread],Tbl_Ballasts[L from],"&lt;"&amp;Tbl_Load_distrib[[#This Row],[x]],Tbl_Ballasts[L to],"&gt;"&amp;C179)*Tbl_Load_distrib[[#This Row],[L_elt]]</f>
        <v>0</v>
      </c>
      <c r="G180" s="260">
        <f>SUMIFS(Tbl_Lifting[Spread],Tbl_Lifting[L from],"&lt;"&amp;Tbl_Load_distrib[[#This Row],[x]],Tbl_Lifting[L to],"&gt;"&amp;C179)*Tbl_Load_distrib[[#This Row],[L_elt]]</f>
        <v>0</v>
      </c>
      <c r="H180" s="260">
        <f>SUMIFS(Tbl_Additionals[Spread],Tbl_Additionals[L from],"&lt;"&amp;Tbl_Load_distrib[[#This Row],[x]],Tbl_Additionals[L to],"&gt;"&amp;C179)*Tbl_Load_distrib[[#This Row],[L_elt]]</f>
        <v>0</v>
      </c>
      <c r="I180" s="260">
        <f ca="1">SUMIFS(Tbl_Deck_Tank[Spread],Tbl_Deck_Tank[L from],"&lt;"&amp;Tbl_Load_distrib[[#This Row],[x]],Tbl_Deck_Tank[L to],"&gt;"&amp;C179)*Tbl_Load_distrib[[#This Row],[L_elt]]</f>
        <v>0</v>
      </c>
      <c r="J180" s="137"/>
      <c r="K180" s="165" t="e">
        <f>IFERROR(Tbl_Long_Section[[#This Row],[H Deck-Bottom]],NA())</f>
        <v>#N/A</v>
      </c>
      <c r="L180" s="829" t="e">
        <f>M_depth-Tbl_Load_distrib[[#This Row],[H Deck-Bottom]]</f>
        <v>#N/A</v>
      </c>
      <c r="M180" s="929">
        <f>IFERROR(Tbl_Load_distrib[[#This Row],[x]]-C179,0)</f>
        <v>0</v>
      </c>
      <c r="N180" s="929" t="e">
        <f>IF(ISNA(Tbl_Load_distrib[[#This Row],[x]]),NA(),IF(ISTEXT(N179),0,IF(N179=0,$Z$3,N179-($Z$3-$AA$3)/(Lpp-FE_size)*Tbl_Load_distrib[[#This Row],[L_elt]])))</f>
        <v>#N/A</v>
      </c>
      <c r="O180" s="166" t="e">
        <f ca="1">IF(ISNUMBER(O179),(IF((N179-L179)&lt;0,0,N179-L179)+IF((Tbl_Load_distrib[[#This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80" s="929" t="e">
        <f>IF(ISNA(Tbl_Load_distrib[[#This Row],[x]]),NA(),IF(ISTEXT(P179),0,IF(P179=0,LongSection_DraftAft,P179-(LongSection_DraftAft-LongSection_DraftFore)/(Lpp-FE_size)*Tbl_Load_distrib[[#This Row],[L_elt]])))</f>
        <v>#N/A</v>
      </c>
      <c r="Q180" s="166" t="e">
        <f ca="1">IF(ISNUMBER(Q179),(IF((P179-L179)&lt;0,0,P179-L179)+IF((Tbl_Load_distrib[[#This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80" s="167" t="e">
        <f ca="1">ρ_sw*Tbl_Load_distrib[[#This Row],[Elt Area corrected]]*B/k_depl</f>
        <v>#N/A</v>
      </c>
      <c r="S180" s="167" t="e">
        <f ca="1">Tbl_Load_distrib[[#This Row],[Section Weight]]-Tbl_Load_distrib[[#This Row],[Floating Elt]]</f>
        <v>#N/A</v>
      </c>
      <c r="T180" s="183" t="e">
        <f ca="1">IF(ISTEXT($T179),0,$T179+Tbl_Load_distrib[[#This Row],[Net force / Elt]])</f>
        <v>#N/A</v>
      </c>
      <c r="U180" s="261" t="e">
        <f ca="1">IF(ISTEXT($U179),0,$U179+Tbl_Load_distrib[[#This Row],[Shearing Force]]*Tbl_Load_distrib[[#This Row],[L_elt]])</f>
        <v>#N/A</v>
      </c>
    </row>
    <row r="181" spans="2:21" x14ac:dyDescent="0.25">
      <c r="B181" s="136" t="e">
        <f t="shared" si="5"/>
        <v>#N/A</v>
      </c>
      <c r="C181" s="139" t="e">
        <f t="shared" si="6"/>
        <v>#N/A</v>
      </c>
      <c r="D181" s="152">
        <f ca="1">SUM(Tbl_Load_distrib[[#This Row],[Hull &amp; Structure]:[Reserved]])</f>
        <v>0</v>
      </c>
      <c r="E181" s="260">
        <f>SUMIFS(Tbl_Hull_Structure[Spread],Tbl_Hull_Structure[L from],"&lt;"&amp;Tbl_Load_distrib[[#This Row],[x]],Tbl_Hull_Structure[L to],"&gt;"&amp;C180)*Tbl_Load_distrib[[#This Row],[L_elt]]</f>
        <v>0</v>
      </c>
      <c r="F181" s="260">
        <f ca="1">SUMIFS(Tbl_Ballasts[Spread],Tbl_Ballasts[L from],"&lt;"&amp;Tbl_Load_distrib[[#This Row],[x]],Tbl_Ballasts[L to],"&gt;"&amp;C180)*Tbl_Load_distrib[[#This Row],[L_elt]]</f>
        <v>0</v>
      </c>
      <c r="G181" s="260">
        <f>SUMIFS(Tbl_Lifting[Spread],Tbl_Lifting[L from],"&lt;"&amp;Tbl_Load_distrib[[#This Row],[x]],Tbl_Lifting[L to],"&gt;"&amp;C180)*Tbl_Load_distrib[[#This Row],[L_elt]]</f>
        <v>0</v>
      </c>
      <c r="H181" s="260">
        <f>SUMIFS(Tbl_Additionals[Spread],Tbl_Additionals[L from],"&lt;"&amp;Tbl_Load_distrib[[#This Row],[x]],Tbl_Additionals[L to],"&gt;"&amp;C180)*Tbl_Load_distrib[[#This Row],[L_elt]]</f>
        <v>0</v>
      </c>
      <c r="I181" s="260">
        <f ca="1">SUMIFS(Tbl_Deck_Tank[Spread],Tbl_Deck_Tank[L from],"&lt;"&amp;Tbl_Load_distrib[[#This Row],[x]],Tbl_Deck_Tank[L to],"&gt;"&amp;C180)*Tbl_Load_distrib[[#This Row],[L_elt]]</f>
        <v>0</v>
      </c>
      <c r="J181" s="137"/>
      <c r="K181" s="165" t="e">
        <f>IFERROR(Tbl_Long_Section[[#This Row],[H Deck-Bottom]],NA())</f>
        <v>#N/A</v>
      </c>
      <c r="L181" s="829" t="e">
        <f>M_depth-Tbl_Load_distrib[[#This Row],[H Deck-Bottom]]</f>
        <v>#N/A</v>
      </c>
      <c r="M181" s="929">
        <f>IFERROR(Tbl_Load_distrib[[#This Row],[x]]-C180,0)</f>
        <v>0</v>
      </c>
      <c r="N181" s="929" t="e">
        <f>IF(ISNA(Tbl_Load_distrib[[#This Row],[x]]),NA(),IF(ISTEXT(N180),0,IF(N180=0,$Z$3,N180-($Z$3-$AA$3)/(Lpp-FE_size)*Tbl_Load_distrib[[#This Row],[L_elt]])))</f>
        <v>#N/A</v>
      </c>
      <c r="O181" s="166" t="e">
        <f ca="1">IF(ISNUMBER(O180),(IF((N180-L180)&lt;0,0,N180-L180)+IF((Tbl_Load_distrib[[#This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81" s="929" t="e">
        <f>IF(ISNA(Tbl_Load_distrib[[#This Row],[x]]),NA(),IF(ISTEXT(P180),0,IF(P180=0,LongSection_DraftAft,P180-(LongSection_DraftAft-LongSection_DraftFore)/(Lpp-FE_size)*Tbl_Load_distrib[[#This Row],[L_elt]])))</f>
        <v>#N/A</v>
      </c>
      <c r="Q181" s="166" t="e">
        <f ca="1">IF(ISNUMBER(Q180),(IF((P180-L180)&lt;0,0,P180-L180)+IF((Tbl_Load_distrib[[#This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81" s="167" t="e">
        <f ca="1">ρ_sw*Tbl_Load_distrib[[#This Row],[Elt Area corrected]]*B/k_depl</f>
        <v>#N/A</v>
      </c>
      <c r="S181" s="167" t="e">
        <f ca="1">Tbl_Load_distrib[[#This Row],[Section Weight]]-Tbl_Load_distrib[[#This Row],[Floating Elt]]</f>
        <v>#N/A</v>
      </c>
      <c r="T181" s="183" t="e">
        <f ca="1">IF(ISTEXT($T180),0,$T180+Tbl_Load_distrib[[#This Row],[Net force / Elt]])</f>
        <v>#N/A</v>
      </c>
      <c r="U181" s="261" t="e">
        <f ca="1">IF(ISTEXT($U180),0,$U180+Tbl_Load_distrib[[#This Row],[Shearing Force]]*Tbl_Load_distrib[[#This Row],[L_elt]])</f>
        <v>#N/A</v>
      </c>
    </row>
    <row r="182" spans="2:21" x14ac:dyDescent="0.25">
      <c r="B182" s="136" t="e">
        <f t="shared" si="5"/>
        <v>#N/A</v>
      </c>
      <c r="C182" s="139" t="e">
        <f t="shared" si="6"/>
        <v>#N/A</v>
      </c>
      <c r="D182" s="152">
        <f ca="1">SUM(Tbl_Load_distrib[[#This Row],[Hull &amp; Structure]:[Reserved]])</f>
        <v>0</v>
      </c>
      <c r="E182" s="260">
        <f>SUMIFS(Tbl_Hull_Structure[Spread],Tbl_Hull_Structure[L from],"&lt;"&amp;Tbl_Load_distrib[[#This Row],[x]],Tbl_Hull_Structure[L to],"&gt;"&amp;C181)*Tbl_Load_distrib[[#This Row],[L_elt]]</f>
        <v>0</v>
      </c>
      <c r="F182" s="260">
        <f ca="1">SUMIFS(Tbl_Ballasts[Spread],Tbl_Ballasts[L from],"&lt;"&amp;Tbl_Load_distrib[[#This Row],[x]],Tbl_Ballasts[L to],"&gt;"&amp;C181)*Tbl_Load_distrib[[#This Row],[L_elt]]</f>
        <v>0</v>
      </c>
      <c r="G182" s="260">
        <f>SUMIFS(Tbl_Lifting[Spread],Tbl_Lifting[L from],"&lt;"&amp;Tbl_Load_distrib[[#This Row],[x]],Tbl_Lifting[L to],"&gt;"&amp;C181)*Tbl_Load_distrib[[#This Row],[L_elt]]</f>
        <v>0</v>
      </c>
      <c r="H182" s="260">
        <f>SUMIFS(Tbl_Additionals[Spread],Tbl_Additionals[L from],"&lt;"&amp;Tbl_Load_distrib[[#This Row],[x]],Tbl_Additionals[L to],"&gt;"&amp;C181)*Tbl_Load_distrib[[#This Row],[L_elt]]</f>
        <v>0</v>
      </c>
      <c r="I182" s="260">
        <f ca="1">SUMIFS(Tbl_Deck_Tank[Spread],Tbl_Deck_Tank[L from],"&lt;"&amp;Tbl_Load_distrib[[#This Row],[x]],Tbl_Deck_Tank[L to],"&gt;"&amp;C181)*Tbl_Load_distrib[[#This Row],[L_elt]]</f>
        <v>0</v>
      </c>
      <c r="J182" s="137"/>
      <c r="K182" s="165" t="e">
        <f>IFERROR(Tbl_Long_Section[[#This Row],[H Deck-Bottom]],NA())</f>
        <v>#N/A</v>
      </c>
      <c r="L182" s="829" t="e">
        <f>M_depth-Tbl_Load_distrib[[#This Row],[H Deck-Bottom]]</f>
        <v>#N/A</v>
      </c>
      <c r="M182" s="929">
        <f>IFERROR(Tbl_Load_distrib[[#This Row],[x]]-C181,0)</f>
        <v>0</v>
      </c>
      <c r="N182" s="929" t="e">
        <f>IF(ISNA(Tbl_Load_distrib[[#This Row],[x]]),NA(),IF(ISTEXT(N181),0,IF(N181=0,$Z$3,N181-($Z$3-$AA$3)/(Lpp-FE_size)*Tbl_Load_distrib[[#This Row],[L_elt]])))</f>
        <v>#N/A</v>
      </c>
      <c r="O182" s="166" t="e">
        <f ca="1">IF(ISNUMBER(O181),(IF((N181-L181)&lt;0,0,N181-L181)+IF((Tbl_Load_distrib[[#This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82" s="929" t="e">
        <f>IF(ISNA(Tbl_Load_distrib[[#This Row],[x]]),NA(),IF(ISTEXT(P181),0,IF(P181=0,LongSection_DraftAft,P181-(LongSection_DraftAft-LongSection_DraftFore)/(Lpp-FE_size)*Tbl_Load_distrib[[#This Row],[L_elt]])))</f>
        <v>#N/A</v>
      </c>
      <c r="Q182" s="166" t="e">
        <f ca="1">IF(ISNUMBER(Q181),(IF((P181-L181)&lt;0,0,P181-L181)+IF((Tbl_Load_distrib[[#This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82" s="167" t="e">
        <f ca="1">ρ_sw*Tbl_Load_distrib[[#This Row],[Elt Area corrected]]*B/k_depl</f>
        <v>#N/A</v>
      </c>
      <c r="S182" s="167" t="e">
        <f ca="1">Tbl_Load_distrib[[#This Row],[Section Weight]]-Tbl_Load_distrib[[#This Row],[Floating Elt]]</f>
        <v>#N/A</v>
      </c>
      <c r="T182" s="183" t="e">
        <f ca="1">IF(ISTEXT($T181),0,$T181+Tbl_Load_distrib[[#This Row],[Net force / Elt]])</f>
        <v>#N/A</v>
      </c>
      <c r="U182" s="261" t="e">
        <f ca="1">IF(ISTEXT($U181),0,$U181+Tbl_Load_distrib[[#This Row],[Shearing Force]]*Tbl_Load_distrib[[#This Row],[L_elt]])</f>
        <v>#N/A</v>
      </c>
    </row>
    <row r="183" spans="2:21" x14ac:dyDescent="0.25">
      <c r="B183" s="136" t="e">
        <f t="shared" si="5"/>
        <v>#N/A</v>
      </c>
      <c r="C183" s="139" t="e">
        <f t="shared" si="6"/>
        <v>#N/A</v>
      </c>
      <c r="D183" s="152">
        <f ca="1">SUM(Tbl_Load_distrib[[#This Row],[Hull &amp; Structure]:[Reserved]])</f>
        <v>0</v>
      </c>
      <c r="E183" s="260">
        <f>SUMIFS(Tbl_Hull_Structure[Spread],Tbl_Hull_Structure[L from],"&lt;"&amp;Tbl_Load_distrib[[#This Row],[x]],Tbl_Hull_Structure[L to],"&gt;"&amp;C182)*Tbl_Load_distrib[[#This Row],[L_elt]]</f>
        <v>0</v>
      </c>
      <c r="F183" s="260">
        <f ca="1">SUMIFS(Tbl_Ballasts[Spread],Tbl_Ballasts[L from],"&lt;"&amp;Tbl_Load_distrib[[#This Row],[x]],Tbl_Ballasts[L to],"&gt;"&amp;C182)*Tbl_Load_distrib[[#This Row],[L_elt]]</f>
        <v>0</v>
      </c>
      <c r="G183" s="260">
        <f>SUMIFS(Tbl_Lifting[Spread],Tbl_Lifting[L from],"&lt;"&amp;Tbl_Load_distrib[[#This Row],[x]],Tbl_Lifting[L to],"&gt;"&amp;C182)*Tbl_Load_distrib[[#This Row],[L_elt]]</f>
        <v>0</v>
      </c>
      <c r="H183" s="260">
        <f>SUMIFS(Tbl_Additionals[Spread],Tbl_Additionals[L from],"&lt;"&amp;Tbl_Load_distrib[[#This Row],[x]],Tbl_Additionals[L to],"&gt;"&amp;C182)*Tbl_Load_distrib[[#This Row],[L_elt]]</f>
        <v>0</v>
      </c>
      <c r="I183" s="260">
        <f ca="1">SUMIFS(Tbl_Deck_Tank[Spread],Tbl_Deck_Tank[L from],"&lt;"&amp;Tbl_Load_distrib[[#This Row],[x]],Tbl_Deck_Tank[L to],"&gt;"&amp;C182)*Tbl_Load_distrib[[#This Row],[L_elt]]</f>
        <v>0</v>
      </c>
      <c r="J183" s="137"/>
      <c r="K183" s="165" t="e">
        <f>IFERROR(Tbl_Long_Section[[#This Row],[H Deck-Bottom]],NA())</f>
        <v>#N/A</v>
      </c>
      <c r="L183" s="829" t="e">
        <f>M_depth-Tbl_Load_distrib[[#This Row],[H Deck-Bottom]]</f>
        <v>#N/A</v>
      </c>
      <c r="M183" s="929">
        <f>IFERROR(Tbl_Load_distrib[[#This Row],[x]]-C182,0)</f>
        <v>0</v>
      </c>
      <c r="N183" s="929" t="e">
        <f>IF(ISNA(Tbl_Load_distrib[[#This Row],[x]]),NA(),IF(ISTEXT(N182),0,IF(N182=0,$Z$3,N182-($Z$3-$AA$3)/(Lpp-FE_size)*Tbl_Load_distrib[[#This Row],[L_elt]])))</f>
        <v>#N/A</v>
      </c>
      <c r="O183" s="166" t="e">
        <f ca="1">IF(ISNUMBER(O182),(IF((N182-L182)&lt;0,0,N182-L182)+IF((Tbl_Load_distrib[[#This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83" s="929" t="e">
        <f>IF(ISNA(Tbl_Load_distrib[[#This Row],[x]]),NA(),IF(ISTEXT(P182),0,IF(P182=0,LongSection_DraftAft,P182-(LongSection_DraftAft-LongSection_DraftFore)/(Lpp-FE_size)*Tbl_Load_distrib[[#This Row],[L_elt]])))</f>
        <v>#N/A</v>
      </c>
      <c r="Q183" s="166" t="e">
        <f ca="1">IF(ISNUMBER(Q182),(IF((P182-L182)&lt;0,0,P182-L182)+IF((Tbl_Load_distrib[[#This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83" s="167" t="e">
        <f ca="1">ρ_sw*Tbl_Load_distrib[[#This Row],[Elt Area corrected]]*B/k_depl</f>
        <v>#N/A</v>
      </c>
      <c r="S183" s="167" t="e">
        <f ca="1">Tbl_Load_distrib[[#This Row],[Section Weight]]-Tbl_Load_distrib[[#This Row],[Floating Elt]]</f>
        <v>#N/A</v>
      </c>
      <c r="T183" s="183" t="e">
        <f ca="1">IF(ISTEXT($T182),0,$T182+Tbl_Load_distrib[[#This Row],[Net force / Elt]])</f>
        <v>#N/A</v>
      </c>
      <c r="U183" s="261" t="e">
        <f ca="1">IF(ISTEXT($U182),0,$U182+Tbl_Load_distrib[[#This Row],[Shearing Force]]*Tbl_Load_distrib[[#This Row],[L_elt]])</f>
        <v>#N/A</v>
      </c>
    </row>
    <row r="184" spans="2:21" x14ac:dyDescent="0.25">
      <c r="B184" s="136" t="e">
        <f t="shared" si="5"/>
        <v>#N/A</v>
      </c>
      <c r="C184" s="139" t="e">
        <f t="shared" si="6"/>
        <v>#N/A</v>
      </c>
      <c r="D184" s="152">
        <f ca="1">SUM(Tbl_Load_distrib[[#This Row],[Hull &amp; Structure]:[Reserved]])</f>
        <v>0</v>
      </c>
      <c r="E184" s="260">
        <f>SUMIFS(Tbl_Hull_Structure[Spread],Tbl_Hull_Structure[L from],"&lt;"&amp;Tbl_Load_distrib[[#This Row],[x]],Tbl_Hull_Structure[L to],"&gt;"&amp;C183)*Tbl_Load_distrib[[#This Row],[L_elt]]</f>
        <v>0</v>
      </c>
      <c r="F184" s="260">
        <f ca="1">SUMIFS(Tbl_Ballasts[Spread],Tbl_Ballasts[L from],"&lt;"&amp;Tbl_Load_distrib[[#This Row],[x]],Tbl_Ballasts[L to],"&gt;"&amp;C183)*Tbl_Load_distrib[[#This Row],[L_elt]]</f>
        <v>0</v>
      </c>
      <c r="G184" s="260">
        <f>SUMIFS(Tbl_Lifting[Spread],Tbl_Lifting[L from],"&lt;"&amp;Tbl_Load_distrib[[#This Row],[x]],Tbl_Lifting[L to],"&gt;"&amp;C183)*Tbl_Load_distrib[[#This Row],[L_elt]]</f>
        <v>0</v>
      </c>
      <c r="H184" s="260">
        <f>SUMIFS(Tbl_Additionals[Spread],Tbl_Additionals[L from],"&lt;"&amp;Tbl_Load_distrib[[#This Row],[x]],Tbl_Additionals[L to],"&gt;"&amp;C183)*Tbl_Load_distrib[[#This Row],[L_elt]]</f>
        <v>0</v>
      </c>
      <c r="I184" s="260">
        <f ca="1">SUMIFS(Tbl_Deck_Tank[Spread],Tbl_Deck_Tank[L from],"&lt;"&amp;Tbl_Load_distrib[[#This Row],[x]],Tbl_Deck_Tank[L to],"&gt;"&amp;C183)*Tbl_Load_distrib[[#This Row],[L_elt]]</f>
        <v>0</v>
      </c>
      <c r="J184" s="137"/>
      <c r="K184" s="165" t="e">
        <f>IFERROR(Tbl_Long_Section[[#This Row],[H Deck-Bottom]],NA())</f>
        <v>#N/A</v>
      </c>
      <c r="L184" s="829" t="e">
        <f>M_depth-Tbl_Load_distrib[[#This Row],[H Deck-Bottom]]</f>
        <v>#N/A</v>
      </c>
      <c r="M184" s="929">
        <f>IFERROR(Tbl_Load_distrib[[#This Row],[x]]-C183,0)</f>
        <v>0</v>
      </c>
      <c r="N184" s="929" t="e">
        <f>IF(ISNA(Tbl_Load_distrib[[#This Row],[x]]),NA(),IF(ISTEXT(N183),0,IF(N183=0,$Z$3,N183-($Z$3-$AA$3)/(Lpp-FE_size)*Tbl_Load_distrib[[#This Row],[L_elt]])))</f>
        <v>#N/A</v>
      </c>
      <c r="O184" s="166" t="e">
        <f ca="1">IF(ISNUMBER(O183),(IF((N183-L183)&lt;0,0,N183-L183)+IF((Tbl_Load_distrib[[#This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84" s="929" t="e">
        <f>IF(ISNA(Tbl_Load_distrib[[#This Row],[x]]),NA(),IF(ISTEXT(P183),0,IF(P183=0,LongSection_DraftAft,P183-(LongSection_DraftAft-LongSection_DraftFore)/(Lpp-FE_size)*Tbl_Load_distrib[[#This Row],[L_elt]])))</f>
        <v>#N/A</v>
      </c>
      <c r="Q184" s="166" t="e">
        <f ca="1">IF(ISNUMBER(Q183),(IF((P183-L183)&lt;0,0,P183-L183)+IF((Tbl_Load_distrib[[#This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84" s="167" t="e">
        <f ca="1">ρ_sw*Tbl_Load_distrib[[#This Row],[Elt Area corrected]]*B/k_depl</f>
        <v>#N/A</v>
      </c>
      <c r="S184" s="167" t="e">
        <f ca="1">Tbl_Load_distrib[[#This Row],[Section Weight]]-Tbl_Load_distrib[[#This Row],[Floating Elt]]</f>
        <v>#N/A</v>
      </c>
      <c r="T184" s="183" t="e">
        <f ca="1">IF(ISTEXT($T183),0,$T183+Tbl_Load_distrib[[#This Row],[Net force / Elt]])</f>
        <v>#N/A</v>
      </c>
      <c r="U184" s="261" t="e">
        <f ca="1">IF(ISTEXT($U183),0,$U183+Tbl_Load_distrib[[#This Row],[Shearing Force]]*Tbl_Load_distrib[[#This Row],[L_elt]])</f>
        <v>#N/A</v>
      </c>
    </row>
    <row r="185" spans="2:21" x14ac:dyDescent="0.25">
      <c r="B185" s="136" t="e">
        <f t="shared" si="5"/>
        <v>#N/A</v>
      </c>
      <c r="C185" s="139" t="e">
        <f t="shared" si="6"/>
        <v>#N/A</v>
      </c>
      <c r="D185" s="152">
        <f ca="1">SUM(Tbl_Load_distrib[[#This Row],[Hull &amp; Structure]:[Reserved]])</f>
        <v>0</v>
      </c>
      <c r="E185" s="260">
        <f>SUMIFS(Tbl_Hull_Structure[Spread],Tbl_Hull_Structure[L from],"&lt;"&amp;Tbl_Load_distrib[[#This Row],[x]],Tbl_Hull_Structure[L to],"&gt;"&amp;C184)*Tbl_Load_distrib[[#This Row],[L_elt]]</f>
        <v>0</v>
      </c>
      <c r="F185" s="260">
        <f ca="1">SUMIFS(Tbl_Ballasts[Spread],Tbl_Ballasts[L from],"&lt;"&amp;Tbl_Load_distrib[[#This Row],[x]],Tbl_Ballasts[L to],"&gt;"&amp;C184)*Tbl_Load_distrib[[#This Row],[L_elt]]</f>
        <v>0</v>
      </c>
      <c r="G185" s="260">
        <f>SUMIFS(Tbl_Lifting[Spread],Tbl_Lifting[L from],"&lt;"&amp;Tbl_Load_distrib[[#This Row],[x]],Tbl_Lifting[L to],"&gt;"&amp;C184)*Tbl_Load_distrib[[#This Row],[L_elt]]</f>
        <v>0</v>
      </c>
      <c r="H185" s="260">
        <f>SUMIFS(Tbl_Additionals[Spread],Tbl_Additionals[L from],"&lt;"&amp;Tbl_Load_distrib[[#This Row],[x]],Tbl_Additionals[L to],"&gt;"&amp;C184)*Tbl_Load_distrib[[#This Row],[L_elt]]</f>
        <v>0</v>
      </c>
      <c r="I185" s="260">
        <f ca="1">SUMIFS(Tbl_Deck_Tank[Spread],Tbl_Deck_Tank[L from],"&lt;"&amp;Tbl_Load_distrib[[#This Row],[x]],Tbl_Deck_Tank[L to],"&gt;"&amp;C184)*Tbl_Load_distrib[[#This Row],[L_elt]]</f>
        <v>0</v>
      </c>
      <c r="J185" s="137"/>
      <c r="K185" s="165" t="e">
        <f>IFERROR(Tbl_Long_Section[[#This Row],[H Deck-Bottom]],NA())</f>
        <v>#N/A</v>
      </c>
      <c r="L185" s="829" t="e">
        <f>M_depth-Tbl_Load_distrib[[#This Row],[H Deck-Bottom]]</f>
        <v>#N/A</v>
      </c>
      <c r="M185" s="929">
        <f>IFERROR(Tbl_Load_distrib[[#This Row],[x]]-C184,0)</f>
        <v>0</v>
      </c>
      <c r="N185" s="929" t="e">
        <f>IF(ISNA(Tbl_Load_distrib[[#This Row],[x]]),NA(),IF(ISTEXT(N184),0,IF(N184=0,$Z$3,N184-($Z$3-$AA$3)/(Lpp-FE_size)*Tbl_Load_distrib[[#This Row],[L_elt]])))</f>
        <v>#N/A</v>
      </c>
      <c r="O185" s="166" t="e">
        <f ca="1">IF(ISNUMBER(O184),(IF((N184-L184)&lt;0,0,N184-L184)+IF((Tbl_Load_distrib[[#This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85" s="929" t="e">
        <f>IF(ISNA(Tbl_Load_distrib[[#This Row],[x]]),NA(),IF(ISTEXT(P184),0,IF(P184=0,LongSection_DraftAft,P184-(LongSection_DraftAft-LongSection_DraftFore)/(Lpp-FE_size)*Tbl_Load_distrib[[#This Row],[L_elt]])))</f>
        <v>#N/A</v>
      </c>
      <c r="Q185" s="166" t="e">
        <f ca="1">IF(ISNUMBER(Q184),(IF((P184-L184)&lt;0,0,P184-L184)+IF((Tbl_Load_distrib[[#This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85" s="167" t="e">
        <f ca="1">ρ_sw*Tbl_Load_distrib[[#This Row],[Elt Area corrected]]*B/k_depl</f>
        <v>#N/A</v>
      </c>
      <c r="S185" s="167" t="e">
        <f ca="1">Tbl_Load_distrib[[#This Row],[Section Weight]]-Tbl_Load_distrib[[#This Row],[Floating Elt]]</f>
        <v>#N/A</v>
      </c>
      <c r="T185" s="183" t="e">
        <f ca="1">IF(ISTEXT($T184),0,$T184+Tbl_Load_distrib[[#This Row],[Net force / Elt]])</f>
        <v>#N/A</v>
      </c>
      <c r="U185" s="261" t="e">
        <f ca="1">IF(ISTEXT($U184),0,$U184+Tbl_Load_distrib[[#This Row],[Shearing Force]]*Tbl_Load_distrib[[#This Row],[L_elt]])</f>
        <v>#N/A</v>
      </c>
    </row>
    <row r="186" spans="2:21" x14ac:dyDescent="0.25">
      <c r="B186" s="136" t="e">
        <f t="shared" si="5"/>
        <v>#N/A</v>
      </c>
      <c r="C186" s="139" t="e">
        <f t="shared" si="6"/>
        <v>#N/A</v>
      </c>
      <c r="D186" s="152">
        <f ca="1">SUM(Tbl_Load_distrib[[#This Row],[Hull &amp; Structure]:[Reserved]])</f>
        <v>0</v>
      </c>
      <c r="E186" s="260">
        <f>SUMIFS(Tbl_Hull_Structure[Spread],Tbl_Hull_Structure[L from],"&lt;"&amp;Tbl_Load_distrib[[#This Row],[x]],Tbl_Hull_Structure[L to],"&gt;"&amp;C185)*Tbl_Load_distrib[[#This Row],[L_elt]]</f>
        <v>0</v>
      </c>
      <c r="F186" s="260">
        <f ca="1">SUMIFS(Tbl_Ballasts[Spread],Tbl_Ballasts[L from],"&lt;"&amp;Tbl_Load_distrib[[#This Row],[x]],Tbl_Ballasts[L to],"&gt;"&amp;C185)*Tbl_Load_distrib[[#This Row],[L_elt]]</f>
        <v>0</v>
      </c>
      <c r="G186" s="260">
        <f>SUMIFS(Tbl_Lifting[Spread],Tbl_Lifting[L from],"&lt;"&amp;Tbl_Load_distrib[[#This Row],[x]],Tbl_Lifting[L to],"&gt;"&amp;C185)*Tbl_Load_distrib[[#This Row],[L_elt]]</f>
        <v>0</v>
      </c>
      <c r="H186" s="260">
        <f>SUMIFS(Tbl_Additionals[Spread],Tbl_Additionals[L from],"&lt;"&amp;Tbl_Load_distrib[[#This Row],[x]],Tbl_Additionals[L to],"&gt;"&amp;C185)*Tbl_Load_distrib[[#This Row],[L_elt]]</f>
        <v>0</v>
      </c>
      <c r="I186" s="260">
        <f ca="1">SUMIFS(Tbl_Deck_Tank[Spread],Tbl_Deck_Tank[L from],"&lt;"&amp;Tbl_Load_distrib[[#This Row],[x]],Tbl_Deck_Tank[L to],"&gt;"&amp;C185)*Tbl_Load_distrib[[#This Row],[L_elt]]</f>
        <v>0</v>
      </c>
      <c r="J186" s="137"/>
      <c r="K186" s="165" t="e">
        <f>IFERROR(Tbl_Long_Section[[#This Row],[H Deck-Bottom]],NA())</f>
        <v>#N/A</v>
      </c>
      <c r="L186" s="829" t="e">
        <f>M_depth-Tbl_Load_distrib[[#This Row],[H Deck-Bottom]]</f>
        <v>#N/A</v>
      </c>
      <c r="M186" s="929">
        <f>IFERROR(Tbl_Load_distrib[[#This Row],[x]]-C185,0)</f>
        <v>0</v>
      </c>
      <c r="N186" s="929" t="e">
        <f>IF(ISNA(Tbl_Load_distrib[[#This Row],[x]]),NA(),IF(ISTEXT(N185),0,IF(N185=0,$Z$3,N185-($Z$3-$AA$3)/(Lpp-FE_size)*Tbl_Load_distrib[[#This Row],[L_elt]])))</f>
        <v>#N/A</v>
      </c>
      <c r="O186" s="166" t="e">
        <f ca="1">IF(ISNUMBER(O185),(IF((N185-L185)&lt;0,0,N185-L185)+IF((Tbl_Load_distrib[[#This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86" s="929" t="e">
        <f>IF(ISNA(Tbl_Load_distrib[[#This Row],[x]]),NA(),IF(ISTEXT(P185),0,IF(P185=0,LongSection_DraftAft,P185-(LongSection_DraftAft-LongSection_DraftFore)/(Lpp-FE_size)*Tbl_Load_distrib[[#This Row],[L_elt]])))</f>
        <v>#N/A</v>
      </c>
      <c r="Q186" s="166" t="e">
        <f ca="1">IF(ISNUMBER(Q185),(IF((P185-L185)&lt;0,0,P185-L185)+IF((Tbl_Load_distrib[[#This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86" s="167" t="e">
        <f ca="1">ρ_sw*Tbl_Load_distrib[[#This Row],[Elt Area corrected]]*B/k_depl</f>
        <v>#N/A</v>
      </c>
      <c r="S186" s="167" t="e">
        <f ca="1">Tbl_Load_distrib[[#This Row],[Section Weight]]-Tbl_Load_distrib[[#This Row],[Floating Elt]]</f>
        <v>#N/A</v>
      </c>
      <c r="T186" s="183" t="e">
        <f ca="1">IF(ISTEXT($T185),0,$T185+Tbl_Load_distrib[[#This Row],[Net force / Elt]])</f>
        <v>#N/A</v>
      </c>
      <c r="U186" s="261" t="e">
        <f ca="1">IF(ISTEXT($U185),0,$U185+Tbl_Load_distrib[[#This Row],[Shearing Force]]*Tbl_Load_distrib[[#This Row],[L_elt]])</f>
        <v>#N/A</v>
      </c>
    </row>
    <row r="187" spans="2:21" x14ac:dyDescent="0.25">
      <c r="B187" s="136" t="e">
        <f t="shared" si="5"/>
        <v>#N/A</v>
      </c>
      <c r="C187" s="139" t="e">
        <f t="shared" si="6"/>
        <v>#N/A</v>
      </c>
      <c r="D187" s="152">
        <f ca="1">SUM(Tbl_Load_distrib[[#This Row],[Hull &amp; Structure]:[Reserved]])</f>
        <v>0</v>
      </c>
      <c r="E187" s="260">
        <f>SUMIFS(Tbl_Hull_Structure[Spread],Tbl_Hull_Structure[L from],"&lt;"&amp;Tbl_Load_distrib[[#This Row],[x]],Tbl_Hull_Structure[L to],"&gt;"&amp;C186)*Tbl_Load_distrib[[#This Row],[L_elt]]</f>
        <v>0</v>
      </c>
      <c r="F187" s="260">
        <f ca="1">SUMIFS(Tbl_Ballasts[Spread],Tbl_Ballasts[L from],"&lt;"&amp;Tbl_Load_distrib[[#This Row],[x]],Tbl_Ballasts[L to],"&gt;"&amp;C186)*Tbl_Load_distrib[[#This Row],[L_elt]]</f>
        <v>0</v>
      </c>
      <c r="G187" s="260">
        <f>SUMIFS(Tbl_Lifting[Spread],Tbl_Lifting[L from],"&lt;"&amp;Tbl_Load_distrib[[#This Row],[x]],Tbl_Lifting[L to],"&gt;"&amp;C186)*Tbl_Load_distrib[[#This Row],[L_elt]]</f>
        <v>0</v>
      </c>
      <c r="H187" s="260">
        <f>SUMIFS(Tbl_Additionals[Spread],Tbl_Additionals[L from],"&lt;"&amp;Tbl_Load_distrib[[#This Row],[x]],Tbl_Additionals[L to],"&gt;"&amp;C186)*Tbl_Load_distrib[[#This Row],[L_elt]]</f>
        <v>0</v>
      </c>
      <c r="I187" s="260">
        <f ca="1">SUMIFS(Tbl_Deck_Tank[Spread],Tbl_Deck_Tank[L from],"&lt;"&amp;Tbl_Load_distrib[[#This Row],[x]],Tbl_Deck_Tank[L to],"&gt;"&amp;C186)*Tbl_Load_distrib[[#This Row],[L_elt]]</f>
        <v>0</v>
      </c>
      <c r="J187" s="137"/>
      <c r="K187" s="165" t="e">
        <f>IFERROR(Tbl_Long_Section[[#This Row],[H Deck-Bottom]],NA())</f>
        <v>#N/A</v>
      </c>
      <c r="L187" s="829" t="e">
        <f>M_depth-Tbl_Load_distrib[[#This Row],[H Deck-Bottom]]</f>
        <v>#N/A</v>
      </c>
      <c r="M187" s="929">
        <f>IFERROR(Tbl_Load_distrib[[#This Row],[x]]-C186,0)</f>
        <v>0</v>
      </c>
      <c r="N187" s="929" t="e">
        <f>IF(ISNA(Tbl_Load_distrib[[#This Row],[x]]),NA(),IF(ISTEXT(N186),0,IF(N186=0,$Z$3,N186-($Z$3-$AA$3)/(Lpp-FE_size)*Tbl_Load_distrib[[#This Row],[L_elt]])))</f>
        <v>#N/A</v>
      </c>
      <c r="O187" s="166" t="e">
        <f ca="1">IF(ISNUMBER(O186),(IF((N186-L186)&lt;0,0,N186-L186)+IF((Tbl_Load_distrib[[#This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87" s="929" t="e">
        <f>IF(ISNA(Tbl_Load_distrib[[#This Row],[x]]),NA(),IF(ISTEXT(P186),0,IF(P186=0,LongSection_DraftAft,P186-(LongSection_DraftAft-LongSection_DraftFore)/(Lpp-FE_size)*Tbl_Load_distrib[[#This Row],[L_elt]])))</f>
        <v>#N/A</v>
      </c>
      <c r="Q187" s="166" t="e">
        <f ca="1">IF(ISNUMBER(Q186),(IF((P186-L186)&lt;0,0,P186-L186)+IF((Tbl_Load_distrib[[#This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87" s="167" t="e">
        <f ca="1">ρ_sw*Tbl_Load_distrib[[#This Row],[Elt Area corrected]]*B/k_depl</f>
        <v>#N/A</v>
      </c>
      <c r="S187" s="167" t="e">
        <f ca="1">Tbl_Load_distrib[[#This Row],[Section Weight]]-Tbl_Load_distrib[[#This Row],[Floating Elt]]</f>
        <v>#N/A</v>
      </c>
      <c r="T187" s="183" t="e">
        <f ca="1">IF(ISTEXT($T186),0,$T186+Tbl_Load_distrib[[#This Row],[Net force / Elt]])</f>
        <v>#N/A</v>
      </c>
      <c r="U187" s="261" t="e">
        <f ca="1">IF(ISTEXT($U186),0,$U186+Tbl_Load_distrib[[#This Row],[Shearing Force]]*Tbl_Load_distrib[[#This Row],[L_elt]])</f>
        <v>#N/A</v>
      </c>
    </row>
    <row r="188" spans="2:21" x14ac:dyDescent="0.25">
      <c r="B188" s="136" t="e">
        <f t="shared" si="5"/>
        <v>#N/A</v>
      </c>
      <c r="C188" s="139" t="e">
        <f t="shared" si="6"/>
        <v>#N/A</v>
      </c>
      <c r="D188" s="152">
        <f ca="1">SUM(Tbl_Load_distrib[[#This Row],[Hull &amp; Structure]:[Reserved]])</f>
        <v>0</v>
      </c>
      <c r="E188" s="260">
        <f>SUMIFS(Tbl_Hull_Structure[Spread],Tbl_Hull_Structure[L from],"&lt;"&amp;Tbl_Load_distrib[[#This Row],[x]],Tbl_Hull_Structure[L to],"&gt;"&amp;C187)*Tbl_Load_distrib[[#This Row],[L_elt]]</f>
        <v>0</v>
      </c>
      <c r="F188" s="260">
        <f ca="1">SUMIFS(Tbl_Ballasts[Spread],Tbl_Ballasts[L from],"&lt;"&amp;Tbl_Load_distrib[[#This Row],[x]],Tbl_Ballasts[L to],"&gt;"&amp;C187)*Tbl_Load_distrib[[#This Row],[L_elt]]</f>
        <v>0</v>
      </c>
      <c r="G188" s="260">
        <f>SUMIFS(Tbl_Lifting[Spread],Tbl_Lifting[L from],"&lt;"&amp;Tbl_Load_distrib[[#This Row],[x]],Tbl_Lifting[L to],"&gt;"&amp;C187)*Tbl_Load_distrib[[#This Row],[L_elt]]</f>
        <v>0</v>
      </c>
      <c r="H188" s="260">
        <f>SUMIFS(Tbl_Additionals[Spread],Tbl_Additionals[L from],"&lt;"&amp;Tbl_Load_distrib[[#This Row],[x]],Tbl_Additionals[L to],"&gt;"&amp;C187)*Tbl_Load_distrib[[#This Row],[L_elt]]</f>
        <v>0</v>
      </c>
      <c r="I188" s="260">
        <f ca="1">SUMIFS(Tbl_Deck_Tank[Spread],Tbl_Deck_Tank[L from],"&lt;"&amp;Tbl_Load_distrib[[#This Row],[x]],Tbl_Deck_Tank[L to],"&gt;"&amp;C187)*Tbl_Load_distrib[[#This Row],[L_elt]]</f>
        <v>0</v>
      </c>
      <c r="J188" s="137"/>
      <c r="K188" s="165" t="e">
        <f>IFERROR(Tbl_Long_Section[[#This Row],[H Deck-Bottom]],NA())</f>
        <v>#N/A</v>
      </c>
      <c r="L188" s="829" t="e">
        <f>M_depth-Tbl_Load_distrib[[#This Row],[H Deck-Bottom]]</f>
        <v>#N/A</v>
      </c>
      <c r="M188" s="929">
        <f>IFERROR(Tbl_Load_distrib[[#This Row],[x]]-C187,0)</f>
        <v>0</v>
      </c>
      <c r="N188" s="929" t="e">
        <f>IF(ISNA(Tbl_Load_distrib[[#This Row],[x]]),NA(),IF(ISTEXT(N187),0,IF(N187=0,$Z$3,N187-($Z$3-$AA$3)/(Lpp-FE_size)*Tbl_Load_distrib[[#This Row],[L_elt]])))</f>
        <v>#N/A</v>
      </c>
      <c r="O188" s="166" t="e">
        <f ca="1">IF(ISNUMBER(O187),(IF((N187-L187)&lt;0,0,N187-L187)+IF((Tbl_Load_distrib[[#This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88" s="929" t="e">
        <f>IF(ISNA(Tbl_Load_distrib[[#This Row],[x]]),NA(),IF(ISTEXT(P187),0,IF(P187=0,LongSection_DraftAft,P187-(LongSection_DraftAft-LongSection_DraftFore)/(Lpp-FE_size)*Tbl_Load_distrib[[#This Row],[L_elt]])))</f>
        <v>#N/A</v>
      </c>
      <c r="Q188" s="166" t="e">
        <f ca="1">IF(ISNUMBER(Q187),(IF((P187-L187)&lt;0,0,P187-L187)+IF((Tbl_Load_distrib[[#This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88" s="167" t="e">
        <f ca="1">ρ_sw*Tbl_Load_distrib[[#This Row],[Elt Area corrected]]*B/k_depl</f>
        <v>#N/A</v>
      </c>
      <c r="S188" s="167" t="e">
        <f ca="1">Tbl_Load_distrib[[#This Row],[Section Weight]]-Tbl_Load_distrib[[#This Row],[Floating Elt]]</f>
        <v>#N/A</v>
      </c>
      <c r="T188" s="183" t="e">
        <f ca="1">IF(ISTEXT($T187),0,$T187+Tbl_Load_distrib[[#This Row],[Net force / Elt]])</f>
        <v>#N/A</v>
      </c>
      <c r="U188" s="261" t="e">
        <f ca="1">IF(ISTEXT($U187),0,$U187+Tbl_Load_distrib[[#This Row],[Shearing Force]]*Tbl_Load_distrib[[#This Row],[L_elt]])</f>
        <v>#N/A</v>
      </c>
    </row>
    <row r="189" spans="2:21" x14ac:dyDescent="0.25">
      <c r="B189" s="136" t="e">
        <f t="shared" si="5"/>
        <v>#N/A</v>
      </c>
      <c r="C189" s="139" t="e">
        <f t="shared" si="6"/>
        <v>#N/A</v>
      </c>
      <c r="D189" s="152">
        <f ca="1">SUM(Tbl_Load_distrib[[#This Row],[Hull &amp; Structure]:[Reserved]])</f>
        <v>0</v>
      </c>
      <c r="E189" s="260">
        <f>SUMIFS(Tbl_Hull_Structure[Spread],Tbl_Hull_Structure[L from],"&lt;"&amp;Tbl_Load_distrib[[#This Row],[x]],Tbl_Hull_Structure[L to],"&gt;"&amp;C188)*Tbl_Load_distrib[[#This Row],[L_elt]]</f>
        <v>0</v>
      </c>
      <c r="F189" s="260">
        <f ca="1">SUMIFS(Tbl_Ballasts[Spread],Tbl_Ballasts[L from],"&lt;"&amp;Tbl_Load_distrib[[#This Row],[x]],Tbl_Ballasts[L to],"&gt;"&amp;C188)*Tbl_Load_distrib[[#This Row],[L_elt]]</f>
        <v>0</v>
      </c>
      <c r="G189" s="260">
        <f>SUMIFS(Tbl_Lifting[Spread],Tbl_Lifting[L from],"&lt;"&amp;Tbl_Load_distrib[[#This Row],[x]],Tbl_Lifting[L to],"&gt;"&amp;C188)*Tbl_Load_distrib[[#This Row],[L_elt]]</f>
        <v>0</v>
      </c>
      <c r="H189" s="260">
        <f>SUMIFS(Tbl_Additionals[Spread],Tbl_Additionals[L from],"&lt;"&amp;Tbl_Load_distrib[[#This Row],[x]],Tbl_Additionals[L to],"&gt;"&amp;C188)*Tbl_Load_distrib[[#This Row],[L_elt]]</f>
        <v>0</v>
      </c>
      <c r="I189" s="260">
        <f ca="1">SUMIFS(Tbl_Deck_Tank[Spread],Tbl_Deck_Tank[L from],"&lt;"&amp;Tbl_Load_distrib[[#This Row],[x]],Tbl_Deck_Tank[L to],"&gt;"&amp;C188)*Tbl_Load_distrib[[#This Row],[L_elt]]</f>
        <v>0</v>
      </c>
      <c r="J189" s="137"/>
      <c r="K189" s="165" t="e">
        <f>IFERROR(Tbl_Long_Section[[#This Row],[H Deck-Bottom]],NA())</f>
        <v>#N/A</v>
      </c>
      <c r="L189" s="829" t="e">
        <f>M_depth-Tbl_Load_distrib[[#This Row],[H Deck-Bottom]]</f>
        <v>#N/A</v>
      </c>
      <c r="M189" s="929">
        <f>IFERROR(Tbl_Load_distrib[[#This Row],[x]]-C188,0)</f>
        <v>0</v>
      </c>
      <c r="N189" s="929" t="e">
        <f>IF(ISNA(Tbl_Load_distrib[[#This Row],[x]]),NA(),IF(ISTEXT(N188),0,IF(N188=0,$Z$3,N188-($Z$3-$AA$3)/(Lpp-FE_size)*Tbl_Load_distrib[[#This Row],[L_elt]])))</f>
        <v>#N/A</v>
      </c>
      <c r="O189" s="166" t="e">
        <f ca="1">IF(ISNUMBER(O188),(IF((N188-L188)&lt;0,0,N188-L188)+IF((Tbl_Load_distrib[[#This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89" s="929" t="e">
        <f>IF(ISNA(Tbl_Load_distrib[[#This Row],[x]]),NA(),IF(ISTEXT(P188),0,IF(P188=0,LongSection_DraftAft,P188-(LongSection_DraftAft-LongSection_DraftFore)/(Lpp-FE_size)*Tbl_Load_distrib[[#This Row],[L_elt]])))</f>
        <v>#N/A</v>
      </c>
      <c r="Q189" s="166" t="e">
        <f ca="1">IF(ISNUMBER(Q188),(IF((P188-L188)&lt;0,0,P188-L188)+IF((Tbl_Load_distrib[[#This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89" s="167" t="e">
        <f ca="1">ρ_sw*Tbl_Load_distrib[[#This Row],[Elt Area corrected]]*B/k_depl</f>
        <v>#N/A</v>
      </c>
      <c r="S189" s="167" t="e">
        <f ca="1">Tbl_Load_distrib[[#This Row],[Section Weight]]-Tbl_Load_distrib[[#This Row],[Floating Elt]]</f>
        <v>#N/A</v>
      </c>
      <c r="T189" s="183" t="e">
        <f ca="1">IF(ISTEXT($T188),0,$T188+Tbl_Load_distrib[[#This Row],[Net force / Elt]])</f>
        <v>#N/A</v>
      </c>
      <c r="U189" s="261" t="e">
        <f ca="1">IF(ISTEXT($U188),0,$U188+Tbl_Load_distrib[[#This Row],[Shearing Force]]*Tbl_Load_distrib[[#This Row],[L_elt]])</f>
        <v>#N/A</v>
      </c>
    </row>
    <row r="190" spans="2:21" x14ac:dyDescent="0.25">
      <c r="B190" s="136" t="e">
        <f t="shared" si="5"/>
        <v>#N/A</v>
      </c>
      <c r="C190" s="139" t="e">
        <f t="shared" si="6"/>
        <v>#N/A</v>
      </c>
      <c r="D190" s="152">
        <f ca="1">SUM(Tbl_Load_distrib[[#This Row],[Hull &amp; Structure]:[Reserved]])</f>
        <v>0</v>
      </c>
      <c r="E190" s="260">
        <f>SUMIFS(Tbl_Hull_Structure[Spread],Tbl_Hull_Structure[L from],"&lt;"&amp;Tbl_Load_distrib[[#This Row],[x]],Tbl_Hull_Structure[L to],"&gt;"&amp;C189)*Tbl_Load_distrib[[#This Row],[L_elt]]</f>
        <v>0</v>
      </c>
      <c r="F190" s="260">
        <f ca="1">SUMIFS(Tbl_Ballasts[Spread],Tbl_Ballasts[L from],"&lt;"&amp;Tbl_Load_distrib[[#This Row],[x]],Tbl_Ballasts[L to],"&gt;"&amp;C189)*Tbl_Load_distrib[[#This Row],[L_elt]]</f>
        <v>0</v>
      </c>
      <c r="G190" s="260">
        <f>SUMIFS(Tbl_Lifting[Spread],Tbl_Lifting[L from],"&lt;"&amp;Tbl_Load_distrib[[#This Row],[x]],Tbl_Lifting[L to],"&gt;"&amp;C189)*Tbl_Load_distrib[[#This Row],[L_elt]]</f>
        <v>0</v>
      </c>
      <c r="H190" s="260">
        <f>SUMIFS(Tbl_Additionals[Spread],Tbl_Additionals[L from],"&lt;"&amp;Tbl_Load_distrib[[#This Row],[x]],Tbl_Additionals[L to],"&gt;"&amp;C189)*Tbl_Load_distrib[[#This Row],[L_elt]]</f>
        <v>0</v>
      </c>
      <c r="I190" s="260">
        <f ca="1">SUMIFS(Tbl_Deck_Tank[Spread],Tbl_Deck_Tank[L from],"&lt;"&amp;Tbl_Load_distrib[[#This Row],[x]],Tbl_Deck_Tank[L to],"&gt;"&amp;C189)*Tbl_Load_distrib[[#This Row],[L_elt]]</f>
        <v>0</v>
      </c>
      <c r="J190" s="137"/>
      <c r="K190" s="165" t="e">
        <f>IFERROR(Tbl_Long_Section[[#This Row],[H Deck-Bottom]],NA())</f>
        <v>#N/A</v>
      </c>
      <c r="L190" s="829" t="e">
        <f>M_depth-Tbl_Load_distrib[[#This Row],[H Deck-Bottom]]</f>
        <v>#N/A</v>
      </c>
      <c r="M190" s="929">
        <f>IFERROR(Tbl_Load_distrib[[#This Row],[x]]-C189,0)</f>
        <v>0</v>
      </c>
      <c r="N190" s="929" t="e">
        <f>IF(ISNA(Tbl_Load_distrib[[#This Row],[x]]),NA(),IF(ISTEXT(N189),0,IF(N189=0,$Z$3,N189-($Z$3-$AA$3)/(Lpp-FE_size)*Tbl_Load_distrib[[#This Row],[L_elt]])))</f>
        <v>#N/A</v>
      </c>
      <c r="O190" s="166" t="e">
        <f ca="1">IF(ISNUMBER(O189),(IF((N189-L189)&lt;0,0,N189-L189)+IF((Tbl_Load_distrib[[#This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90" s="929" t="e">
        <f>IF(ISNA(Tbl_Load_distrib[[#This Row],[x]]),NA(),IF(ISTEXT(P189),0,IF(P189=0,LongSection_DraftAft,P189-(LongSection_DraftAft-LongSection_DraftFore)/(Lpp-FE_size)*Tbl_Load_distrib[[#This Row],[L_elt]])))</f>
        <v>#N/A</v>
      </c>
      <c r="Q190" s="166" t="e">
        <f ca="1">IF(ISNUMBER(Q189),(IF((P189-L189)&lt;0,0,P189-L189)+IF((Tbl_Load_distrib[[#This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90" s="167" t="e">
        <f ca="1">ρ_sw*Tbl_Load_distrib[[#This Row],[Elt Area corrected]]*B/k_depl</f>
        <v>#N/A</v>
      </c>
      <c r="S190" s="167" t="e">
        <f ca="1">Tbl_Load_distrib[[#This Row],[Section Weight]]-Tbl_Load_distrib[[#This Row],[Floating Elt]]</f>
        <v>#N/A</v>
      </c>
      <c r="T190" s="183" t="e">
        <f ca="1">IF(ISTEXT($T189),0,$T189+Tbl_Load_distrib[[#This Row],[Net force / Elt]])</f>
        <v>#N/A</v>
      </c>
      <c r="U190" s="261" t="e">
        <f ca="1">IF(ISTEXT($U189),0,$U189+Tbl_Load_distrib[[#This Row],[Shearing Force]]*Tbl_Load_distrib[[#This Row],[L_elt]])</f>
        <v>#N/A</v>
      </c>
    </row>
    <row r="191" spans="2:21" x14ac:dyDescent="0.25">
      <c r="B191" s="136" t="e">
        <f t="shared" si="5"/>
        <v>#N/A</v>
      </c>
      <c r="C191" s="139" t="e">
        <f t="shared" si="6"/>
        <v>#N/A</v>
      </c>
      <c r="D191" s="152">
        <f ca="1">SUM(Tbl_Load_distrib[[#This Row],[Hull &amp; Structure]:[Reserved]])</f>
        <v>0</v>
      </c>
      <c r="E191" s="260">
        <f>SUMIFS(Tbl_Hull_Structure[Spread],Tbl_Hull_Structure[L from],"&lt;"&amp;Tbl_Load_distrib[[#This Row],[x]],Tbl_Hull_Structure[L to],"&gt;"&amp;C190)*Tbl_Load_distrib[[#This Row],[L_elt]]</f>
        <v>0</v>
      </c>
      <c r="F191" s="260">
        <f ca="1">SUMIFS(Tbl_Ballasts[Spread],Tbl_Ballasts[L from],"&lt;"&amp;Tbl_Load_distrib[[#This Row],[x]],Tbl_Ballasts[L to],"&gt;"&amp;C190)*Tbl_Load_distrib[[#This Row],[L_elt]]</f>
        <v>0</v>
      </c>
      <c r="G191" s="260">
        <f>SUMIFS(Tbl_Lifting[Spread],Tbl_Lifting[L from],"&lt;"&amp;Tbl_Load_distrib[[#This Row],[x]],Tbl_Lifting[L to],"&gt;"&amp;C190)*Tbl_Load_distrib[[#This Row],[L_elt]]</f>
        <v>0</v>
      </c>
      <c r="H191" s="260">
        <f>SUMIFS(Tbl_Additionals[Spread],Tbl_Additionals[L from],"&lt;"&amp;Tbl_Load_distrib[[#This Row],[x]],Tbl_Additionals[L to],"&gt;"&amp;C190)*Tbl_Load_distrib[[#This Row],[L_elt]]</f>
        <v>0</v>
      </c>
      <c r="I191" s="260">
        <f ca="1">SUMIFS(Tbl_Deck_Tank[Spread],Tbl_Deck_Tank[L from],"&lt;"&amp;Tbl_Load_distrib[[#This Row],[x]],Tbl_Deck_Tank[L to],"&gt;"&amp;C190)*Tbl_Load_distrib[[#This Row],[L_elt]]</f>
        <v>0</v>
      </c>
      <c r="J191" s="137"/>
      <c r="K191" s="165" t="e">
        <f>IFERROR(Tbl_Long_Section[[#This Row],[H Deck-Bottom]],NA())</f>
        <v>#N/A</v>
      </c>
      <c r="L191" s="829" t="e">
        <f>M_depth-Tbl_Load_distrib[[#This Row],[H Deck-Bottom]]</f>
        <v>#N/A</v>
      </c>
      <c r="M191" s="929">
        <f>IFERROR(Tbl_Load_distrib[[#This Row],[x]]-C190,0)</f>
        <v>0</v>
      </c>
      <c r="N191" s="929" t="e">
        <f>IF(ISNA(Tbl_Load_distrib[[#This Row],[x]]),NA(),IF(ISTEXT(N190),0,IF(N190=0,$Z$3,N190-($Z$3-$AA$3)/(Lpp-FE_size)*Tbl_Load_distrib[[#This Row],[L_elt]])))</f>
        <v>#N/A</v>
      </c>
      <c r="O191" s="166" t="e">
        <f ca="1">IF(ISNUMBER(O190),(IF((N190-L190)&lt;0,0,N190-L190)+IF((Tbl_Load_distrib[[#This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91" s="929" t="e">
        <f>IF(ISNA(Tbl_Load_distrib[[#This Row],[x]]),NA(),IF(ISTEXT(P190),0,IF(P190=0,LongSection_DraftAft,P190-(LongSection_DraftAft-LongSection_DraftFore)/(Lpp-FE_size)*Tbl_Load_distrib[[#This Row],[L_elt]])))</f>
        <v>#N/A</v>
      </c>
      <c r="Q191" s="166" t="e">
        <f ca="1">IF(ISNUMBER(Q190),(IF((P190-L190)&lt;0,0,P190-L190)+IF((Tbl_Load_distrib[[#This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91" s="167" t="e">
        <f ca="1">ρ_sw*Tbl_Load_distrib[[#This Row],[Elt Area corrected]]*B/k_depl</f>
        <v>#N/A</v>
      </c>
      <c r="S191" s="167" t="e">
        <f ca="1">Tbl_Load_distrib[[#This Row],[Section Weight]]-Tbl_Load_distrib[[#This Row],[Floating Elt]]</f>
        <v>#N/A</v>
      </c>
      <c r="T191" s="183" t="e">
        <f ca="1">IF(ISTEXT($T190),0,$T190+Tbl_Load_distrib[[#This Row],[Net force / Elt]])</f>
        <v>#N/A</v>
      </c>
      <c r="U191" s="261" t="e">
        <f ca="1">IF(ISTEXT($U190),0,$U190+Tbl_Load_distrib[[#This Row],[Shearing Force]]*Tbl_Load_distrib[[#This Row],[L_elt]])</f>
        <v>#N/A</v>
      </c>
    </row>
    <row r="192" spans="2:21" x14ac:dyDescent="0.25">
      <c r="B192" s="136" t="e">
        <f t="shared" si="5"/>
        <v>#N/A</v>
      </c>
      <c r="C192" s="139" t="e">
        <f t="shared" si="6"/>
        <v>#N/A</v>
      </c>
      <c r="D192" s="152">
        <f ca="1">SUM(Tbl_Load_distrib[[#This Row],[Hull &amp; Structure]:[Reserved]])</f>
        <v>0</v>
      </c>
      <c r="E192" s="260">
        <f>SUMIFS(Tbl_Hull_Structure[Spread],Tbl_Hull_Structure[L from],"&lt;"&amp;Tbl_Load_distrib[[#This Row],[x]],Tbl_Hull_Structure[L to],"&gt;"&amp;C191)*Tbl_Load_distrib[[#This Row],[L_elt]]</f>
        <v>0</v>
      </c>
      <c r="F192" s="260">
        <f ca="1">SUMIFS(Tbl_Ballasts[Spread],Tbl_Ballasts[L from],"&lt;"&amp;Tbl_Load_distrib[[#This Row],[x]],Tbl_Ballasts[L to],"&gt;"&amp;C191)*Tbl_Load_distrib[[#This Row],[L_elt]]</f>
        <v>0</v>
      </c>
      <c r="G192" s="260">
        <f>SUMIFS(Tbl_Lifting[Spread],Tbl_Lifting[L from],"&lt;"&amp;Tbl_Load_distrib[[#This Row],[x]],Tbl_Lifting[L to],"&gt;"&amp;C191)*Tbl_Load_distrib[[#This Row],[L_elt]]</f>
        <v>0</v>
      </c>
      <c r="H192" s="260">
        <f>SUMIFS(Tbl_Additionals[Spread],Tbl_Additionals[L from],"&lt;"&amp;Tbl_Load_distrib[[#This Row],[x]],Tbl_Additionals[L to],"&gt;"&amp;C191)*Tbl_Load_distrib[[#This Row],[L_elt]]</f>
        <v>0</v>
      </c>
      <c r="I192" s="260">
        <f ca="1">SUMIFS(Tbl_Deck_Tank[Spread],Tbl_Deck_Tank[L from],"&lt;"&amp;Tbl_Load_distrib[[#This Row],[x]],Tbl_Deck_Tank[L to],"&gt;"&amp;C191)*Tbl_Load_distrib[[#This Row],[L_elt]]</f>
        <v>0</v>
      </c>
      <c r="J192" s="137"/>
      <c r="K192" s="165" t="e">
        <f>IFERROR(Tbl_Long_Section[[#This Row],[H Deck-Bottom]],NA())</f>
        <v>#N/A</v>
      </c>
      <c r="L192" s="829" t="e">
        <f>M_depth-Tbl_Load_distrib[[#This Row],[H Deck-Bottom]]</f>
        <v>#N/A</v>
      </c>
      <c r="M192" s="929">
        <f>IFERROR(Tbl_Load_distrib[[#This Row],[x]]-C191,0)</f>
        <v>0</v>
      </c>
      <c r="N192" s="929" t="e">
        <f>IF(ISNA(Tbl_Load_distrib[[#This Row],[x]]),NA(),IF(ISTEXT(N191),0,IF(N191=0,$Z$3,N191-($Z$3-$AA$3)/(Lpp-FE_size)*Tbl_Load_distrib[[#This Row],[L_elt]])))</f>
        <v>#N/A</v>
      </c>
      <c r="O192" s="166" t="e">
        <f ca="1">IF(ISNUMBER(O191),(IF((N191-L191)&lt;0,0,N191-L191)+IF((Tbl_Load_distrib[[#This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92" s="929" t="e">
        <f>IF(ISNA(Tbl_Load_distrib[[#This Row],[x]]),NA(),IF(ISTEXT(P191),0,IF(P191=0,LongSection_DraftAft,P191-(LongSection_DraftAft-LongSection_DraftFore)/(Lpp-FE_size)*Tbl_Load_distrib[[#This Row],[L_elt]])))</f>
        <v>#N/A</v>
      </c>
      <c r="Q192" s="166" t="e">
        <f ca="1">IF(ISNUMBER(Q191),(IF((P191-L191)&lt;0,0,P191-L191)+IF((Tbl_Load_distrib[[#This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92" s="167" t="e">
        <f ca="1">ρ_sw*Tbl_Load_distrib[[#This Row],[Elt Area corrected]]*B/k_depl</f>
        <v>#N/A</v>
      </c>
      <c r="S192" s="167" t="e">
        <f ca="1">Tbl_Load_distrib[[#This Row],[Section Weight]]-Tbl_Load_distrib[[#This Row],[Floating Elt]]</f>
        <v>#N/A</v>
      </c>
      <c r="T192" s="183" t="e">
        <f ca="1">IF(ISTEXT($T191),0,$T191+Tbl_Load_distrib[[#This Row],[Net force / Elt]])</f>
        <v>#N/A</v>
      </c>
      <c r="U192" s="261" t="e">
        <f ca="1">IF(ISTEXT($U191),0,$U191+Tbl_Load_distrib[[#This Row],[Shearing Force]]*Tbl_Load_distrib[[#This Row],[L_elt]])</f>
        <v>#N/A</v>
      </c>
    </row>
    <row r="193" spans="2:21" x14ac:dyDescent="0.25">
      <c r="B193" s="136" t="e">
        <f t="shared" si="5"/>
        <v>#N/A</v>
      </c>
      <c r="C193" s="139" t="e">
        <f t="shared" si="6"/>
        <v>#N/A</v>
      </c>
      <c r="D193" s="152">
        <f ca="1">SUM(Tbl_Load_distrib[[#This Row],[Hull &amp; Structure]:[Reserved]])</f>
        <v>0</v>
      </c>
      <c r="E193" s="260">
        <f>SUMIFS(Tbl_Hull_Structure[Spread],Tbl_Hull_Structure[L from],"&lt;"&amp;Tbl_Load_distrib[[#This Row],[x]],Tbl_Hull_Structure[L to],"&gt;"&amp;C192)*Tbl_Load_distrib[[#This Row],[L_elt]]</f>
        <v>0</v>
      </c>
      <c r="F193" s="260">
        <f ca="1">SUMIFS(Tbl_Ballasts[Spread],Tbl_Ballasts[L from],"&lt;"&amp;Tbl_Load_distrib[[#This Row],[x]],Tbl_Ballasts[L to],"&gt;"&amp;C192)*Tbl_Load_distrib[[#This Row],[L_elt]]</f>
        <v>0</v>
      </c>
      <c r="G193" s="260">
        <f>SUMIFS(Tbl_Lifting[Spread],Tbl_Lifting[L from],"&lt;"&amp;Tbl_Load_distrib[[#This Row],[x]],Tbl_Lifting[L to],"&gt;"&amp;C192)*Tbl_Load_distrib[[#This Row],[L_elt]]</f>
        <v>0</v>
      </c>
      <c r="H193" s="260">
        <f>SUMIFS(Tbl_Additionals[Spread],Tbl_Additionals[L from],"&lt;"&amp;Tbl_Load_distrib[[#This Row],[x]],Tbl_Additionals[L to],"&gt;"&amp;C192)*Tbl_Load_distrib[[#This Row],[L_elt]]</f>
        <v>0</v>
      </c>
      <c r="I193" s="260">
        <f ca="1">SUMIFS(Tbl_Deck_Tank[Spread],Tbl_Deck_Tank[L from],"&lt;"&amp;Tbl_Load_distrib[[#This Row],[x]],Tbl_Deck_Tank[L to],"&gt;"&amp;C192)*Tbl_Load_distrib[[#This Row],[L_elt]]</f>
        <v>0</v>
      </c>
      <c r="J193" s="137"/>
      <c r="K193" s="165" t="e">
        <f>IFERROR(Tbl_Long_Section[[#This Row],[H Deck-Bottom]],NA())</f>
        <v>#N/A</v>
      </c>
      <c r="L193" s="829" t="e">
        <f>M_depth-Tbl_Load_distrib[[#This Row],[H Deck-Bottom]]</f>
        <v>#N/A</v>
      </c>
      <c r="M193" s="929">
        <f>IFERROR(Tbl_Load_distrib[[#This Row],[x]]-C192,0)</f>
        <v>0</v>
      </c>
      <c r="N193" s="929" t="e">
        <f>IF(ISNA(Tbl_Load_distrib[[#This Row],[x]]),NA(),IF(ISTEXT(N192),0,IF(N192=0,$Z$3,N192-($Z$3-$AA$3)/(Lpp-FE_size)*Tbl_Load_distrib[[#This Row],[L_elt]])))</f>
        <v>#N/A</v>
      </c>
      <c r="O193" s="166" t="e">
        <f ca="1">IF(ISNUMBER(O192),(IF((N192-L192)&lt;0,0,N192-L192)+IF((Tbl_Load_distrib[[#This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93" s="929" t="e">
        <f>IF(ISNA(Tbl_Load_distrib[[#This Row],[x]]),NA(),IF(ISTEXT(P192),0,IF(P192=0,LongSection_DraftAft,P192-(LongSection_DraftAft-LongSection_DraftFore)/(Lpp-FE_size)*Tbl_Load_distrib[[#This Row],[L_elt]])))</f>
        <v>#N/A</v>
      </c>
      <c r="Q193" s="166" t="e">
        <f ca="1">IF(ISNUMBER(Q192),(IF((P192-L192)&lt;0,0,P192-L192)+IF((Tbl_Load_distrib[[#This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93" s="167" t="e">
        <f ca="1">ρ_sw*Tbl_Load_distrib[[#This Row],[Elt Area corrected]]*B/k_depl</f>
        <v>#N/A</v>
      </c>
      <c r="S193" s="167" t="e">
        <f ca="1">Tbl_Load_distrib[[#This Row],[Section Weight]]-Tbl_Load_distrib[[#This Row],[Floating Elt]]</f>
        <v>#N/A</v>
      </c>
      <c r="T193" s="183" t="e">
        <f ca="1">IF(ISTEXT($T192),0,$T192+Tbl_Load_distrib[[#This Row],[Net force / Elt]])</f>
        <v>#N/A</v>
      </c>
      <c r="U193" s="261" t="e">
        <f ca="1">IF(ISTEXT($U192),0,$U192+Tbl_Load_distrib[[#This Row],[Shearing Force]]*Tbl_Load_distrib[[#This Row],[L_elt]])</f>
        <v>#N/A</v>
      </c>
    </row>
    <row r="194" spans="2:21" x14ac:dyDescent="0.25">
      <c r="B194" s="136" t="e">
        <f t="shared" si="5"/>
        <v>#N/A</v>
      </c>
      <c r="C194" s="139" t="e">
        <f t="shared" si="6"/>
        <v>#N/A</v>
      </c>
      <c r="D194" s="152">
        <f ca="1">SUM(Tbl_Load_distrib[[#This Row],[Hull &amp; Structure]:[Reserved]])</f>
        <v>0</v>
      </c>
      <c r="E194" s="260">
        <f>SUMIFS(Tbl_Hull_Structure[Spread],Tbl_Hull_Structure[L from],"&lt;"&amp;Tbl_Load_distrib[[#This Row],[x]],Tbl_Hull_Structure[L to],"&gt;"&amp;C193)*Tbl_Load_distrib[[#This Row],[L_elt]]</f>
        <v>0</v>
      </c>
      <c r="F194" s="260">
        <f ca="1">SUMIFS(Tbl_Ballasts[Spread],Tbl_Ballasts[L from],"&lt;"&amp;Tbl_Load_distrib[[#This Row],[x]],Tbl_Ballasts[L to],"&gt;"&amp;C193)*Tbl_Load_distrib[[#This Row],[L_elt]]</f>
        <v>0</v>
      </c>
      <c r="G194" s="260">
        <f>SUMIFS(Tbl_Lifting[Spread],Tbl_Lifting[L from],"&lt;"&amp;Tbl_Load_distrib[[#This Row],[x]],Tbl_Lifting[L to],"&gt;"&amp;C193)*Tbl_Load_distrib[[#This Row],[L_elt]]</f>
        <v>0</v>
      </c>
      <c r="H194" s="260">
        <f>SUMIFS(Tbl_Additionals[Spread],Tbl_Additionals[L from],"&lt;"&amp;Tbl_Load_distrib[[#This Row],[x]],Tbl_Additionals[L to],"&gt;"&amp;C193)*Tbl_Load_distrib[[#This Row],[L_elt]]</f>
        <v>0</v>
      </c>
      <c r="I194" s="260">
        <f ca="1">SUMIFS(Tbl_Deck_Tank[Spread],Tbl_Deck_Tank[L from],"&lt;"&amp;Tbl_Load_distrib[[#This Row],[x]],Tbl_Deck_Tank[L to],"&gt;"&amp;C193)*Tbl_Load_distrib[[#This Row],[L_elt]]</f>
        <v>0</v>
      </c>
      <c r="J194" s="137"/>
      <c r="K194" s="165" t="e">
        <f>IFERROR(Tbl_Long_Section[[#This Row],[H Deck-Bottom]],NA())</f>
        <v>#N/A</v>
      </c>
      <c r="L194" s="829" t="e">
        <f>M_depth-Tbl_Load_distrib[[#This Row],[H Deck-Bottom]]</f>
        <v>#N/A</v>
      </c>
      <c r="M194" s="929">
        <f>IFERROR(Tbl_Load_distrib[[#This Row],[x]]-C193,0)</f>
        <v>0</v>
      </c>
      <c r="N194" s="929" t="e">
        <f>IF(ISNA(Tbl_Load_distrib[[#This Row],[x]]),NA(),IF(ISTEXT(N193),0,IF(N193=0,$Z$3,N193-($Z$3-$AA$3)/(Lpp-FE_size)*Tbl_Load_distrib[[#This Row],[L_elt]])))</f>
        <v>#N/A</v>
      </c>
      <c r="O194" s="166" t="e">
        <f ca="1">IF(ISNUMBER(O193),(IF((N193-L193)&lt;0,0,N193-L193)+IF((Tbl_Load_distrib[[#This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94" s="929" t="e">
        <f>IF(ISNA(Tbl_Load_distrib[[#This Row],[x]]),NA(),IF(ISTEXT(P193),0,IF(P193=0,LongSection_DraftAft,P193-(LongSection_DraftAft-LongSection_DraftFore)/(Lpp-FE_size)*Tbl_Load_distrib[[#This Row],[L_elt]])))</f>
        <v>#N/A</v>
      </c>
      <c r="Q194" s="166" t="e">
        <f ca="1">IF(ISNUMBER(Q193),(IF((P193-L193)&lt;0,0,P193-L193)+IF((Tbl_Load_distrib[[#This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94" s="167" t="e">
        <f ca="1">ρ_sw*Tbl_Load_distrib[[#This Row],[Elt Area corrected]]*B/k_depl</f>
        <v>#N/A</v>
      </c>
      <c r="S194" s="167" t="e">
        <f ca="1">Tbl_Load_distrib[[#This Row],[Section Weight]]-Tbl_Load_distrib[[#This Row],[Floating Elt]]</f>
        <v>#N/A</v>
      </c>
      <c r="T194" s="183" t="e">
        <f ca="1">IF(ISTEXT($T193),0,$T193+Tbl_Load_distrib[[#This Row],[Net force / Elt]])</f>
        <v>#N/A</v>
      </c>
      <c r="U194" s="261" t="e">
        <f ca="1">IF(ISTEXT($U193),0,$U193+Tbl_Load_distrib[[#This Row],[Shearing Force]]*Tbl_Load_distrib[[#This Row],[L_elt]])</f>
        <v>#N/A</v>
      </c>
    </row>
    <row r="195" spans="2:21" x14ac:dyDescent="0.25">
      <c r="B195" s="136" t="e">
        <f t="shared" si="5"/>
        <v>#N/A</v>
      </c>
      <c r="C195" s="139" t="e">
        <f t="shared" si="6"/>
        <v>#N/A</v>
      </c>
      <c r="D195" s="152">
        <f ca="1">SUM(Tbl_Load_distrib[[#This Row],[Hull &amp; Structure]:[Reserved]])</f>
        <v>0</v>
      </c>
      <c r="E195" s="260">
        <f>SUMIFS(Tbl_Hull_Structure[Spread],Tbl_Hull_Structure[L from],"&lt;"&amp;Tbl_Load_distrib[[#This Row],[x]],Tbl_Hull_Structure[L to],"&gt;"&amp;C194)*Tbl_Load_distrib[[#This Row],[L_elt]]</f>
        <v>0</v>
      </c>
      <c r="F195" s="260">
        <f ca="1">SUMIFS(Tbl_Ballasts[Spread],Tbl_Ballasts[L from],"&lt;"&amp;Tbl_Load_distrib[[#This Row],[x]],Tbl_Ballasts[L to],"&gt;"&amp;C194)*Tbl_Load_distrib[[#This Row],[L_elt]]</f>
        <v>0</v>
      </c>
      <c r="G195" s="260">
        <f>SUMIFS(Tbl_Lifting[Spread],Tbl_Lifting[L from],"&lt;"&amp;Tbl_Load_distrib[[#This Row],[x]],Tbl_Lifting[L to],"&gt;"&amp;C194)*Tbl_Load_distrib[[#This Row],[L_elt]]</f>
        <v>0</v>
      </c>
      <c r="H195" s="260">
        <f>SUMIFS(Tbl_Additionals[Spread],Tbl_Additionals[L from],"&lt;"&amp;Tbl_Load_distrib[[#This Row],[x]],Tbl_Additionals[L to],"&gt;"&amp;C194)*Tbl_Load_distrib[[#This Row],[L_elt]]</f>
        <v>0</v>
      </c>
      <c r="I195" s="260">
        <f ca="1">SUMIFS(Tbl_Deck_Tank[Spread],Tbl_Deck_Tank[L from],"&lt;"&amp;Tbl_Load_distrib[[#This Row],[x]],Tbl_Deck_Tank[L to],"&gt;"&amp;C194)*Tbl_Load_distrib[[#This Row],[L_elt]]</f>
        <v>0</v>
      </c>
      <c r="J195" s="137"/>
      <c r="K195" s="165" t="e">
        <f>IFERROR(Tbl_Long_Section[[#This Row],[H Deck-Bottom]],NA())</f>
        <v>#N/A</v>
      </c>
      <c r="L195" s="829" t="e">
        <f>M_depth-Tbl_Load_distrib[[#This Row],[H Deck-Bottom]]</f>
        <v>#N/A</v>
      </c>
      <c r="M195" s="929">
        <f>IFERROR(Tbl_Load_distrib[[#This Row],[x]]-C194,0)</f>
        <v>0</v>
      </c>
      <c r="N195" s="929" t="e">
        <f>IF(ISNA(Tbl_Load_distrib[[#This Row],[x]]),NA(),IF(ISTEXT(N194),0,IF(N194=0,$Z$3,N194-($Z$3-$AA$3)/(Lpp-FE_size)*Tbl_Load_distrib[[#This Row],[L_elt]])))</f>
        <v>#N/A</v>
      </c>
      <c r="O195" s="166" t="e">
        <f ca="1">IF(ISNUMBER(O194),(IF((N194-L194)&lt;0,0,N194-L194)+IF((Tbl_Load_distrib[[#This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95" s="929" t="e">
        <f>IF(ISNA(Tbl_Load_distrib[[#This Row],[x]]),NA(),IF(ISTEXT(P194),0,IF(P194=0,LongSection_DraftAft,P194-(LongSection_DraftAft-LongSection_DraftFore)/(Lpp-FE_size)*Tbl_Load_distrib[[#This Row],[L_elt]])))</f>
        <v>#N/A</v>
      </c>
      <c r="Q195" s="166" t="e">
        <f ca="1">IF(ISNUMBER(Q194),(IF((P194-L194)&lt;0,0,P194-L194)+IF((Tbl_Load_distrib[[#This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95" s="167" t="e">
        <f ca="1">ρ_sw*Tbl_Load_distrib[[#This Row],[Elt Area corrected]]*B/k_depl</f>
        <v>#N/A</v>
      </c>
      <c r="S195" s="167" t="e">
        <f ca="1">Tbl_Load_distrib[[#This Row],[Section Weight]]-Tbl_Load_distrib[[#This Row],[Floating Elt]]</f>
        <v>#N/A</v>
      </c>
      <c r="T195" s="183" t="e">
        <f ca="1">IF(ISTEXT($T194),0,$T194+Tbl_Load_distrib[[#This Row],[Net force / Elt]])</f>
        <v>#N/A</v>
      </c>
      <c r="U195" s="261" t="e">
        <f ca="1">IF(ISTEXT($U194),0,$U194+Tbl_Load_distrib[[#This Row],[Shearing Force]]*Tbl_Load_distrib[[#This Row],[L_elt]])</f>
        <v>#N/A</v>
      </c>
    </row>
    <row r="196" spans="2:21" x14ac:dyDescent="0.25">
      <c r="B196" s="136" t="e">
        <f t="shared" si="5"/>
        <v>#N/A</v>
      </c>
      <c r="C196" s="139" t="e">
        <f t="shared" si="6"/>
        <v>#N/A</v>
      </c>
      <c r="D196" s="152">
        <f ca="1">SUM(Tbl_Load_distrib[[#This Row],[Hull &amp; Structure]:[Reserved]])</f>
        <v>0</v>
      </c>
      <c r="E196" s="260">
        <f>SUMIFS(Tbl_Hull_Structure[Spread],Tbl_Hull_Structure[L from],"&lt;"&amp;Tbl_Load_distrib[[#This Row],[x]],Tbl_Hull_Structure[L to],"&gt;"&amp;C195)*Tbl_Load_distrib[[#This Row],[L_elt]]</f>
        <v>0</v>
      </c>
      <c r="F196" s="260">
        <f ca="1">SUMIFS(Tbl_Ballasts[Spread],Tbl_Ballasts[L from],"&lt;"&amp;Tbl_Load_distrib[[#This Row],[x]],Tbl_Ballasts[L to],"&gt;"&amp;C195)*Tbl_Load_distrib[[#This Row],[L_elt]]</f>
        <v>0</v>
      </c>
      <c r="G196" s="260">
        <f>SUMIFS(Tbl_Lifting[Spread],Tbl_Lifting[L from],"&lt;"&amp;Tbl_Load_distrib[[#This Row],[x]],Tbl_Lifting[L to],"&gt;"&amp;C195)*Tbl_Load_distrib[[#This Row],[L_elt]]</f>
        <v>0</v>
      </c>
      <c r="H196" s="260">
        <f>SUMIFS(Tbl_Additionals[Spread],Tbl_Additionals[L from],"&lt;"&amp;Tbl_Load_distrib[[#This Row],[x]],Tbl_Additionals[L to],"&gt;"&amp;C195)*Tbl_Load_distrib[[#This Row],[L_elt]]</f>
        <v>0</v>
      </c>
      <c r="I196" s="260">
        <f ca="1">SUMIFS(Tbl_Deck_Tank[Spread],Tbl_Deck_Tank[L from],"&lt;"&amp;Tbl_Load_distrib[[#This Row],[x]],Tbl_Deck_Tank[L to],"&gt;"&amp;C195)*Tbl_Load_distrib[[#This Row],[L_elt]]</f>
        <v>0</v>
      </c>
      <c r="J196" s="137"/>
      <c r="K196" s="165" t="e">
        <f>IFERROR(Tbl_Long_Section[[#This Row],[H Deck-Bottom]],NA())</f>
        <v>#N/A</v>
      </c>
      <c r="L196" s="829" t="e">
        <f>M_depth-Tbl_Load_distrib[[#This Row],[H Deck-Bottom]]</f>
        <v>#N/A</v>
      </c>
      <c r="M196" s="929">
        <f>IFERROR(Tbl_Load_distrib[[#This Row],[x]]-C195,0)</f>
        <v>0</v>
      </c>
      <c r="N196" s="929" t="e">
        <f>IF(ISNA(Tbl_Load_distrib[[#This Row],[x]]),NA(),IF(ISTEXT(N195),0,IF(N195=0,$Z$3,N195-($Z$3-$AA$3)/(Lpp-FE_size)*Tbl_Load_distrib[[#This Row],[L_elt]])))</f>
        <v>#N/A</v>
      </c>
      <c r="O196" s="166" t="e">
        <f ca="1">IF(ISNUMBER(O195),(IF((N195-L195)&lt;0,0,N195-L195)+IF((Tbl_Load_distrib[[#This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96" s="929" t="e">
        <f>IF(ISNA(Tbl_Load_distrib[[#This Row],[x]]),NA(),IF(ISTEXT(P195),0,IF(P195=0,LongSection_DraftAft,P195-(LongSection_DraftAft-LongSection_DraftFore)/(Lpp-FE_size)*Tbl_Load_distrib[[#This Row],[L_elt]])))</f>
        <v>#N/A</v>
      </c>
      <c r="Q196" s="166" t="e">
        <f ca="1">IF(ISNUMBER(Q195),(IF((P195-L195)&lt;0,0,P195-L195)+IF((Tbl_Load_distrib[[#This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96" s="167" t="e">
        <f ca="1">ρ_sw*Tbl_Load_distrib[[#This Row],[Elt Area corrected]]*B/k_depl</f>
        <v>#N/A</v>
      </c>
      <c r="S196" s="167" t="e">
        <f ca="1">Tbl_Load_distrib[[#This Row],[Section Weight]]-Tbl_Load_distrib[[#This Row],[Floating Elt]]</f>
        <v>#N/A</v>
      </c>
      <c r="T196" s="183" t="e">
        <f ca="1">IF(ISTEXT($T195),0,$T195+Tbl_Load_distrib[[#This Row],[Net force / Elt]])</f>
        <v>#N/A</v>
      </c>
      <c r="U196" s="261" t="e">
        <f ca="1">IF(ISTEXT($U195),0,$U195+Tbl_Load_distrib[[#This Row],[Shearing Force]]*Tbl_Load_distrib[[#This Row],[L_elt]])</f>
        <v>#N/A</v>
      </c>
    </row>
    <row r="197" spans="2:21" x14ac:dyDescent="0.25">
      <c r="B197" s="136" t="e">
        <f t="shared" si="5"/>
        <v>#N/A</v>
      </c>
      <c r="C197" s="139" t="e">
        <f t="shared" si="6"/>
        <v>#N/A</v>
      </c>
      <c r="D197" s="152">
        <f ca="1">SUM(Tbl_Load_distrib[[#This Row],[Hull &amp; Structure]:[Reserved]])</f>
        <v>0</v>
      </c>
      <c r="E197" s="260">
        <f>SUMIFS(Tbl_Hull_Structure[Spread],Tbl_Hull_Structure[L from],"&lt;"&amp;Tbl_Load_distrib[[#This Row],[x]],Tbl_Hull_Structure[L to],"&gt;"&amp;C196)*Tbl_Load_distrib[[#This Row],[L_elt]]</f>
        <v>0</v>
      </c>
      <c r="F197" s="260">
        <f ca="1">SUMIFS(Tbl_Ballasts[Spread],Tbl_Ballasts[L from],"&lt;"&amp;Tbl_Load_distrib[[#This Row],[x]],Tbl_Ballasts[L to],"&gt;"&amp;C196)*Tbl_Load_distrib[[#This Row],[L_elt]]</f>
        <v>0</v>
      </c>
      <c r="G197" s="260">
        <f>SUMIFS(Tbl_Lifting[Spread],Tbl_Lifting[L from],"&lt;"&amp;Tbl_Load_distrib[[#This Row],[x]],Tbl_Lifting[L to],"&gt;"&amp;C196)*Tbl_Load_distrib[[#This Row],[L_elt]]</f>
        <v>0</v>
      </c>
      <c r="H197" s="260">
        <f>SUMIFS(Tbl_Additionals[Spread],Tbl_Additionals[L from],"&lt;"&amp;Tbl_Load_distrib[[#This Row],[x]],Tbl_Additionals[L to],"&gt;"&amp;C196)*Tbl_Load_distrib[[#This Row],[L_elt]]</f>
        <v>0</v>
      </c>
      <c r="I197" s="260">
        <f ca="1">SUMIFS(Tbl_Deck_Tank[Spread],Tbl_Deck_Tank[L from],"&lt;"&amp;Tbl_Load_distrib[[#This Row],[x]],Tbl_Deck_Tank[L to],"&gt;"&amp;C196)*Tbl_Load_distrib[[#This Row],[L_elt]]</f>
        <v>0</v>
      </c>
      <c r="J197" s="137"/>
      <c r="K197" s="165" t="e">
        <f>IFERROR(Tbl_Long_Section[[#This Row],[H Deck-Bottom]],NA())</f>
        <v>#N/A</v>
      </c>
      <c r="L197" s="829" t="e">
        <f>M_depth-Tbl_Load_distrib[[#This Row],[H Deck-Bottom]]</f>
        <v>#N/A</v>
      </c>
      <c r="M197" s="929">
        <f>IFERROR(Tbl_Load_distrib[[#This Row],[x]]-C196,0)</f>
        <v>0</v>
      </c>
      <c r="N197" s="929" t="e">
        <f>IF(ISNA(Tbl_Load_distrib[[#This Row],[x]]),NA(),IF(ISTEXT(N196),0,IF(N196=0,$Z$3,N196-($Z$3-$AA$3)/(Lpp-FE_size)*Tbl_Load_distrib[[#This Row],[L_elt]])))</f>
        <v>#N/A</v>
      </c>
      <c r="O197" s="166" t="e">
        <f ca="1">IF(ISNUMBER(O196),(IF((N196-L196)&lt;0,0,N196-L196)+IF((Tbl_Load_distrib[[#This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97" s="929" t="e">
        <f>IF(ISNA(Tbl_Load_distrib[[#This Row],[x]]),NA(),IF(ISTEXT(P196),0,IF(P196=0,LongSection_DraftAft,P196-(LongSection_DraftAft-LongSection_DraftFore)/(Lpp-FE_size)*Tbl_Load_distrib[[#This Row],[L_elt]])))</f>
        <v>#N/A</v>
      </c>
      <c r="Q197" s="166" t="e">
        <f ca="1">IF(ISNUMBER(Q196),(IF((P196-L196)&lt;0,0,P196-L196)+IF((Tbl_Load_distrib[[#This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97" s="167" t="e">
        <f ca="1">ρ_sw*Tbl_Load_distrib[[#This Row],[Elt Area corrected]]*B/k_depl</f>
        <v>#N/A</v>
      </c>
      <c r="S197" s="167" t="e">
        <f ca="1">Tbl_Load_distrib[[#This Row],[Section Weight]]-Tbl_Load_distrib[[#This Row],[Floating Elt]]</f>
        <v>#N/A</v>
      </c>
      <c r="T197" s="183" t="e">
        <f ca="1">IF(ISTEXT($T196),0,$T196+Tbl_Load_distrib[[#This Row],[Net force / Elt]])</f>
        <v>#N/A</v>
      </c>
      <c r="U197" s="261" t="e">
        <f ca="1">IF(ISTEXT($U196),0,$U196+Tbl_Load_distrib[[#This Row],[Shearing Force]]*Tbl_Load_distrib[[#This Row],[L_elt]])</f>
        <v>#N/A</v>
      </c>
    </row>
    <row r="198" spans="2:21" x14ac:dyDescent="0.25">
      <c r="B198" s="136" t="e">
        <f t="shared" ref="B198:B261" si="7">IF(ISTEXT($B197),0,IF($B197+1&gt;Last_Frame,NA(),$B197+1))</f>
        <v>#N/A</v>
      </c>
      <c r="C198" s="139" t="e">
        <f t="shared" ref="C198:C261" si="8">IF(B198*FE_size&gt;Lpp,Lpp,B198*FE_size)</f>
        <v>#N/A</v>
      </c>
      <c r="D198" s="152">
        <f ca="1">SUM(Tbl_Load_distrib[[#This Row],[Hull &amp; Structure]:[Reserved]])</f>
        <v>0</v>
      </c>
      <c r="E198" s="260">
        <f>SUMIFS(Tbl_Hull_Structure[Spread],Tbl_Hull_Structure[L from],"&lt;"&amp;Tbl_Load_distrib[[#This Row],[x]],Tbl_Hull_Structure[L to],"&gt;"&amp;C197)*Tbl_Load_distrib[[#This Row],[L_elt]]</f>
        <v>0</v>
      </c>
      <c r="F198" s="260">
        <f ca="1">SUMIFS(Tbl_Ballasts[Spread],Tbl_Ballasts[L from],"&lt;"&amp;Tbl_Load_distrib[[#This Row],[x]],Tbl_Ballasts[L to],"&gt;"&amp;C197)*Tbl_Load_distrib[[#This Row],[L_elt]]</f>
        <v>0</v>
      </c>
      <c r="G198" s="260">
        <f>SUMIFS(Tbl_Lifting[Spread],Tbl_Lifting[L from],"&lt;"&amp;Tbl_Load_distrib[[#This Row],[x]],Tbl_Lifting[L to],"&gt;"&amp;C197)*Tbl_Load_distrib[[#This Row],[L_elt]]</f>
        <v>0</v>
      </c>
      <c r="H198" s="260">
        <f>SUMIFS(Tbl_Additionals[Spread],Tbl_Additionals[L from],"&lt;"&amp;Tbl_Load_distrib[[#This Row],[x]],Tbl_Additionals[L to],"&gt;"&amp;C197)*Tbl_Load_distrib[[#This Row],[L_elt]]</f>
        <v>0</v>
      </c>
      <c r="I198" s="260">
        <f ca="1">SUMIFS(Tbl_Deck_Tank[Spread],Tbl_Deck_Tank[L from],"&lt;"&amp;Tbl_Load_distrib[[#This Row],[x]],Tbl_Deck_Tank[L to],"&gt;"&amp;C197)*Tbl_Load_distrib[[#This Row],[L_elt]]</f>
        <v>0</v>
      </c>
      <c r="J198" s="137"/>
      <c r="K198" s="165" t="e">
        <f>IFERROR(Tbl_Long_Section[[#This Row],[H Deck-Bottom]],NA())</f>
        <v>#N/A</v>
      </c>
      <c r="L198" s="829" t="e">
        <f>M_depth-Tbl_Load_distrib[[#This Row],[H Deck-Bottom]]</f>
        <v>#N/A</v>
      </c>
      <c r="M198" s="929">
        <f>IFERROR(Tbl_Load_distrib[[#This Row],[x]]-C197,0)</f>
        <v>0</v>
      </c>
      <c r="N198" s="929" t="e">
        <f>IF(ISNA(Tbl_Load_distrib[[#This Row],[x]]),NA(),IF(ISTEXT(N197),0,IF(N197=0,$Z$3,N197-($Z$3-$AA$3)/(Lpp-FE_size)*Tbl_Load_distrib[[#This Row],[L_elt]])))</f>
        <v>#N/A</v>
      </c>
      <c r="O198" s="166" t="e">
        <f ca="1">IF(ISNUMBER(O197),(IF((N197-L197)&lt;0,0,N197-L197)+IF((Tbl_Load_distrib[[#This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98" s="929" t="e">
        <f>IF(ISNA(Tbl_Load_distrib[[#This Row],[x]]),NA(),IF(ISTEXT(P197),0,IF(P197=0,LongSection_DraftAft,P197-(LongSection_DraftAft-LongSection_DraftFore)/(Lpp-FE_size)*Tbl_Load_distrib[[#This Row],[L_elt]])))</f>
        <v>#N/A</v>
      </c>
      <c r="Q198" s="166" t="e">
        <f ca="1">IF(ISNUMBER(Q197),(IF((P197-L197)&lt;0,0,P197-L197)+IF((Tbl_Load_distrib[[#This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98" s="167" t="e">
        <f ca="1">ρ_sw*Tbl_Load_distrib[[#This Row],[Elt Area corrected]]*B/k_depl</f>
        <v>#N/A</v>
      </c>
      <c r="S198" s="167" t="e">
        <f ca="1">Tbl_Load_distrib[[#This Row],[Section Weight]]-Tbl_Load_distrib[[#This Row],[Floating Elt]]</f>
        <v>#N/A</v>
      </c>
      <c r="T198" s="183" t="e">
        <f ca="1">IF(ISTEXT($T197),0,$T197+Tbl_Load_distrib[[#This Row],[Net force / Elt]])</f>
        <v>#N/A</v>
      </c>
      <c r="U198" s="261" t="e">
        <f ca="1">IF(ISTEXT($U197),0,$U197+Tbl_Load_distrib[[#This Row],[Shearing Force]]*Tbl_Load_distrib[[#This Row],[L_elt]])</f>
        <v>#N/A</v>
      </c>
    </row>
    <row r="199" spans="2:21" x14ac:dyDescent="0.25">
      <c r="B199" s="136" t="e">
        <f t="shared" si="7"/>
        <v>#N/A</v>
      </c>
      <c r="C199" s="139" t="e">
        <f t="shared" si="8"/>
        <v>#N/A</v>
      </c>
      <c r="D199" s="152">
        <f ca="1">SUM(Tbl_Load_distrib[[#This Row],[Hull &amp; Structure]:[Reserved]])</f>
        <v>0</v>
      </c>
      <c r="E199" s="260">
        <f>SUMIFS(Tbl_Hull_Structure[Spread],Tbl_Hull_Structure[L from],"&lt;"&amp;Tbl_Load_distrib[[#This Row],[x]],Tbl_Hull_Structure[L to],"&gt;"&amp;C198)*Tbl_Load_distrib[[#This Row],[L_elt]]</f>
        <v>0</v>
      </c>
      <c r="F199" s="260">
        <f ca="1">SUMIFS(Tbl_Ballasts[Spread],Tbl_Ballasts[L from],"&lt;"&amp;Tbl_Load_distrib[[#This Row],[x]],Tbl_Ballasts[L to],"&gt;"&amp;C198)*Tbl_Load_distrib[[#This Row],[L_elt]]</f>
        <v>0</v>
      </c>
      <c r="G199" s="260">
        <f>SUMIFS(Tbl_Lifting[Spread],Tbl_Lifting[L from],"&lt;"&amp;Tbl_Load_distrib[[#This Row],[x]],Tbl_Lifting[L to],"&gt;"&amp;C198)*Tbl_Load_distrib[[#This Row],[L_elt]]</f>
        <v>0</v>
      </c>
      <c r="H199" s="260">
        <f>SUMIFS(Tbl_Additionals[Spread],Tbl_Additionals[L from],"&lt;"&amp;Tbl_Load_distrib[[#This Row],[x]],Tbl_Additionals[L to],"&gt;"&amp;C198)*Tbl_Load_distrib[[#This Row],[L_elt]]</f>
        <v>0</v>
      </c>
      <c r="I199" s="260">
        <f ca="1">SUMIFS(Tbl_Deck_Tank[Spread],Tbl_Deck_Tank[L from],"&lt;"&amp;Tbl_Load_distrib[[#This Row],[x]],Tbl_Deck_Tank[L to],"&gt;"&amp;C198)*Tbl_Load_distrib[[#This Row],[L_elt]]</f>
        <v>0</v>
      </c>
      <c r="J199" s="137"/>
      <c r="K199" s="165" t="e">
        <f>IFERROR(Tbl_Long_Section[[#This Row],[H Deck-Bottom]],NA())</f>
        <v>#N/A</v>
      </c>
      <c r="L199" s="829" t="e">
        <f>M_depth-Tbl_Load_distrib[[#This Row],[H Deck-Bottom]]</f>
        <v>#N/A</v>
      </c>
      <c r="M199" s="929">
        <f>IFERROR(Tbl_Load_distrib[[#This Row],[x]]-C198,0)</f>
        <v>0</v>
      </c>
      <c r="N199" s="929" t="e">
        <f>IF(ISNA(Tbl_Load_distrib[[#This Row],[x]]),NA(),IF(ISTEXT(N198),0,IF(N198=0,$Z$3,N198-($Z$3-$AA$3)/(Lpp-FE_size)*Tbl_Load_distrib[[#This Row],[L_elt]])))</f>
        <v>#N/A</v>
      </c>
      <c r="O199" s="166" t="e">
        <f ca="1">IF(ISNUMBER(O198),(IF((N198-L198)&lt;0,0,N198-L198)+IF((Tbl_Load_distrib[[#This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199" s="929" t="e">
        <f>IF(ISNA(Tbl_Load_distrib[[#This Row],[x]]),NA(),IF(ISTEXT(P198),0,IF(P198=0,LongSection_DraftAft,P198-(LongSection_DraftAft-LongSection_DraftFore)/(Lpp-FE_size)*Tbl_Load_distrib[[#This Row],[L_elt]])))</f>
        <v>#N/A</v>
      </c>
      <c r="Q199" s="166" t="e">
        <f ca="1">IF(ISNUMBER(Q198),(IF((P198-L198)&lt;0,0,P198-L198)+IF((Tbl_Load_distrib[[#This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199" s="167" t="e">
        <f ca="1">ρ_sw*Tbl_Load_distrib[[#This Row],[Elt Area corrected]]*B/k_depl</f>
        <v>#N/A</v>
      </c>
      <c r="S199" s="167" t="e">
        <f ca="1">Tbl_Load_distrib[[#This Row],[Section Weight]]-Tbl_Load_distrib[[#This Row],[Floating Elt]]</f>
        <v>#N/A</v>
      </c>
      <c r="T199" s="183" t="e">
        <f ca="1">IF(ISTEXT($T198),0,$T198+Tbl_Load_distrib[[#This Row],[Net force / Elt]])</f>
        <v>#N/A</v>
      </c>
      <c r="U199" s="261" t="e">
        <f ca="1">IF(ISTEXT($U198),0,$U198+Tbl_Load_distrib[[#This Row],[Shearing Force]]*Tbl_Load_distrib[[#This Row],[L_elt]])</f>
        <v>#N/A</v>
      </c>
    </row>
    <row r="200" spans="2:21" x14ac:dyDescent="0.25">
      <c r="B200" s="136" t="e">
        <f t="shared" si="7"/>
        <v>#N/A</v>
      </c>
      <c r="C200" s="139" t="e">
        <f t="shared" si="8"/>
        <v>#N/A</v>
      </c>
      <c r="D200" s="152">
        <f ca="1">SUM(Tbl_Load_distrib[[#This Row],[Hull &amp; Structure]:[Reserved]])</f>
        <v>0</v>
      </c>
      <c r="E200" s="260">
        <f>SUMIFS(Tbl_Hull_Structure[Spread],Tbl_Hull_Structure[L from],"&lt;"&amp;Tbl_Load_distrib[[#This Row],[x]],Tbl_Hull_Structure[L to],"&gt;"&amp;C199)*Tbl_Load_distrib[[#This Row],[L_elt]]</f>
        <v>0</v>
      </c>
      <c r="F200" s="260">
        <f ca="1">SUMIFS(Tbl_Ballasts[Spread],Tbl_Ballasts[L from],"&lt;"&amp;Tbl_Load_distrib[[#This Row],[x]],Tbl_Ballasts[L to],"&gt;"&amp;C199)*Tbl_Load_distrib[[#This Row],[L_elt]]</f>
        <v>0</v>
      </c>
      <c r="G200" s="260">
        <f>SUMIFS(Tbl_Lifting[Spread],Tbl_Lifting[L from],"&lt;"&amp;Tbl_Load_distrib[[#This Row],[x]],Tbl_Lifting[L to],"&gt;"&amp;C199)*Tbl_Load_distrib[[#This Row],[L_elt]]</f>
        <v>0</v>
      </c>
      <c r="H200" s="260">
        <f>SUMIFS(Tbl_Additionals[Spread],Tbl_Additionals[L from],"&lt;"&amp;Tbl_Load_distrib[[#This Row],[x]],Tbl_Additionals[L to],"&gt;"&amp;C199)*Tbl_Load_distrib[[#This Row],[L_elt]]</f>
        <v>0</v>
      </c>
      <c r="I200" s="260">
        <f ca="1">SUMIFS(Tbl_Deck_Tank[Spread],Tbl_Deck_Tank[L from],"&lt;"&amp;Tbl_Load_distrib[[#This Row],[x]],Tbl_Deck_Tank[L to],"&gt;"&amp;C199)*Tbl_Load_distrib[[#This Row],[L_elt]]</f>
        <v>0</v>
      </c>
      <c r="J200" s="137"/>
      <c r="K200" s="165" t="e">
        <f>IFERROR(Tbl_Long_Section[[#This Row],[H Deck-Bottom]],NA())</f>
        <v>#N/A</v>
      </c>
      <c r="L200" s="829" t="e">
        <f>M_depth-Tbl_Load_distrib[[#This Row],[H Deck-Bottom]]</f>
        <v>#N/A</v>
      </c>
      <c r="M200" s="929">
        <f>IFERROR(Tbl_Load_distrib[[#This Row],[x]]-C199,0)</f>
        <v>0</v>
      </c>
      <c r="N200" s="929" t="e">
        <f>IF(ISNA(Tbl_Load_distrib[[#This Row],[x]]),NA(),IF(ISTEXT(N199),0,IF(N199=0,$Z$3,N199-($Z$3-$AA$3)/(Lpp-FE_size)*Tbl_Load_distrib[[#This Row],[L_elt]])))</f>
        <v>#N/A</v>
      </c>
      <c r="O200" s="166" t="e">
        <f ca="1">IF(ISNUMBER(O199),(IF((N199-L199)&lt;0,0,N199-L199)+IF((Tbl_Load_distrib[[#This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00" s="929" t="e">
        <f>IF(ISNA(Tbl_Load_distrib[[#This Row],[x]]),NA(),IF(ISTEXT(P199),0,IF(P199=0,LongSection_DraftAft,P199-(LongSection_DraftAft-LongSection_DraftFore)/(Lpp-FE_size)*Tbl_Load_distrib[[#This Row],[L_elt]])))</f>
        <v>#N/A</v>
      </c>
      <c r="Q200" s="166" t="e">
        <f ca="1">IF(ISNUMBER(Q199),(IF((P199-L199)&lt;0,0,P199-L199)+IF((Tbl_Load_distrib[[#This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00" s="167" t="e">
        <f ca="1">ρ_sw*Tbl_Load_distrib[[#This Row],[Elt Area corrected]]*B/k_depl</f>
        <v>#N/A</v>
      </c>
      <c r="S200" s="167" t="e">
        <f ca="1">Tbl_Load_distrib[[#This Row],[Section Weight]]-Tbl_Load_distrib[[#This Row],[Floating Elt]]</f>
        <v>#N/A</v>
      </c>
      <c r="T200" s="183" t="e">
        <f ca="1">IF(ISTEXT($T199),0,$T199+Tbl_Load_distrib[[#This Row],[Net force / Elt]])</f>
        <v>#N/A</v>
      </c>
      <c r="U200" s="261" t="e">
        <f ca="1">IF(ISTEXT($U199),0,$U199+Tbl_Load_distrib[[#This Row],[Shearing Force]]*Tbl_Load_distrib[[#This Row],[L_elt]])</f>
        <v>#N/A</v>
      </c>
    </row>
    <row r="201" spans="2:21" x14ac:dyDescent="0.25">
      <c r="B201" s="136" t="e">
        <f t="shared" si="7"/>
        <v>#N/A</v>
      </c>
      <c r="C201" s="139" t="e">
        <f t="shared" si="8"/>
        <v>#N/A</v>
      </c>
      <c r="D201" s="152">
        <f ca="1">SUM(Tbl_Load_distrib[[#This Row],[Hull &amp; Structure]:[Reserved]])</f>
        <v>0</v>
      </c>
      <c r="E201" s="260">
        <f>SUMIFS(Tbl_Hull_Structure[Spread],Tbl_Hull_Structure[L from],"&lt;"&amp;Tbl_Load_distrib[[#This Row],[x]],Tbl_Hull_Structure[L to],"&gt;"&amp;C200)*Tbl_Load_distrib[[#This Row],[L_elt]]</f>
        <v>0</v>
      </c>
      <c r="F201" s="260">
        <f ca="1">SUMIFS(Tbl_Ballasts[Spread],Tbl_Ballasts[L from],"&lt;"&amp;Tbl_Load_distrib[[#This Row],[x]],Tbl_Ballasts[L to],"&gt;"&amp;C200)*Tbl_Load_distrib[[#This Row],[L_elt]]</f>
        <v>0</v>
      </c>
      <c r="G201" s="260">
        <f>SUMIFS(Tbl_Lifting[Spread],Tbl_Lifting[L from],"&lt;"&amp;Tbl_Load_distrib[[#This Row],[x]],Tbl_Lifting[L to],"&gt;"&amp;C200)*Tbl_Load_distrib[[#This Row],[L_elt]]</f>
        <v>0</v>
      </c>
      <c r="H201" s="260">
        <f>SUMIFS(Tbl_Additionals[Spread],Tbl_Additionals[L from],"&lt;"&amp;Tbl_Load_distrib[[#This Row],[x]],Tbl_Additionals[L to],"&gt;"&amp;C200)*Tbl_Load_distrib[[#This Row],[L_elt]]</f>
        <v>0</v>
      </c>
      <c r="I201" s="260">
        <f ca="1">SUMIFS(Tbl_Deck_Tank[Spread],Tbl_Deck_Tank[L from],"&lt;"&amp;Tbl_Load_distrib[[#This Row],[x]],Tbl_Deck_Tank[L to],"&gt;"&amp;C200)*Tbl_Load_distrib[[#This Row],[L_elt]]</f>
        <v>0</v>
      </c>
      <c r="J201" s="137"/>
      <c r="K201" s="165" t="e">
        <f>IFERROR(Tbl_Long_Section[[#This Row],[H Deck-Bottom]],NA())</f>
        <v>#N/A</v>
      </c>
      <c r="L201" s="829" t="e">
        <f>M_depth-Tbl_Load_distrib[[#This Row],[H Deck-Bottom]]</f>
        <v>#N/A</v>
      </c>
      <c r="M201" s="929">
        <f>IFERROR(Tbl_Load_distrib[[#This Row],[x]]-C200,0)</f>
        <v>0</v>
      </c>
      <c r="N201" s="929" t="e">
        <f>IF(ISNA(Tbl_Load_distrib[[#This Row],[x]]),NA(),IF(ISTEXT(N200),0,IF(N200=0,$Z$3,N200-($Z$3-$AA$3)/(Lpp-FE_size)*Tbl_Load_distrib[[#This Row],[L_elt]])))</f>
        <v>#N/A</v>
      </c>
      <c r="O201" s="166" t="e">
        <f ca="1">IF(ISNUMBER(O200),(IF((N200-L200)&lt;0,0,N200-L200)+IF((Tbl_Load_distrib[[#This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01" s="929" t="e">
        <f>IF(ISNA(Tbl_Load_distrib[[#This Row],[x]]),NA(),IF(ISTEXT(P200),0,IF(P200=0,LongSection_DraftAft,P200-(LongSection_DraftAft-LongSection_DraftFore)/(Lpp-FE_size)*Tbl_Load_distrib[[#This Row],[L_elt]])))</f>
        <v>#N/A</v>
      </c>
      <c r="Q201" s="166" t="e">
        <f ca="1">IF(ISNUMBER(Q200),(IF((P200-L200)&lt;0,0,P200-L200)+IF((Tbl_Load_distrib[[#This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01" s="167" t="e">
        <f ca="1">ρ_sw*Tbl_Load_distrib[[#This Row],[Elt Area corrected]]*B/k_depl</f>
        <v>#N/A</v>
      </c>
      <c r="S201" s="167" t="e">
        <f ca="1">Tbl_Load_distrib[[#This Row],[Section Weight]]-Tbl_Load_distrib[[#This Row],[Floating Elt]]</f>
        <v>#N/A</v>
      </c>
      <c r="T201" s="183" t="e">
        <f ca="1">IF(ISTEXT($T200),0,$T200+Tbl_Load_distrib[[#This Row],[Net force / Elt]])</f>
        <v>#N/A</v>
      </c>
      <c r="U201" s="261" t="e">
        <f ca="1">IF(ISTEXT($U200),0,$U200+Tbl_Load_distrib[[#This Row],[Shearing Force]]*Tbl_Load_distrib[[#This Row],[L_elt]])</f>
        <v>#N/A</v>
      </c>
    </row>
    <row r="202" spans="2:21" x14ac:dyDescent="0.25">
      <c r="B202" s="136" t="e">
        <f t="shared" si="7"/>
        <v>#N/A</v>
      </c>
      <c r="C202" s="139" t="e">
        <f t="shared" si="8"/>
        <v>#N/A</v>
      </c>
      <c r="D202" s="152">
        <f ca="1">SUM(Tbl_Load_distrib[[#This Row],[Hull &amp; Structure]:[Reserved]])</f>
        <v>0</v>
      </c>
      <c r="E202" s="260">
        <f>SUMIFS(Tbl_Hull_Structure[Spread],Tbl_Hull_Structure[L from],"&lt;"&amp;Tbl_Load_distrib[[#This Row],[x]],Tbl_Hull_Structure[L to],"&gt;"&amp;C201)*Tbl_Load_distrib[[#This Row],[L_elt]]</f>
        <v>0</v>
      </c>
      <c r="F202" s="260">
        <f ca="1">SUMIFS(Tbl_Ballasts[Spread],Tbl_Ballasts[L from],"&lt;"&amp;Tbl_Load_distrib[[#This Row],[x]],Tbl_Ballasts[L to],"&gt;"&amp;C201)*Tbl_Load_distrib[[#This Row],[L_elt]]</f>
        <v>0</v>
      </c>
      <c r="G202" s="260">
        <f>SUMIFS(Tbl_Lifting[Spread],Tbl_Lifting[L from],"&lt;"&amp;Tbl_Load_distrib[[#This Row],[x]],Tbl_Lifting[L to],"&gt;"&amp;C201)*Tbl_Load_distrib[[#This Row],[L_elt]]</f>
        <v>0</v>
      </c>
      <c r="H202" s="260">
        <f>SUMIFS(Tbl_Additionals[Spread],Tbl_Additionals[L from],"&lt;"&amp;Tbl_Load_distrib[[#This Row],[x]],Tbl_Additionals[L to],"&gt;"&amp;C201)*Tbl_Load_distrib[[#This Row],[L_elt]]</f>
        <v>0</v>
      </c>
      <c r="I202" s="260">
        <f ca="1">SUMIFS(Tbl_Deck_Tank[Spread],Tbl_Deck_Tank[L from],"&lt;"&amp;Tbl_Load_distrib[[#This Row],[x]],Tbl_Deck_Tank[L to],"&gt;"&amp;C201)*Tbl_Load_distrib[[#This Row],[L_elt]]</f>
        <v>0</v>
      </c>
      <c r="J202" s="137"/>
      <c r="K202" s="165" t="e">
        <f>IFERROR(Tbl_Long_Section[[#This Row],[H Deck-Bottom]],NA())</f>
        <v>#N/A</v>
      </c>
      <c r="L202" s="829" t="e">
        <f>M_depth-Tbl_Load_distrib[[#This Row],[H Deck-Bottom]]</f>
        <v>#N/A</v>
      </c>
      <c r="M202" s="929">
        <f>IFERROR(Tbl_Load_distrib[[#This Row],[x]]-C201,0)</f>
        <v>0</v>
      </c>
      <c r="N202" s="929" t="e">
        <f>IF(ISNA(Tbl_Load_distrib[[#This Row],[x]]),NA(),IF(ISTEXT(N201),0,IF(N201=0,$Z$3,N201-($Z$3-$AA$3)/(Lpp-FE_size)*Tbl_Load_distrib[[#This Row],[L_elt]])))</f>
        <v>#N/A</v>
      </c>
      <c r="O202" s="166" t="e">
        <f ca="1">IF(ISNUMBER(O201),(IF((N201-L201)&lt;0,0,N201-L201)+IF((Tbl_Load_distrib[[#This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02" s="929" t="e">
        <f>IF(ISNA(Tbl_Load_distrib[[#This Row],[x]]),NA(),IF(ISTEXT(P201),0,IF(P201=0,LongSection_DraftAft,P201-(LongSection_DraftAft-LongSection_DraftFore)/(Lpp-FE_size)*Tbl_Load_distrib[[#This Row],[L_elt]])))</f>
        <v>#N/A</v>
      </c>
      <c r="Q202" s="166" t="e">
        <f ca="1">IF(ISNUMBER(Q201),(IF((P201-L201)&lt;0,0,P201-L201)+IF((Tbl_Load_distrib[[#This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02" s="167" t="e">
        <f ca="1">ρ_sw*Tbl_Load_distrib[[#This Row],[Elt Area corrected]]*B/k_depl</f>
        <v>#N/A</v>
      </c>
      <c r="S202" s="167" t="e">
        <f ca="1">Tbl_Load_distrib[[#This Row],[Section Weight]]-Tbl_Load_distrib[[#This Row],[Floating Elt]]</f>
        <v>#N/A</v>
      </c>
      <c r="T202" s="183" t="e">
        <f ca="1">IF(ISTEXT($T201),0,$T201+Tbl_Load_distrib[[#This Row],[Net force / Elt]])</f>
        <v>#N/A</v>
      </c>
      <c r="U202" s="261" t="e">
        <f ca="1">IF(ISTEXT($U201),0,$U201+Tbl_Load_distrib[[#This Row],[Shearing Force]]*Tbl_Load_distrib[[#This Row],[L_elt]])</f>
        <v>#N/A</v>
      </c>
    </row>
    <row r="203" spans="2:21" x14ac:dyDescent="0.25">
      <c r="B203" s="136" t="e">
        <f t="shared" si="7"/>
        <v>#N/A</v>
      </c>
      <c r="C203" s="139" t="e">
        <f t="shared" si="8"/>
        <v>#N/A</v>
      </c>
      <c r="D203" s="152">
        <f ca="1">SUM(Tbl_Load_distrib[[#This Row],[Hull &amp; Structure]:[Reserved]])</f>
        <v>0</v>
      </c>
      <c r="E203" s="260">
        <f>SUMIFS(Tbl_Hull_Structure[Spread],Tbl_Hull_Structure[L from],"&lt;"&amp;Tbl_Load_distrib[[#This Row],[x]],Tbl_Hull_Structure[L to],"&gt;"&amp;C202)*Tbl_Load_distrib[[#This Row],[L_elt]]</f>
        <v>0</v>
      </c>
      <c r="F203" s="260">
        <f ca="1">SUMIFS(Tbl_Ballasts[Spread],Tbl_Ballasts[L from],"&lt;"&amp;Tbl_Load_distrib[[#This Row],[x]],Tbl_Ballasts[L to],"&gt;"&amp;C202)*Tbl_Load_distrib[[#This Row],[L_elt]]</f>
        <v>0</v>
      </c>
      <c r="G203" s="260">
        <f>SUMIFS(Tbl_Lifting[Spread],Tbl_Lifting[L from],"&lt;"&amp;Tbl_Load_distrib[[#This Row],[x]],Tbl_Lifting[L to],"&gt;"&amp;C202)*Tbl_Load_distrib[[#This Row],[L_elt]]</f>
        <v>0</v>
      </c>
      <c r="H203" s="260">
        <f>SUMIFS(Tbl_Additionals[Spread],Tbl_Additionals[L from],"&lt;"&amp;Tbl_Load_distrib[[#This Row],[x]],Tbl_Additionals[L to],"&gt;"&amp;C202)*Tbl_Load_distrib[[#This Row],[L_elt]]</f>
        <v>0</v>
      </c>
      <c r="I203" s="260">
        <f ca="1">SUMIFS(Tbl_Deck_Tank[Spread],Tbl_Deck_Tank[L from],"&lt;"&amp;Tbl_Load_distrib[[#This Row],[x]],Tbl_Deck_Tank[L to],"&gt;"&amp;C202)*Tbl_Load_distrib[[#This Row],[L_elt]]</f>
        <v>0</v>
      </c>
      <c r="J203" s="137"/>
      <c r="K203" s="165" t="e">
        <f>IFERROR(Tbl_Long_Section[[#This Row],[H Deck-Bottom]],NA())</f>
        <v>#N/A</v>
      </c>
      <c r="L203" s="829" t="e">
        <f>M_depth-Tbl_Load_distrib[[#This Row],[H Deck-Bottom]]</f>
        <v>#N/A</v>
      </c>
      <c r="M203" s="929">
        <f>IFERROR(Tbl_Load_distrib[[#This Row],[x]]-C202,0)</f>
        <v>0</v>
      </c>
      <c r="N203" s="929" t="e">
        <f>IF(ISNA(Tbl_Load_distrib[[#This Row],[x]]),NA(),IF(ISTEXT(N202),0,IF(N202=0,$Z$3,N202-($Z$3-$AA$3)/(Lpp-FE_size)*Tbl_Load_distrib[[#This Row],[L_elt]])))</f>
        <v>#N/A</v>
      </c>
      <c r="O203" s="166" t="e">
        <f ca="1">IF(ISNUMBER(O202),(IF((N202-L202)&lt;0,0,N202-L202)+IF((Tbl_Load_distrib[[#This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03" s="929" t="e">
        <f>IF(ISNA(Tbl_Load_distrib[[#This Row],[x]]),NA(),IF(ISTEXT(P202),0,IF(P202=0,LongSection_DraftAft,P202-(LongSection_DraftAft-LongSection_DraftFore)/(Lpp-FE_size)*Tbl_Load_distrib[[#This Row],[L_elt]])))</f>
        <v>#N/A</v>
      </c>
      <c r="Q203" s="166" t="e">
        <f ca="1">IF(ISNUMBER(Q202),(IF((P202-L202)&lt;0,0,P202-L202)+IF((Tbl_Load_distrib[[#This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03" s="167" t="e">
        <f ca="1">ρ_sw*Tbl_Load_distrib[[#This Row],[Elt Area corrected]]*B/k_depl</f>
        <v>#N/A</v>
      </c>
      <c r="S203" s="167" t="e">
        <f ca="1">Tbl_Load_distrib[[#This Row],[Section Weight]]-Tbl_Load_distrib[[#This Row],[Floating Elt]]</f>
        <v>#N/A</v>
      </c>
      <c r="T203" s="183" t="e">
        <f ca="1">IF(ISTEXT($T202),0,$T202+Tbl_Load_distrib[[#This Row],[Net force / Elt]])</f>
        <v>#N/A</v>
      </c>
      <c r="U203" s="261" t="e">
        <f ca="1">IF(ISTEXT($U202),0,$U202+Tbl_Load_distrib[[#This Row],[Shearing Force]]*Tbl_Load_distrib[[#This Row],[L_elt]])</f>
        <v>#N/A</v>
      </c>
    </row>
    <row r="204" spans="2:21" x14ac:dyDescent="0.25">
      <c r="B204" s="136" t="e">
        <f t="shared" si="7"/>
        <v>#N/A</v>
      </c>
      <c r="C204" s="139" t="e">
        <f t="shared" si="8"/>
        <v>#N/A</v>
      </c>
      <c r="D204" s="152">
        <f ca="1">SUM(Tbl_Load_distrib[[#This Row],[Hull &amp; Structure]:[Reserved]])</f>
        <v>0</v>
      </c>
      <c r="E204" s="260">
        <f>SUMIFS(Tbl_Hull_Structure[Spread],Tbl_Hull_Structure[L from],"&lt;"&amp;Tbl_Load_distrib[[#This Row],[x]],Tbl_Hull_Structure[L to],"&gt;"&amp;C203)*Tbl_Load_distrib[[#This Row],[L_elt]]</f>
        <v>0</v>
      </c>
      <c r="F204" s="260">
        <f ca="1">SUMIFS(Tbl_Ballasts[Spread],Tbl_Ballasts[L from],"&lt;"&amp;Tbl_Load_distrib[[#This Row],[x]],Tbl_Ballasts[L to],"&gt;"&amp;C203)*Tbl_Load_distrib[[#This Row],[L_elt]]</f>
        <v>0</v>
      </c>
      <c r="G204" s="260">
        <f>SUMIFS(Tbl_Lifting[Spread],Tbl_Lifting[L from],"&lt;"&amp;Tbl_Load_distrib[[#This Row],[x]],Tbl_Lifting[L to],"&gt;"&amp;C203)*Tbl_Load_distrib[[#This Row],[L_elt]]</f>
        <v>0</v>
      </c>
      <c r="H204" s="260">
        <f>SUMIFS(Tbl_Additionals[Spread],Tbl_Additionals[L from],"&lt;"&amp;Tbl_Load_distrib[[#This Row],[x]],Tbl_Additionals[L to],"&gt;"&amp;C203)*Tbl_Load_distrib[[#This Row],[L_elt]]</f>
        <v>0</v>
      </c>
      <c r="I204" s="260">
        <f ca="1">SUMIFS(Tbl_Deck_Tank[Spread],Tbl_Deck_Tank[L from],"&lt;"&amp;Tbl_Load_distrib[[#This Row],[x]],Tbl_Deck_Tank[L to],"&gt;"&amp;C203)*Tbl_Load_distrib[[#This Row],[L_elt]]</f>
        <v>0</v>
      </c>
      <c r="J204" s="137"/>
      <c r="K204" s="165" t="e">
        <f>IFERROR(Tbl_Long_Section[[#This Row],[H Deck-Bottom]],NA())</f>
        <v>#N/A</v>
      </c>
      <c r="L204" s="829" t="e">
        <f>M_depth-Tbl_Load_distrib[[#This Row],[H Deck-Bottom]]</f>
        <v>#N/A</v>
      </c>
      <c r="M204" s="929">
        <f>IFERROR(Tbl_Load_distrib[[#This Row],[x]]-C203,0)</f>
        <v>0</v>
      </c>
      <c r="N204" s="929" t="e">
        <f>IF(ISNA(Tbl_Load_distrib[[#This Row],[x]]),NA(),IF(ISTEXT(N203),0,IF(N203=0,$Z$3,N203-($Z$3-$AA$3)/(Lpp-FE_size)*Tbl_Load_distrib[[#This Row],[L_elt]])))</f>
        <v>#N/A</v>
      </c>
      <c r="O204" s="166" t="e">
        <f ca="1">IF(ISNUMBER(O203),(IF((N203-L203)&lt;0,0,N203-L203)+IF((Tbl_Load_distrib[[#This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04" s="929" t="e">
        <f>IF(ISNA(Tbl_Load_distrib[[#This Row],[x]]),NA(),IF(ISTEXT(P203),0,IF(P203=0,LongSection_DraftAft,P203-(LongSection_DraftAft-LongSection_DraftFore)/(Lpp-FE_size)*Tbl_Load_distrib[[#This Row],[L_elt]])))</f>
        <v>#N/A</v>
      </c>
      <c r="Q204" s="166" t="e">
        <f ca="1">IF(ISNUMBER(Q203),(IF((P203-L203)&lt;0,0,P203-L203)+IF((Tbl_Load_distrib[[#This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04" s="167" t="e">
        <f ca="1">ρ_sw*Tbl_Load_distrib[[#This Row],[Elt Area corrected]]*B/k_depl</f>
        <v>#N/A</v>
      </c>
      <c r="S204" s="167" t="e">
        <f ca="1">Tbl_Load_distrib[[#This Row],[Section Weight]]-Tbl_Load_distrib[[#This Row],[Floating Elt]]</f>
        <v>#N/A</v>
      </c>
      <c r="T204" s="183" t="e">
        <f ca="1">IF(ISTEXT($T203),0,$T203+Tbl_Load_distrib[[#This Row],[Net force / Elt]])</f>
        <v>#N/A</v>
      </c>
      <c r="U204" s="261" t="e">
        <f ca="1">IF(ISTEXT($U203),0,$U203+Tbl_Load_distrib[[#This Row],[Shearing Force]]*Tbl_Load_distrib[[#This Row],[L_elt]])</f>
        <v>#N/A</v>
      </c>
    </row>
    <row r="205" spans="2:21" x14ac:dyDescent="0.25">
      <c r="B205" s="136" t="e">
        <f t="shared" si="7"/>
        <v>#N/A</v>
      </c>
      <c r="C205" s="139" t="e">
        <f t="shared" si="8"/>
        <v>#N/A</v>
      </c>
      <c r="D205" s="152">
        <f ca="1">SUM(Tbl_Load_distrib[[#This Row],[Hull &amp; Structure]:[Reserved]])</f>
        <v>0</v>
      </c>
      <c r="E205" s="260">
        <f>SUMIFS(Tbl_Hull_Structure[Spread],Tbl_Hull_Structure[L from],"&lt;"&amp;Tbl_Load_distrib[[#This Row],[x]],Tbl_Hull_Structure[L to],"&gt;"&amp;C204)*Tbl_Load_distrib[[#This Row],[L_elt]]</f>
        <v>0</v>
      </c>
      <c r="F205" s="260">
        <f ca="1">SUMIFS(Tbl_Ballasts[Spread],Tbl_Ballasts[L from],"&lt;"&amp;Tbl_Load_distrib[[#This Row],[x]],Tbl_Ballasts[L to],"&gt;"&amp;C204)*Tbl_Load_distrib[[#This Row],[L_elt]]</f>
        <v>0</v>
      </c>
      <c r="G205" s="260">
        <f>SUMIFS(Tbl_Lifting[Spread],Tbl_Lifting[L from],"&lt;"&amp;Tbl_Load_distrib[[#This Row],[x]],Tbl_Lifting[L to],"&gt;"&amp;C204)*Tbl_Load_distrib[[#This Row],[L_elt]]</f>
        <v>0</v>
      </c>
      <c r="H205" s="260">
        <f>SUMIFS(Tbl_Additionals[Spread],Tbl_Additionals[L from],"&lt;"&amp;Tbl_Load_distrib[[#This Row],[x]],Tbl_Additionals[L to],"&gt;"&amp;C204)*Tbl_Load_distrib[[#This Row],[L_elt]]</f>
        <v>0</v>
      </c>
      <c r="I205" s="260">
        <f ca="1">SUMIFS(Tbl_Deck_Tank[Spread],Tbl_Deck_Tank[L from],"&lt;"&amp;Tbl_Load_distrib[[#This Row],[x]],Tbl_Deck_Tank[L to],"&gt;"&amp;C204)*Tbl_Load_distrib[[#This Row],[L_elt]]</f>
        <v>0</v>
      </c>
      <c r="J205" s="137"/>
      <c r="K205" s="165" t="e">
        <f>IFERROR(Tbl_Long_Section[[#This Row],[H Deck-Bottom]],NA())</f>
        <v>#N/A</v>
      </c>
      <c r="L205" s="829" t="e">
        <f>M_depth-Tbl_Load_distrib[[#This Row],[H Deck-Bottom]]</f>
        <v>#N/A</v>
      </c>
      <c r="M205" s="929">
        <f>IFERROR(Tbl_Load_distrib[[#This Row],[x]]-C204,0)</f>
        <v>0</v>
      </c>
      <c r="N205" s="929" t="e">
        <f>IF(ISNA(Tbl_Load_distrib[[#This Row],[x]]),NA(),IF(ISTEXT(N204),0,IF(N204=0,$Z$3,N204-($Z$3-$AA$3)/(Lpp-FE_size)*Tbl_Load_distrib[[#This Row],[L_elt]])))</f>
        <v>#N/A</v>
      </c>
      <c r="O205" s="166" t="e">
        <f ca="1">IF(ISNUMBER(O204),(IF((N204-L204)&lt;0,0,N204-L204)+IF((Tbl_Load_distrib[[#This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05" s="929" t="e">
        <f>IF(ISNA(Tbl_Load_distrib[[#This Row],[x]]),NA(),IF(ISTEXT(P204),0,IF(P204=0,LongSection_DraftAft,P204-(LongSection_DraftAft-LongSection_DraftFore)/(Lpp-FE_size)*Tbl_Load_distrib[[#This Row],[L_elt]])))</f>
        <v>#N/A</v>
      </c>
      <c r="Q205" s="166" t="e">
        <f ca="1">IF(ISNUMBER(Q204),(IF((P204-L204)&lt;0,0,P204-L204)+IF((Tbl_Load_distrib[[#This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05" s="167" t="e">
        <f ca="1">ρ_sw*Tbl_Load_distrib[[#This Row],[Elt Area corrected]]*B/k_depl</f>
        <v>#N/A</v>
      </c>
      <c r="S205" s="167" t="e">
        <f ca="1">Tbl_Load_distrib[[#This Row],[Section Weight]]-Tbl_Load_distrib[[#This Row],[Floating Elt]]</f>
        <v>#N/A</v>
      </c>
      <c r="T205" s="183" t="e">
        <f ca="1">IF(ISTEXT($T204),0,$T204+Tbl_Load_distrib[[#This Row],[Net force / Elt]])</f>
        <v>#N/A</v>
      </c>
      <c r="U205" s="261" t="e">
        <f ca="1">IF(ISTEXT($U204),0,$U204+Tbl_Load_distrib[[#This Row],[Shearing Force]]*Tbl_Load_distrib[[#This Row],[L_elt]])</f>
        <v>#N/A</v>
      </c>
    </row>
    <row r="206" spans="2:21" x14ac:dyDescent="0.25">
      <c r="B206" s="136" t="e">
        <f t="shared" si="7"/>
        <v>#N/A</v>
      </c>
      <c r="C206" s="139" t="e">
        <f t="shared" si="8"/>
        <v>#N/A</v>
      </c>
      <c r="D206" s="152">
        <f ca="1">SUM(Tbl_Load_distrib[[#This Row],[Hull &amp; Structure]:[Reserved]])</f>
        <v>0</v>
      </c>
      <c r="E206" s="260">
        <f>SUMIFS(Tbl_Hull_Structure[Spread],Tbl_Hull_Structure[L from],"&lt;"&amp;Tbl_Load_distrib[[#This Row],[x]],Tbl_Hull_Structure[L to],"&gt;"&amp;C205)*Tbl_Load_distrib[[#This Row],[L_elt]]</f>
        <v>0</v>
      </c>
      <c r="F206" s="260">
        <f ca="1">SUMIFS(Tbl_Ballasts[Spread],Tbl_Ballasts[L from],"&lt;"&amp;Tbl_Load_distrib[[#This Row],[x]],Tbl_Ballasts[L to],"&gt;"&amp;C205)*Tbl_Load_distrib[[#This Row],[L_elt]]</f>
        <v>0</v>
      </c>
      <c r="G206" s="260">
        <f>SUMIFS(Tbl_Lifting[Spread],Tbl_Lifting[L from],"&lt;"&amp;Tbl_Load_distrib[[#This Row],[x]],Tbl_Lifting[L to],"&gt;"&amp;C205)*Tbl_Load_distrib[[#This Row],[L_elt]]</f>
        <v>0</v>
      </c>
      <c r="H206" s="260">
        <f>SUMIFS(Tbl_Additionals[Spread],Tbl_Additionals[L from],"&lt;"&amp;Tbl_Load_distrib[[#This Row],[x]],Tbl_Additionals[L to],"&gt;"&amp;C205)*Tbl_Load_distrib[[#This Row],[L_elt]]</f>
        <v>0</v>
      </c>
      <c r="I206" s="260">
        <f ca="1">SUMIFS(Tbl_Deck_Tank[Spread],Tbl_Deck_Tank[L from],"&lt;"&amp;Tbl_Load_distrib[[#This Row],[x]],Tbl_Deck_Tank[L to],"&gt;"&amp;C205)*Tbl_Load_distrib[[#This Row],[L_elt]]</f>
        <v>0</v>
      </c>
      <c r="J206" s="137"/>
      <c r="K206" s="165" t="e">
        <f>IFERROR(Tbl_Long_Section[[#This Row],[H Deck-Bottom]],NA())</f>
        <v>#N/A</v>
      </c>
      <c r="L206" s="829" t="e">
        <f>M_depth-Tbl_Load_distrib[[#This Row],[H Deck-Bottom]]</f>
        <v>#N/A</v>
      </c>
      <c r="M206" s="929">
        <f>IFERROR(Tbl_Load_distrib[[#This Row],[x]]-C205,0)</f>
        <v>0</v>
      </c>
      <c r="N206" s="929" t="e">
        <f>IF(ISNA(Tbl_Load_distrib[[#This Row],[x]]),NA(),IF(ISTEXT(N205),0,IF(N205=0,$Z$3,N205-($Z$3-$AA$3)/(Lpp-FE_size)*Tbl_Load_distrib[[#This Row],[L_elt]])))</f>
        <v>#N/A</v>
      </c>
      <c r="O206" s="166" t="e">
        <f ca="1">IF(ISNUMBER(O205),(IF((N205-L205)&lt;0,0,N205-L205)+IF((Tbl_Load_distrib[[#This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06" s="929" t="e">
        <f>IF(ISNA(Tbl_Load_distrib[[#This Row],[x]]),NA(),IF(ISTEXT(P205),0,IF(P205=0,LongSection_DraftAft,P205-(LongSection_DraftAft-LongSection_DraftFore)/(Lpp-FE_size)*Tbl_Load_distrib[[#This Row],[L_elt]])))</f>
        <v>#N/A</v>
      </c>
      <c r="Q206" s="166" t="e">
        <f ca="1">IF(ISNUMBER(Q205),(IF((P205-L205)&lt;0,0,P205-L205)+IF((Tbl_Load_distrib[[#This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06" s="167" t="e">
        <f ca="1">ρ_sw*Tbl_Load_distrib[[#This Row],[Elt Area corrected]]*B/k_depl</f>
        <v>#N/A</v>
      </c>
      <c r="S206" s="167" t="e">
        <f ca="1">Tbl_Load_distrib[[#This Row],[Section Weight]]-Tbl_Load_distrib[[#This Row],[Floating Elt]]</f>
        <v>#N/A</v>
      </c>
      <c r="T206" s="183" t="e">
        <f ca="1">IF(ISTEXT($T205),0,$T205+Tbl_Load_distrib[[#This Row],[Net force / Elt]])</f>
        <v>#N/A</v>
      </c>
      <c r="U206" s="261" t="e">
        <f ca="1">IF(ISTEXT($U205),0,$U205+Tbl_Load_distrib[[#This Row],[Shearing Force]]*Tbl_Load_distrib[[#This Row],[L_elt]])</f>
        <v>#N/A</v>
      </c>
    </row>
    <row r="207" spans="2:21" x14ac:dyDescent="0.25">
      <c r="B207" s="136" t="e">
        <f t="shared" si="7"/>
        <v>#N/A</v>
      </c>
      <c r="C207" s="139" t="e">
        <f t="shared" si="8"/>
        <v>#N/A</v>
      </c>
      <c r="D207" s="152">
        <f ca="1">SUM(Tbl_Load_distrib[[#This Row],[Hull &amp; Structure]:[Reserved]])</f>
        <v>0</v>
      </c>
      <c r="E207" s="260">
        <f>SUMIFS(Tbl_Hull_Structure[Spread],Tbl_Hull_Structure[L from],"&lt;"&amp;Tbl_Load_distrib[[#This Row],[x]],Tbl_Hull_Structure[L to],"&gt;"&amp;C206)*Tbl_Load_distrib[[#This Row],[L_elt]]</f>
        <v>0</v>
      </c>
      <c r="F207" s="260">
        <f ca="1">SUMIFS(Tbl_Ballasts[Spread],Tbl_Ballasts[L from],"&lt;"&amp;Tbl_Load_distrib[[#This Row],[x]],Tbl_Ballasts[L to],"&gt;"&amp;C206)*Tbl_Load_distrib[[#This Row],[L_elt]]</f>
        <v>0</v>
      </c>
      <c r="G207" s="260">
        <f>SUMIFS(Tbl_Lifting[Spread],Tbl_Lifting[L from],"&lt;"&amp;Tbl_Load_distrib[[#This Row],[x]],Tbl_Lifting[L to],"&gt;"&amp;C206)*Tbl_Load_distrib[[#This Row],[L_elt]]</f>
        <v>0</v>
      </c>
      <c r="H207" s="260">
        <f>SUMIFS(Tbl_Additionals[Spread],Tbl_Additionals[L from],"&lt;"&amp;Tbl_Load_distrib[[#This Row],[x]],Tbl_Additionals[L to],"&gt;"&amp;C206)*Tbl_Load_distrib[[#This Row],[L_elt]]</f>
        <v>0</v>
      </c>
      <c r="I207" s="260">
        <f ca="1">SUMIFS(Tbl_Deck_Tank[Spread],Tbl_Deck_Tank[L from],"&lt;"&amp;Tbl_Load_distrib[[#This Row],[x]],Tbl_Deck_Tank[L to],"&gt;"&amp;C206)*Tbl_Load_distrib[[#This Row],[L_elt]]</f>
        <v>0</v>
      </c>
      <c r="J207" s="137"/>
      <c r="K207" s="165" t="e">
        <f>IFERROR(Tbl_Long_Section[[#This Row],[H Deck-Bottom]],NA())</f>
        <v>#N/A</v>
      </c>
      <c r="L207" s="829" t="e">
        <f>M_depth-Tbl_Load_distrib[[#This Row],[H Deck-Bottom]]</f>
        <v>#N/A</v>
      </c>
      <c r="M207" s="929">
        <f>IFERROR(Tbl_Load_distrib[[#This Row],[x]]-C206,0)</f>
        <v>0</v>
      </c>
      <c r="N207" s="929" t="e">
        <f>IF(ISNA(Tbl_Load_distrib[[#This Row],[x]]),NA(),IF(ISTEXT(N206),0,IF(N206=0,$Z$3,N206-($Z$3-$AA$3)/(Lpp-FE_size)*Tbl_Load_distrib[[#This Row],[L_elt]])))</f>
        <v>#N/A</v>
      </c>
      <c r="O207" s="166" t="e">
        <f ca="1">IF(ISNUMBER(O206),(IF((N206-L206)&lt;0,0,N206-L206)+IF((Tbl_Load_distrib[[#This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07" s="929" t="e">
        <f>IF(ISNA(Tbl_Load_distrib[[#This Row],[x]]),NA(),IF(ISTEXT(P206),0,IF(P206=0,LongSection_DraftAft,P206-(LongSection_DraftAft-LongSection_DraftFore)/(Lpp-FE_size)*Tbl_Load_distrib[[#This Row],[L_elt]])))</f>
        <v>#N/A</v>
      </c>
      <c r="Q207" s="166" t="e">
        <f ca="1">IF(ISNUMBER(Q206),(IF((P206-L206)&lt;0,0,P206-L206)+IF((Tbl_Load_distrib[[#This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07" s="167" t="e">
        <f ca="1">ρ_sw*Tbl_Load_distrib[[#This Row],[Elt Area corrected]]*B/k_depl</f>
        <v>#N/A</v>
      </c>
      <c r="S207" s="167" t="e">
        <f ca="1">Tbl_Load_distrib[[#This Row],[Section Weight]]-Tbl_Load_distrib[[#This Row],[Floating Elt]]</f>
        <v>#N/A</v>
      </c>
      <c r="T207" s="183" t="e">
        <f ca="1">IF(ISTEXT($T206),0,$T206+Tbl_Load_distrib[[#This Row],[Net force / Elt]])</f>
        <v>#N/A</v>
      </c>
      <c r="U207" s="261" t="e">
        <f ca="1">IF(ISTEXT($U206),0,$U206+Tbl_Load_distrib[[#This Row],[Shearing Force]]*Tbl_Load_distrib[[#This Row],[L_elt]])</f>
        <v>#N/A</v>
      </c>
    </row>
    <row r="208" spans="2:21" x14ac:dyDescent="0.25">
      <c r="B208" s="136" t="e">
        <f t="shared" si="7"/>
        <v>#N/A</v>
      </c>
      <c r="C208" s="139" t="e">
        <f t="shared" si="8"/>
        <v>#N/A</v>
      </c>
      <c r="D208" s="152">
        <f ca="1">SUM(Tbl_Load_distrib[[#This Row],[Hull &amp; Structure]:[Reserved]])</f>
        <v>0</v>
      </c>
      <c r="E208" s="260">
        <f>SUMIFS(Tbl_Hull_Structure[Spread],Tbl_Hull_Structure[L from],"&lt;"&amp;Tbl_Load_distrib[[#This Row],[x]],Tbl_Hull_Structure[L to],"&gt;"&amp;C207)*Tbl_Load_distrib[[#This Row],[L_elt]]</f>
        <v>0</v>
      </c>
      <c r="F208" s="260">
        <f ca="1">SUMIFS(Tbl_Ballasts[Spread],Tbl_Ballasts[L from],"&lt;"&amp;Tbl_Load_distrib[[#This Row],[x]],Tbl_Ballasts[L to],"&gt;"&amp;C207)*Tbl_Load_distrib[[#This Row],[L_elt]]</f>
        <v>0</v>
      </c>
      <c r="G208" s="260">
        <f>SUMIFS(Tbl_Lifting[Spread],Tbl_Lifting[L from],"&lt;"&amp;Tbl_Load_distrib[[#This Row],[x]],Tbl_Lifting[L to],"&gt;"&amp;C207)*Tbl_Load_distrib[[#This Row],[L_elt]]</f>
        <v>0</v>
      </c>
      <c r="H208" s="260">
        <f>SUMIFS(Tbl_Additionals[Spread],Tbl_Additionals[L from],"&lt;"&amp;Tbl_Load_distrib[[#This Row],[x]],Tbl_Additionals[L to],"&gt;"&amp;C207)*Tbl_Load_distrib[[#This Row],[L_elt]]</f>
        <v>0</v>
      </c>
      <c r="I208" s="260">
        <f ca="1">SUMIFS(Tbl_Deck_Tank[Spread],Tbl_Deck_Tank[L from],"&lt;"&amp;Tbl_Load_distrib[[#This Row],[x]],Tbl_Deck_Tank[L to],"&gt;"&amp;C207)*Tbl_Load_distrib[[#This Row],[L_elt]]</f>
        <v>0</v>
      </c>
      <c r="J208" s="137"/>
      <c r="K208" s="165" t="e">
        <f>IFERROR(Tbl_Long_Section[[#This Row],[H Deck-Bottom]],NA())</f>
        <v>#N/A</v>
      </c>
      <c r="L208" s="829" t="e">
        <f>M_depth-Tbl_Load_distrib[[#This Row],[H Deck-Bottom]]</f>
        <v>#N/A</v>
      </c>
      <c r="M208" s="929">
        <f>IFERROR(Tbl_Load_distrib[[#This Row],[x]]-C207,0)</f>
        <v>0</v>
      </c>
      <c r="N208" s="929" t="e">
        <f>IF(ISNA(Tbl_Load_distrib[[#This Row],[x]]),NA(),IF(ISTEXT(N207),0,IF(N207=0,$Z$3,N207-($Z$3-$AA$3)/(Lpp-FE_size)*Tbl_Load_distrib[[#This Row],[L_elt]])))</f>
        <v>#N/A</v>
      </c>
      <c r="O208" s="166" t="e">
        <f ca="1">IF(ISNUMBER(O207),(IF((N207-L207)&lt;0,0,N207-L207)+IF((Tbl_Load_distrib[[#This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08" s="929" t="e">
        <f>IF(ISNA(Tbl_Load_distrib[[#This Row],[x]]),NA(),IF(ISTEXT(P207),0,IF(P207=0,LongSection_DraftAft,P207-(LongSection_DraftAft-LongSection_DraftFore)/(Lpp-FE_size)*Tbl_Load_distrib[[#This Row],[L_elt]])))</f>
        <v>#N/A</v>
      </c>
      <c r="Q208" s="166" t="e">
        <f ca="1">IF(ISNUMBER(Q207),(IF((P207-L207)&lt;0,0,P207-L207)+IF((Tbl_Load_distrib[[#This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08" s="167" t="e">
        <f ca="1">ρ_sw*Tbl_Load_distrib[[#This Row],[Elt Area corrected]]*B/k_depl</f>
        <v>#N/A</v>
      </c>
      <c r="S208" s="167" t="e">
        <f ca="1">Tbl_Load_distrib[[#This Row],[Section Weight]]-Tbl_Load_distrib[[#This Row],[Floating Elt]]</f>
        <v>#N/A</v>
      </c>
      <c r="T208" s="183" t="e">
        <f ca="1">IF(ISTEXT($T207),0,$T207+Tbl_Load_distrib[[#This Row],[Net force / Elt]])</f>
        <v>#N/A</v>
      </c>
      <c r="U208" s="261" t="e">
        <f ca="1">IF(ISTEXT($U207),0,$U207+Tbl_Load_distrib[[#This Row],[Shearing Force]]*Tbl_Load_distrib[[#This Row],[L_elt]])</f>
        <v>#N/A</v>
      </c>
    </row>
    <row r="209" spans="2:21" x14ac:dyDescent="0.25">
      <c r="B209" s="136" t="e">
        <f t="shared" si="7"/>
        <v>#N/A</v>
      </c>
      <c r="C209" s="139" t="e">
        <f t="shared" si="8"/>
        <v>#N/A</v>
      </c>
      <c r="D209" s="152">
        <f ca="1">SUM(Tbl_Load_distrib[[#This Row],[Hull &amp; Structure]:[Reserved]])</f>
        <v>0</v>
      </c>
      <c r="E209" s="260">
        <f>SUMIFS(Tbl_Hull_Structure[Spread],Tbl_Hull_Structure[L from],"&lt;"&amp;Tbl_Load_distrib[[#This Row],[x]],Tbl_Hull_Structure[L to],"&gt;"&amp;C208)*Tbl_Load_distrib[[#This Row],[L_elt]]</f>
        <v>0</v>
      </c>
      <c r="F209" s="260">
        <f ca="1">SUMIFS(Tbl_Ballasts[Spread],Tbl_Ballasts[L from],"&lt;"&amp;Tbl_Load_distrib[[#This Row],[x]],Tbl_Ballasts[L to],"&gt;"&amp;C208)*Tbl_Load_distrib[[#This Row],[L_elt]]</f>
        <v>0</v>
      </c>
      <c r="G209" s="260">
        <f>SUMIFS(Tbl_Lifting[Spread],Tbl_Lifting[L from],"&lt;"&amp;Tbl_Load_distrib[[#This Row],[x]],Tbl_Lifting[L to],"&gt;"&amp;C208)*Tbl_Load_distrib[[#This Row],[L_elt]]</f>
        <v>0</v>
      </c>
      <c r="H209" s="260">
        <f>SUMIFS(Tbl_Additionals[Spread],Tbl_Additionals[L from],"&lt;"&amp;Tbl_Load_distrib[[#This Row],[x]],Tbl_Additionals[L to],"&gt;"&amp;C208)*Tbl_Load_distrib[[#This Row],[L_elt]]</f>
        <v>0</v>
      </c>
      <c r="I209" s="260">
        <f ca="1">SUMIFS(Tbl_Deck_Tank[Spread],Tbl_Deck_Tank[L from],"&lt;"&amp;Tbl_Load_distrib[[#This Row],[x]],Tbl_Deck_Tank[L to],"&gt;"&amp;C208)*Tbl_Load_distrib[[#This Row],[L_elt]]</f>
        <v>0</v>
      </c>
      <c r="J209" s="137"/>
      <c r="K209" s="165" t="e">
        <f>IFERROR(Tbl_Long_Section[[#This Row],[H Deck-Bottom]],NA())</f>
        <v>#N/A</v>
      </c>
      <c r="L209" s="829" t="e">
        <f>M_depth-Tbl_Load_distrib[[#This Row],[H Deck-Bottom]]</f>
        <v>#N/A</v>
      </c>
      <c r="M209" s="929">
        <f>IFERROR(Tbl_Load_distrib[[#This Row],[x]]-C208,0)</f>
        <v>0</v>
      </c>
      <c r="N209" s="929" t="e">
        <f>IF(ISNA(Tbl_Load_distrib[[#This Row],[x]]),NA(),IF(ISTEXT(N208),0,IF(N208=0,$Z$3,N208-($Z$3-$AA$3)/(Lpp-FE_size)*Tbl_Load_distrib[[#This Row],[L_elt]])))</f>
        <v>#N/A</v>
      </c>
      <c r="O209" s="166" t="e">
        <f ca="1">IF(ISNUMBER(O208),(IF((N208-L208)&lt;0,0,N208-L208)+IF((Tbl_Load_distrib[[#This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09" s="929" t="e">
        <f>IF(ISNA(Tbl_Load_distrib[[#This Row],[x]]),NA(),IF(ISTEXT(P208),0,IF(P208=0,LongSection_DraftAft,P208-(LongSection_DraftAft-LongSection_DraftFore)/(Lpp-FE_size)*Tbl_Load_distrib[[#This Row],[L_elt]])))</f>
        <v>#N/A</v>
      </c>
      <c r="Q209" s="166" t="e">
        <f ca="1">IF(ISNUMBER(Q208),(IF((P208-L208)&lt;0,0,P208-L208)+IF((Tbl_Load_distrib[[#This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09" s="167" t="e">
        <f ca="1">ρ_sw*Tbl_Load_distrib[[#This Row],[Elt Area corrected]]*B/k_depl</f>
        <v>#N/A</v>
      </c>
      <c r="S209" s="167" t="e">
        <f ca="1">Tbl_Load_distrib[[#This Row],[Section Weight]]-Tbl_Load_distrib[[#This Row],[Floating Elt]]</f>
        <v>#N/A</v>
      </c>
      <c r="T209" s="183" t="e">
        <f ca="1">IF(ISTEXT($T208),0,$T208+Tbl_Load_distrib[[#This Row],[Net force / Elt]])</f>
        <v>#N/A</v>
      </c>
      <c r="U209" s="261" t="e">
        <f ca="1">IF(ISTEXT($U208),0,$U208+Tbl_Load_distrib[[#This Row],[Shearing Force]]*Tbl_Load_distrib[[#This Row],[L_elt]])</f>
        <v>#N/A</v>
      </c>
    </row>
    <row r="210" spans="2:21" x14ac:dyDescent="0.25">
      <c r="B210" s="136" t="e">
        <f t="shared" si="7"/>
        <v>#N/A</v>
      </c>
      <c r="C210" s="139" t="e">
        <f t="shared" si="8"/>
        <v>#N/A</v>
      </c>
      <c r="D210" s="152">
        <f ca="1">SUM(Tbl_Load_distrib[[#This Row],[Hull &amp; Structure]:[Reserved]])</f>
        <v>0</v>
      </c>
      <c r="E210" s="260">
        <f>SUMIFS(Tbl_Hull_Structure[Spread],Tbl_Hull_Structure[L from],"&lt;"&amp;Tbl_Load_distrib[[#This Row],[x]],Tbl_Hull_Structure[L to],"&gt;"&amp;C209)*Tbl_Load_distrib[[#This Row],[L_elt]]</f>
        <v>0</v>
      </c>
      <c r="F210" s="260">
        <f ca="1">SUMIFS(Tbl_Ballasts[Spread],Tbl_Ballasts[L from],"&lt;"&amp;Tbl_Load_distrib[[#This Row],[x]],Tbl_Ballasts[L to],"&gt;"&amp;C209)*Tbl_Load_distrib[[#This Row],[L_elt]]</f>
        <v>0</v>
      </c>
      <c r="G210" s="260">
        <f>SUMIFS(Tbl_Lifting[Spread],Tbl_Lifting[L from],"&lt;"&amp;Tbl_Load_distrib[[#This Row],[x]],Tbl_Lifting[L to],"&gt;"&amp;C209)*Tbl_Load_distrib[[#This Row],[L_elt]]</f>
        <v>0</v>
      </c>
      <c r="H210" s="260">
        <f>SUMIFS(Tbl_Additionals[Spread],Tbl_Additionals[L from],"&lt;"&amp;Tbl_Load_distrib[[#This Row],[x]],Tbl_Additionals[L to],"&gt;"&amp;C209)*Tbl_Load_distrib[[#This Row],[L_elt]]</f>
        <v>0</v>
      </c>
      <c r="I210" s="260">
        <f ca="1">SUMIFS(Tbl_Deck_Tank[Spread],Tbl_Deck_Tank[L from],"&lt;"&amp;Tbl_Load_distrib[[#This Row],[x]],Tbl_Deck_Tank[L to],"&gt;"&amp;C209)*Tbl_Load_distrib[[#This Row],[L_elt]]</f>
        <v>0</v>
      </c>
      <c r="J210" s="137"/>
      <c r="K210" s="165" t="e">
        <f>IFERROR(Tbl_Long_Section[[#This Row],[H Deck-Bottom]],NA())</f>
        <v>#N/A</v>
      </c>
      <c r="L210" s="829" t="e">
        <f>M_depth-Tbl_Load_distrib[[#This Row],[H Deck-Bottom]]</f>
        <v>#N/A</v>
      </c>
      <c r="M210" s="929">
        <f>IFERROR(Tbl_Load_distrib[[#This Row],[x]]-C209,0)</f>
        <v>0</v>
      </c>
      <c r="N210" s="929" t="e">
        <f>IF(ISNA(Tbl_Load_distrib[[#This Row],[x]]),NA(),IF(ISTEXT(N209),0,IF(N209=0,$Z$3,N209-($Z$3-$AA$3)/(Lpp-FE_size)*Tbl_Load_distrib[[#This Row],[L_elt]])))</f>
        <v>#N/A</v>
      </c>
      <c r="O210" s="166" t="e">
        <f ca="1">IF(ISNUMBER(O209),(IF((N209-L209)&lt;0,0,N209-L209)+IF((Tbl_Load_distrib[[#This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10" s="929" t="e">
        <f>IF(ISNA(Tbl_Load_distrib[[#This Row],[x]]),NA(),IF(ISTEXT(P209),0,IF(P209=0,LongSection_DraftAft,P209-(LongSection_DraftAft-LongSection_DraftFore)/(Lpp-FE_size)*Tbl_Load_distrib[[#This Row],[L_elt]])))</f>
        <v>#N/A</v>
      </c>
      <c r="Q210" s="166" t="e">
        <f ca="1">IF(ISNUMBER(Q209),(IF((P209-L209)&lt;0,0,P209-L209)+IF((Tbl_Load_distrib[[#This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10" s="167" t="e">
        <f ca="1">ρ_sw*Tbl_Load_distrib[[#This Row],[Elt Area corrected]]*B/k_depl</f>
        <v>#N/A</v>
      </c>
      <c r="S210" s="167" t="e">
        <f ca="1">Tbl_Load_distrib[[#This Row],[Section Weight]]-Tbl_Load_distrib[[#This Row],[Floating Elt]]</f>
        <v>#N/A</v>
      </c>
      <c r="T210" s="183" t="e">
        <f ca="1">IF(ISTEXT($T209),0,$T209+Tbl_Load_distrib[[#This Row],[Net force / Elt]])</f>
        <v>#N/A</v>
      </c>
      <c r="U210" s="261" t="e">
        <f ca="1">IF(ISTEXT($U209),0,$U209+Tbl_Load_distrib[[#This Row],[Shearing Force]]*Tbl_Load_distrib[[#This Row],[L_elt]])</f>
        <v>#N/A</v>
      </c>
    </row>
    <row r="211" spans="2:21" x14ac:dyDescent="0.25">
      <c r="B211" s="136" t="e">
        <f t="shared" si="7"/>
        <v>#N/A</v>
      </c>
      <c r="C211" s="139" t="e">
        <f t="shared" si="8"/>
        <v>#N/A</v>
      </c>
      <c r="D211" s="152">
        <f ca="1">SUM(Tbl_Load_distrib[[#This Row],[Hull &amp; Structure]:[Reserved]])</f>
        <v>0</v>
      </c>
      <c r="E211" s="260">
        <f>SUMIFS(Tbl_Hull_Structure[Spread],Tbl_Hull_Structure[L from],"&lt;"&amp;Tbl_Load_distrib[[#This Row],[x]],Tbl_Hull_Structure[L to],"&gt;"&amp;C210)*Tbl_Load_distrib[[#This Row],[L_elt]]</f>
        <v>0</v>
      </c>
      <c r="F211" s="260">
        <f ca="1">SUMIFS(Tbl_Ballasts[Spread],Tbl_Ballasts[L from],"&lt;"&amp;Tbl_Load_distrib[[#This Row],[x]],Tbl_Ballasts[L to],"&gt;"&amp;C210)*Tbl_Load_distrib[[#This Row],[L_elt]]</f>
        <v>0</v>
      </c>
      <c r="G211" s="260">
        <f>SUMIFS(Tbl_Lifting[Spread],Tbl_Lifting[L from],"&lt;"&amp;Tbl_Load_distrib[[#This Row],[x]],Tbl_Lifting[L to],"&gt;"&amp;C210)*Tbl_Load_distrib[[#This Row],[L_elt]]</f>
        <v>0</v>
      </c>
      <c r="H211" s="260">
        <f>SUMIFS(Tbl_Additionals[Spread],Tbl_Additionals[L from],"&lt;"&amp;Tbl_Load_distrib[[#This Row],[x]],Tbl_Additionals[L to],"&gt;"&amp;C210)*Tbl_Load_distrib[[#This Row],[L_elt]]</f>
        <v>0</v>
      </c>
      <c r="I211" s="260">
        <f ca="1">SUMIFS(Tbl_Deck_Tank[Spread],Tbl_Deck_Tank[L from],"&lt;"&amp;Tbl_Load_distrib[[#This Row],[x]],Tbl_Deck_Tank[L to],"&gt;"&amp;C210)*Tbl_Load_distrib[[#This Row],[L_elt]]</f>
        <v>0</v>
      </c>
      <c r="J211" s="137"/>
      <c r="K211" s="165" t="e">
        <f>IFERROR(Tbl_Long_Section[[#This Row],[H Deck-Bottom]],NA())</f>
        <v>#N/A</v>
      </c>
      <c r="L211" s="829" t="e">
        <f>M_depth-Tbl_Load_distrib[[#This Row],[H Deck-Bottom]]</f>
        <v>#N/A</v>
      </c>
      <c r="M211" s="929">
        <f>IFERROR(Tbl_Load_distrib[[#This Row],[x]]-C210,0)</f>
        <v>0</v>
      </c>
      <c r="N211" s="929" t="e">
        <f>IF(ISNA(Tbl_Load_distrib[[#This Row],[x]]),NA(),IF(ISTEXT(N210),0,IF(N210=0,$Z$3,N210-($Z$3-$AA$3)/(Lpp-FE_size)*Tbl_Load_distrib[[#This Row],[L_elt]])))</f>
        <v>#N/A</v>
      </c>
      <c r="O211" s="166" t="e">
        <f ca="1">IF(ISNUMBER(O210),(IF((N210-L210)&lt;0,0,N210-L210)+IF((Tbl_Load_distrib[[#This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11" s="929" t="e">
        <f>IF(ISNA(Tbl_Load_distrib[[#This Row],[x]]),NA(),IF(ISTEXT(P210),0,IF(P210=0,LongSection_DraftAft,P210-(LongSection_DraftAft-LongSection_DraftFore)/(Lpp-FE_size)*Tbl_Load_distrib[[#This Row],[L_elt]])))</f>
        <v>#N/A</v>
      </c>
      <c r="Q211" s="166" t="e">
        <f ca="1">IF(ISNUMBER(Q210),(IF((P210-L210)&lt;0,0,P210-L210)+IF((Tbl_Load_distrib[[#This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11" s="167" t="e">
        <f ca="1">ρ_sw*Tbl_Load_distrib[[#This Row],[Elt Area corrected]]*B/k_depl</f>
        <v>#N/A</v>
      </c>
      <c r="S211" s="167" t="e">
        <f ca="1">Tbl_Load_distrib[[#This Row],[Section Weight]]-Tbl_Load_distrib[[#This Row],[Floating Elt]]</f>
        <v>#N/A</v>
      </c>
      <c r="T211" s="183" t="e">
        <f ca="1">IF(ISTEXT($T210),0,$T210+Tbl_Load_distrib[[#This Row],[Net force / Elt]])</f>
        <v>#N/A</v>
      </c>
      <c r="U211" s="261" t="e">
        <f ca="1">IF(ISTEXT($U210),0,$U210+Tbl_Load_distrib[[#This Row],[Shearing Force]]*Tbl_Load_distrib[[#This Row],[L_elt]])</f>
        <v>#N/A</v>
      </c>
    </row>
    <row r="212" spans="2:21" x14ac:dyDescent="0.25">
      <c r="B212" s="136" t="e">
        <f t="shared" si="7"/>
        <v>#N/A</v>
      </c>
      <c r="C212" s="139" t="e">
        <f t="shared" si="8"/>
        <v>#N/A</v>
      </c>
      <c r="D212" s="152">
        <f ca="1">SUM(Tbl_Load_distrib[[#This Row],[Hull &amp; Structure]:[Reserved]])</f>
        <v>0</v>
      </c>
      <c r="E212" s="260">
        <f>SUMIFS(Tbl_Hull_Structure[Spread],Tbl_Hull_Structure[L from],"&lt;"&amp;Tbl_Load_distrib[[#This Row],[x]],Tbl_Hull_Structure[L to],"&gt;"&amp;C211)*Tbl_Load_distrib[[#This Row],[L_elt]]</f>
        <v>0</v>
      </c>
      <c r="F212" s="260">
        <f ca="1">SUMIFS(Tbl_Ballasts[Spread],Tbl_Ballasts[L from],"&lt;"&amp;Tbl_Load_distrib[[#This Row],[x]],Tbl_Ballasts[L to],"&gt;"&amp;C211)*Tbl_Load_distrib[[#This Row],[L_elt]]</f>
        <v>0</v>
      </c>
      <c r="G212" s="260">
        <f>SUMIFS(Tbl_Lifting[Spread],Tbl_Lifting[L from],"&lt;"&amp;Tbl_Load_distrib[[#This Row],[x]],Tbl_Lifting[L to],"&gt;"&amp;C211)*Tbl_Load_distrib[[#This Row],[L_elt]]</f>
        <v>0</v>
      </c>
      <c r="H212" s="260">
        <f>SUMIFS(Tbl_Additionals[Spread],Tbl_Additionals[L from],"&lt;"&amp;Tbl_Load_distrib[[#This Row],[x]],Tbl_Additionals[L to],"&gt;"&amp;C211)*Tbl_Load_distrib[[#This Row],[L_elt]]</f>
        <v>0</v>
      </c>
      <c r="I212" s="260">
        <f ca="1">SUMIFS(Tbl_Deck_Tank[Spread],Tbl_Deck_Tank[L from],"&lt;"&amp;Tbl_Load_distrib[[#This Row],[x]],Tbl_Deck_Tank[L to],"&gt;"&amp;C211)*Tbl_Load_distrib[[#This Row],[L_elt]]</f>
        <v>0</v>
      </c>
      <c r="J212" s="137"/>
      <c r="K212" s="165" t="e">
        <f>IFERROR(Tbl_Long_Section[[#This Row],[H Deck-Bottom]],NA())</f>
        <v>#N/A</v>
      </c>
      <c r="L212" s="829" t="e">
        <f>M_depth-Tbl_Load_distrib[[#This Row],[H Deck-Bottom]]</f>
        <v>#N/A</v>
      </c>
      <c r="M212" s="929">
        <f>IFERROR(Tbl_Load_distrib[[#This Row],[x]]-C211,0)</f>
        <v>0</v>
      </c>
      <c r="N212" s="929" t="e">
        <f>IF(ISNA(Tbl_Load_distrib[[#This Row],[x]]),NA(),IF(ISTEXT(N211),0,IF(N211=0,$Z$3,N211-($Z$3-$AA$3)/(Lpp-FE_size)*Tbl_Load_distrib[[#This Row],[L_elt]])))</f>
        <v>#N/A</v>
      </c>
      <c r="O212" s="166" t="e">
        <f ca="1">IF(ISNUMBER(O211),(IF((N211-L211)&lt;0,0,N211-L211)+IF((Tbl_Load_distrib[[#This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12" s="929" t="e">
        <f>IF(ISNA(Tbl_Load_distrib[[#This Row],[x]]),NA(),IF(ISTEXT(P211),0,IF(P211=0,LongSection_DraftAft,P211-(LongSection_DraftAft-LongSection_DraftFore)/(Lpp-FE_size)*Tbl_Load_distrib[[#This Row],[L_elt]])))</f>
        <v>#N/A</v>
      </c>
      <c r="Q212" s="166" t="e">
        <f ca="1">IF(ISNUMBER(Q211),(IF((P211-L211)&lt;0,0,P211-L211)+IF((Tbl_Load_distrib[[#This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12" s="167" t="e">
        <f ca="1">ρ_sw*Tbl_Load_distrib[[#This Row],[Elt Area corrected]]*B/k_depl</f>
        <v>#N/A</v>
      </c>
      <c r="S212" s="167" t="e">
        <f ca="1">Tbl_Load_distrib[[#This Row],[Section Weight]]-Tbl_Load_distrib[[#This Row],[Floating Elt]]</f>
        <v>#N/A</v>
      </c>
      <c r="T212" s="183" t="e">
        <f ca="1">IF(ISTEXT($T211),0,$T211+Tbl_Load_distrib[[#This Row],[Net force / Elt]])</f>
        <v>#N/A</v>
      </c>
      <c r="U212" s="261" t="e">
        <f ca="1">IF(ISTEXT($U211),0,$U211+Tbl_Load_distrib[[#This Row],[Shearing Force]]*Tbl_Load_distrib[[#This Row],[L_elt]])</f>
        <v>#N/A</v>
      </c>
    </row>
    <row r="213" spans="2:21" x14ac:dyDescent="0.25">
      <c r="B213" s="136" t="e">
        <f t="shared" si="7"/>
        <v>#N/A</v>
      </c>
      <c r="C213" s="139" t="e">
        <f t="shared" si="8"/>
        <v>#N/A</v>
      </c>
      <c r="D213" s="152">
        <f ca="1">SUM(Tbl_Load_distrib[[#This Row],[Hull &amp; Structure]:[Reserved]])</f>
        <v>0</v>
      </c>
      <c r="E213" s="260">
        <f>SUMIFS(Tbl_Hull_Structure[Spread],Tbl_Hull_Structure[L from],"&lt;"&amp;Tbl_Load_distrib[[#This Row],[x]],Tbl_Hull_Structure[L to],"&gt;"&amp;C212)*Tbl_Load_distrib[[#This Row],[L_elt]]</f>
        <v>0</v>
      </c>
      <c r="F213" s="260">
        <f ca="1">SUMIFS(Tbl_Ballasts[Spread],Tbl_Ballasts[L from],"&lt;"&amp;Tbl_Load_distrib[[#This Row],[x]],Tbl_Ballasts[L to],"&gt;"&amp;C212)*Tbl_Load_distrib[[#This Row],[L_elt]]</f>
        <v>0</v>
      </c>
      <c r="G213" s="260">
        <f>SUMIFS(Tbl_Lifting[Spread],Tbl_Lifting[L from],"&lt;"&amp;Tbl_Load_distrib[[#This Row],[x]],Tbl_Lifting[L to],"&gt;"&amp;C212)*Tbl_Load_distrib[[#This Row],[L_elt]]</f>
        <v>0</v>
      </c>
      <c r="H213" s="260">
        <f>SUMIFS(Tbl_Additionals[Spread],Tbl_Additionals[L from],"&lt;"&amp;Tbl_Load_distrib[[#This Row],[x]],Tbl_Additionals[L to],"&gt;"&amp;C212)*Tbl_Load_distrib[[#This Row],[L_elt]]</f>
        <v>0</v>
      </c>
      <c r="I213" s="260">
        <f ca="1">SUMIFS(Tbl_Deck_Tank[Spread],Tbl_Deck_Tank[L from],"&lt;"&amp;Tbl_Load_distrib[[#This Row],[x]],Tbl_Deck_Tank[L to],"&gt;"&amp;C212)*Tbl_Load_distrib[[#This Row],[L_elt]]</f>
        <v>0</v>
      </c>
      <c r="J213" s="137"/>
      <c r="K213" s="165" t="e">
        <f>IFERROR(Tbl_Long_Section[[#This Row],[H Deck-Bottom]],NA())</f>
        <v>#N/A</v>
      </c>
      <c r="L213" s="829" t="e">
        <f>M_depth-Tbl_Load_distrib[[#This Row],[H Deck-Bottom]]</f>
        <v>#N/A</v>
      </c>
      <c r="M213" s="929">
        <f>IFERROR(Tbl_Load_distrib[[#This Row],[x]]-C212,0)</f>
        <v>0</v>
      </c>
      <c r="N213" s="929" t="e">
        <f>IF(ISNA(Tbl_Load_distrib[[#This Row],[x]]),NA(),IF(ISTEXT(N212),0,IF(N212=0,$Z$3,N212-($Z$3-$AA$3)/(Lpp-FE_size)*Tbl_Load_distrib[[#This Row],[L_elt]])))</f>
        <v>#N/A</v>
      </c>
      <c r="O213" s="166" t="e">
        <f ca="1">IF(ISNUMBER(O212),(IF((N212-L212)&lt;0,0,N212-L212)+IF((Tbl_Load_distrib[[#This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13" s="929" t="e">
        <f>IF(ISNA(Tbl_Load_distrib[[#This Row],[x]]),NA(),IF(ISTEXT(P212),0,IF(P212=0,LongSection_DraftAft,P212-(LongSection_DraftAft-LongSection_DraftFore)/(Lpp-FE_size)*Tbl_Load_distrib[[#This Row],[L_elt]])))</f>
        <v>#N/A</v>
      </c>
      <c r="Q213" s="166" t="e">
        <f ca="1">IF(ISNUMBER(Q212),(IF((P212-L212)&lt;0,0,P212-L212)+IF((Tbl_Load_distrib[[#This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13" s="167" t="e">
        <f ca="1">ρ_sw*Tbl_Load_distrib[[#This Row],[Elt Area corrected]]*B/k_depl</f>
        <v>#N/A</v>
      </c>
      <c r="S213" s="167" t="e">
        <f ca="1">Tbl_Load_distrib[[#This Row],[Section Weight]]-Tbl_Load_distrib[[#This Row],[Floating Elt]]</f>
        <v>#N/A</v>
      </c>
      <c r="T213" s="183" t="e">
        <f ca="1">IF(ISTEXT($T212),0,$T212+Tbl_Load_distrib[[#This Row],[Net force / Elt]])</f>
        <v>#N/A</v>
      </c>
      <c r="U213" s="261" t="e">
        <f ca="1">IF(ISTEXT($U212),0,$U212+Tbl_Load_distrib[[#This Row],[Shearing Force]]*Tbl_Load_distrib[[#This Row],[L_elt]])</f>
        <v>#N/A</v>
      </c>
    </row>
    <row r="214" spans="2:21" x14ac:dyDescent="0.25">
      <c r="B214" s="136" t="e">
        <f t="shared" si="7"/>
        <v>#N/A</v>
      </c>
      <c r="C214" s="139" t="e">
        <f t="shared" si="8"/>
        <v>#N/A</v>
      </c>
      <c r="D214" s="152">
        <f ca="1">SUM(Tbl_Load_distrib[[#This Row],[Hull &amp; Structure]:[Reserved]])</f>
        <v>0</v>
      </c>
      <c r="E214" s="260">
        <f>SUMIFS(Tbl_Hull_Structure[Spread],Tbl_Hull_Structure[L from],"&lt;"&amp;Tbl_Load_distrib[[#This Row],[x]],Tbl_Hull_Structure[L to],"&gt;"&amp;C213)*Tbl_Load_distrib[[#This Row],[L_elt]]</f>
        <v>0</v>
      </c>
      <c r="F214" s="260">
        <f ca="1">SUMIFS(Tbl_Ballasts[Spread],Tbl_Ballasts[L from],"&lt;"&amp;Tbl_Load_distrib[[#This Row],[x]],Tbl_Ballasts[L to],"&gt;"&amp;C213)*Tbl_Load_distrib[[#This Row],[L_elt]]</f>
        <v>0</v>
      </c>
      <c r="G214" s="260">
        <f>SUMIFS(Tbl_Lifting[Spread],Tbl_Lifting[L from],"&lt;"&amp;Tbl_Load_distrib[[#This Row],[x]],Tbl_Lifting[L to],"&gt;"&amp;C213)*Tbl_Load_distrib[[#This Row],[L_elt]]</f>
        <v>0</v>
      </c>
      <c r="H214" s="260">
        <f>SUMIFS(Tbl_Additionals[Spread],Tbl_Additionals[L from],"&lt;"&amp;Tbl_Load_distrib[[#This Row],[x]],Tbl_Additionals[L to],"&gt;"&amp;C213)*Tbl_Load_distrib[[#This Row],[L_elt]]</f>
        <v>0</v>
      </c>
      <c r="I214" s="260">
        <f ca="1">SUMIFS(Tbl_Deck_Tank[Spread],Tbl_Deck_Tank[L from],"&lt;"&amp;Tbl_Load_distrib[[#This Row],[x]],Tbl_Deck_Tank[L to],"&gt;"&amp;C213)*Tbl_Load_distrib[[#This Row],[L_elt]]</f>
        <v>0</v>
      </c>
      <c r="J214" s="137"/>
      <c r="K214" s="165" t="e">
        <f>IFERROR(Tbl_Long_Section[[#This Row],[H Deck-Bottom]],NA())</f>
        <v>#N/A</v>
      </c>
      <c r="L214" s="829" t="e">
        <f>M_depth-Tbl_Load_distrib[[#This Row],[H Deck-Bottom]]</f>
        <v>#N/A</v>
      </c>
      <c r="M214" s="929">
        <f>IFERROR(Tbl_Load_distrib[[#This Row],[x]]-C213,0)</f>
        <v>0</v>
      </c>
      <c r="N214" s="929" t="e">
        <f>IF(ISNA(Tbl_Load_distrib[[#This Row],[x]]),NA(),IF(ISTEXT(N213),0,IF(N213=0,$Z$3,N213-($Z$3-$AA$3)/(Lpp-FE_size)*Tbl_Load_distrib[[#This Row],[L_elt]])))</f>
        <v>#N/A</v>
      </c>
      <c r="O214" s="166" t="e">
        <f ca="1">IF(ISNUMBER(O213),(IF((N213-L213)&lt;0,0,N213-L213)+IF((Tbl_Load_distrib[[#This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14" s="929" t="e">
        <f>IF(ISNA(Tbl_Load_distrib[[#This Row],[x]]),NA(),IF(ISTEXT(P213),0,IF(P213=0,LongSection_DraftAft,P213-(LongSection_DraftAft-LongSection_DraftFore)/(Lpp-FE_size)*Tbl_Load_distrib[[#This Row],[L_elt]])))</f>
        <v>#N/A</v>
      </c>
      <c r="Q214" s="166" t="e">
        <f ca="1">IF(ISNUMBER(Q213),(IF((P213-L213)&lt;0,0,P213-L213)+IF((Tbl_Load_distrib[[#This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14" s="167" t="e">
        <f ca="1">ρ_sw*Tbl_Load_distrib[[#This Row],[Elt Area corrected]]*B/k_depl</f>
        <v>#N/A</v>
      </c>
      <c r="S214" s="167" t="e">
        <f ca="1">Tbl_Load_distrib[[#This Row],[Section Weight]]-Tbl_Load_distrib[[#This Row],[Floating Elt]]</f>
        <v>#N/A</v>
      </c>
      <c r="T214" s="183" t="e">
        <f ca="1">IF(ISTEXT($T213),0,$T213+Tbl_Load_distrib[[#This Row],[Net force / Elt]])</f>
        <v>#N/A</v>
      </c>
      <c r="U214" s="261" t="e">
        <f ca="1">IF(ISTEXT($U213),0,$U213+Tbl_Load_distrib[[#This Row],[Shearing Force]]*Tbl_Load_distrib[[#This Row],[L_elt]])</f>
        <v>#N/A</v>
      </c>
    </row>
    <row r="215" spans="2:21" x14ac:dyDescent="0.25">
      <c r="B215" s="136" t="e">
        <f t="shared" si="7"/>
        <v>#N/A</v>
      </c>
      <c r="C215" s="139" t="e">
        <f t="shared" si="8"/>
        <v>#N/A</v>
      </c>
      <c r="D215" s="152">
        <f ca="1">SUM(Tbl_Load_distrib[[#This Row],[Hull &amp; Structure]:[Reserved]])</f>
        <v>0</v>
      </c>
      <c r="E215" s="260">
        <f>SUMIFS(Tbl_Hull_Structure[Spread],Tbl_Hull_Structure[L from],"&lt;"&amp;Tbl_Load_distrib[[#This Row],[x]],Tbl_Hull_Structure[L to],"&gt;"&amp;C214)*Tbl_Load_distrib[[#This Row],[L_elt]]</f>
        <v>0</v>
      </c>
      <c r="F215" s="260">
        <f ca="1">SUMIFS(Tbl_Ballasts[Spread],Tbl_Ballasts[L from],"&lt;"&amp;Tbl_Load_distrib[[#This Row],[x]],Tbl_Ballasts[L to],"&gt;"&amp;C214)*Tbl_Load_distrib[[#This Row],[L_elt]]</f>
        <v>0</v>
      </c>
      <c r="G215" s="260">
        <f>SUMIFS(Tbl_Lifting[Spread],Tbl_Lifting[L from],"&lt;"&amp;Tbl_Load_distrib[[#This Row],[x]],Tbl_Lifting[L to],"&gt;"&amp;C214)*Tbl_Load_distrib[[#This Row],[L_elt]]</f>
        <v>0</v>
      </c>
      <c r="H215" s="260">
        <f>SUMIFS(Tbl_Additionals[Spread],Tbl_Additionals[L from],"&lt;"&amp;Tbl_Load_distrib[[#This Row],[x]],Tbl_Additionals[L to],"&gt;"&amp;C214)*Tbl_Load_distrib[[#This Row],[L_elt]]</f>
        <v>0</v>
      </c>
      <c r="I215" s="260">
        <f ca="1">SUMIFS(Tbl_Deck_Tank[Spread],Tbl_Deck_Tank[L from],"&lt;"&amp;Tbl_Load_distrib[[#This Row],[x]],Tbl_Deck_Tank[L to],"&gt;"&amp;C214)*Tbl_Load_distrib[[#This Row],[L_elt]]</f>
        <v>0</v>
      </c>
      <c r="J215" s="137"/>
      <c r="K215" s="165" t="e">
        <f>IFERROR(Tbl_Long_Section[[#This Row],[H Deck-Bottom]],NA())</f>
        <v>#N/A</v>
      </c>
      <c r="L215" s="829" t="e">
        <f>M_depth-Tbl_Load_distrib[[#This Row],[H Deck-Bottom]]</f>
        <v>#N/A</v>
      </c>
      <c r="M215" s="929">
        <f>IFERROR(Tbl_Load_distrib[[#This Row],[x]]-C214,0)</f>
        <v>0</v>
      </c>
      <c r="N215" s="929" t="e">
        <f>IF(ISNA(Tbl_Load_distrib[[#This Row],[x]]),NA(),IF(ISTEXT(N214),0,IF(N214=0,$Z$3,N214-($Z$3-$AA$3)/(Lpp-FE_size)*Tbl_Load_distrib[[#This Row],[L_elt]])))</f>
        <v>#N/A</v>
      </c>
      <c r="O215" s="166" t="e">
        <f ca="1">IF(ISNUMBER(O214),(IF((N214-L214)&lt;0,0,N214-L214)+IF((Tbl_Load_distrib[[#This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15" s="929" t="e">
        <f>IF(ISNA(Tbl_Load_distrib[[#This Row],[x]]),NA(),IF(ISTEXT(P214),0,IF(P214=0,LongSection_DraftAft,P214-(LongSection_DraftAft-LongSection_DraftFore)/(Lpp-FE_size)*Tbl_Load_distrib[[#This Row],[L_elt]])))</f>
        <v>#N/A</v>
      </c>
      <c r="Q215" s="166" t="e">
        <f ca="1">IF(ISNUMBER(Q214),(IF((P214-L214)&lt;0,0,P214-L214)+IF((Tbl_Load_distrib[[#This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15" s="167" t="e">
        <f ca="1">ρ_sw*Tbl_Load_distrib[[#This Row],[Elt Area corrected]]*B/k_depl</f>
        <v>#N/A</v>
      </c>
      <c r="S215" s="167" t="e">
        <f ca="1">Tbl_Load_distrib[[#This Row],[Section Weight]]-Tbl_Load_distrib[[#This Row],[Floating Elt]]</f>
        <v>#N/A</v>
      </c>
      <c r="T215" s="183" t="e">
        <f ca="1">IF(ISTEXT($T214),0,$T214+Tbl_Load_distrib[[#This Row],[Net force / Elt]])</f>
        <v>#N/A</v>
      </c>
      <c r="U215" s="261" t="e">
        <f ca="1">IF(ISTEXT($U214),0,$U214+Tbl_Load_distrib[[#This Row],[Shearing Force]]*Tbl_Load_distrib[[#This Row],[L_elt]])</f>
        <v>#N/A</v>
      </c>
    </row>
    <row r="216" spans="2:21" x14ac:dyDescent="0.25">
      <c r="B216" s="136" t="e">
        <f t="shared" si="7"/>
        <v>#N/A</v>
      </c>
      <c r="C216" s="139" t="e">
        <f t="shared" si="8"/>
        <v>#N/A</v>
      </c>
      <c r="D216" s="152">
        <f ca="1">SUM(Tbl_Load_distrib[[#This Row],[Hull &amp; Structure]:[Reserved]])</f>
        <v>0</v>
      </c>
      <c r="E216" s="260">
        <f>SUMIFS(Tbl_Hull_Structure[Spread],Tbl_Hull_Structure[L from],"&lt;"&amp;Tbl_Load_distrib[[#This Row],[x]],Tbl_Hull_Structure[L to],"&gt;"&amp;C215)*Tbl_Load_distrib[[#This Row],[L_elt]]</f>
        <v>0</v>
      </c>
      <c r="F216" s="260">
        <f ca="1">SUMIFS(Tbl_Ballasts[Spread],Tbl_Ballasts[L from],"&lt;"&amp;Tbl_Load_distrib[[#This Row],[x]],Tbl_Ballasts[L to],"&gt;"&amp;C215)*Tbl_Load_distrib[[#This Row],[L_elt]]</f>
        <v>0</v>
      </c>
      <c r="G216" s="260">
        <f>SUMIFS(Tbl_Lifting[Spread],Tbl_Lifting[L from],"&lt;"&amp;Tbl_Load_distrib[[#This Row],[x]],Tbl_Lifting[L to],"&gt;"&amp;C215)*Tbl_Load_distrib[[#This Row],[L_elt]]</f>
        <v>0</v>
      </c>
      <c r="H216" s="260">
        <f>SUMIFS(Tbl_Additionals[Spread],Tbl_Additionals[L from],"&lt;"&amp;Tbl_Load_distrib[[#This Row],[x]],Tbl_Additionals[L to],"&gt;"&amp;C215)*Tbl_Load_distrib[[#This Row],[L_elt]]</f>
        <v>0</v>
      </c>
      <c r="I216" s="260">
        <f ca="1">SUMIFS(Tbl_Deck_Tank[Spread],Tbl_Deck_Tank[L from],"&lt;"&amp;Tbl_Load_distrib[[#This Row],[x]],Tbl_Deck_Tank[L to],"&gt;"&amp;C215)*Tbl_Load_distrib[[#This Row],[L_elt]]</f>
        <v>0</v>
      </c>
      <c r="J216" s="137"/>
      <c r="K216" s="165" t="e">
        <f>IFERROR(Tbl_Long_Section[[#This Row],[H Deck-Bottom]],NA())</f>
        <v>#N/A</v>
      </c>
      <c r="L216" s="829" t="e">
        <f>M_depth-Tbl_Load_distrib[[#This Row],[H Deck-Bottom]]</f>
        <v>#N/A</v>
      </c>
      <c r="M216" s="929">
        <f>IFERROR(Tbl_Load_distrib[[#This Row],[x]]-C215,0)</f>
        <v>0</v>
      </c>
      <c r="N216" s="929" t="e">
        <f>IF(ISNA(Tbl_Load_distrib[[#This Row],[x]]),NA(),IF(ISTEXT(N215),0,IF(N215=0,$Z$3,N215-($Z$3-$AA$3)/(Lpp-FE_size)*Tbl_Load_distrib[[#This Row],[L_elt]])))</f>
        <v>#N/A</v>
      </c>
      <c r="O216" s="166" t="e">
        <f ca="1">IF(ISNUMBER(O215),(IF((N215-L215)&lt;0,0,N215-L215)+IF((Tbl_Load_distrib[[#This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16" s="929" t="e">
        <f>IF(ISNA(Tbl_Load_distrib[[#This Row],[x]]),NA(),IF(ISTEXT(P215),0,IF(P215=0,LongSection_DraftAft,P215-(LongSection_DraftAft-LongSection_DraftFore)/(Lpp-FE_size)*Tbl_Load_distrib[[#This Row],[L_elt]])))</f>
        <v>#N/A</v>
      </c>
      <c r="Q216" s="166" t="e">
        <f ca="1">IF(ISNUMBER(Q215),(IF((P215-L215)&lt;0,0,P215-L215)+IF((Tbl_Load_distrib[[#This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16" s="167" t="e">
        <f ca="1">ρ_sw*Tbl_Load_distrib[[#This Row],[Elt Area corrected]]*B/k_depl</f>
        <v>#N/A</v>
      </c>
      <c r="S216" s="167" t="e">
        <f ca="1">Tbl_Load_distrib[[#This Row],[Section Weight]]-Tbl_Load_distrib[[#This Row],[Floating Elt]]</f>
        <v>#N/A</v>
      </c>
      <c r="T216" s="183" t="e">
        <f ca="1">IF(ISTEXT($T215),0,$T215+Tbl_Load_distrib[[#This Row],[Net force / Elt]])</f>
        <v>#N/A</v>
      </c>
      <c r="U216" s="261" t="e">
        <f ca="1">IF(ISTEXT($U215),0,$U215+Tbl_Load_distrib[[#This Row],[Shearing Force]]*Tbl_Load_distrib[[#This Row],[L_elt]])</f>
        <v>#N/A</v>
      </c>
    </row>
    <row r="217" spans="2:21" x14ac:dyDescent="0.25">
      <c r="B217" s="136" t="e">
        <f t="shared" si="7"/>
        <v>#N/A</v>
      </c>
      <c r="C217" s="139" t="e">
        <f t="shared" si="8"/>
        <v>#N/A</v>
      </c>
      <c r="D217" s="152">
        <f ca="1">SUM(Tbl_Load_distrib[[#This Row],[Hull &amp; Structure]:[Reserved]])</f>
        <v>0</v>
      </c>
      <c r="E217" s="260">
        <f>SUMIFS(Tbl_Hull_Structure[Spread],Tbl_Hull_Structure[L from],"&lt;"&amp;Tbl_Load_distrib[[#This Row],[x]],Tbl_Hull_Structure[L to],"&gt;"&amp;C216)*Tbl_Load_distrib[[#This Row],[L_elt]]</f>
        <v>0</v>
      </c>
      <c r="F217" s="260">
        <f ca="1">SUMIFS(Tbl_Ballasts[Spread],Tbl_Ballasts[L from],"&lt;"&amp;Tbl_Load_distrib[[#This Row],[x]],Tbl_Ballasts[L to],"&gt;"&amp;C216)*Tbl_Load_distrib[[#This Row],[L_elt]]</f>
        <v>0</v>
      </c>
      <c r="G217" s="260">
        <f>SUMIFS(Tbl_Lifting[Spread],Tbl_Lifting[L from],"&lt;"&amp;Tbl_Load_distrib[[#This Row],[x]],Tbl_Lifting[L to],"&gt;"&amp;C216)*Tbl_Load_distrib[[#This Row],[L_elt]]</f>
        <v>0</v>
      </c>
      <c r="H217" s="260">
        <f>SUMIFS(Tbl_Additionals[Spread],Tbl_Additionals[L from],"&lt;"&amp;Tbl_Load_distrib[[#This Row],[x]],Tbl_Additionals[L to],"&gt;"&amp;C216)*Tbl_Load_distrib[[#This Row],[L_elt]]</f>
        <v>0</v>
      </c>
      <c r="I217" s="260">
        <f ca="1">SUMIFS(Tbl_Deck_Tank[Spread],Tbl_Deck_Tank[L from],"&lt;"&amp;Tbl_Load_distrib[[#This Row],[x]],Tbl_Deck_Tank[L to],"&gt;"&amp;C216)*Tbl_Load_distrib[[#This Row],[L_elt]]</f>
        <v>0</v>
      </c>
      <c r="J217" s="137"/>
      <c r="K217" s="165" t="e">
        <f>IFERROR(Tbl_Long_Section[[#This Row],[H Deck-Bottom]],NA())</f>
        <v>#N/A</v>
      </c>
      <c r="L217" s="829" t="e">
        <f>M_depth-Tbl_Load_distrib[[#This Row],[H Deck-Bottom]]</f>
        <v>#N/A</v>
      </c>
      <c r="M217" s="929">
        <f>IFERROR(Tbl_Load_distrib[[#This Row],[x]]-C216,0)</f>
        <v>0</v>
      </c>
      <c r="N217" s="929" t="e">
        <f>IF(ISNA(Tbl_Load_distrib[[#This Row],[x]]),NA(),IF(ISTEXT(N216),0,IF(N216=0,$Z$3,N216-($Z$3-$AA$3)/(Lpp-FE_size)*Tbl_Load_distrib[[#This Row],[L_elt]])))</f>
        <v>#N/A</v>
      </c>
      <c r="O217" s="166" t="e">
        <f ca="1">IF(ISNUMBER(O216),(IF((N216-L216)&lt;0,0,N216-L216)+IF((Tbl_Load_distrib[[#This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17" s="929" t="e">
        <f>IF(ISNA(Tbl_Load_distrib[[#This Row],[x]]),NA(),IF(ISTEXT(P216),0,IF(P216=0,LongSection_DraftAft,P216-(LongSection_DraftAft-LongSection_DraftFore)/(Lpp-FE_size)*Tbl_Load_distrib[[#This Row],[L_elt]])))</f>
        <v>#N/A</v>
      </c>
      <c r="Q217" s="166" t="e">
        <f ca="1">IF(ISNUMBER(Q216),(IF((P216-L216)&lt;0,0,P216-L216)+IF((Tbl_Load_distrib[[#This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17" s="167" t="e">
        <f ca="1">ρ_sw*Tbl_Load_distrib[[#This Row],[Elt Area corrected]]*B/k_depl</f>
        <v>#N/A</v>
      </c>
      <c r="S217" s="167" t="e">
        <f ca="1">Tbl_Load_distrib[[#This Row],[Section Weight]]-Tbl_Load_distrib[[#This Row],[Floating Elt]]</f>
        <v>#N/A</v>
      </c>
      <c r="T217" s="183" t="e">
        <f ca="1">IF(ISTEXT($T216),0,$T216+Tbl_Load_distrib[[#This Row],[Net force / Elt]])</f>
        <v>#N/A</v>
      </c>
      <c r="U217" s="261" t="e">
        <f ca="1">IF(ISTEXT($U216),0,$U216+Tbl_Load_distrib[[#This Row],[Shearing Force]]*Tbl_Load_distrib[[#This Row],[L_elt]])</f>
        <v>#N/A</v>
      </c>
    </row>
    <row r="218" spans="2:21" x14ac:dyDescent="0.25">
      <c r="B218" s="136" t="e">
        <f t="shared" si="7"/>
        <v>#N/A</v>
      </c>
      <c r="C218" s="139" t="e">
        <f t="shared" si="8"/>
        <v>#N/A</v>
      </c>
      <c r="D218" s="152">
        <f ca="1">SUM(Tbl_Load_distrib[[#This Row],[Hull &amp; Structure]:[Reserved]])</f>
        <v>0</v>
      </c>
      <c r="E218" s="260">
        <f>SUMIFS(Tbl_Hull_Structure[Spread],Tbl_Hull_Structure[L from],"&lt;"&amp;Tbl_Load_distrib[[#This Row],[x]],Tbl_Hull_Structure[L to],"&gt;"&amp;C217)*Tbl_Load_distrib[[#This Row],[L_elt]]</f>
        <v>0</v>
      </c>
      <c r="F218" s="260">
        <f ca="1">SUMIFS(Tbl_Ballasts[Spread],Tbl_Ballasts[L from],"&lt;"&amp;Tbl_Load_distrib[[#This Row],[x]],Tbl_Ballasts[L to],"&gt;"&amp;C217)*Tbl_Load_distrib[[#This Row],[L_elt]]</f>
        <v>0</v>
      </c>
      <c r="G218" s="260">
        <f>SUMIFS(Tbl_Lifting[Spread],Tbl_Lifting[L from],"&lt;"&amp;Tbl_Load_distrib[[#This Row],[x]],Tbl_Lifting[L to],"&gt;"&amp;C217)*Tbl_Load_distrib[[#This Row],[L_elt]]</f>
        <v>0</v>
      </c>
      <c r="H218" s="260">
        <f>SUMIFS(Tbl_Additionals[Spread],Tbl_Additionals[L from],"&lt;"&amp;Tbl_Load_distrib[[#This Row],[x]],Tbl_Additionals[L to],"&gt;"&amp;C217)*Tbl_Load_distrib[[#This Row],[L_elt]]</f>
        <v>0</v>
      </c>
      <c r="I218" s="260">
        <f ca="1">SUMIFS(Tbl_Deck_Tank[Spread],Tbl_Deck_Tank[L from],"&lt;"&amp;Tbl_Load_distrib[[#This Row],[x]],Tbl_Deck_Tank[L to],"&gt;"&amp;C217)*Tbl_Load_distrib[[#This Row],[L_elt]]</f>
        <v>0</v>
      </c>
      <c r="J218" s="137"/>
      <c r="K218" s="165" t="e">
        <f>IFERROR(Tbl_Long_Section[[#This Row],[H Deck-Bottom]],NA())</f>
        <v>#N/A</v>
      </c>
      <c r="L218" s="829" t="e">
        <f>M_depth-Tbl_Load_distrib[[#This Row],[H Deck-Bottom]]</f>
        <v>#N/A</v>
      </c>
      <c r="M218" s="929">
        <f>IFERROR(Tbl_Load_distrib[[#This Row],[x]]-C217,0)</f>
        <v>0</v>
      </c>
      <c r="N218" s="929" t="e">
        <f>IF(ISNA(Tbl_Load_distrib[[#This Row],[x]]),NA(),IF(ISTEXT(N217),0,IF(N217=0,$Z$3,N217-($Z$3-$AA$3)/(Lpp-FE_size)*Tbl_Load_distrib[[#This Row],[L_elt]])))</f>
        <v>#N/A</v>
      </c>
      <c r="O218" s="166" t="e">
        <f ca="1">IF(ISNUMBER(O217),(IF((N217-L217)&lt;0,0,N217-L217)+IF((Tbl_Load_distrib[[#This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18" s="929" t="e">
        <f>IF(ISNA(Tbl_Load_distrib[[#This Row],[x]]),NA(),IF(ISTEXT(P217),0,IF(P217=0,LongSection_DraftAft,P217-(LongSection_DraftAft-LongSection_DraftFore)/(Lpp-FE_size)*Tbl_Load_distrib[[#This Row],[L_elt]])))</f>
        <v>#N/A</v>
      </c>
      <c r="Q218" s="166" t="e">
        <f ca="1">IF(ISNUMBER(Q217),(IF((P217-L217)&lt;0,0,P217-L217)+IF((Tbl_Load_distrib[[#This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18" s="167" t="e">
        <f ca="1">ρ_sw*Tbl_Load_distrib[[#This Row],[Elt Area corrected]]*B/k_depl</f>
        <v>#N/A</v>
      </c>
      <c r="S218" s="167" t="e">
        <f ca="1">Tbl_Load_distrib[[#This Row],[Section Weight]]-Tbl_Load_distrib[[#This Row],[Floating Elt]]</f>
        <v>#N/A</v>
      </c>
      <c r="T218" s="183" t="e">
        <f ca="1">IF(ISTEXT($T217),0,$T217+Tbl_Load_distrib[[#This Row],[Net force / Elt]])</f>
        <v>#N/A</v>
      </c>
      <c r="U218" s="261" t="e">
        <f ca="1">IF(ISTEXT($U217),0,$U217+Tbl_Load_distrib[[#This Row],[Shearing Force]]*Tbl_Load_distrib[[#This Row],[L_elt]])</f>
        <v>#N/A</v>
      </c>
    </row>
    <row r="219" spans="2:21" x14ac:dyDescent="0.25">
      <c r="B219" s="136" t="e">
        <f t="shared" si="7"/>
        <v>#N/A</v>
      </c>
      <c r="C219" s="139" t="e">
        <f t="shared" si="8"/>
        <v>#N/A</v>
      </c>
      <c r="D219" s="152">
        <f ca="1">SUM(Tbl_Load_distrib[[#This Row],[Hull &amp; Structure]:[Reserved]])</f>
        <v>0</v>
      </c>
      <c r="E219" s="260">
        <f>SUMIFS(Tbl_Hull_Structure[Spread],Tbl_Hull_Structure[L from],"&lt;"&amp;Tbl_Load_distrib[[#This Row],[x]],Tbl_Hull_Structure[L to],"&gt;"&amp;C218)*Tbl_Load_distrib[[#This Row],[L_elt]]</f>
        <v>0</v>
      </c>
      <c r="F219" s="260">
        <f ca="1">SUMIFS(Tbl_Ballasts[Spread],Tbl_Ballasts[L from],"&lt;"&amp;Tbl_Load_distrib[[#This Row],[x]],Tbl_Ballasts[L to],"&gt;"&amp;C218)*Tbl_Load_distrib[[#This Row],[L_elt]]</f>
        <v>0</v>
      </c>
      <c r="G219" s="260">
        <f>SUMIFS(Tbl_Lifting[Spread],Tbl_Lifting[L from],"&lt;"&amp;Tbl_Load_distrib[[#This Row],[x]],Tbl_Lifting[L to],"&gt;"&amp;C218)*Tbl_Load_distrib[[#This Row],[L_elt]]</f>
        <v>0</v>
      </c>
      <c r="H219" s="260">
        <f>SUMIFS(Tbl_Additionals[Spread],Tbl_Additionals[L from],"&lt;"&amp;Tbl_Load_distrib[[#This Row],[x]],Tbl_Additionals[L to],"&gt;"&amp;C218)*Tbl_Load_distrib[[#This Row],[L_elt]]</f>
        <v>0</v>
      </c>
      <c r="I219" s="260">
        <f ca="1">SUMIFS(Tbl_Deck_Tank[Spread],Tbl_Deck_Tank[L from],"&lt;"&amp;Tbl_Load_distrib[[#This Row],[x]],Tbl_Deck_Tank[L to],"&gt;"&amp;C218)*Tbl_Load_distrib[[#This Row],[L_elt]]</f>
        <v>0</v>
      </c>
      <c r="J219" s="137"/>
      <c r="K219" s="165" t="e">
        <f>IFERROR(Tbl_Long_Section[[#This Row],[H Deck-Bottom]],NA())</f>
        <v>#N/A</v>
      </c>
      <c r="L219" s="829" t="e">
        <f>M_depth-Tbl_Load_distrib[[#This Row],[H Deck-Bottom]]</f>
        <v>#N/A</v>
      </c>
      <c r="M219" s="929">
        <f>IFERROR(Tbl_Load_distrib[[#This Row],[x]]-C218,0)</f>
        <v>0</v>
      </c>
      <c r="N219" s="929" t="e">
        <f>IF(ISNA(Tbl_Load_distrib[[#This Row],[x]]),NA(),IF(ISTEXT(N218),0,IF(N218=0,$Z$3,N218-($Z$3-$AA$3)/(Lpp-FE_size)*Tbl_Load_distrib[[#This Row],[L_elt]])))</f>
        <v>#N/A</v>
      </c>
      <c r="O219" s="166" t="e">
        <f ca="1">IF(ISNUMBER(O218),(IF((N218-L218)&lt;0,0,N218-L218)+IF((Tbl_Load_distrib[[#This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19" s="929" t="e">
        <f>IF(ISNA(Tbl_Load_distrib[[#This Row],[x]]),NA(),IF(ISTEXT(P218),0,IF(P218=0,LongSection_DraftAft,P218-(LongSection_DraftAft-LongSection_DraftFore)/(Lpp-FE_size)*Tbl_Load_distrib[[#This Row],[L_elt]])))</f>
        <v>#N/A</v>
      </c>
      <c r="Q219" s="166" t="e">
        <f ca="1">IF(ISNUMBER(Q218),(IF((P218-L218)&lt;0,0,P218-L218)+IF((Tbl_Load_distrib[[#This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19" s="167" t="e">
        <f ca="1">ρ_sw*Tbl_Load_distrib[[#This Row],[Elt Area corrected]]*B/k_depl</f>
        <v>#N/A</v>
      </c>
      <c r="S219" s="167" t="e">
        <f ca="1">Tbl_Load_distrib[[#This Row],[Section Weight]]-Tbl_Load_distrib[[#This Row],[Floating Elt]]</f>
        <v>#N/A</v>
      </c>
      <c r="T219" s="183" t="e">
        <f ca="1">IF(ISTEXT($T218),0,$T218+Tbl_Load_distrib[[#This Row],[Net force / Elt]])</f>
        <v>#N/A</v>
      </c>
      <c r="U219" s="261" t="e">
        <f ca="1">IF(ISTEXT($U218),0,$U218+Tbl_Load_distrib[[#This Row],[Shearing Force]]*Tbl_Load_distrib[[#This Row],[L_elt]])</f>
        <v>#N/A</v>
      </c>
    </row>
    <row r="220" spans="2:21" x14ac:dyDescent="0.25">
      <c r="B220" s="136" t="e">
        <f t="shared" si="7"/>
        <v>#N/A</v>
      </c>
      <c r="C220" s="139" t="e">
        <f t="shared" si="8"/>
        <v>#N/A</v>
      </c>
      <c r="D220" s="152">
        <f ca="1">SUM(Tbl_Load_distrib[[#This Row],[Hull &amp; Structure]:[Reserved]])</f>
        <v>0</v>
      </c>
      <c r="E220" s="260">
        <f>SUMIFS(Tbl_Hull_Structure[Spread],Tbl_Hull_Structure[L from],"&lt;"&amp;Tbl_Load_distrib[[#This Row],[x]],Tbl_Hull_Structure[L to],"&gt;"&amp;C219)*Tbl_Load_distrib[[#This Row],[L_elt]]</f>
        <v>0</v>
      </c>
      <c r="F220" s="260">
        <f ca="1">SUMIFS(Tbl_Ballasts[Spread],Tbl_Ballasts[L from],"&lt;"&amp;Tbl_Load_distrib[[#This Row],[x]],Tbl_Ballasts[L to],"&gt;"&amp;C219)*Tbl_Load_distrib[[#This Row],[L_elt]]</f>
        <v>0</v>
      </c>
      <c r="G220" s="260">
        <f>SUMIFS(Tbl_Lifting[Spread],Tbl_Lifting[L from],"&lt;"&amp;Tbl_Load_distrib[[#This Row],[x]],Tbl_Lifting[L to],"&gt;"&amp;C219)*Tbl_Load_distrib[[#This Row],[L_elt]]</f>
        <v>0</v>
      </c>
      <c r="H220" s="260">
        <f>SUMIFS(Tbl_Additionals[Spread],Tbl_Additionals[L from],"&lt;"&amp;Tbl_Load_distrib[[#This Row],[x]],Tbl_Additionals[L to],"&gt;"&amp;C219)*Tbl_Load_distrib[[#This Row],[L_elt]]</f>
        <v>0</v>
      </c>
      <c r="I220" s="260">
        <f ca="1">SUMIFS(Tbl_Deck_Tank[Spread],Tbl_Deck_Tank[L from],"&lt;"&amp;Tbl_Load_distrib[[#This Row],[x]],Tbl_Deck_Tank[L to],"&gt;"&amp;C219)*Tbl_Load_distrib[[#This Row],[L_elt]]</f>
        <v>0</v>
      </c>
      <c r="J220" s="137"/>
      <c r="K220" s="165" t="e">
        <f>IFERROR(Tbl_Long_Section[[#This Row],[H Deck-Bottom]],NA())</f>
        <v>#N/A</v>
      </c>
      <c r="L220" s="829" t="e">
        <f>M_depth-Tbl_Load_distrib[[#This Row],[H Deck-Bottom]]</f>
        <v>#N/A</v>
      </c>
      <c r="M220" s="929">
        <f>IFERROR(Tbl_Load_distrib[[#This Row],[x]]-C219,0)</f>
        <v>0</v>
      </c>
      <c r="N220" s="929" t="e">
        <f>IF(ISNA(Tbl_Load_distrib[[#This Row],[x]]),NA(),IF(ISTEXT(N219),0,IF(N219=0,$Z$3,N219-($Z$3-$AA$3)/(Lpp-FE_size)*Tbl_Load_distrib[[#This Row],[L_elt]])))</f>
        <v>#N/A</v>
      </c>
      <c r="O220" s="166" t="e">
        <f ca="1">IF(ISNUMBER(O219),(IF((N219-L219)&lt;0,0,N219-L219)+IF((Tbl_Load_distrib[[#This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20" s="929" t="e">
        <f>IF(ISNA(Tbl_Load_distrib[[#This Row],[x]]),NA(),IF(ISTEXT(P219),0,IF(P219=0,LongSection_DraftAft,P219-(LongSection_DraftAft-LongSection_DraftFore)/(Lpp-FE_size)*Tbl_Load_distrib[[#This Row],[L_elt]])))</f>
        <v>#N/A</v>
      </c>
      <c r="Q220" s="166" t="e">
        <f ca="1">IF(ISNUMBER(Q219),(IF((P219-L219)&lt;0,0,P219-L219)+IF((Tbl_Load_distrib[[#This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20" s="167" t="e">
        <f ca="1">ρ_sw*Tbl_Load_distrib[[#This Row],[Elt Area corrected]]*B/k_depl</f>
        <v>#N/A</v>
      </c>
      <c r="S220" s="167" t="e">
        <f ca="1">Tbl_Load_distrib[[#This Row],[Section Weight]]-Tbl_Load_distrib[[#This Row],[Floating Elt]]</f>
        <v>#N/A</v>
      </c>
      <c r="T220" s="183" t="e">
        <f ca="1">IF(ISTEXT($T219),0,$T219+Tbl_Load_distrib[[#This Row],[Net force / Elt]])</f>
        <v>#N/A</v>
      </c>
      <c r="U220" s="261" t="e">
        <f ca="1">IF(ISTEXT($U219),0,$U219+Tbl_Load_distrib[[#This Row],[Shearing Force]]*Tbl_Load_distrib[[#This Row],[L_elt]])</f>
        <v>#N/A</v>
      </c>
    </row>
    <row r="221" spans="2:21" x14ac:dyDescent="0.25">
      <c r="B221" s="136" t="e">
        <f t="shared" si="7"/>
        <v>#N/A</v>
      </c>
      <c r="C221" s="139" t="e">
        <f t="shared" si="8"/>
        <v>#N/A</v>
      </c>
      <c r="D221" s="152">
        <f ca="1">SUM(Tbl_Load_distrib[[#This Row],[Hull &amp; Structure]:[Reserved]])</f>
        <v>0</v>
      </c>
      <c r="E221" s="260">
        <f>SUMIFS(Tbl_Hull_Structure[Spread],Tbl_Hull_Structure[L from],"&lt;"&amp;Tbl_Load_distrib[[#This Row],[x]],Tbl_Hull_Structure[L to],"&gt;"&amp;C220)*Tbl_Load_distrib[[#This Row],[L_elt]]</f>
        <v>0</v>
      </c>
      <c r="F221" s="260">
        <f ca="1">SUMIFS(Tbl_Ballasts[Spread],Tbl_Ballasts[L from],"&lt;"&amp;Tbl_Load_distrib[[#This Row],[x]],Tbl_Ballasts[L to],"&gt;"&amp;C220)*Tbl_Load_distrib[[#This Row],[L_elt]]</f>
        <v>0</v>
      </c>
      <c r="G221" s="260">
        <f>SUMIFS(Tbl_Lifting[Spread],Tbl_Lifting[L from],"&lt;"&amp;Tbl_Load_distrib[[#This Row],[x]],Tbl_Lifting[L to],"&gt;"&amp;C220)*Tbl_Load_distrib[[#This Row],[L_elt]]</f>
        <v>0</v>
      </c>
      <c r="H221" s="260">
        <f>SUMIFS(Tbl_Additionals[Spread],Tbl_Additionals[L from],"&lt;"&amp;Tbl_Load_distrib[[#This Row],[x]],Tbl_Additionals[L to],"&gt;"&amp;C220)*Tbl_Load_distrib[[#This Row],[L_elt]]</f>
        <v>0</v>
      </c>
      <c r="I221" s="260">
        <f ca="1">SUMIFS(Tbl_Deck_Tank[Spread],Tbl_Deck_Tank[L from],"&lt;"&amp;Tbl_Load_distrib[[#This Row],[x]],Tbl_Deck_Tank[L to],"&gt;"&amp;C220)*Tbl_Load_distrib[[#This Row],[L_elt]]</f>
        <v>0</v>
      </c>
      <c r="J221" s="137"/>
      <c r="K221" s="165" t="e">
        <f>IFERROR(Tbl_Long_Section[[#This Row],[H Deck-Bottom]],NA())</f>
        <v>#N/A</v>
      </c>
      <c r="L221" s="829" t="e">
        <f>M_depth-Tbl_Load_distrib[[#This Row],[H Deck-Bottom]]</f>
        <v>#N/A</v>
      </c>
      <c r="M221" s="929">
        <f>IFERROR(Tbl_Load_distrib[[#This Row],[x]]-C220,0)</f>
        <v>0</v>
      </c>
      <c r="N221" s="929" t="e">
        <f>IF(ISNA(Tbl_Load_distrib[[#This Row],[x]]),NA(),IF(ISTEXT(N220),0,IF(N220=0,$Z$3,N220-($Z$3-$AA$3)/(Lpp-FE_size)*Tbl_Load_distrib[[#This Row],[L_elt]])))</f>
        <v>#N/A</v>
      </c>
      <c r="O221" s="166" t="e">
        <f ca="1">IF(ISNUMBER(O220),(IF((N220-L220)&lt;0,0,N220-L220)+IF((Tbl_Load_distrib[[#This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21" s="929" t="e">
        <f>IF(ISNA(Tbl_Load_distrib[[#This Row],[x]]),NA(),IF(ISTEXT(P220),0,IF(P220=0,LongSection_DraftAft,P220-(LongSection_DraftAft-LongSection_DraftFore)/(Lpp-FE_size)*Tbl_Load_distrib[[#This Row],[L_elt]])))</f>
        <v>#N/A</v>
      </c>
      <c r="Q221" s="166" t="e">
        <f ca="1">IF(ISNUMBER(Q220),(IF((P220-L220)&lt;0,0,P220-L220)+IF((Tbl_Load_distrib[[#This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21" s="167" t="e">
        <f ca="1">ρ_sw*Tbl_Load_distrib[[#This Row],[Elt Area corrected]]*B/k_depl</f>
        <v>#N/A</v>
      </c>
      <c r="S221" s="167" t="e">
        <f ca="1">Tbl_Load_distrib[[#This Row],[Section Weight]]-Tbl_Load_distrib[[#This Row],[Floating Elt]]</f>
        <v>#N/A</v>
      </c>
      <c r="T221" s="183" t="e">
        <f ca="1">IF(ISTEXT($T220),0,$T220+Tbl_Load_distrib[[#This Row],[Net force / Elt]])</f>
        <v>#N/A</v>
      </c>
      <c r="U221" s="261" t="e">
        <f ca="1">IF(ISTEXT($U220),0,$U220+Tbl_Load_distrib[[#This Row],[Shearing Force]]*Tbl_Load_distrib[[#This Row],[L_elt]])</f>
        <v>#N/A</v>
      </c>
    </row>
    <row r="222" spans="2:21" x14ac:dyDescent="0.25">
      <c r="B222" s="136" t="e">
        <f t="shared" si="7"/>
        <v>#N/A</v>
      </c>
      <c r="C222" s="139" t="e">
        <f t="shared" si="8"/>
        <v>#N/A</v>
      </c>
      <c r="D222" s="152">
        <f ca="1">SUM(Tbl_Load_distrib[[#This Row],[Hull &amp; Structure]:[Reserved]])</f>
        <v>0</v>
      </c>
      <c r="E222" s="260">
        <f>SUMIFS(Tbl_Hull_Structure[Spread],Tbl_Hull_Structure[L from],"&lt;"&amp;Tbl_Load_distrib[[#This Row],[x]],Tbl_Hull_Structure[L to],"&gt;"&amp;C221)*Tbl_Load_distrib[[#This Row],[L_elt]]</f>
        <v>0</v>
      </c>
      <c r="F222" s="260">
        <f ca="1">SUMIFS(Tbl_Ballasts[Spread],Tbl_Ballasts[L from],"&lt;"&amp;Tbl_Load_distrib[[#This Row],[x]],Tbl_Ballasts[L to],"&gt;"&amp;C221)*Tbl_Load_distrib[[#This Row],[L_elt]]</f>
        <v>0</v>
      </c>
      <c r="G222" s="260">
        <f>SUMIFS(Tbl_Lifting[Spread],Tbl_Lifting[L from],"&lt;"&amp;Tbl_Load_distrib[[#This Row],[x]],Tbl_Lifting[L to],"&gt;"&amp;C221)*Tbl_Load_distrib[[#This Row],[L_elt]]</f>
        <v>0</v>
      </c>
      <c r="H222" s="260">
        <f>SUMIFS(Tbl_Additionals[Spread],Tbl_Additionals[L from],"&lt;"&amp;Tbl_Load_distrib[[#This Row],[x]],Tbl_Additionals[L to],"&gt;"&amp;C221)*Tbl_Load_distrib[[#This Row],[L_elt]]</f>
        <v>0</v>
      </c>
      <c r="I222" s="260">
        <f ca="1">SUMIFS(Tbl_Deck_Tank[Spread],Tbl_Deck_Tank[L from],"&lt;"&amp;Tbl_Load_distrib[[#This Row],[x]],Tbl_Deck_Tank[L to],"&gt;"&amp;C221)*Tbl_Load_distrib[[#This Row],[L_elt]]</f>
        <v>0</v>
      </c>
      <c r="J222" s="137"/>
      <c r="K222" s="165" t="e">
        <f>IFERROR(Tbl_Long_Section[[#This Row],[H Deck-Bottom]],NA())</f>
        <v>#N/A</v>
      </c>
      <c r="L222" s="829" t="e">
        <f>M_depth-Tbl_Load_distrib[[#This Row],[H Deck-Bottom]]</f>
        <v>#N/A</v>
      </c>
      <c r="M222" s="929">
        <f>IFERROR(Tbl_Load_distrib[[#This Row],[x]]-C221,0)</f>
        <v>0</v>
      </c>
      <c r="N222" s="929" t="e">
        <f>IF(ISNA(Tbl_Load_distrib[[#This Row],[x]]),NA(),IF(ISTEXT(N221),0,IF(N221=0,$Z$3,N221-($Z$3-$AA$3)/(Lpp-FE_size)*Tbl_Load_distrib[[#This Row],[L_elt]])))</f>
        <v>#N/A</v>
      </c>
      <c r="O222" s="166" t="e">
        <f ca="1">IF(ISNUMBER(O221),(IF((N221-L221)&lt;0,0,N221-L221)+IF((Tbl_Load_distrib[[#This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22" s="929" t="e">
        <f>IF(ISNA(Tbl_Load_distrib[[#This Row],[x]]),NA(),IF(ISTEXT(P221),0,IF(P221=0,LongSection_DraftAft,P221-(LongSection_DraftAft-LongSection_DraftFore)/(Lpp-FE_size)*Tbl_Load_distrib[[#This Row],[L_elt]])))</f>
        <v>#N/A</v>
      </c>
      <c r="Q222" s="166" t="e">
        <f ca="1">IF(ISNUMBER(Q221),(IF((P221-L221)&lt;0,0,P221-L221)+IF((Tbl_Load_distrib[[#This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22" s="167" t="e">
        <f ca="1">ρ_sw*Tbl_Load_distrib[[#This Row],[Elt Area corrected]]*B/k_depl</f>
        <v>#N/A</v>
      </c>
      <c r="S222" s="167" t="e">
        <f ca="1">Tbl_Load_distrib[[#This Row],[Section Weight]]-Tbl_Load_distrib[[#This Row],[Floating Elt]]</f>
        <v>#N/A</v>
      </c>
      <c r="T222" s="183" t="e">
        <f ca="1">IF(ISTEXT($T221),0,$T221+Tbl_Load_distrib[[#This Row],[Net force / Elt]])</f>
        <v>#N/A</v>
      </c>
      <c r="U222" s="261" t="e">
        <f ca="1">IF(ISTEXT($U221),0,$U221+Tbl_Load_distrib[[#This Row],[Shearing Force]]*Tbl_Load_distrib[[#This Row],[L_elt]])</f>
        <v>#N/A</v>
      </c>
    </row>
    <row r="223" spans="2:21" x14ac:dyDescent="0.25">
      <c r="B223" s="136" t="e">
        <f t="shared" si="7"/>
        <v>#N/A</v>
      </c>
      <c r="C223" s="139" t="e">
        <f t="shared" si="8"/>
        <v>#N/A</v>
      </c>
      <c r="D223" s="152">
        <f ca="1">SUM(Tbl_Load_distrib[[#This Row],[Hull &amp; Structure]:[Reserved]])</f>
        <v>0</v>
      </c>
      <c r="E223" s="260">
        <f>SUMIFS(Tbl_Hull_Structure[Spread],Tbl_Hull_Structure[L from],"&lt;"&amp;Tbl_Load_distrib[[#This Row],[x]],Tbl_Hull_Structure[L to],"&gt;"&amp;C222)*Tbl_Load_distrib[[#This Row],[L_elt]]</f>
        <v>0</v>
      </c>
      <c r="F223" s="260">
        <f ca="1">SUMIFS(Tbl_Ballasts[Spread],Tbl_Ballasts[L from],"&lt;"&amp;Tbl_Load_distrib[[#This Row],[x]],Tbl_Ballasts[L to],"&gt;"&amp;C222)*Tbl_Load_distrib[[#This Row],[L_elt]]</f>
        <v>0</v>
      </c>
      <c r="G223" s="260">
        <f>SUMIFS(Tbl_Lifting[Spread],Tbl_Lifting[L from],"&lt;"&amp;Tbl_Load_distrib[[#This Row],[x]],Tbl_Lifting[L to],"&gt;"&amp;C222)*Tbl_Load_distrib[[#This Row],[L_elt]]</f>
        <v>0</v>
      </c>
      <c r="H223" s="260">
        <f>SUMIFS(Tbl_Additionals[Spread],Tbl_Additionals[L from],"&lt;"&amp;Tbl_Load_distrib[[#This Row],[x]],Tbl_Additionals[L to],"&gt;"&amp;C222)*Tbl_Load_distrib[[#This Row],[L_elt]]</f>
        <v>0</v>
      </c>
      <c r="I223" s="260">
        <f ca="1">SUMIFS(Tbl_Deck_Tank[Spread],Tbl_Deck_Tank[L from],"&lt;"&amp;Tbl_Load_distrib[[#This Row],[x]],Tbl_Deck_Tank[L to],"&gt;"&amp;C222)*Tbl_Load_distrib[[#This Row],[L_elt]]</f>
        <v>0</v>
      </c>
      <c r="J223" s="137"/>
      <c r="K223" s="165" t="e">
        <f>IFERROR(Tbl_Long_Section[[#This Row],[H Deck-Bottom]],NA())</f>
        <v>#N/A</v>
      </c>
      <c r="L223" s="829" t="e">
        <f>M_depth-Tbl_Load_distrib[[#This Row],[H Deck-Bottom]]</f>
        <v>#N/A</v>
      </c>
      <c r="M223" s="929">
        <f>IFERROR(Tbl_Load_distrib[[#This Row],[x]]-C222,0)</f>
        <v>0</v>
      </c>
      <c r="N223" s="929" t="e">
        <f>IF(ISNA(Tbl_Load_distrib[[#This Row],[x]]),NA(),IF(ISTEXT(N222),0,IF(N222=0,$Z$3,N222-($Z$3-$AA$3)/(Lpp-FE_size)*Tbl_Load_distrib[[#This Row],[L_elt]])))</f>
        <v>#N/A</v>
      </c>
      <c r="O223" s="166" t="e">
        <f ca="1">IF(ISNUMBER(O222),(IF((N222-L222)&lt;0,0,N222-L222)+IF((Tbl_Load_distrib[[#This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23" s="929" t="e">
        <f>IF(ISNA(Tbl_Load_distrib[[#This Row],[x]]),NA(),IF(ISTEXT(P222),0,IF(P222=0,LongSection_DraftAft,P222-(LongSection_DraftAft-LongSection_DraftFore)/(Lpp-FE_size)*Tbl_Load_distrib[[#This Row],[L_elt]])))</f>
        <v>#N/A</v>
      </c>
      <c r="Q223" s="166" t="e">
        <f ca="1">IF(ISNUMBER(Q222),(IF((P222-L222)&lt;0,0,P222-L222)+IF((Tbl_Load_distrib[[#This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23" s="167" t="e">
        <f ca="1">ρ_sw*Tbl_Load_distrib[[#This Row],[Elt Area corrected]]*B/k_depl</f>
        <v>#N/A</v>
      </c>
      <c r="S223" s="167" t="e">
        <f ca="1">Tbl_Load_distrib[[#This Row],[Section Weight]]-Tbl_Load_distrib[[#This Row],[Floating Elt]]</f>
        <v>#N/A</v>
      </c>
      <c r="T223" s="183" t="e">
        <f ca="1">IF(ISTEXT($T222),0,$T222+Tbl_Load_distrib[[#This Row],[Net force / Elt]])</f>
        <v>#N/A</v>
      </c>
      <c r="U223" s="261" t="e">
        <f ca="1">IF(ISTEXT($U222),0,$U222+Tbl_Load_distrib[[#This Row],[Shearing Force]]*Tbl_Load_distrib[[#This Row],[L_elt]])</f>
        <v>#N/A</v>
      </c>
    </row>
    <row r="224" spans="2:21" x14ac:dyDescent="0.25">
      <c r="B224" s="136" t="e">
        <f t="shared" si="7"/>
        <v>#N/A</v>
      </c>
      <c r="C224" s="139" t="e">
        <f t="shared" si="8"/>
        <v>#N/A</v>
      </c>
      <c r="D224" s="152">
        <f ca="1">SUM(Tbl_Load_distrib[[#This Row],[Hull &amp; Structure]:[Reserved]])</f>
        <v>0</v>
      </c>
      <c r="E224" s="260">
        <f>SUMIFS(Tbl_Hull_Structure[Spread],Tbl_Hull_Structure[L from],"&lt;"&amp;Tbl_Load_distrib[[#This Row],[x]],Tbl_Hull_Structure[L to],"&gt;"&amp;C223)*Tbl_Load_distrib[[#This Row],[L_elt]]</f>
        <v>0</v>
      </c>
      <c r="F224" s="260">
        <f ca="1">SUMIFS(Tbl_Ballasts[Spread],Tbl_Ballasts[L from],"&lt;"&amp;Tbl_Load_distrib[[#This Row],[x]],Tbl_Ballasts[L to],"&gt;"&amp;C223)*Tbl_Load_distrib[[#This Row],[L_elt]]</f>
        <v>0</v>
      </c>
      <c r="G224" s="260">
        <f>SUMIFS(Tbl_Lifting[Spread],Tbl_Lifting[L from],"&lt;"&amp;Tbl_Load_distrib[[#This Row],[x]],Tbl_Lifting[L to],"&gt;"&amp;C223)*Tbl_Load_distrib[[#This Row],[L_elt]]</f>
        <v>0</v>
      </c>
      <c r="H224" s="260">
        <f>SUMIFS(Tbl_Additionals[Spread],Tbl_Additionals[L from],"&lt;"&amp;Tbl_Load_distrib[[#This Row],[x]],Tbl_Additionals[L to],"&gt;"&amp;C223)*Tbl_Load_distrib[[#This Row],[L_elt]]</f>
        <v>0</v>
      </c>
      <c r="I224" s="260">
        <f ca="1">SUMIFS(Tbl_Deck_Tank[Spread],Tbl_Deck_Tank[L from],"&lt;"&amp;Tbl_Load_distrib[[#This Row],[x]],Tbl_Deck_Tank[L to],"&gt;"&amp;C223)*Tbl_Load_distrib[[#This Row],[L_elt]]</f>
        <v>0</v>
      </c>
      <c r="J224" s="137"/>
      <c r="K224" s="165" t="e">
        <f>IFERROR(Tbl_Long_Section[[#This Row],[H Deck-Bottom]],NA())</f>
        <v>#N/A</v>
      </c>
      <c r="L224" s="829" t="e">
        <f>M_depth-Tbl_Load_distrib[[#This Row],[H Deck-Bottom]]</f>
        <v>#N/A</v>
      </c>
      <c r="M224" s="929">
        <f>IFERROR(Tbl_Load_distrib[[#This Row],[x]]-C223,0)</f>
        <v>0</v>
      </c>
      <c r="N224" s="929" t="e">
        <f>IF(ISNA(Tbl_Load_distrib[[#This Row],[x]]),NA(),IF(ISTEXT(N223),0,IF(N223=0,$Z$3,N223-($Z$3-$AA$3)/(Lpp-FE_size)*Tbl_Load_distrib[[#This Row],[L_elt]])))</f>
        <v>#N/A</v>
      </c>
      <c r="O224" s="166" t="e">
        <f ca="1">IF(ISNUMBER(O223),(IF((N223-L223)&lt;0,0,N223-L223)+IF((Tbl_Load_distrib[[#This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24" s="929" t="e">
        <f>IF(ISNA(Tbl_Load_distrib[[#This Row],[x]]),NA(),IF(ISTEXT(P223),0,IF(P223=0,LongSection_DraftAft,P223-(LongSection_DraftAft-LongSection_DraftFore)/(Lpp-FE_size)*Tbl_Load_distrib[[#This Row],[L_elt]])))</f>
        <v>#N/A</v>
      </c>
      <c r="Q224" s="166" t="e">
        <f ca="1">IF(ISNUMBER(Q223),(IF((P223-L223)&lt;0,0,P223-L223)+IF((Tbl_Load_distrib[[#This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24" s="167" t="e">
        <f ca="1">ρ_sw*Tbl_Load_distrib[[#This Row],[Elt Area corrected]]*B/k_depl</f>
        <v>#N/A</v>
      </c>
      <c r="S224" s="167" t="e">
        <f ca="1">Tbl_Load_distrib[[#This Row],[Section Weight]]-Tbl_Load_distrib[[#This Row],[Floating Elt]]</f>
        <v>#N/A</v>
      </c>
      <c r="T224" s="183" t="e">
        <f ca="1">IF(ISTEXT($T223),0,$T223+Tbl_Load_distrib[[#This Row],[Net force / Elt]])</f>
        <v>#N/A</v>
      </c>
      <c r="U224" s="261" t="e">
        <f ca="1">IF(ISTEXT($U223),0,$U223+Tbl_Load_distrib[[#This Row],[Shearing Force]]*Tbl_Load_distrib[[#This Row],[L_elt]])</f>
        <v>#N/A</v>
      </c>
    </row>
    <row r="225" spans="2:21" x14ac:dyDescent="0.25">
      <c r="B225" s="136" t="e">
        <f t="shared" si="7"/>
        <v>#N/A</v>
      </c>
      <c r="C225" s="139" t="e">
        <f t="shared" si="8"/>
        <v>#N/A</v>
      </c>
      <c r="D225" s="152">
        <f ca="1">SUM(Tbl_Load_distrib[[#This Row],[Hull &amp; Structure]:[Reserved]])</f>
        <v>0</v>
      </c>
      <c r="E225" s="260">
        <f>SUMIFS(Tbl_Hull_Structure[Spread],Tbl_Hull_Structure[L from],"&lt;"&amp;Tbl_Load_distrib[[#This Row],[x]],Tbl_Hull_Structure[L to],"&gt;"&amp;C224)*Tbl_Load_distrib[[#This Row],[L_elt]]</f>
        <v>0</v>
      </c>
      <c r="F225" s="260">
        <f ca="1">SUMIFS(Tbl_Ballasts[Spread],Tbl_Ballasts[L from],"&lt;"&amp;Tbl_Load_distrib[[#This Row],[x]],Tbl_Ballasts[L to],"&gt;"&amp;C224)*Tbl_Load_distrib[[#This Row],[L_elt]]</f>
        <v>0</v>
      </c>
      <c r="G225" s="260">
        <f>SUMIFS(Tbl_Lifting[Spread],Tbl_Lifting[L from],"&lt;"&amp;Tbl_Load_distrib[[#This Row],[x]],Tbl_Lifting[L to],"&gt;"&amp;C224)*Tbl_Load_distrib[[#This Row],[L_elt]]</f>
        <v>0</v>
      </c>
      <c r="H225" s="260">
        <f>SUMIFS(Tbl_Additionals[Spread],Tbl_Additionals[L from],"&lt;"&amp;Tbl_Load_distrib[[#This Row],[x]],Tbl_Additionals[L to],"&gt;"&amp;C224)*Tbl_Load_distrib[[#This Row],[L_elt]]</f>
        <v>0</v>
      </c>
      <c r="I225" s="260">
        <f ca="1">SUMIFS(Tbl_Deck_Tank[Spread],Tbl_Deck_Tank[L from],"&lt;"&amp;Tbl_Load_distrib[[#This Row],[x]],Tbl_Deck_Tank[L to],"&gt;"&amp;C224)*Tbl_Load_distrib[[#This Row],[L_elt]]</f>
        <v>0</v>
      </c>
      <c r="J225" s="137"/>
      <c r="K225" s="165" t="e">
        <f>IFERROR(Tbl_Long_Section[[#This Row],[H Deck-Bottom]],NA())</f>
        <v>#N/A</v>
      </c>
      <c r="L225" s="829" t="e">
        <f>M_depth-Tbl_Load_distrib[[#This Row],[H Deck-Bottom]]</f>
        <v>#N/A</v>
      </c>
      <c r="M225" s="929">
        <f>IFERROR(Tbl_Load_distrib[[#This Row],[x]]-C224,0)</f>
        <v>0</v>
      </c>
      <c r="N225" s="929" t="e">
        <f>IF(ISNA(Tbl_Load_distrib[[#This Row],[x]]),NA(),IF(ISTEXT(N224),0,IF(N224=0,$Z$3,N224-($Z$3-$AA$3)/(Lpp-FE_size)*Tbl_Load_distrib[[#This Row],[L_elt]])))</f>
        <v>#N/A</v>
      </c>
      <c r="O225" s="166" t="e">
        <f ca="1">IF(ISNUMBER(O224),(IF((N224-L224)&lt;0,0,N224-L224)+IF((Tbl_Load_distrib[[#This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25" s="929" t="e">
        <f>IF(ISNA(Tbl_Load_distrib[[#This Row],[x]]),NA(),IF(ISTEXT(P224),0,IF(P224=0,LongSection_DraftAft,P224-(LongSection_DraftAft-LongSection_DraftFore)/(Lpp-FE_size)*Tbl_Load_distrib[[#This Row],[L_elt]])))</f>
        <v>#N/A</v>
      </c>
      <c r="Q225" s="166" t="e">
        <f ca="1">IF(ISNUMBER(Q224),(IF((P224-L224)&lt;0,0,P224-L224)+IF((Tbl_Load_distrib[[#This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25" s="167" t="e">
        <f ca="1">ρ_sw*Tbl_Load_distrib[[#This Row],[Elt Area corrected]]*B/k_depl</f>
        <v>#N/A</v>
      </c>
      <c r="S225" s="167" t="e">
        <f ca="1">Tbl_Load_distrib[[#This Row],[Section Weight]]-Tbl_Load_distrib[[#This Row],[Floating Elt]]</f>
        <v>#N/A</v>
      </c>
      <c r="T225" s="183" t="e">
        <f ca="1">IF(ISTEXT($T224),0,$T224+Tbl_Load_distrib[[#This Row],[Net force / Elt]])</f>
        <v>#N/A</v>
      </c>
      <c r="U225" s="261" t="e">
        <f ca="1">IF(ISTEXT($U224),0,$U224+Tbl_Load_distrib[[#This Row],[Shearing Force]]*Tbl_Load_distrib[[#This Row],[L_elt]])</f>
        <v>#N/A</v>
      </c>
    </row>
    <row r="226" spans="2:21" x14ac:dyDescent="0.25">
      <c r="B226" s="136" t="e">
        <f t="shared" si="7"/>
        <v>#N/A</v>
      </c>
      <c r="C226" s="139" t="e">
        <f t="shared" si="8"/>
        <v>#N/A</v>
      </c>
      <c r="D226" s="152">
        <f ca="1">SUM(Tbl_Load_distrib[[#This Row],[Hull &amp; Structure]:[Reserved]])</f>
        <v>0</v>
      </c>
      <c r="E226" s="260">
        <f>SUMIFS(Tbl_Hull_Structure[Spread],Tbl_Hull_Structure[L from],"&lt;"&amp;Tbl_Load_distrib[[#This Row],[x]],Tbl_Hull_Structure[L to],"&gt;"&amp;C225)*Tbl_Load_distrib[[#This Row],[L_elt]]</f>
        <v>0</v>
      </c>
      <c r="F226" s="260">
        <f ca="1">SUMIFS(Tbl_Ballasts[Spread],Tbl_Ballasts[L from],"&lt;"&amp;Tbl_Load_distrib[[#This Row],[x]],Tbl_Ballasts[L to],"&gt;"&amp;C225)*Tbl_Load_distrib[[#This Row],[L_elt]]</f>
        <v>0</v>
      </c>
      <c r="G226" s="260">
        <f>SUMIFS(Tbl_Lifting[Spread],Tbl_Lifting[L from],"&lt;"&amp;Tbl_Load_distrib[[#This Row],[x]],Tbl_Lifting[L to],"&gt;"&amp;C225)*Tbl_Load_distrib[[#This Row],[L_elt]]</f>
        <v>0</v>
      </c>
      <c r="H226" s="260">
        <f>SUMIFS(Tbl_Additionals[Spread],Tbl_Additionals[L from],"&lt;"&amp;Tbl_Load_distrib[[#This Row],[x]],Tbl_Additionals[L to],"&gt;"&amp;C225)*Tbl_Load_distrib[[#This Row],[L_elt]]</f>
        <v>0</v>
      </c>
      <c r="I226" s="260">
        <f ca="1">SUMIFS(Tbl_Deck_Tank[Spread],Tbl_Deck_Tank[L from],"&lt;"&amp;Tbl_Load_distrib[[#This Row],[x]],Tbl_Deck_Tank[L to],"&gt;"&amp;C225)*Tbl_Load_distrib[[#This Row],[L_elt]]</f>
        <v>0</v>
      </c>
      <c r="J226" s="137"/>
      <c r="K226" s="165" t="e">
        <f>IFERROR(Tbl_Long_Section[[#This Row],[H Deck-Bottom]],NA())</f>
        <v>#N/A</v>
      </c>
      <c r="L226" s="829" t="e">
        <f>M_depth-Tbl_Load_distrib[[#This Row],[H Deck-Bottom]]</f>
        <v>#N/A</v>
      </c>
      <c r="M226" s="929">
        <f>IFERROR(Tbl_Load_distrib[[#This Row],[x]]-C225,0)</f>
        <v>0</v>
      </c>
      <c r="N226" s="929" t="e">
        <f>IF(ISNA(Tbl_Load_distrib[[#This Row],[x]]),NA(),IF(ISTEXT(N225),0,IF(N225=0,$Z$3,N225-($Z$3-$AA$3)/(Lpp-FE_size)*Tbl_Load_distrib[[#This Row],[L_elt]])))</f>
        <v>#N/A</v>
      </c>
      <c r="O226" s="166" t="e">
        <f ca="1">IF(ISNUMBER(O225),(IF((N225-L225)&lt;0,0,N225-L225)+IF((Tbl_Load_distrib[[#This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26" s="929" t="e">
        <f>IF(ISNA(Tbl_Load_distrib[[#This Row],[x]]),NA(),IF(ISTEXT(P225),0,IF(P225=0,LongSection_DraftAft,P225-(LongSection_DraftAft-LongSection_DraftFore)/(Lpp-FE_size)*Tbl_Load_distrib[[#This Row],[L_elt]])))</f>
        <v>#N/A</v>
      </c>
      <c r="Q226" s="166" t="e">
        <f ca="1">IF(ISNUMBER(Q225),(IF((P225-L225)&lt;0,0,P225-L225)+IF((Tbl_Load_distrib[[#This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26" s="167" t="e">
        <f ca="1">ρ_sw*Tbl_Load_distrib[[#This Row],[Elt Area corrected]]*B/k_depl</f>
        <v>#N/A</v>
      </c>
      <c r="S226" s="167" t="e">
        <f ca="1">Tbl_Load_distrib[[#This Row],[Section Weight]]-Tbl_Load_distrib[[#This Row],[Floating Elt]]</f>
        <v>#N/A</v>
      </c>
      <c r="T226" s="183" t="e">
        <f ca="1">IF(ISTEXT($T225),0,$T225+Tbl_Load_distrib[[#This Row],[Net force / Elt]])</f>
        <v>#N/A</v>
      </c>
      <c r="U226" s="261" t="e">
        <f ca="1">IF(ISTEXT($U225),0,$U225+Tbl_Load_distrib[[#This Row],[Shearing Force]]*Tbl_Load_distrib[[#This Row],[L_elt]])</f>
        <v>#N/A</v>
      </c>
    </row>
    <row r="227" spans="2:21" x14ac:dyDescent="0.25">
      <c r="B227" s="136" t="e">
        <f t="shared" si="7"/>
        <v>#N/A</v>
      </c>
      <c r="C227" s="139" t="e">
        <f t="shared" si="8"/>
        <v>#N/A</v>
      </c>
      <c r="D227" s="152">
        <f ca="1">SUM(Tbl_Load_distrib[[#This Row],[Hull &amp; Structure]:[Reserved]])</f>
        <v>0</v>
      </c>
      <c r="E227" s="260">
        <f>SUMIFS(Tbl_Hull_Structure[Spread],Tbl_Hull_Structure[L from],"&lt;"&amp;Tbl_Load_distrib[[#This Row],[x]],Tbl_Hull_Structure[L to],"&gt;"&amp;C226)*Tbl_Load_distrib[[#This Row],[L_elt]]</f>
        <v>0</v>
      </c>
      <c r="F227" s="260">
        <f ca="1">SUMIFS(Tbl_Ballasts[Spread],Tbl_Ballasts[L from],"&lt;"&amp;Tbl_Load_distrib[[#This Row],[x]],Tbl_Ballasts[L to],"&gt;"&amp;C226)*Tbl_Load_distrib[[#This Row],[L_elt]]</f>
        <v>0</v>
      </c>
      <c r="G227" s="260">
        <f>SUMIFS(Tbl_Lifting[Spread],Tbl_Lifting[L from],"&lt;"&amp;Tbl_Load_distrib[[#This Row],[x]],Tbl_Lifting[L to],"&gt;"&amp;C226)*Tbl_Load_distrib[[#This Row],[L_elt]]</f>
        <v>0</v>
      </c>
      <c r="H227" s="260">
        <f>SUMIFS(Tbl_Additionals[Spread],Tbl_Additionals[L from],"&lt;"&amp;Tbl_Load_distrib[[#This Row],[x]],Tbl_Additionals[L to],"&gt;"&amp;C226)*Tbl_Load_distrib[[#This Row],[L_elt]]</f>
        <v>0</v>
      </c>
      <c r="I227" s="260">
        <f ca="1">SUMIFS(Tbl_Deck_Tank[Spread],Tbl_Deck_Tank[L from],"&lt;"&amp;Tbl_Load_distrib[[#This Row],[x]],Tbl_Deck_Tank[L to],"&gt;"&amp;C226)*Tbl_Load_distrib[[#This Row],[L_elt]]</f>
        <v>0</v>
      </c>
      <c r="J227" s="137"/>
      <c r="K227" s="165" t="e">
        <f>IFERROR(Tbl_Long_Section[[#This Row],[H Deck-Bottom]],NA())</f>
        <v>#N/A</v>
      </c>
      <c r="L227" s="829" t="e">
        <f>M_depth-Tbl_Load_distrib[[#This Row],[H Deck-Bottom]]</f>
        <v>#N/A</v>
      </c>
      <c r="M227" s="929">
        <f>IFERROR(Tbl_Load_distrib[[#This Row],[x]]-C226,0)</f>
        <v>0</v>
      </c>
      <c r="N227" s="929" t="e">
        <f>IF(ISNA(Tbl_Load_distrib[[#This Row],[x]]),NA(),IF(ISTEXT(N226),0,IF(N226=0,$Z$3,N226-($Z$3-$AA$3)/(Lpp-FE_size)*Tbl_Load_distrib[[#This Row],[L_elt]])))</f>
        <v>#N/A</v>
      </c>
      <c r="O227" s="166" t="e">
        <f ca="1">IF(ISNUMBER(O226),(IF((N226-L226)&lt;0,0,N226-L226)+IF((Tbl_Load_distrib[[#This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27" s="929" t="e">
        <f>IF(ISNA(Tbl_Load_distrib[[#This Row],[x]]),NA(),IF(ISTEXT(P226),0,IF(P226=0,LongSection_DraftAft,P226-(LongSection_DraftAft-LongSection_DraftFore)/(Lpp-FE_size)*Tbl_Load_distrib[[#This Row],[L_elt]])))</f>
        <v>#N/A</v>
      </c>
      <c r="Q227" s="166" t="e">
        <f ca="1">IF(ISNUMBER(Q226),(IF((P226-L226)&lt;0,0,P226-L226)+IF((Tbl_Load_distrib[[#This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27" s="167" t="e">
        <f ca="1">ρ_sw*Tbl_Load_distrib[[#This Row],[Elt Area corrected]]*B/k_depl</f>
        <v>#N/A</v>
      </c>
      <c r="S227" s="167" t="e">
        <f ca="1">Tbl_Load_distrib[[#This Row],[Section Weight]]-Tbl_Load_distrib[[#This Row],[Floating Elt]]</f>
        <v>#N/A</v>
      </c>
      <c r="T227" s="183" t="e">
        <f ca="1">IF(ISTEXT($T226),0,$T226+Tbl_Load_distrib[[#This Row],[Net force / Elt]])</f>
        <v>#N/A</v>
      </c>
      <c r="U227" s="261" t="e">
        <f ca="1">IF(ISTEXT($U226),0,$U226+Tbl_Load_distrib[[#This Row],[Shearing Force]]*Tbl_Load_distrib[[#This Row],[L_elt]])</f>
        <v>#N/A</v>
      </c>
    </row>
    <row r="228" spans="2:21" x14ac:dyDescent="0.25">
      <c r="B228" s="136" t="e">
        <f t="shared" si="7"/>
        <v>#N/A</v>
      </c>
      <c r="C228" s="139" t="e">
        <f t="shared" si="8"/>
        <v>#N/A</v>
      </c>
      <c r="D228" s="152">
        <f ca="1">SUM(Tbl_Load_distrib[[#This Row],[Hull &amp; Structure]:[Reserved]])</f>
        <v>0</v>
      </c>
      <c r="E228" s="260">
        <f>SUMIFS(Tbl_Hull_Structure[Spread],Tbl_Hull_Structure[L from],"&lt;"&amp;Tbl_Load_distrib[[#This Row],[x]],Tbl_Hull_Structure[L to],"&gt;"&amp;C227)*Tbl_Load_distrib[[#This Row],[L_elt]]</f>
        <v>0</v>
      </c>
      <c r="F228" s="260">
        <f ca="1">SUMIFS(Tbl_Ballasts[Spread],Tbl_Ballasts[L from],"&lt;"&amp;Tbl_Load_distrib[[#This Row],[x]],Tbl_Ballasts[L to],"&gt;"&amp;C227)*Tbl_Load_distrib[[#This Row],[L_elt]]</f>
        <v>0</v>
      </c>
      <c r="G228" s="260">
        <f>SUMIFS(Tbl_Lifting[Spread],Tbl_Lifting[L from],"&lt;"&amp;Tbl_Load_distrib[[#This Row],[x]],Tbl_Lifting[L to],"&gt;"&amp;C227)*Tbl_Load_distrib[[#This Row],[L_elt]]</f>
        <v>0</v>
      </c>
      <c r="H228" s="260">
        <f>SUMIFS(Tbl_Additionals[Spread],Tbl_Additionals[L from],"&lt;"&amp;Tbl_Load_distrib[[#This Row],[x]],Tbl_Additionals[L to],"&gt;"&amp;C227)*Tbl_Load_distrib[[#This Row],[L_elt]]</f>
        <v>0</v>
      </c>
      <c r="I228" s="260">
        <f ca="1">SUMIFS(Tbl_Deck_Tank[Spread],Tbl_Deck_Tank[L from],"&lt;"&amp;Tbl_Load_distrib[[#This Row],[x]],Tbl_Deck_Tank[L to],"&gt;"&amp;C227)*Tbl_Load_distrib[[#This Row],[L_elt]]</f>
        <v>0</v>
      </c>
      <c r="J228" s="137"/>
      <c r="K228" s="165" t="e">
        <f>IFERROR(Tbl_Long_Section[[#This Row],[H Deck-Bottom]],NA())</f>
        <v>#N/A</v>
      </c>
      <c r="L228" s="829" t="e">
        <f>M_depth-Tbl_Load_distrib[[#This Row],[H Deck-Bottom]]</f>
        <v>#N/A</v>
      </c>
      <c r="M228" s="929">
        <f>IFERROR(Tbl_Load_distrib[[#This Row],[x]]-C227,0)</f>
        <v>0</v>
      </c>
      <c r="N228" s="929" t="e">
        <f>IF(ISNA(Tbl_Load_distrib[[#This Row],[x]]),NA(),IF(ISTEXT(N227),0,IF(N227=0,$Z$3,N227-($Z$3-$AA$3)/(Lpp-FE_size)*Tbl_Load_distrib[[#This Row],[L_elt]])))</f>
        <v>#N/A</v>
      </c>
      <c r="O228" s="166" t="e">
        <f ca="1">IF(ISNUMBER(O227),(IF((N227-L227)&lt;0,0,N227-L227)+IF((Tbl_Load_distrib[[#This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28" s="929" t="e">
        <f>IF(ISNA(Tbl_Load_distrib[[#This Row],[x]]),NA(),IF(ISTEXT(P227),0,IF(P227=0,LongSection_DraftAft,P227-(LongSection_DraftAft-LongSection_DraftFore)/(Lpp-FE_size)*Tbl_Load_distrib[[#This Row],[L_elt]])))</f>
        <v>#N/A</v>
      </c>
      <c r="Q228" s="166" t="e">
        <f ca="1">IF(ISNUMBER(Q227),(IF((P227-L227)&lt;0,0,P227-L227)+IF((Tbl_Load_distrib[[#This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28" s="167" t="e">
        <f ca="1">ρ_sw*Tbl_Load_distrib[[#This Row],[Elt Area corrected]]*B/k_depl</f>
        <v>#N/A</v>
      </c>
      <c r="S228" s="167" t="e">
        <f ca="1">Tbl_Load_distrib[[#This Row],[Section Weight]]-Tbl_Load_distrib[[#This Row],[Floating Elt]]</f>
        <v>#N/A</v>
      </c>
      <c r="T228" s="183" t="e">
        <f ca="1">IF(ISTEXT($T227),0,$T227+Tbl_Load_distrib[[#This Row],[Net force / Elt]])</f>
        <v>#N/A</v>
      </c>
      <c r="U228" s="261" t="e">
        <f ca="1">IF(ISTEXT($U227),0,$U227+Tbl_Load_distrib[[#This Row],[Shearing Force]]*Tbl_Load_distrib[[#This Row],[L_elt]])</f>
        <v>#N/A</v>
      </c>
    </row>
    <row r="229" spans="2:21" x14ac:dyDescent="0.25">
      <c r="B229" s="136" t="e">
        <f t="shared" si="7"/>
        <v>#N/A</v>
      </c>
      <c r="C229" s="139" t="e">
        <f t="shared" si="8"/>
        <v>#N/A</v>
      </c>
      <c r="D229" s="152">
        <f ca="1">SUM(Tbl_Load_distrib[[#This Row],[Hull &amp; Structure]:[Reserved]])</f>
        <v>0</v>
      </c>
      <c r="E229" s="260">
        <f>SUMIFS(Tbl_Hull_Structure[Spread],Tbl_Hull_Structure[L from],"&lt;"&amp;Tbl_Load_distrib[[#This Row],[x]],Tbl_Hull_Structure[L to],"&gt;"&amp;C228)*Tbl_Load_distrib[[#This Row],[L_elt]]</f>
        <v>0</v>
      </c>
      <c r="F229" s="260">
        <f ca="1">SUMIFS(Tbl_Ballasts[Spread],Tbl_Ballasts[L from],"&lt;"&amp;Tbl_Load_distrib[[#This Row],[x]],Tbl_Ballasts[L to],"&gt;"&amp;C228)*Tbl_Load_distrib[[#This Row],[L_elt]]</f>
        <v>0</v>
      </c>
      <c r="G229" s="260">
        <f>SUMIFS(Tbl_Lifting[Spread],Tbl_Lifting[L from],"&lt;"&amp;Tbl_Load_distrib[[#This Row],[x]],Tbl_Lifting[L to],"&gt;"&amp;C228)*Tbl_Load_distrib[[#This Row],[L_elt]]</f>
        <v>0</v>
      </c>
      <c r="H229" s="260">
        <f>SUMIFS(Tbl_Additionals[Spread],Tbl_Additionals[L from],"&lt;"&amp;Tbl_Load_distrib[[#This Row],[x]],Tbl_Additionals[L to],"&gt;"&amp;C228)*Tbl_Load_distrib[[#This Row],[L_elt]]</f>
        <v>0</v>
      </c>
      <c r="I229" s="260">
        <f ca="1">SUMIFS(Tbl_Deck_Tank[Spread],Tbl_Deck_Tank[L from],"&lt;"&amp;Tbl_Load_distrib[[#This Row],[x]],Tbl_Deck_Tank[L to],"&gt;"&amp;C228)*Tbl_Load_distrib[[#This Row],[L_elt]]</f>
        <v>0</v>
      </c>
      <c r="J229" s="137"/>
      <c r="K229" s="165" t="e">
        <f>IFERROR(Tbl_Long_Section[[#This Row],[H Deck-Bottom]],NA())</f>
        <v>#N/A</v>
      </c>
      <c r="L229" s="829" t="e">
        <f>M_depth-Tbl_Load_distrib[[#This Row],[H Deck-Bottom]]</f>
        <v>#N/A</v>
      </c>
      <c r="M229" s="929">
        <f>IFERROR(Tbl_Load_distrib[[#This Row],[x]]-C228,0)</f>
        <v>0</v>
      </c>
      <c r="N229" s="929" t="e">
        <f>IF(ISNA(Tbl_Load_distrib[[#This Row],[x]]),NA(),IF(ISTEXT(N228),0,IF(N228=0,$Z$3,N228-($Z$3-$AA$3)/(Lpp-FE_size)*Tbl_Load_distrib[[#This Row],[L_elt]])))</f>
        <v>#N/A</v>
      </c>
      <c r="O229" s="166" t="e">
        <f ca="1">IF(ISNUMBER(O228),(IF((N228-L228)&lt;0,0,N228-L228)+IF((Tbl_Load_distrib[[#This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29" s="929" t="e">
        <f>IF(ISNA(Tbl_Load_distrib[[#This Row],[x]]),NA(),IF(ISTEXT(P228),0,IF(P228=0,LongSection_DraftAft,P228-(LongSection_DraftAft-LongSection_DraftFore)/(Lpp-FE_size)*Tbl_Load_distrib[[#This Row],[L_elt]])))</f>
        <v>#N/A</v>
      </c>
      <c r="Q229" s="166" t="e">
        <f ca="1">IF(ISNUMBER(Q228),(IF((P228-L228)&lt;0,0,P228-L228)+IF((Tbl_Load_distrib[[#This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29" s="167" t="e">
        <f ca="1">ρ_sw*Tbl_Load_distrib[[#This Row],[Elt Area corrected]]*B/k_depl</f>
        <v>#N/A</v>
      </c>
      <c r="S229" s="167" t="e">
        <f ca="1">Tbl_Load_distrib[[#This Row],[Section Weight]]-Tbl_Load_distrib[[#This Row],[Floating Elt]]</f>
        <v>#N/A</v>
      </c>
      <c r="T229" s="183" t="e">
        <f ca="1">IF(ISTEXT($T228),0,$T228+Tbl_Load_distrib[[#This Row],[Net force / Elt]])</f>
        <v>#N/A</v>
      </c>
      <c r="U229" s="261" t="e">
        <f ca="1">IF(ISTEXT($U228),0,$U228+Tbl_Load_distrib[[#This Row],[Shearing Force]]*Tbl_Load_distrib[[#This Row],[L_elt]])</f>
        <v>#N/A</v>
      </c>
    </row>
    <row r="230" spans="2:21" x14ac:dyDescent="0.25">
      <c r="B230" s="136" t="e">
        <f t="shared" si="7"/>
        <v>#N/A</v>
      </c>
      <c r="C230" s="139" t="e">
        <f t="shared" si="8"/>
        <v>#N/A</v>
      </c>
      <c r="D230" s="152">
        <f ca="1">SUM(Tbl_Load_distrib[[#This Row],[Hull &amp; Structure]:[Reserved]])</f>
        <v>0</v>
      </c>
      <c r="E230" s="260">
        <f>SUMIFS(Tbl_Hull_Structure[Spread],Tbl_Hull_Structure[L from],"&lt;"&amp;Tbl_Load_distrib[[#This Row],[x]],Tbl_Hull_Structure[L to],"&gt;"&amp;C229)*Tbl_Load_distrib[[#This Row],[L_elt]]</f>
        <v>0</v>
      </c>
      <c r="F230" s="260">
        <f ca="1">SUMIFS(Tbl_Ballasts[Spread],Tbl_Ballasts[L from],"&lt;"&amp;Tbl_Load_distrib[[#This Row],[x]],Tbl_Ballasts[L to],"&gt;"&amp;C229)*Tbl_Load_distrib[[#This Row],[L_elt]]</f>
        <v>0</v>
      </c>
      <c r="G230" s="260">
        <f>SUMIFS(Tbl_Lifting[Spread],Tbl_Lifting[L from],"&lt;"&amp;Tbl_Load_distrib[[#This Row],[x]],Tbl_Lifting[L to],"&gt;"&amp;C229)*Tbl_Load_distrib[[#This Row],[L_elt]]</f>
        <v>0</v>
      </c>
      <c r="H230" s="260">
        <f>SUMIFS(Tbl_Additionals[Spread],Tbl_Additionals[L from],"&lt;"&amp;Tbl_Load_distrib[[#This Row],[x]],Tbl_Additionals[L to],"&gt;"&amp;C229)*Tbl_Load_distrib[[#This Row],[L_elt]]</f>
        <v>0</v>
      </c>
      <c r="I230" s="260">
        <f ca="1">SUMIFS(Tbl_Deck_Tank[Spread],Tbl_Deck_Tank[L from],"&lt;"&amp;Tbl_Load_distrib[[#This Row],[x]],Tbl_Deck_Tank[L to],"&gt;"&amp;C229)*Tbl_Load_distrib[[#This Row],[L_elt]]</f>
        <v>0</v>
      </c>
      <c r="J230" s="137"/>
      <c r="K230" s="165" t="e">
        <f>IFERROR(Tbl_Long_Section[[#This Row],[H Deck-Bottom]],NA())</f>
        <v>#N/A</v>
      </c>
      <c r="L230" s="829" t="e">
        <f>M_depth-Tbl_Load_distrib[[#This Row],[H Deck-Bottom]]</f>
        <v>#N/A</v>
      </c>
      <c r="M230" s="929">
        <f>IFERROR(Tbl_Load_distrib[[#This Row],[x]]-C229,0)</f>
        <v>0</v>
      </c>
      <c r="N230" s="929" t="e">
        <f>IF(ISNA(Tbl_Load_distrib[[#This Row],[x]]),NA(),IF(ISTEXT(N229),0,IF(N229=0,$Z$3,N229-($Z$3-$AA$3)/(Lpp-FE_size)*Tbl_Load_distrib[[#This Row],[L_elt]])))</f>
        <v>#N/A</v>
      </c>
      <c r="O230" s="166" t="e">
        <f ca="1">IF(ISNUMBER(O229),(IF((N229-L229)&lt;0,0,N229-L229)+IF((Tbl_Load_distrib[[#This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30" s="929" t="e">
        <f>IF(ISNA(Tbl_Load_distrib[[#This Row],[x]]),NA(),IF(ISTEXT(P229),0,IF(P229=0,LongSection_DraftAft,P229-(LongSection_DraftAft-LongSection_DraftFore)/(Lpp-FE_size)*Tbl_Load_distrib[[#This Row],[L_elt]])))</f>
        <v>#N/A</v>
      </c>
      <c r="Q230" s="166" t="e">
        <f ca="1">IF(ISNUMBER(Q229),(IF((P229-L229)&lt;0,0,P229-L229)+IF((Tbl_Load_distrib[[#This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30" s="167" t="e">
        <f ca="1">ρ_sw*Tbl_Load_distrib[[#This Row],[Elt Area corrected]]*B/k_depl</f>
        <v>#N/A</v>
      </c>
      <c r="S230" s="167" t="e">
        <f ca="1">Tbl_Load_distrib[[#This Row],[Section Weight]]-Tbl_Load_distrib[[#This Row],[Floating Elt]]</f>
        <v>#N/A</v>
      </c>
      <c r="T230" s="183" t="e">
        <f ca="1">IF(ISTEXT($T229),0,$T229+Tbl_Load_distrib[[#This Row],[Net force / Elt]])</f>
        <v>#N/A</v>
      </c>
      <c r="U230" s="261" t="e">
        <f ca="1">IF(ISTEXT($U229),0,$U229+Tbl_Load_distrib[[#This Row],[Shearing Force]]*Tbl_Load_distrib[[#This Row],[L_elt]])</f>
        <v>#N/A</v>
      </c>
    </row>
    <row r="231" spans="2:21" x14ac:dyDescent="0.25">
      <c r="B231" s="136" t="e">
        <f t="shared" si="7"/>
        <v>#N/A</v>
      </c>
      <c r="C231" s="139" t="e">
        <f t="shared" si="8"/>
        <v>#N/A</v>
      </c>
      <c r="D231" s="152">
        <f ca="1">SUM(Tbl_Load_distrib[[#This Row],[Hull &amp; Structure]:[Reserved]])</f>
        <v>0</v>
      </c>
      <c r="E231" s="260">
        <f>SUMIFS(Tbl_Hull_Structure[Spread],Tbl_Hull_Structure[L from],"&lt;"&amp;Tbl_Load_distrib[[#This Row],[x]],Tbl_Hull_Structure[L to],"&gt;"&amp;C230)*Tbl_Load_distrib[[#This Row],[L_elt]]</f>
        <v>0</v>
      </c>
      <c r="F231" s="260">
        <f ca="1">SUMIFS(Tbl_Ballasts[Spread],Tbl_Ballasts[L from],"&lt;"&amp;Tbl_Load_distrib[[#This Row],[x]],Tbl_Ballasts[L to],"&gt;"&amp;C230)*Tbl_Load_distrib[[#This Row],[L_elt]]</f>
        <v>0</v>
      </c>
      <c r="G231" s="260">
        <f>SUMIFS(Tbl_Lifting[Spread],Tbl_Lifting[L from],"&lt;"&amp;Tbl_Load_distrib[[#This Row],[x]],Tbl_Lifting[L to],"&gt;"&amp;C230)*Tbl_Load_distrib[[#This Row],[L_elt]]</f>
        <v>0</v>
      </c>
      <c r="H231" s="260">
        <f>SUMIFS(Tbl_Additionals[Spread],Tbl_Additionals[L from],"&lt;"&amp;Tbl_Load_distrib[[#This Row],[x]],Tbl_Additionals[L to],"&gt;"&amp;C230)*Tbl_Load_distrib[[#This Row],[L_elt]]</f>
        <v>0</v>
      </c>
      <c r="I231" s="260">
        <f ca="1">SUMIFS(Tbl_Deck_Tank[Spread],Tbl_Deck_Tank[L from],"&lt;"&amp;Tbl_Load_distrib[[#This Row],[x]],Tbl_Deck_Tank[L to],"&gt;"&amp;C230)*Tbl_Load_distrib[[#This Row],[L_elt]]</f>
        <v>0</v>
      </c>
      <c r="J231" s="137"/>
      <c r="K231" s="165" t="e">
        <f>IFERROR(Tbl_Long_Section[[#This Row],[H Deck-Bottom]],NA())</f>
        <v>#N/A</v>
      </c>
      <c r="L231" s="829" t="e">
        <f>M_depth-Tbl_Load_distrib[[#This Row],[H Deck-Bottom]]</f>
        <v>#N/A</v>
      </c>
      <c r="M231" s="929">
        <f>IFERROR(Tbl_Load_distrib[[#This Row],[x]]-C230,0)</f>
        <v>0</v>
      </c>
      <c r="N231" s="929" t="e">
        <f>IF(ISNA(Tbl_Load_distrib[[#This Row],[x]]),NA(),IF(ISTEXT(N230),0,IF(N230=0,$Z$3,N230-($Z$3-$AA$3)/(Lpp-FE_size)*Tbl_Load_distrib[[#This Row],[L_elt]])))</f>
        <v>#N/A</v>
      </c>
      <c r="O231" s="166" t="e">
        <f ca="1">IF(ISNUMBER(O230),(IF((N230-L230)&lt;0,0,N230-L230)+IF((Tbl_Load_distrib[[#This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31" s="929" t="e">
        <f>IF(ISNA(Tbl_Load_distrib[[#This Row],[x]]),NA(),IF(ISTEXT(P230),0,IF(P230=0,LongSection_DraftAft,P230-(LongSection_DraftAft-LongSection_DraftFore)/(Lpp-FE_size)*Tbl_Load_distrib[[#This Row],[L_elt]])))</f>
        <v>#N/A</v>
      </c>
      <c r="Q231" s="166" t="e">
        <f ca="1">IF(ISNUMBER(Q230),(IF((P230-L230)&lt;0,0,P230-L230)+IF((Tbl_Load_distrib[[#This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31" s="167" t="e">
        <f ca="1">ρ_sw*Tbl_Load_distrib[[#This Row],[Elt Area corrected]]*B/k_depl</f>
        <v>#N/A</v>
      </c>
      <c r="S231" s="167" t="e">
        <f ca="1">Tbl_Load_distrib[[#This Row],[Section Weight]]-Tbl_Load_distrib[[#This Row],[Floating Elt]]</f>
        <v>#N/A</v>
      </c>
      <c r="T231" s="183" t="e">
        <f ca="1">IF(ISTEXT($T230),0,$T230+Tbl_Load_distrib[[#This Row],[Net force / Elt]])</f>
        <v>#N/A</v>
      </c>
      <c r="U231" s="261" t="e">
        <f ca="1">IF(ISTEXT($U230),0,$U230+Tbl_Load_distrib[[#This Row],[Shearing Force]]*Tbl_Load_distrib[[#This Row],[L_elt]])</f>
        <v>#N/A</v>
      </c>
    </row>
    <row r="232" spans="2:21" x14ac:dyDescent="0.25">
      <c r="B232" s="136" t="e">
        <f t="shared" si="7"/>
        <v>#N/A</v>
      </c>
      <c r="C232" s="139" t="e">
        <f t="shared" si="8"/>
        <v>#N/A</v>
      </c>
      <c r="D232" s="152">
        <f ca="1">SUM(Tbl_Load_distrib[[#This Row],[Hull &amp; Structure]:[Reserved]])</f>
        <v>0</v>
      </c>
      <c r="E232" s="260">
        <f>SUMIFS(Tbl_Hull_Structure[Spread],Tbl_Hull_Structure[L from],"&lt;"&amp;Tbl_Load_distrib[[#This Row],[x]],Tbl_Hull_Structure[L to],"&gt;"&amp;C231)*Tbl_Load_distrib[[#This Row],[L_elt]]</f>
        <v>0</v>
      </c>
      <c r="F232" s="260">
        <f ca="1">SUMIFS(Tbl_Ballasts[Spread],Tbl_Ballasts[L from],"&lt;"&amp;Tbl_Load_distrib[[#This Row],[x]],Tbl_Ballasts[L to],"&gt;"&amp;C231)*Tbl_Load_distrib[[#This Row],[L_elt]]</f>
        <v>0</v>
      </c>
      <c r="G232" s="260">
        <f>SUMIFS(Tbl_Lifting[Spread],Tbl_Lifting[L from],"&lt;"&amp;Tbl_Load_distrib[[#This Row],[x]],Tbl_Lifting[L to],"&gt;"&amp;C231)*Tbl_Load_distrib[[#This Row],[L_elt]]</f>
        <v>0</v>
      </c>
      <c r="H232" s="260">
        <f>SUMIFS(Tbl_Additionals[Spread],Tbl_Additionals[L from],"&lt;"&amp;Tbl_Load_distrib[[#This Row],[x]],Tbl_Additionals[L to],"&gt;"&amp;C231)*Tbl_Load_distrib[[#This Row],[L_elt]]</f>
        <v>0</v>
      </c>
      <c r="I232" s="260">
        <f ca="1">SUMIFS(Tbl_Deck_Tank[Spread],Tbl_Deck_Tank[L from],"&lt;"&amp;Tbl_Load_distrib[[#This Row],[x]],Tbl_Deck_Tank[L to],"&gt;"&amp;C231)*Tbl_Load_distrib[[#This Row],[L_elt]]</f>
        <v>0</v>
      </c>
      <c r="J232" s="137"/>
      <c r="K232" s="165" t="e">
        <f>IFERROR(Tbl_Long_Section[[#This Row],[H Deck-Bottom]],NA())</f>
        <v>#N/A</v>
      </c>
      <c r="L232" s="829" t="e">
        <f>M_depth-Tbl_Load_distrib[[#This Row],[H Deck-Bottom]]</f>
        <v>#N/A</v>
      </c>
      <c r="M232" s="929">
        <f>IFERROR(Tbl_Load_distrib[[#This Row],[x]]-C231,0)</f>
        <v>0</v>
      </c>
      <c r="N232" s="929" t="e">
        <f>IF(ISNA(Tbl_Load_distrib[[#This Row],[x]]),NA(),IF(ISTEXT(N231),0,IF(N231=0,$Z$3,N231-($Z$3-$AA$3)/(Lpp-FE_size)*Tbl_Load_distrib[[#This Row],[L_elt]])))</f>
        <v>#N/A</v>
      </c>
      <c r="O232" s="166" t="e">
        <f ca="1">IF(ISNUMBER(O231),(IF((N231-L231)&lt;0,0,N231-L231)+IF((Tbl_Load_distrib[[#This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32" s="929" t="e">
        <f>IF(ISNA(Tbl_Load_distrib[[#This Row],[x]]),NA(),IF(ISTEXT(P231),0,IF(P231=0,LongSection_DraftAft,P231-(LongSection_DraftAft-LongSection_DraftFore)/(Lpp-FE_size)*Tbl_Load_distrib[[#This Row],[L_elt]])))</f>
        <v>#N/A</v>
      </c>
      <c r="Q232" s="166" t="e">
        <f ca="1">IF(ISNUMBER(Q231),(IF((P231-L231)&lt;0,0,P231-L231)+IF((Tbl_Load_distrib[[#This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32" s="167" t="e">
        <f ca="1">ρ_sw*Tbl_Load_distrib[[#This Row],[Elt Area corrected]]*B/k_depl</f>
        <v>#N/A</v>
      </c>
      <c r="S232" s="167" t="e">
        <f ca="1">Tbl_Load_distrib[[#This Row],[Section Weight]]-Tbl_Load_distrib[[#This Row],[Floating Elt]]</f>
        <v>#N/A</v>
      </c>
      <c r="T232" s="183" t="e">
        <f ca="1">IF(ISTEXT($T231),0,$T231+Tbl_Load_distrib[[#This Row],[Net force / Elt]])</f>
        <v>#N/A</v>
      </c>
      <c r="U232" s="261" t="e">
        <f ca="1">IF(ISTEXT($U231),0,$U231+Tbl_Load_distrib[[#This Row],[Shearing Force]]*Tbl_Load_distrib[[#This Row],[L_elt]])</f>
        <v>#N/A</v>
      </c>
    </row>
    <row r="233" spans="2:21" x14ac:dyDescent="0.25">
      <c r="B233" s="136" t="e">
        <f t="shared" si="7"/>
        <v>#N/A</v>
      </c>
      <c r="C233" s="139" t="e">
        <f t="shared" si="8"/>
        <v>#N/A</v>
      </c>
      <c r="D233" s="152">
        <f ca="1">SUM(Tbl_Load_distrib[[#This Row],[Hull &amp; Structure]:[Reserved]])</f>
        <v>0</v>
      </c>
      <c r="E233" s="260">
        <f>SUMIFS(Tbl_Hull_Structure[Spread],Tbl_Hull_Structure[L from],"&lt;"&amp;Tbl_Load_distrib[[#This Row],[x]],Tbl_Hull_Structure[L to],"&gt;"&amp;C232)*Tbl_Load_distrib[[#This Row],[L_elt]]</f>
        <v>0</v>
      </c>
      <c r="F233" s="260">
        <f ca="1">SUMIFS(Tbl_Ballasts[Spread],Tbl_Ballasts[L from],"&lt;"&amp;Tbl_Load_distrib[[#This Row],[x]],Tbl_Ballasts[L to],"&gt;"&amp;C232)*Tbl_Load_distrib[[#This Row],[L_elt]]</f>
        <v>0</v>
      </c>
      <c r="G233" s="260">
        <f>SUMIFS(Tbl_Lifting[Spread],Tbl_Lifting[L from],"&lt;"&amp;Tbl_Load_distrib[[#This Row],[x]],Tbl_Lifting[L to],"&gt;"&amp;C232)*Tbl_Load_distrib[[#This Row],[L_elt]]</f>
        <v>0</v>
      </c>
      <c r="H233" s="260">
        <f>SUMIFS(Tbl_Additionals[Spread],Tbl_Additionals[L from],"&lt;"&amp;Tbl_Load_distrib[[#This Row],[x]],Tbl_Additionals[L to],"&gt;"&amp;C232)*Tbl_Load_distrib[[#This Row],[L_elt]]</f>
        <v>0</v>
      </c>
      <c r="I233" s="260">
        <f ca="1">SUMIFS(Tbl_Deck_Tank[Spread],Tbl_Deck_Tank[L from],"&lt;"&amp;Tbl_Load_distrib[[#This Row],[x]],Tbl_Deck_Tank[L to],"&gt;"&amp;C232)*Tbl_Load_distrib[[#This Row],[L_elt]]</f>
        <v>0</v>
      </c>
      <c r="J233" s="137"/>
      <c r="K233" s="165" t="e">
        <f>IFERROR(Tbl_Long_Section[[#This Row],[H Deck-Bottom]],NA())</f>
        <v>#N/A</v>
      </c>
      <c r="L233" s="829" t="e">
        <f>M_depth-Tbl_Load_distrib[[#This Row],[H Deck-Bottom]]</f>
        <v>#N/A</v>
      </c>
      <c r="M233" s="929">
        <f>IFERROR(Tbl_Load_distrib[[#This Row],[x]]-C232,0)</f>
        <v>0</v>
      </c>
      <c r="N233" s="929" t="e">
        <f>IF(ISNA(Tbl_Load_distrib[[#This Row],[x]]),NA(),IF(ISTEXT(N232),0,IF(N232=0,$Z$3,N232-($Z$3-$AA$3)/(Lpp-FE_size)*Tbl_Load_distrib[[#This Row],[L_elt]])))</f>
        <v>#N/A</v>
      </c>
      <c r="O233" s="166" t="e">
        <f ca="1">IF(ISNUMBER(O232),(IF((N232-L232)&lt;0,0,N232-L232)+IF((Tbl_Load_distrib[[#This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33" s="929" t="e">
        <f>IF(ISNA(Tbl_Load_distrib[[#This Row],[x]]),NA(),IF(ISTEXT(P232),0,IF(P232=0,LongSection_DraftAft,P232-(LongSection_DraftAft-LongSection_DraftFore)/(Lpp-FE_size)*Tbl_Load_distrib[[#This Row],[L_elt]])))</f>
        <v>#N/A</v>
      </c>
      <c r="Q233" s="166" t="e">
        <f ca="1">IF(ISNUMBER(Q232),(IF((P232-L232)&lt;0,0,P232-L232)+IF((Tbl_Load_distrib[[#This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33" s="167" t="e">
        <f ca="1">ρ_sw*Tbl_Load_distrib[[#This Row],[Elt Area corrected]]*B/k_depl</f>
        <v>#N/A</v>
      </c>
      <c r="S233" s="167" t="e">
        <f ca="1">Tbl_Load_distrib[[#This Row],[Section Weight]]-Tbl_Load_distrib[[#This Row],[Floating Elt]]</f>
        <v>#N/A</v>
      </c>
      <c r="T233" s="183" t="e">
        <f ca="1">IF(ISTEXT($T232),0,$T232+Tbl_Load_distrib[[#This Row],[Net force / Elt]])</f>
        <v>#N/A</v>
      </c>
      <c r="U233" s="261" t="e">
        <f ca="1">IF(ISTEXT($U232),0,$U232+Tbl_Load_distrib[[#This Row],[Shearing Force]]*Tbl_Load_distrib[[#This Row],[L_elt]])</f>
        <v>#N/A</v>
      </c>
    </row>
    <row r="234" spans="2:21" x14ac:dyDescent="0.25">
      <c r="B234" s="136" t="e">
        <f t="shared" si="7"/>
        <v>#N/A</v>
      </c>
      <c r="C234" s="139" t="e">
        <f t="shared" si="8"/>
        <v>#N/A</v>
      </c>
      <c r="D234" s="152">
        <f ca="1">SUM(Tbl_Load_distrib[[#This Row],[Hull &amp; Structure]:[Reserved]])</f>
        <v>0</v>
      </c>
      <c r="E234" s="260">
        <f>SUMIFS(Tbl_Hull_Structure[Spread],Tbl_Hull_Structure[L from],"&lt;"&amp;Tbl_Load_distrib[[#This Row],[x]],Tbl_Hull_Structure[L to],"&gt;"&amp;C233)*Tbl_Load_distrib[[#This Row],[L_elt]]</f>
        <v>0</v>
      </c>
      <c r="F234" s="260">
        <f ca="1">SUMIFS(Tbl_Ballasts[Spread],Tbl_Ballasts[L from],"&lt;"&amp;Tbl_Load_distrib[[#This Row],[x]],Tbl_Ballasts[L to],"&gt;"&amp;C233)*Tbl_Load_distrib[[#This Row],[L_elt]]</f>
        <v>0</v>
      </c>
      <c r="G234" s="260">
        <f>SUMIFS(Tbl_Lifting[Spread],Tbl_Lifting[L from],"&lt;"&amp;Tbl_Load_distrib[[#This Row],[x]],Tbl_Lifting[L to],"&gt;"&amp;C233)*Tbl_Load_distrib[[#This Row],[L_elt]]</f>
        <v>0</v>
      </c>
      <c r="H234" s="260">
        <f>SUMIFS(Tbl_Additionals[Spread],Tbl_Additionals[L from],"&lt;"&amp;Tbl_Load_distrib[[#This Row],[x]],Tbl_Additionals[L to],"&gt;"&amp;C233)*Tbl_Load_distrib[[#This Row],[L_elt]]</f>
        <v>0</v>
      </c>
      <c r="I234" s="260">
        <f ca="1">SUMIFS(Tbl_Deck_Tank[Spread],Tbl_Deck_Tank[L from],"&lt;"&amp;Tbl_Load_distrib[[#This Row],[x]],Tbl_Deck_Tank[L to],"&gt;"&amp;C233)*Tbl_Load_distrib[[#This Row],[L_elt]]</f>
        <v>0</v>
      </c>
      <c r="J234" s="137"/>
      <c r="K234" s="165" t="e">
        <f>IFERROR(Tbl_Long_Section[[#This Row],[H Deck-Bottom]],NA())</f>
        <v>#N/A</v>
      </c>
      <c r="L234" s="829" t="e">
        <f>M_depth-Tbl_Load_distrib[[#This Row],[H Deck-Bottom]]</f>
        <v>#N/A</v>
      </c>
      <c r="M234" s="929">
        <f>IFERROR(Tbl_Load_distrib[[#This Row],[x]]-C233,0)</f>
        <v>0</v>
      </c>
      <c r="N234" s="929" t="e">
        <f>IF(ISNA(Tbl_Load_distrib[[#This Row],[x]]),NA(),IF(ISTEXT(N233),0,IF(N233=0,$Z$3,N233-($Z$3-$AA$3)/(Lpp-FE_size)*Tbl_Load_distrib[[#This Row],[L_elt]])))</f>
        <v>#N/A</v>
      </c>
      <c r="O234" s="166" t="e">
        <f ca="1">IF(ISNUMBER(O233),(IF((N233-L233)&lt;0,0,N233-L233)+IF((Tbl_Load_distrib[[#This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34" s="929" t="e">
        <f>IF(ISNA(Tbl_Load_distrib[[#This Row],[x]]),NA(),IF(ISTEXT(P233),0,IF(P233=0,LongSection_DraftAft,P233-(LongSection_DraftAft-LongSection_DraftFore)/(Lpp-FE_size)*Tbl_Load_distrib[[#This Row],[L_elt]])))</f>
        <v>#N/A</v>
      </c>
      <c r="Q234" s="166" t="e">
        <f ca="1">IF(ISNUMBER(Q233),(IF((P233-L233)&lt;0,0,P233-L233)+IF((Tbl_Load_distrib[[#This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34" s="167" t="e">
        <f ca="1">ρ_sw*Tbl_Load_distrib[[#This Row],[Elt Area corrected]]*B/k_depl</f>
        <v>#N/A</v>
      </c>
      <c r="S234" s="167" t="e">
        <f ca="1">Tbl_Load_distrib[[#This Row],[Section Weight]]-Tbl_Load_distrib[[#This Row],[Floating Elt]]</f>
        <v>#N/A</v>
      </c>
      <c r="T234" s="183" t="e">
        <f ca="1">IF(ISTEXT($T233),0,$T233+Tbl_Load_distrib[[#This Row],[Net force / Elt]])</f>
        <v>#N/A</v>
      </c>
      <c r="U234" s="261" t="e">
        <f ca="1">IF(ISTEXT($U233),0,$U233+Tbl_Load_distrib[[#This Row],[Shearing Force]]*Tbl_Load_distrib[[#This Row],[L_elt]])</f>
        <v>#N/A</v>
      </c>
    </row>
    <row r="235" spans="2:21" x14ac:dyDescent="0.25">
      <c r="B235" s="136" t="e">
        <f t="shared" si="7"/>
        <v>#N/A</v>
      </c>
      <c r="C235" s="139" t="e">
        <f t="shared" si="8"/>
        <v>#N/A</v>
      </c>
      <c r="D235" s="152">
        <f ca="1">SUM(Tbl_Load_distrib[[#This Row],[Hull &amp; Structure]:[Reserved]])</f>
        <v>0</v>
      </c>
      <c r="E235" s="260">
        <f>SUMIFS(Tbl_Hull_Structure[Spread],Tbl_Hull_Structure[L from],"&lt;"&amp;Tbl_Load_distrib[[#This Row],[x]],Tbl_Hull_Structure[L to],"&gt;"&amp;C234)*Tbl_Load_distrib[[#This Row],[L_elt]]</f>
        <v>0</v>
      </c>
      <c r="F235" s="260">
        <f ca="1">SUMIFS(Tbl_Ballasts[Spread],Tbl_Ballasts[L from],"&lt;"&amp;Tbl_Load_distrib[[#This Row],[x]],Tbl_Ballasts[L to],"&gt;"&amp;C234)*Tbl_Load_distrib[[#This Row],[L_elt]]</f>
        <v>0</v>
      </c>
      <c r="G235" s="260">
        <f>SUMIFS(Tbl_Lifting[Spread],Tbl_Lifting[L from],"&lt;"&amp;Tbl_Load_distrib[[#This Row],[x]],Tbl_Lifting[L to],"&gt;"&amp;C234)*Tbl_Load_distrib[[#This Row],[L_elt]]</f>
        <v>0</v>
      </c>
      <c r="H235" s="260">
        <f>SUMIFS(Tbl_Additionals[Spread],Tbl_Additionals[L from],"&lt;"&amp;Tbl_Load_distrib[[#This Row],[x]],Tbl_Additionals[L to],"&gt;"&amp;C234)*Tbl_Load_distrib[[#This Row],[L_elt]]</f>
        <v>0</v>
      </c>
      <c r="I235" s="260">
        <f ca="1">SUMIFS(Tbl_Deck_Tank[Spread],Tbl_Deck_Tank[L from],"&lt;"&amp;Tbl_Load_distrib[[#This Row],[x]],Tbl_Deck_Tank[L to],"&gt;"&amp;C234)*Tbl_Load_distrib[[#This Row],[L_elt]]</f>
        <v>0</v>
      </c>
      <c r="J235" s="137"/>
      <c r="K235" s="165" t="e">
        <f>IFERROR(Tbl_Long_Section[[#This Row],[H Deck-Bottom]],NA())</f>
        <v>#N/A</v>
      </c>
      <c r="L235" s="829" t="e">
        <f>M_depth-Tbl_Load_distrib[[#This Row],[H Deck-Bottom]]</f>
        <v>#N/A</v>
      </c>
      <c r="M235" s="929">
        <f>IFERROR(Tbl_Load_distrib[[#This Row],[x]]-C234,0)</f>
        <v>0</v>
      </c>
      <c r="N235" s="929" t="e">
        <f>IF(ISNA(Tbl_Load_distrib[[#This Row],[x]]),NA(),IF(ISTEXT(N234),0,IF(N234=0,$Z$3,N234-($Z$3-$AA$3)/(Lpp-FE_size)*Tbl_Load_distrib[[#This Row],[L_elt]])))</f>
        <v>#N/A</v>
      </c>
      <c r="O235" s="166" t="e">
        <f ca="1">IF(ISNUMBER(O234),(IF((N234-L234)&lt;0,0,N234-L234)+IF((Tbl_Load_distrib[[#This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35" s="929" t="e">
        <f>IF(ISNA(Tbl_Load_distrib[[#This Row],[x]]),NA(),IF(ISTEXT(P234),0,IF(P234=0,LongSection_DraftAft,P234-(LongSection_DraftAft-LongSection_DraftFore)/(Lpp-FE_size)*Tbl_Load_distrib[[#This Row],[L_elt]])))</f>
        <v>#N/A</v>
      </c>
      <c r="Q235" s="166" t="e">
        <f ca="1">IF(ISNUMBER(Q234),(IF((P234-L234)&lt;0,0,P234-L234)+IF((Tbl_Load_distrib[[#This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35" s="167" t="e">
        <f ca="1">ρ_sw*Tbl_Load_distrib[[#This Row],[Elt Area corrected]]*B/k_depl</f>
        <v>#N/A</v>
      </c>
      <c r="S235" s="167" t="e">
        <f ca="1">Tbl_Load_distrib[[#This Row],[Section Weight]]-Tbl_Load_distrib[[#This Row],[Floating Elt]]</f>
        <v>#N/A</v>
      </c>
      <c r="T235" s="183" t="e">
        <f ca="1">IF(ISTEXT($T234),0,$T234+Tbl_Load_distrib[[#This Row],[Net force / Elt]])</f>
        <v>#N/A</v>
      </c>
      <c r="U235" s="261" t="e">
        <f ca="1">IF(ISTEXT($U234),0,$U234+Tbl_Load_distrib[[#This Row],[Shearing Force]]*Tbl_Load_distrib[[#This Row],[L_elt]])</f>
        <v>#N/A</v>
      </c>
    </row>
    <row r="236" spans="2:21" x14ac:dyDescent="0.25">
      <c r="B236" s="136" t="e">
        <f t="shared" si="7"/>
        <v>#N/A</v>
      </c>
      <c r="C236" s="139" t="e">
        <f t="shared" si="8"/>
        <v>#N/A</v>
      </c>
      <c r="D236" s="152">
        <f ca="1">SUM(Tbl_Load_distrib[[#This Row],[Hull &amp; Structure]:[Reserved]])</f>
        <v>0</v>
      </c>
      <c r="E236" s="260">
        <f>SUMIFS(Tbl_Hull_Structure[Spread],Tbl_Hull_Structure[L from],"&lt;"&amp;Tbl_Load_distrib[[#This Row],[x]],Tbl_Hull_Structure[L to],"&gt;"&amp;C235)*Tbl_Load_distrib[[#This Row],[L_elt]]</f>
        <v>0</v>
      </c>
      <c r="F236" s="260">
        <f ca="1">SUMIFS(Tbl_Ballasts[Spread],Tbl_Ballasts[L from],"&lt;"&amp;Tbl_Load_distrib[[#This Row],[x]],Tbl_Ballasts[L to],"&gt;"&amp;C235)*Tbl_Load_distrib[[#This Row],[L_elt]]</f>
        <v>0</v>
      </c>
      <c r="G236" s="260">
        <f>SUMIFS(Tbl_Lifting[Spread],Tbl_Lifting[L from],"&lt;"&amp;Tbl_Load_distrib[[#This Row],[x]],Tbl_Lifting[L to],"&gt;"&amp;C235)*Tbl_Load_distrib[[#This Row],[L_elt]]</f>
        <v>0</v>
      </c>
      <c r="H236" s="260">
        <f>SUMIFS(Tbl_Additionals[Spread],Tbl_Additionals[L from],"&lt;"&amp;Tbl_Load_distrib[[#This Row],[x]],Tbl_Additionals[L to],"&gt;"&amp;C235)*Tbl_Load_distrib[[#This Row],[L_elt]]</f>
        <v>0</v>
      </c>
      <c r="I236" s="260">
        <f ca="1">SUMIFS(Tbl_Deck_Tank[Spread],Tbl_Deck_Tank[L from],"&lt;"&amp;Tbl_Load_distrib[[#This Row],[x]],Tbl_Deck_Tank[L to],"&gt;"&amp;C235)*Tbl_Load_distrib[[#This Row],[L_elt]]</f>
        <v>0</v>
      </c>
      <c r="J236" s="137"/>
      <c r="K236" s="165" t="e">
        <f>IFERROR(Tbl_Long_Section[[#This Row],[H Deck-Bottom]],NA())</f>
        <v>#N/A</v>
      </c>
      <c r="L236" s="829" t="e">
        <f>M_depth-Tbl_Load_distrib[[#This Row],[H Deck-Bottom]]</f>
        <v>#N/A</v>
      </c>
      <c r="M236" s="929">
        <f>IFERROR(Tbl_Load_distrib[[#This Row],[x]]-C235,0)</f>
        <v>0</v>
      </c>
      <c r="N236" s="929" t="e">
        <f>IF(ISNA(Tbl_Load_distrib[[#This Row],[x]]),NA(),IF(ISTEXT(N235),0,IF(N235=0,$Z$3,N235-($Z$3-$AA$3)/(Lpp-FE_size)*Tbl_Load_distrib[[#This Row],[L_elt]])))</f>
        <v>#N/A</v>
      </c>
      <c r="O236" s="166" t="e">
        <f ca="1">IF(ISNUMBER(O235),(IF((N235-L235)&lt;0,0,N235-L235)+IF((Tbl_Load_distrib[[#This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36" s="929" t="e">
        <f>IF(ISNA(Tbl_Load_distrib[[#This Row],[x]]),NA(),IF(ISTEXT(P235),0,IF(P235=0,LongSection_DraftAft,P235-(LongSection_DraftAft-LongSection_DraftFore)/(Lpp-FE_size)*Tbl_Load_distrib[[#This Row],[L_elt]])))</f>
        <v>#N/A</v>
      </c>
      <c r="Q236" s="166" t="e">
        <f ca="1">IF(ISNUMBER(Q235),(IF((P235-L235)&lt;0,0,P235-L235)+IF((Tbl_Load_distrib[[#This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36" s="167" t="e">
        <f ca="1">ρ_sw*Tbl_Load_distrib[[#This Row],[Elt Area corrected]]*B/k_depl</f>
        <v>#N/A</v>
      </c>
      <c r="S236" s="167" t="e">
        <f ca="1">Tbl_Load_distrib[[#This Row],[Section Weight]]-Tbl_Load_distrib[[#This Row],[Floating Elt]]</f>
        <v>#N/A</v>
      </c>
      <c r="T236" s="183" t="e">
        <f ca="1">IF(ISTEXT($T235),0,$T235+Tbl_Load_distrib[[#This Row],[Net force / Elt]])</f>
        <v>#N/A</v>
      </c>
      <c r="U236" s="261" t="e">
        <f ca="1">IF(ISTEXT($U235),0,$U235+Tbl_Load_distrib[[#This Row],[Shearing Force]]*Tbl_Load_distrib[[#This Row],[L_elt]])</f>
        <v>#N/A</v>
      </c>
    </row>
    <row r="237" spans="2:21" x14ac:dyDescent="0.25">
      <c r="B237" s="136" t="e">
        <f t="shared" si="7"/>
        <v>#N/A</v>
      </c>
      <c r="C237" s="139" t="e">
        <f t="shared" si="8"/>
        <v>#N/A</v>
      </c>
      <c r="D237" s="152">
        <f ca="1">SUM(Tbl_Load_distrib[[#This Row],[Hull &amp; Structure]:[Reserved]])</f>
        <v>0</v>
      </c>
      <c r="E237" s="260">
        <f>SUMIFS(Tbl_Hull_Structure[Spread],Tbl_Hull_Structure[L from],"&lt;"&amp;Tbl_Load_distrib[[#This Row],[x]],Tbl_Hull_Structure[L to],"&gt;"&amp;C236)*Tbl_Load_distrib[[#This Row],[L_elt]]</f>
        <v>0</v>
      </c>
      <c r="F237" s="260">
        <f ca="1">SUMIFS(Tbl_Ballasts[Spread],Tbl_Ballasts[L from],"&lt;"&amp;Tbl_Load_distrib[[#This Row],[x]],Tbl_Ballasts[L to],"&gt;"&amp;C236)*Tbl_Load_distrib[[#This Row],[L_elt]]</f>
        <v>0</v>
      </c>
      <c r="G237" s="260">
        <f>SUMIFS(Tbl_Lifting[Spread],Tbl_Lifting[L from],"&lt;"&amp;Tbl_Load_distrib[[#This Row],[x]],Tbl_Lifting[L to],"&gt;"&amp;C236)*Tbl_Load_distrib[[#This Row],[L_elt]]</f>
        <v>0</v>
      </c>
      <c r="H237" s="260">
        <f>SUMIFS(Tbl_Additionals[Spread],Tbl_Additionals[L from],"&lt;"&amp;Tbl_Load_distrib[[#This Row],[x]],Tbl_Additionals[L to],"&gt;"&amp;C236)*Tbl_Load_distrib[[#This Row],[L_elt]]</f>
        <v>0</v>
      </c>
      <c r="I237" s="260">
        <f ca="1">SUMIFS(Tbl_Deck_Tank[Spread],Tbl_Deck_Tank[L from],"&lt;"&amp;Tbl_Load_distrib[[#This Row],[x]],Tbl_Deck_Tank[L to],"&gt;"&amp;C236)*Tbl_Load_distrib[[#This Row],[L_elt]]</f>
        <v>0</v>
      </c>
      <c r="J237" s="137"/>
      <c r="K237" s="165" t="e">
        <f>IFERROR(Tbl_Long_Section[[#This Row],[H Deck-Bottom]],NA())</f>
        <v>#N/A</v>
      </c>
      <c r="L237" s="829" t="e">
        <f>M_depth-Tbl_Load_distrib[[#This Row],[H Deck-Bottom]]</f>
        <v>#N/A</v>
      </c>
      <c r="M237" s="929">
        <f>IFERROR(Tbl_Load_distrib[[#This Row],[x]]-C236,0)</f>
        <v>0</v>
      </c>
      <c r="N237" s="929" t="e">
        <f>IF(ISNA(Tbl_Load_distrib[[#This Row],[x]]),NA(),IF(ISTEXT(N236),0,IF(N236=0,$Z$3,N236-($Z$3-$AA$3)/(Lpp-FE_size)*Tbl_Load_distrib[[#This Row],[L_elt]])))</f>
        <v>#N/A</v>
      </c>
      <c r="O237" s="166" t="e">
        <f ca="1">IF(ISNUMBER(O236),(IF((N236-L236)&lt;0,0,N236-L236)+IF((Tbl_Load_distrib[[#This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37" s="929" t="e">
        <f>IF(ISNA(Tbl_Load_distrib[[#This Row],[x]]),NA(),IF(ISTEXT(P236),0,IF(P236=0,LongSection_DraftAft,P236-(LongSection_DraftAft-LongSection_DraftFore)/(Lpp-FE_size)*Tbl_Load_distrib[[#This Row],[L_elt]])))</f>
        <v>#N/A</v>
      </c>
      <c r="Q237" s="166" t="e">
        <f ca="1">IF(ISNUMBER(Q236),(IF((P236-L236)&lt;0,0,P236-L236)+IF((Tbl_Load_distrib[[#This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37" s="167" t="e">
        <f ca="1">ρ_sw*Tbl_Load_distrib[[#This Row],[Elt Area corrected]]*B/k_depl</f>
        <v>#N/A</v>
      </c>
      <c r="S237" s="167" t="e">
        <f ca="1">Tbl_Load_distrib[[#This Row],[Section Weight]]-Tbl_Load_distrib[[#This Row],[Floating Elt]]</f>
        <v>#N/A</v>
      </c>
      <c r="T237" s="183" t="e">
        <f ca="1">IF(ISTEXT($T236),0,$T236+Tbl_Load_distrib[[#This Row],[Net force / Elt]])</f>
        <v>#N/A</v>
      </c>
      <c r="U237" s="261" t="e">
        <f ca="1">IF(ISTEXT($U236),0,$U236+Tbl_Load_distrib[[#This Row],[Shearing Force]]*Tbl_Load_distrib[[#This Row],[L_elt]])</f>
        <v>#N/A</v>
      </c>
    </row>
    <row r="238" spans="2:21" x14ac:dyDescent="0.25">
      <c r="B238" s="136" t="e">
        <f t="shared" si="7"/>
        <v>#N/A</v>
      </c>
      <c r="C238" s="139" t="e">
        <f t="shared" si="8"/>
        <v>#N/A</v>
      </c>
      <c r="D238" s="152">
        <f ca="1">SUM(Tbl_Load_distrib[[#This Row],[Hull &amp; Structure]:[Reserved]])</f>
        <v>0</v>
      </c>
      <c r="E238" s="260">
        <f>SUMIFS(Tbl_Hull_Structure[Spread],Tbl_Hull_Structure[L from],"&lt;"&amp;Tbl_Load_distrib[[#This Row],[x]],Tbl_Hull_Structure[L to],"&gt;"&amp;C237)*Tbl_Load_distrib[[#This Row],[L_elt]]</f>
        <v>0</v>
      </c>
      <c r="F238" s="260">
        <f ca="1">SUMIFS(Tbl_Ballasts[Spread],Tbl_Ballasts[L from],"&lt;"&amp;Tbl_Load_distrib[[#This Row],[x]],Tbl_Ballasts[L to],"&gt;"&amp;C237)*Tbl_Load_distrib[[#This Row],[L_elt]]</f>
        <v>0</v>
      </c>
      <c r="G238" s="260">
        <f>SUMIFS(Tbl_Lifting[Spread],Tbl_Lifting[L from],"&lt;"&amp;Tbl_Load_distrib[[#This Row],[x]],Tbl_Lifting[L to],"&gt;"&amp;C237)*Tbl_Load_distrib[[#This Row],[L_elt]]</f>
        <v>0</v>
      </c>
      <c r="H238" s="260">
        <f>SUMIFS(Tbl_Additionals[Spread],Tbl_Additionals[L from],"&lt;"&amp;Tbl_Load_distrib[[#This Row],[x]],Tbl_Additionals[L to],"&gt;"&amp;C237)*Tbl_Load_distrib[[#This Row],[L_elt]]</f>
        <v>0</v>
      </c>
      <c r="I238" s="260">
        <f ca="1">SUMIFS(Tbl_Deck_Tank[Spread],Tbl_Deck_Tank[L from],"&lt;"&amp;Tbl_Load_distrib[[#This Row],[x]],Tbl_Deck_Tank[L to],"&gt;"&amp;C237)*Tbl_Load_distrib[[#This Row],[L_elt]]</f>
        <v>0</v>
      </c>
      <c r="J238" s="137"/>
      <c r="K238" s="165" t="e">
        <f>IFERROR(Tbl_Long_Section[[#This Row],[H Deck-Bottom]],NA())</f>
        <v>#N/A</v>
      </c>
      <c r="L238" s="829" t="e">
        <f>M_depth-Tbl_Load_distrib[[#This Row],[H Deck-Bottom]]</f>
        <v>#N/A</v>
      </c>
      <c r="M238" s="929">
        <f>IFERROR(Tbl_Load_distrib[[#This Row],[x]]-C237,0)</f>
        <v>0</v>
      </c>
      <c r="N238" s="929" t="e">
        <f>IF(ISNA(Tbl_Load_distrib[[#This Row],[x]]),NA(),IF(ISTEXT(N237),0,IF(N237=0,$Z$3,N237-($Z$3-$AA$3)/(Lpp-FE_size)*Tbl_Load_distrib[[#This Row],[L_elt]])))</f>
        <v>#N/A</v>
      </c>
      <c r="O238" s="166" t="e">
        <f ca="1">IF(ISNUMBER(O237),(IF((N237-L237)&lt;0,0,N237-L237)+IF((Tbl_Load_distrib[[#This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38" s="929" t="e">
        <f>IF(ISNA(Tbl_Load_distrib[[#This Row],[x]]),NA(),IF(ISTEXT(P237),0,IF(P237=0,LongSection_DraftAft,P237-(LongSection_DraftAft-LongSection_DraftFore)/(Lpp-FE_size)*Tbl_Load_distrib[[#This Row],[L_elt]])))</f>
        <v>#N/A</v>
      </c>
      <c r="Q238" s="166" t="e">
        <f ca="1">IF(ISNUMBER(Q237),(IF((P237-L237)&lt;0,0,P237-L237)+IF((Tbl_Load_distrib[[#This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38" s="167" t="e">
        <f ca="1">ρ_sw*Tbl_Load_distrib[[#This Row],[Elt Area corrected]]*B/k_depl</f>
        <v>#N/A</v>
      </c>
      <c r="S238" s="167" t="e">
        <f ca="1">Tbl_Load_distrib[[#This Row],[Section Weight]]-Tbl_Load_distrib[[#This Row],[Floating Elt]]</f>
        <v>#N/A</v>
      </c>
      <c r="T238" s="183" t="e">
        <f ca="1">IF(ISTEXT($T237),0,$T237+Tbl_Load_distrib[[#This Row],[Net force / Elt]])</f>
        <v>#N/A</v>
      </c>
      <c r="U238" s="261" t="e">
        <f ca="1">IF(ISTEXT($U237),0,$U237+Tbl_Load_distrib[[#This Row],[Shearing Force]]*Tbl_Load_distrib[[#This Row],[L_elt]])</f>
        <v>#N/A</v>
      </c>
    </row>
    <row r="239" spans="2:21" x14ac:dyDescent="0.25">
      <c r="B239" s="136" t="e">
        <f t="shared" si="7"/>
        <v>#N/A</v>
      </c>
      <c r="C239" s="139" t="e">
        <f t="shared" si="8"/>
        <v>#N/A</v>
      </c>
      <c r="D239" s="152">
        <f ca="1">SUM(Tbl_Load_distrib[[#This Row],[Hull &amp; Structure]:[Reserved]])</f>
        <v>0</v>
      </c>
      <c r="E239" s="260">
        <f>SUMIFS(Tbl_Hull_Structure[Spread],Tbl_Hull_Structure[L from],"&lt;"&amp;Tbl_Load_distrib[[#This Row],[x]],Tbl_Hull_Structure[L to],"&gt;"&amp;C238)*Tbl_Load_distrib[[#This Row],[L_elt]]</f>
        <v>0</v>
      </c>
      <c r="F239" s="260">
        <f ca="1">SUMIFS(Tbl_Ballasts[Spread],Tbl_Ballasts[L from],"&lt;"&amp;Tbl_Load_distrib[[#This Row],[x]],Tbl_Ballasts[L to],"&gt;"&amp;C238)*Tbl_Load_distrib[[#This Row],[L_elt]]</f>
        <v>0</v>
      </c>
      <c r="G239" s="260">
        <f>SUMIFS(Tbl_Lifting[Spread],Tbl_Lifting[L from],"&lt;"&amp;Tbl_Load_distrib[[#This Row],[x]],Tbl_Lifting[L to],"&gt;"&amp;C238)*Tbl_Load_distrib[[#This Row],[L_elt]]</f>
        <v>0</v>
      </c>
      <c r="H239" s="260">
        <f>SUMIFS(Tbl_Additionals[Spread],Tbl_Additionals[L from],"&lt;"&amp;Tbl_Load_distrib[[#This Row],[x]],Tbl_Additionals[L to],"&gt;"&amp;C238)*Tbl_Load_distrib[[#This Row],[L_elt]]</f>
        <v>0</v>
      </c>
      <c r="I239" s="260">
        <f ca="1">SUMIFS(Tbl_Deck_Tank[Spread],Tbl_Deck_Tank[L from],"&lt;"&amp;Tbl_Load_distrib[[#This Row],[x]],Tbl_Deck_Tank[L to],"&gt;"&amp;C238)*Tbl_Load_distrib[[#This Row],[L_elt]]</f>
        <v>0</v>
      </c>
      <c r="J239" s="137"/>
      <c r="K239" s="165" t="e">
        <f>IFERROR(Tbl_Long_Section[[#This Row],[H Deck-Bottom]],NA())</f>
        <v>#N/A</v>
      </c>
      <c r="L239" s="829" t="e">
        <f>M_depth-Tbl_Load_distrib[[#This Row],[H Deck-Bottom]]</f>
        <v>#N/A</v>
      </c>
      <c r="M239" s="929">
        <f>IFERROR(Tbl_Load_distrib[[#This Row],[x]]-C238,0)</f>
        <v>0</v>
      </c>
      <c r="N239" s="929" t="e">
        <f>IF(ISNA(Tbl_Load_distrib[[#This Row],[x]]),NA(),IF(ISTEXT(N238),0,IF(N238=0,$Z$3,N238-($Z$3-$AA$3)/(Lpp-FE_size)*Tbl_Load_distrib[[#This Row],[L_elt]])))</f>
        <v>#N/A</v>
      </c>
      <c r="O239" s="166" t="e">
        <f ca="1">IF(ISNUMBER(O238),(IF((N238-L238)&lt;0,0,N238-L238)+IF((Tbl_Load_distrib[[#This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39" s="929" t="e">
        <f>IF(ISNA(Tbl_Load_distrib[[#This Row],[x]]),NA(),IF(ISTEXT(P238),0,IF(P238=0,LongSection_DraftAft,P238-(LongSection_DraftAft-LongSection_DraftFore)/(Lpp-FE_size)*Tbl_Load_distrib[[#This Row],[L_elt]])))</f>
        <v>#N/A</v>
      </c>
      <c r="Q239" s="166" t="e">
        <f ca="1">IF(ISNUMBER(Q238),(IF((P238-L238)&lt;0,0,P238-L238)+IF((Tbl_Load_distrib[[#This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39" s="167" t="e">
        <f ca="1">ρ_sw*Tbl_Load_distrib[[#This Row],[Elt Area corrected]]*B/k_depl</f>
        <v>#N/A</v>
      </c>
      <c r="S239" s="167" t="e">
        <f ca="1">Tbl_Load_distrib[[#This Row],[Section Weight]]-Tbl_Load_distrib[[#This Row],[Floating Elt]]</f>
        <v>#N/A</v>
      </c>
      <c r="T239" s="183" t="e">
        <f ca="1">IF(ISTEXT($T238),0,$T238+Tbl_Load_distrib[[#This Row],[Net force / Elt]])</f>
        <v>#N/A</v>
      </c>
      <c r="U239" s="261" t="e">
        <f ca="1">IF(ISTEXT($U238),0,$U238+Tbl_Load_distrib[[#This Row],[Shearing Force]]*Tbl_Load_distrib[[#This Row],[L_elt]])</f>
        <v>#N/A</v>
      </c>
    </row>
    <row r="240" spans="2:21" x14ac:dyDescent="0.25">
      <c r="B240" s="136" t="e">
        <f t="shared" si="7"/>
        <v>#N/A</v>
      </c>
      <c r="C240" s="139" t="e">
        <f t="shared" si="8"/>
        <v>#N/A</v>
      </c>
      <c r="D240" s="152">
        <f ca="1">SUM(Tbl_Load_distrib[[#This Row],[Hull &amp; Structure]:[Reserved]])</f>
        <v>0</v>
      </c>
      <c r="E240" s="260">
        <f>SUMIFS(Tbl_Hull_Structure[Spread],Tbl_Hull_Structure[L from],"&lt;"&amp;Tbl_Load_distrib[[#This Row],[x]],Tbl_Hull_Structure[L to],"&gt;"&amp;C239)*Tbl_Load_distrib[[#This Row],[L_elt]]</f>
        <v>0</v>
      </c>
      <c r="F240" s="260">
        <f ca="1">SUMIFS(Tbl_Ballasts[Spread],Tbl_Ballasts[L from],"&lt;"&amp;Tbl_Load_distrib[[#This Row],[x]],Tbl_Ballasts[L to],"&gt;"&amp;C239)*Tbl_Load_distrib[[#This Row],[L_elt]]</f>
        <v>0</v>
      </c>
      <c r="G240" s="260">
        <f>SUMIFS(Tbl_Lifting[Spread],Tbl_Lifting[L from],"&lt;"&amp;Tbl_Load_distrib[[#This Row],[x]],Tbl_Lifting[L to],"&gt;"&amp;C239)*Tbl_Load_distrib[[#This Row],[L_elt]]</f>
        <v>0</v>
      </c>
      <c r="H240" s="260">
        <f>SUMIFS(Tbl_Additionals[Spread],Tbl_Additionals[L from],"&lt;"&amp;Tbl_Load_distrib[[#This Row],[x]],Tbl_Additionals[L to],"&gt;"&amp;C239)*Tbl_Load_distrib[[#This Row],[L_elt]]</f>
        <v>0</v>
      </c>
      <c r="I240" s="260">
        <f ca="1">SUMIFS(Tbl_Deck_Tank[Spread],Tbl_Deck_Tank[L from],"&lt;"&amp;Tbl_Load_distrib[[#This Row],[x]],Tbl_Deck_Tank[L to],"&gt;"&amp;C239)*Tbl_Load_distrib[[#This Row],[L_elt]]</f>
        <v>0</v>
      </c>
      <c r="J240" s="137"/>
      <c r="K240" s="165" t="e">
        <f>IFERROR(Tbl_Long_Section[[#This Row],[H Deck-Bottom]],NA())</f>
        <v>#N/A</v>
      </c>
      <c r="L240" s="829" t="e">
        <f>M_depth-Tbl_Load_distrib[[#This Row],[H Deck-Bottom]]</f>
        <v>#N/A</v>
      </c>
      <c r="M240" s="929">
        <f>IFERROR(Tbl_Load_distrib[[#This Row],[x]]-C239,0)</f>
        <v>0</v>
      </c>
      <c r="N240" s="929" t="e">
        <f>IF(ISNA(Tbl_Load_distrib[[#This Row],[x]]),NA(),IF(ISTEXT(N239),0,IF(N239=0,$Z$3,N239-($Z$3-$AA$3)/(Lpp-FE_size)*Tbl_Load_distrib[[#This Row],[L_elt]])))</f>
        <v>#N/A</v>
      </c>
      <c r="O240" s="166" t="e">
        <f ca="1">IF(ISNUMBER(O239),(IF((N239-L239)&lt;0,0,N239-L239)+IF((Tbl_Load_distrib[[#This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40" s="929" t="e">
        <f>IF(ISNA(Tbl_Load_distrib[[#This Row],[x]]),NA(),IF(ISTEXT(P239),0,IF(P239=0,LongSection_DraftAft,P239-(LongSection_DraftAft-LongSection_DraftFore)/(Lpp-FE_size)*Tbl_Load_distrib[[#This Row],[L_elt]])))</f>
        <v>#N/A</v>
      </c>
      <c r="Q240" s="166" t="e">
        <f ca="1">IF(ISNUMBER(Q239),(IF((P239-L239)&lt;0,0,P239-L239)+IF((Tbl_Load_distrib[[#This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40" s="167" t="e">
        <f ca="1">ρ_sw*Tbl_Load_distrib[[#This Row],[Elt Area corrected]]*B/k_depl</f>
        <v>#N/A</v>
      </c>
      <c r="S240" s="167" t="e">
        <f ca="1">Tbl_Load_distrib[[#This Row],[Section Weight]]-Tbl_Load_distrib[[#This Row],[Floating Elt]]</f>
        <v>#N/A</v>
      </c>
      <c r="T240" s="183" t="e">
        <f ca="1">IF(ISTEXT($T239),0,$T239+Tbl_Load_distrib[[#This Row],[Net force / Elt]])</f>
        <v>#N/A</v>
      </c>
      <c r="U240" s="261" t="e">
        <f ca="1">IF(ISTEXT($U239),0,$U239+Tbl_Load_distrib[[#This Row],[Shearing Force]]*Tbl_Load_distrib[[#This Row],[L_elt]])</f>
        <v>#N/A</v>
      </c>
    </row>
    <row r="241" spans="2:21" x14ac:dyDescent="0.25">
      <c r="B241" s="136" t="e">
        <f t="shared" si="7"/>
        <v>#N/A</v>
      </c>
      <c r="C241" s="139" t="e">
        <f t="shared" si="8"/>
        <v>#N/A</v>
      </c>
      <c r="D241" s="152">
        <f ca="1">SUM(Tbl_Load_distrib[[#This Row],[Hull &amp; Structure]:[Reserved]])</f>
        <v>0</v>
      </c>
      <c r="E241" s="260">
        <f>SUMIFS(Tbl_Hull_Structure[Spread],Tbl_Hull_Structure[L from],"&lt;"&amp;Tbl_Load_distrib[[#This Row],[x]],Tbl_Hull_Structure[L to],"&gt;"&amp;C240)*Tbl_Load_distrib[[#This Row],[L_elt]]</f>
        <v>0</v>
      </c>
      <c r="F241" s="260">
        <f ca="1">SUMIFS(Tbl_Ballasts[Spread],Tbl_Ballasts[L from],"&lt;"&amp;Tbl_Load_distrib[[#This Row],[x]],Tbl_Ballasts[L to],"&gt;"&amp;C240)*Tbl_Load_distrib[[#This Row],[L_elt]]</f>
        <v>0</v>
      </c>
      <c r="G241" s="260">
        <f>SUMIFS(Tbl_Lifting[Spread],Tbl_Lifting[L from],"&lt;"&amp;Tbl_Load_distrib[[#This Row],[x]],Tbl_Lifting[L to],"&gt;"&amp;C240)*Tbl_Load_distrib[[#This Row],[L_elt]]</f>
        <v>0</v>
      </c>
      <c r="H241" s="260">
        <f>SUMIFS(Tbl_Additionals[Spread],Tbl_Additionals[L from],"&lt;"&amp;Tbl_Load_distrib[[#This Row],[x]],Tbl_Additionals[L to],"&gt;"&amp;C240)*Tbl_Load_distrib[[#This Row],[L_elt]]</f>
        <v>0</v>
      </c>
      <c r="I241" s="260">
        <f ca="1">SUMIFS(Tbl_Deck_Tank[Spread],Tbl_Deck_Tank[L from],"&lt;"&amp;Tbl_Load_distrib[[#This Row],[x]],Tbl_Deck_Tank[L to],"&gt;"&amp;C240)*Tbl_Load_distrib[[#This Row],[L_elt]]</f>
        <v>0</v>
      </c>
      <c r="J241" s="137"/>
      <c r="K241" s="165" t="e">
        <f>IFERROR(Tbl_Long_Section[[#This Row],[H Deck-Bottom]],NA())</f>
        <v>#N/A</v>
      </c>
      <c r="L241" s="829" t="e">
        <f>M_depth-Tbl_Load_distrib[[#This Row],[H Deck-Bottom]]</f>
        <v>#N/A</v>
      </c>
      <c r="M241" s="929">
        <f>IFERROR(Tbl_Load_distrib[[#This Row],[x]]-C240,0)</f>
        <v>0</v>
      </c>
      <c r="N241" s="929" t="e">
        <f>IF(ISNA(Tbl_Load_distrib[[#This Row],[x]]),NA(),IF(ISTEXT(N240),0,IF(N240=0,$Z$3,N240-($Z$3-$AA$3)/(Lpp-FE_size)*Tbl_Load_distrib[[#This Row],[L_elt]])))</f>
        <v>#N/A</v>
      </c>
      <c r="O241" s="166" t="e">
        <f ca="1">IF(ISNUMBER(O240),(IF((N240-L240)&lt;0,0,N240-L240)+IF((Tbl_Load_distrib[[#This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41" s="929" t="e">
        <f>IF(ISNA(Tbl_Load_distrib[[#This Row],[x]]),NA(),IF(ISTEXT(P240),0,IF(P240=0,LongSection_DraftAft,P240-(LongSection_DraftAft-LongSection_DraftFore)/(Lpp-FE_size)*Tbl_Load_distrib[[#This Row],[L_elt]])))</f>
        <v>#N/A</v>
      </c>
      <c r="Q241" s="166" t="e">
        <f ca="1">IF(ISNUMBER(Q240),(IF((P240-L240)&lt;0,0,P240-L240)+IF((Tbl_Load_distrib[[#This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41" s="167" t="e">
        <f ca="1">ρ_sw*Tbl_Load_distrib[[#This Row],[Elt Area corrected]]*B/k_depl</f>
        <v>#N/A</v>
      </c>
      <c r="S241" s="167" t="e">
        <f ca="1">Tbl_Load_distrib[[#This Row],[Section Weight]]-Tbl_Load_distrib[[#This Row],[Floating Elt]]</f>
        <v>#N/A</v>
      </c>
      <c r="T241" s="183" t="e">
        <f ca="1">IF(ISTEXT($T240),0,$T240+Tbl_Load_distrib[[#This Row],[Net force / Elt]])</f>
        <v>#N/A</v>
      </c>
      <c r="U241" s="261" t="e">
        <f ca="1">IF(ISTEXT($U240),0,$U240+Tbl_Load_distrib[[#This Row],[Shearing Force]]*Tbl_Load_distrib[[#This Row],[L_elt]])</f>
        <v>#N/A</v>
      </c>
    </row>
    <row r="242" spans="2:21" x14ac:dyDescent="0.25">
      <c r="B242" s="136" t="e">
        <f t="shared" si="7"/>
        <v>#N/A</v>
      </c>
      <c r="C242" s="139" t="e">
        <f t="shared" si="8"/>
        <v>#N/A</v>
      </c>
      <c r="D242" s="152">
        <f ca="1">SUM(Tbl_Load_distrib[[#This Row],[Hull &amp; Structure]:[Reserved]])</f>
        <v>0</v>
      </c>
      <c r="E242" s="260">
        <f>SUMIFS(Tbl_Hull_Structure[Spread],Tbl_Hull_Structure[L from],"&lt;"&amp;Tbl_Load_distrib[[#This Row],[x]],Tbl_Hull_Structure[L to],"&gt;"&amp;C241)*Tbl_Load_distrib[[#This Row],[L_elt]]</f>
        <v>0</v>
      </c>
      <c r="F242" s="260">
        <f ca="1">SUMIFS(Tbl_Ballasts[Spread],Tbl_Ballasts[L from],"&lt;"&amp;Tbl_Load_distrib[[#This Row],[x]],Tbl_Ballasts[L to],"&gt;"&amp;C241)*Tbl_Load_distrib[[#This Row],[L_elt]]</f>
        <v>0</v>
      </c>
      <c r="G242" s="260">
        <f>SUMIFS(Tbl_Lifting[Spread],Tbl_Lifting[L from],"&lt;"&amp;Tbl_Load_distrib[[#This Row],[x]],Tbl_Lifting[L to],"&gt;"&amp;C241)*Tbl_Load_distrib[[#This Row],[L_elt]]</f>
        <v>0</v>
      </c>
      <c r="H242" s="260">
        <f>SUMIFS(Tbl_Additionals[Spread],Tbl_Additionals[L from],"&lt;"&amp;Tbl_Load_distrib[[#This Row],[x]],Tbl_Additionals[L to],"&gt;"&amp;C241)*Tbl_Load_distrib[[#This Row],[L_elt]]</f>
        <v>0</v>
      </c>
      <c r="I242" s="260">
        <f ca="1">SUMIFS(Tbl_Deck_Tank[Spread],Tbl_Deck_Tank[L from],"&lt;"&amp;Tbl_Load_distrib[[#This Row],[x]],Tbl_Deck_Tank[L to],"&gt;"&amp;C241)*Tbl_Load_distrib[[#This Row],[L_elt]]</f>
        <v>0</v>
      </c>
      <c r="J242" s="137"/>
      <c r="K242" s="165" t="e">
        <f>IFERROR(Tbl_Long_Section[[#This Row],[H Deck-Bottom]],NA())</f>
        <v>#N/A</v>
      </c>
      <c r="L242" s="829" t="e">
        <f>M_depth-Tbl_Load_distrib[[#This Row],[H Deck-Bottom]]</f>
        <v>#N/A</v>
      </c>
      <c r="M242" s="929">
        <f>IFERROR(Tbl_Load_distrib[[#This Row],[x]]-C241,0)</f>
        <v>0</v>
      </c>
      <c r="N242" s="929" t="e">
        <f>IF(ISNA(Tbl_Load_distrib[[#This Row],[x]]),NA(),IF(ISTEXT(N241),0,IF(N241=0,$Z$3,N241-($Z$3-$AA$3)/(Lpp-FE_size)*Tbl_Load_distrib[[#This Row],[L_elt]])))</f>
        <v>#N/A</v>
      </c>
      <c r="O242" s="166" t="e">
        <f ca="1">IF(ISNUMBER(O241),(IF((N241-L241)&lt;0,0,N241-L241)+IF((Tbl_Load_distrib[[#This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42" s="929" t="e">
        <f>IF(ISNA(Tbl_Load_distrib[[#This Row],[x]]),NA(),IF(ISTEXT(P241),0,IF(P241=0,LongSection_DraftAft,P241-(LongSection_DraftAft-LongSection_DraftFore)/(Lpp-FE_size)*Tbl_Load_distrib[[#This Row],[L_elt]])))</f>
        <v>#N/A</v>
      </c>
      <c r="Q242" s="166" t="e">
        <f ca="1">IF(ISNUMBER(Q241),(IF((P241-L241)&lt;0,0,P241-L241)+IF((Tbl_Load_distrib[[#This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42" s="167" t="e">
        <f ca="1">ρ_sw*Tbl_Load_distrib[[#This Row],[Elt Area corrected]]*B/k_depl</f>
        <v>#N/A</v>
      </c>
      <c r="S242" s="167" t="e">
        <f ca="1">Tbl_Load_distrib[[#This Row],[Section Weight]]-Tbl_Load_distrib[[#This Row],[Floating Elt]]</f>
        <v>#N/A</v>
      </c>
      <c r="T242" s="183" t="e">
        <f ca="1">IF(ISTEXT($T241),0,$T241+Tbl_Load_distrib[[#This Row],[Net force / Elt]])</f>
        <v>#N/A</v>
      </c>
      <c r="U242" s="261" t="e">
        <f ca="1">IF(ISTEXT($U241),0,$U241+Tbl_Load_distrib[[#This Row],[Shearing Force]]*Tbl_Load_distrib[[#This Row],[L_elt]])</f>
        <v>#N/A</v>
      </c>
    </row>
    <row r="243" spans="2:21" x14ac:dyDescent="0.25">
      <c r="B243" s="136" t="e">
        <f t="shared" si="7"/>
        <v>#N/A</v>
      </c>
      <c r="C243" s="139" t="e">
        <f t="shared" si="8"/>
        <v>#N/A</v>
      </c>
      <c r="D243" s="152">
        <f ca="1">SUM(Tbl_Load_distrib[[#This Row],[Hull &amp; Structure]:[Reserved]])</f>
        <v>0</v>
      </c>
      <c r="E243" s="260">
        <f>SUMIFS(Tbl_Hull_Structure[Spread],Tbl_Hull_Structure[L from],"&lt;"&amp;Tbl_Load_distrib[[#This Row],[x]],Tbl_Hull_Structure[L to],"&gt;"&amp;C242)*Tbl_Load_distrib[[#This Row],[L_elt]]</f>
        <v>0</v>
      </c>
      <c r="F243" s="260">
        <f ca="1">SUMIFS(Tbl_Ballasts[Spread],Tbl_Ballasts[L from],"&lt;"&amp;Tbl_Load_distrib[[#This Row],[x]],Tbl_Ballasts[L to],"&gt;"&amp;C242)*Tbl_Load_distrib[[#This Row],[L_elt]]</f>
        <v>0</v>
      </c>
      <c r="G243" s="260">
        <f>SUMIFS(Tbl_Lifting[Spread],Tbl_Lifting[L from],"&lt;"&amp;Tbl_Load_distrib[[#This Row],[x]],Tbl_Lifting[L to],"&gt;"&amp;C242)*Tbl_Load_distrib[[#This Row],[L_elt]]</f>
        <v>0</v>
      </c>
      <c r="H243" s="260">
        <f>SUMIFS(Tbl_Additionals[Spread],Tbl_Additionals[L from],"&lt;"&amp;Tbl_Load_distrib[[#This Row],[x]],Tbl_Additionals[L to],"&gt;"&amp;C242)*Tbl_Load_distrib[[#This Row],[L_elt]]</f>
        <v>0</v>
      </c>
      <c r="I243" s="260">
        <f ca="1">SUMIFS(Tbl_Deck_Tank[Spread],Tbl_Deck_Tank[L from],"&lt;"&amp;Tbl_Load_distrib[[#This Row],[x]],Tbl_Deck_Tank[L to],"&gt;"&amp;C242)*Tbl_Load_distrib[[#This Row],[L_elt]]</f>
        <v>0</v>
      </c>
      <c r="J243" s="137"/>
      <c r="K243" s="165" t="e">
        <f>IFERROR(Tbl_Long_Section[[#This Row],[H Deck-Bottom]],NA())</f>
        <v>#N/A</v>
      </c>
      <c r="L243" s="829" t="e">
        <f>M_depth-Tbl_Load_distrib[[#This Row],[H Deck-Bottom]]</f>
        <v>#N/A</v>
      </c>
      <c r="M243" s="929">
        <f>IFERROR(Tbl_Load_distrib[[#This Row],[x]]-C242,0)</f>
        <v>0</v>
      </c>
      <c r="N243" s="929" t="e">
        <f>IF(ISNA(Tbl_Load_distrib[[#This Row],[x]]),NA(),IF(ISTEXT(N242),0,IF(N242=0,$Z$3,N242-($Z$3-$AA$3)/(Lpp-FE_size)*Tbl_Load_distrib[[#This Row],[L_elt]])))</f>
        <v>#N/A</v>
      </c>
      <c r="O243" s="166" t="e">
        <f ca="1">IF(ISNUMBER(O242),(IF((N242-L242)&lt;0,0,N242-L242)+IF((Tbl_Load_distrib[[#This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43" s="929" t="e">
        <f>IF(ISNA(Tbl_Load_distrib[[#This Row],[x]]),NA(),IF(ISTEXT(P242),0,IF(P242=0,LongSection_DraftAft,P242-(LongSection_DraftAft-LongSection_DraftFore)/(Lpp-FE_size)*Tbl_Load_distrib[[#This Row],[L_elt]])))</f>
        <v>#N/A</v>
      </c>
      <c r="Q243" s="166" t="e">
        <f ca="1">IF(ISNUMBER(Q242),(IF((P242-L242)&lt;0,0,P242-L242)+IF((Tbl_Load_distrib[[#This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43" s="167" t="e">
        <f ca="1">ρ_sw*Tbl_Load_distrib[[#This Row],[Elt Area corrected]]*B/k_depl</f>
        <v>#N/A</v>
      </c>
      <c r="S243" s="167" t="e">
        <f ca="1">Tbl_Load_distrib[[#This Row],[Section Weight]]-Tbl_Load_distrib[[#This Row],[Floating Elt]]</f>
        <v>#N/A</v>
      </c>
      <c r="T243" s="183" t="e">
        <f ca="1">IF(ISTEXT($T242),0,$T242+Tbl_Load_distrib[[#This Row],[Net force / Elt]])</f>
        <v>#N/A</v>
      </c>
      <c r="U243" s="261" t="e">
        <f ca="1">IF(ISTEXT($U242),0,$U242+Tbl_Load_distrib[[#This Row],[Shearing Force]]*Tbl_Load_distrib[[#This Row],[L_elt]])</f>
        <v>#N/A</v>
      </c>
    </row>
    <row r="244" spans="2:21" x14ac:dyDescent="0.25">
      <c r="B244" s="136" t="e">
        <f t="shared" si="7"/>
        <v>#N/A</v>
      </c>
      <c r="C244" s="139" t="e">
        <f t="shared" si="8"/>
        <v>#N/A</v>
      </c>
      <c r="D244" s="152">
        <f ca="1">SUM(Tbl_Load_distrib[[#This Row],[Hull &amp; Structure]:[Reserved]])</f>
        <v>0</v>
      </c>
      <c r="E244" s="260">
        <f>SUMIFS(Tbl_Hull_Structure[Spread],Tbl_Hull_Structure[L from],"&lt;"&amp;Tbl_Load_distrib[[#This Row],[x]],Tbl_Hull_Structure[L to],"&gt;"&amp;C243)*Tbl_Load_distrib[[#This Row],[L_elt]]</f>
        <v>0</v>
      </c>
      <c r="F244" s="260">
        <f ca="1">SUMIFS(Tbl_Ballasts[Spread],Tbl_Ballasts[L from],"&lt;"&amp;Tbl_Load_distrib[[#This Row],[x]],Tbl_Ballasts[L to],"&gt;"&amp;C243)*Tbl_Load_distrib[[#This Row],[L_elt]]</f>
        <v>0</v>
      </c>
      <c r="G244" s="260">
        <f>SUMIFS(Tbl_Lifting[Spread],Tbl_Lifting[L from],"&lt;"&amp;Tbl_Load_distrib[[#This Row],[x]],Tbl_Lifting[L to],"&gt;"&amp;C243)*Tbl_Load_distrib[[#This Row],[L_elt]]</f>
        <v>0</v>
      </c>
      <c r="H244" s="260">
        <f>SUMIFS(Tbl_Additionals[Spread],Tbl_Additionals[L from],"&lt;"&amp;Tbl_Load_distrib[[#This Row],[x]],Tbl_Additionals[L to],"&gt;"&amp;C243)*Tbl_Load_distrib[[#This Row],[L_elt]]</f>
        <v>0</v>
      </c>
      <c r="I244" s="260">
        <f ca="1">SUMIFS(Tbl_Deck_Tank[Spread],Tbl_Deck_Tank[L from],"&lt;"&amp;Tbl_Load_distrib[[#This Row],[x]],Tbl_Deck_Tank[L to],"&gt;"&amp;C243)*Tbl_Load_distrib[[#This Row],[L_elt]]</f>
        <v>0</v>
      </c>
      <c r="J244" s="137"/>
      <c r="K244" s="165" t="e">
        <f>IFERROR(Tbl_Long_Section[[#This Row],[H Deck-Bottom]],NA())</f>
        <v>#N/A</v>
      </c>
      <c r="L244" s="829" t="e">
        <f>M_depth-Tbl_Load_distrib[[#This Row],[H Deck-Bottom]]</f>
        <v>#N/A</v>
      </c>
      <c r="M244" s="929">
        <f>IFERROR(Tbl_Load_distrib[[#This Row],[x]]-C243,0)</f>
        <v>0</v>
      </c>
      <c r="N244" s="929" t="e">
        <f>IF(ISNA(Tbl_Load_distrib[[#This Row],[x]]),NA(),IF(ISTEXT(N243),0,IF(N243=0,$Z$3,N243-($Z$3-$AA$3)/(Lpp-FE_size)*Tbl_Load_distrib[[#This Row],[L_elt]])))</f>
        <v>#N/A</v>
      </c>
      <c r="O244" s="166" t="e">
        <f ca="1">IF(ISNUMBER(O243),(IF((N243-L243)&lt;0,0,N243-L243)+IF((Tbl_Load_distrib[[#This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44" s="929" t="e">
        <f>IF(ISNA(Tbl_Load_distrib[[#This Row],[x]]),NA(),IF(ISTEXT(P243),0,IF(P243=0,LongSection_DraftAft,P243-(LongSection_DraftAft-LongSection_DraftFore)/(Lpp-FE_size)*Tbl_Load_distrib[[#This Row],[L_elt]])))</f>
        <v>#N/A</v>
      </c>
      <c r="Q244" s="166" t="e">
        <f ca="1">IF(ISNUMBER(Q243),(IF((P243-L243)&lt;0,0,P243-L243)+IF((Tbl_Load_distrib[[#This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44" s="167" t="e">
        <f ca="1">ρ_sw*Tbl_Load_distrib[[#This Row],[Elt Area corrected]]*B/k_depl</f>
        <v>#N/A</v>
      </c>
      <c r="S244" s="167" t="e">
        <f ca="1">Tbl_Load_distrib[[#This Row],[Section Weight]]-Tbl_Load_distrib[[#This Row],[Floating Elt]]</f>
        <v>#N/A</v>
      </c>
      <c r="T244" s="183" t="e">
        <f ca="1">IF(ISTEXT($T243),0,$T243+Tbl_Load_distrib[[#This Row],[Net force / Elt]])</f>
        <v>#N/A</v>
      </c>
      <c r="U244" s="261" t="e">
        <f ca="1">IF(ISTEXT($U243),0,$U243+Tbl_Load_distrib[[#This Row],[Shearing Force]]*Tbl_Load_distrib[[#This Row],[L_elt]])</f>
        <v>#N/A</v>
      </c>
    </row>
    <row r="245" spans="2:21" x14ac:dyDescent="0.25">
      <c r="B245" s="136" t="e">
        <f t="shared" si="7"/>
        <v>#N/A</v>
      </c>
      <c r="C245" s="139" t="e">
        <f t="shared" si="8"/>
        <v>#N/A</v>
      </c>
      <c r="D245" s="152">
        <f ca="1">SUM(Tbl_Load_distrib[[#This Row],[Hull &amp; Structure]:[Reserved]])</f>
        <v>0</v>
      </c>
      <c r="E245" s="260">
        <f>SUMIFS(Tbl_Hull_Structure[Spread],Tbl_Hull_Structure[L from],"&lt;"&amp;Tbl_Load_distrib[[#This Row],[x]],Tbl_Hull_Structure[L to],"&gt;"&amp;C244)*Tbl_Load_distrib[[#This Row],[L_elt]]</f>
        <v>0</v>
      </c>
      <c r="F245" s="260">
        <f ca="1">SUMIFS(Tbl_Ballasts[Spread],Tbl_Ballasts[L from],"&lt;"&amp;Tbl_Load_distrib[[#This Row],[x]],Tbl_Ballasts[L to],"&gt;"&amp;C244)*Tbl_Load_distrib[[#This Row],[L_elt]]</f>
        <v>0</v>
      </c>
      <c r="G245" s="260">
        <f>SUMIFS(Tbl_Lifting[Spread],Tbl_Lifting[L from],"&lt;"&amp;Tbl_Load_distrib[[#This Row],[x]],Tbl_Lifting[L to],"&gt;"&amp;C244)*Tbl_Load_distrib[[#This Row],[L_elt]]</f>
        <v>0</v>
      </c>
      <c r="H245" s="260">
        <f>SUMIFS(Tbl_Additionals[Spread],Tbl_Additionals[L from],"&lt;"&amp;Tbl_Load_distrib[[#This Row],[x]],Tbl_Additionals[L to],"&gt;"&amp;C244)*Tbl_Load_distrib[[#This Row],[L_elt]]</f>
        <v>0</v>
      </c>
      <c r="I245" s="260">
        <f ca="1">SUMIFS(Tbl_Deck_Tank[Spread],Tbl_Deck_Tank[L from],"&lt;"&amp;Tbl_Load_distrib[[#This Row],[x]],Tbl_Deck_Tank[L to],"&gt;"&amp;C244)*Tbl_Load_distrib[[#This Row],[L_elt]]</f>
        <v>0</v>
      </c>
      <c r="J245" s="137"/>
      <c r="K245" s="165" t="e">
        <f>IFERROR(Tbl_Long_Section[[#This Row],[H Deck-Bottom]],NA())</f>
        <v>#N/A</v>
      </c>
      <c r="L245" s="829" t="e">
        <f>M_depth-Tbl_Load_distrib[[#This Row],[H Deck-Bottom]]</f>
        <v>#N/A</v>
      </c>
      <c r="M245" s="929">
        <f>IFERROR(Tbl_Load_distrib[[#This Row],[x]]-C244,0)</f>
        <v>0</v>
      </c>
      <c r="N245" s="929" t="e">
        <f>IF(ISNA(Tbl_Load_distrib[[#This Row],[x]]),NA(),IF(ISTEXT(N244),0,IF(N244=0,$Z$3,N244-($Z$3-$AA$3)/(Lpp-FE_size)*Tbl_Load_distrib[[#This Row],[L_elt]])))</f>
        <v>#N/A</v>
      </c>
      <c r="O245" s="166" t="e">
        <f ca="1">IF(ISNUMBER(O244),(IF((N244-L244)&lt;0,0,N244-L244)+IF((Tbl_Load_distrib[[#This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45" s="929" t="e">
        <f>IF(ISNA(Tbl_Load_distrib[[#This Row],[x]]),NA(),IF(ISTEXT(P244),0,IF(P244=0,LongSection_DraftAft,P244-(LongSection_DraftAft-LongSection_DraftFore)/(Lpp-FE_size)*Tbl_Load_distrib[[#This Row],[L_elt]])))</f>
        <v>#N/A</v>
      </c>
      <c r="Q245" s="166" t="e">
        <f ca="1">IF(ISNUMBER(Q244),(IF((P244-L244)&lt;0,0,P244-L244)+IF((Tbl_Load_distrib[[#This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45" s="167" t="e">
        <f ca="1">ρ_sw*Tbl_Load_distrib[[#This Row],[Elt Area corrected]]*B/k_depl</f>
        <v>#N/A</v>
      </c>
      <c r="S245" s="167" t="e">
        <f ca="1">Tbl_Load_distrib[[#This Row],[Section Weight]]-Tbl_Load_distrib[[#This Row],[Floating Elt]]</f>
        <v>#N/A</v>
      </c>
      <c r="T245" s="183" t="e">
        <f ca="1">IF(ISTEXT($T244),0,$T244+Tbl_Load_distrib[[#This Row],[Net force / Elt]])</f>
        <v>#N/A</v>
      </c>
      <c r="U245" s="261" t="e">
        <f ca="1">IF(ISTEXT($U244),0,$U244+Tbl_Load_distrib[[#This Row],[Shearing Force]]*Tbl_Load_distrib[[#This Row],[L_elt]])</f>
        <v>#N/A</v>
      </c>
    </row>
    <row r="246" spans="2:21" x14ac:dyDescent="0.25">
      <c r="B246" s="136" t="e">
        <f t="shared" si="7"/>
        <v>#N/A</v>
      </c>
      <c r="C246" s="139" t="e">
        <f t="shared" si="8"/>
        <v>#N/A</v>
      </c>
      <c r="D246" s="152">
        <f ca="1">SUM(Tbl_Load_distrib[[#This Row],[Hull &amp; Structure]:[Reserved]])</f>
        <v>0</v>
      </c>
      <c r="E246" s="260">
        <f>SUMIFS(Tbl_Hull_Structure[Spread],Tbl_Hull_Structure[L from],"&lt;"&amp;Tbl_Load_distrib[[#This Row],[x]],Tbl_Hull_Structure[L to],"&gt;"&amp;C245)*Tbl_Load_distrib[[#This Row],[L_elt]]</f>
        <v>0</v>
      </c>
      <c r="F246" s="260">
        <f ca="1">SUMIFS(Tbl_Ballasts[Spread],Tbl_Ballasts[L from],"&lt;"&amp;Tbl_Load_distrib[[#This Row],[x]],Tbl_Ballasts[L to],"&gt;"&amp;C245)*Tbl_Load_distrib[[#This Row],[L_elt]]</f>
        <v>0</v>
      </c>
      <c r="G246" s="260">
        <f>SUMIFS(Tbl_Lifting[Spread],Tbl_Lifting[L from],"&lt;"&amp;Tbl_Load_distrib[[#This Row],[x]],Tbl_Lifting[L to],"&gt;"&amp;C245)*Tbl_Load_distrib[[#This Row],[L_elt]]</f>
        <v>0</v>
      </c>
      <c r="H246" s="260">
        <f>SUMIFS(Tbl_Additionals[Spread],Tbl_Additionals[L from],"&lt;"&amp;Tbl_Load_distrib[[#This Row],[x]],Tbl_Additionals[L to],"&gt;"&amp;C245)*Tbl_Load_distrib[[#This Row],[L_elt]]</f>
        <v>0</v>
      </c>
      <c r="I246" s="260">
        <f ca="1">SUMIFS(Tbl_Deck_Tank[Spread],Tbl_Deck_Tank[L from],"&lt;"&amp;Tbl_Load_distrib[[#This Row],[x]],Tbl_Deck_Tank[L to],"&gt;"&amp;C245)*Tbl_Load_distrib[[#This Row],[L_elt]]</f>
        <v>0</v>
      </c>
      <c r="J246" s="137"/>
      <c r="K246" s="165" t="e">
        <f>IFERROR(Tbl_Long_Section[[#This Row],[H Deck-Bottom]],NA())</f>
        <v>#N/A</v>
      </c>
      <c r="L246" s="829" t="e">
        <f>M_depth-Tbl_Load_distrib[[#This Row],[H Deck-Bottom]]</f>
        <v>#N/A</v>
      </c>
      <c r="M246" s="929">
        <f>IFERROR(Tbl_Load_distrib[[#This Row],[x]]-C245,0)</f>
        <v>0</v>
      </c>
      <c r="N246" s="929" t="e">
        <f>IF(ISNA(Tbl_Load_distrib[[#This Row],[x]]),NA(),IF(ISTEXT(N245),0,IF(N245=0,$Z$3,N245-($Z$3-$AA$3)/(Lpp-FE_size)*Tbl_Load_distrib[[#This Row],[L_elt]])))</f>
        <v>#N/A</v>
      </c>
      <c r="O246" s="166" t="e">
        <f ca="1">IF(ISNUMBER(O245),(IF((N245-L245)&lt;0,0,N245-L245)+IF((Tbl_Load_distrib[[#This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46" s="929" t="e">
        <f>IF(ISNA(Tbl_Load_distrib[[#This Row],[x]]),NA(),IF(ISTEXT(P245),0,IF(P245=0,LongSection_DraftAft,P245-(LongSection_DraftAft-LongSection_DraftFore)/(Lpp-FE_size)*Tbl_Load_distrib[[#This Row],[L_elt]])))</f>
        <v>#N/A</v>
      </c>
      <c r="Q246" s="166" t="e">
        <f ca="1">IF(ISNUMBER(Q245),(IF((P245-L245)&lt;0,0,P245-L245)+IF((Tbl_Load_distrib[[#This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46" s="167" t="e">
        <f ca="1">ρ_sw*Tbl_Load_distrib[[#This Row],[Elt Area corrected]]*B/k_depl</f>
        <v>#N/A</v>
      </c>
      <c r="S246" s="167" t="e">
        <f ca="1">Tbl_Load_distrib[[#This Row],[Section Weight]]-Tbl_Load_distrib[[#This Row],[Floating Elt]]</f>
        <v>#N/A</v>
      </c>
      <c r="T246" s="183" t="e">
        <f ca="1">IF(ISTEXT($T245),0,$T245+Tbl_Load_distrib[[#This Row],[Net force / Elt]])</f>
        <v>#N/A</v>
      </c>
      <c r="U246" s="261" t="e">
        <f ca="1">IF(ISTEXT($U245),0,$U245+Tbl_Load_distrib[[#This Row],[Shearing Force]]*Tbl_Load_distrib[[#This Row],[L_elt]])</f>
        <v>#N/A</v>
      </c>
    </row>
    <row r="247" spans="2:21" x14ac:dyDescent="0.25">
      <c r="B247" s="136" t="e">
        <f t="shared" si="7"/>
        <v>#N/A</v>
      </c>
      <c r="C247" s="139" t="e">
        <f t="shared" si="8"/>
        <v>#N/A</v>
      </c>
      <c r="D247" s="152">
        <f ca="1">SUM(Tbl_Load_distrib[[#This Row],[Hull &amp; Structure]:[Reserved]])</f>
        <v>0</v>
      </c>
      <c r="E247" s="260">
        <f>SUMIFS(Tbl_Hull_Structure[Spread],Tbl_Hull_Structure[L from],"&lt;"&amp;Tbl_Load_distrib[[#This Row],[x]],Tbl_Hull_Structure[L to],"&gt;"&amp;C246)*Tbl_Load_distrib[[#This Row],[L_elt]]</f>
        <v>0</v>
      </c>
      <c r="F247" s="260">
        <f ca="1">SUMIFS(Tbl_Ballasts[Spread],Tbl_Ballasts[L from],"&lt;"&amp;Tbl_Load_distrib[[#This Row],[x]],Tbl_Ballasts[L to],"&gt;"&amp;C246)*Tbl_Load_distrib[[#This Row],[L_elt]]</f>
        <v>0</v>
      </c>
      <c r="G247" s="260">
        <f>SUMIFS(Tbl_Lifting[Spread],Tbl_Lifting[L from],"&lt;"&amp;Tbl_Load_distrib[[#This Row],[x]],Tbl_Lifting[L to],"&gt;"&amp;C246)*Tbl_Load_distrib[[#This Row],[L_elt]]</f>
        <v>0</v>
      </c>
      <c r="H247" s="260">
        <f>SUMIFS(Tbl_Additionals[Spread],Tbl_Additionals[L from],"&lt;"&amp;Tbl_Load_distrib[[#This Row],[x]],Tbl_Additionals[L to],"&gt;"&amp;C246)*Tbl_Load_distrib[[#This Row],[L_elt]]</f>
        <v>0</v>
      </c>
      <c r="I247" s="260">
        <f ca="1">SUMIFS(Tbl_Deck_Tank[Spread],Tbl_Deck_Tank[L from],"&lt;"&amp;Tbl_Load_distrib[[#This Row],[x]],Tbl_Deck_Tank[L to],"&gt;"&amp;C246)*Tbl_Load_distrib[[#This Row],[L_elt]]</f>
        <v>0</v>
      </c>
      <c r="J247" s="137"/>
      <c r="K247" s="165" t="e">
        <f>IFERROR(Tbl_Long_Section[[#This Row],[H Deck-Bottom]],NA())</f>
        <v>#N/A</v>
      </c>
      <c r="L247" s="829" t="e">
        <f>M_depth-Tbl_Load_distrib[[#This Row],[H Deck-Bottom]]</f>
        <v>#N/A</v>
      </c>
      <c r="M247" s="929">
        <f>IFERROR(Tbl_Load_distrib[[#This Row],[x]]-C246,0)</f>
        <v>0</v>
      </c>
      <c r="N247" s="929" t="e">
        <f>IF(ISNA(Tbl_Load_distrib[[#This Row],[x]]),NA(),IF(ISTEXT(N246),0,IF(N246=0,$Z$3,N246-($Z$3-$AA$3)/(Lpp-FE_size)*Tbl_Load_distrib[[#This Row],[L_elt]])))</f>
        <v>#N/A</v>
      </c>
      <c r="O247" s="166" t="e">
        <f ca="1">IF(ISNUMBER(O246),(IF((N246-L246)&lt;0,0,N246-L246)+IF((Tbl_Load_distrib[[#This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47" s="929" t="e">
        <f>IF(ISNA(Tbl_Load_distrib[[#This Row],[x]]),NA(),IF(ISTEXT(P246),0,IF(P246=0,LongSection_DraftAft,P246-(LongSection_DraftAft-LongSection_DraftFore)/(Lpp-FE_size)*Tbl_Load_distrib[[#This Row],[L_elt]])))</f>
        <v>#N/A</v>
      </c>
      <c r="Q247" s="166" t="e">
        <f ca="1">IF(ISNUMBER(Q246),(IF((P246-L246)&lt;0,0,P246-L246)+IF((Tbl_Load_distrib[[#This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47" s="167" t="e">
        <f ca="1">ρ_sw*Tbl_Load_distrib[[#This Row],[Elt Area corrected]]*B/k_depl</f>
        <v>#N/A</v>
      </c>
      <c r="S247" s="167" t="e">
        <f ca="1">Tbl_Load_distrib[[#This Row],[Section Weight]]-Tbl_Load_distrib[[#This Row],[Floating Elt]]</f>
        <v>#N/A</v>
      </c>
      <c r="T247" s="183" t="e">
        <f ca="1">IF(ISTEXT($T246),0,$T246+Tbl_Load_distrib[[#This Row],[Net force / Elt]])</f>
        <v>#N/A</v>
      </c>
      <c r="U247" s="261" t="e">
        <f ca="1">IF(ISTEXT($U246),0,$U246+Tbl_Load_distrib[[#This Row],[Shearing Force]]*Tbl_Load_distrib[[#This Row],[L_elt]])</f>
        <v>#N/A</v>
      </c>
    </row>
    <row r="248" spans="2:21" x14ac:dyDescent="0.25">
      <c r="B248" s="136" t="e">
        <f t="shared" si="7"/>
        <v>#N/A</v>
      </c>
      <c r="C248" s="139" t="e">
        <f t="shared" si="8"/>
        <v>#N/A</v>
      </c>
      <c r="D248" s="152">
        <f ca="1">SUM(Tbl_Load_distrib[[#This Row],[Hull &amp; Structure]:[Reserved]])</f>
        <v>0</v>
      </c>
      <c r="E248" s="260">
        <f>SUMIFS(Tbl_Hull_Structure[Spread],Tbl_Hull_Structure[L from],"&lt;"&amp;Tbl_Load_distrib[[#This Row],[x]],Tbl_Hull_Structure[L to],"&gt;"&amp;C247)*Tbl_Load_distrib[[#This Row],[L_elt]]</f>
        <v>0</v>
      </c>
      <c r="F248" s="260">
        <f ca="1">SUMIFS(Tbl_Ballasts[Spread],Tbl_Ballasts[L from],"&lt;"&amp;Tbl_Load_distrib[[#This Row],[x]],Tbl_Ballasts[L to],"&gt;"&amp;C247)*Tbl_Load_distrib[[#This Row],[L_elt]]</f>
        <v>0</v>
      </c>
      <c r="G248" s="260">
        <f>SUMIFS(Tbl_Lifting[Spread],Tbl_Lifting[L from],"&lt;"&amp;Tbl_Load_distrib[[#This Row],[x]],Tbl_Lifting[L to],"&gt;"&amp;C247)*Tbl_Load_distrib[[#This Row],[L_elt]]</f>
        <v>0</v>
      </c>
      <c r="H248" s="260">
        <f>SUMIFS(Tbl_Additionals[Spread],Tbl_Additionals[L from],"&lt;"&amp;Tbl_Load_distrib[[#This Row],[x]],Tbl_Additionals[L to],"&gt;"&amp;C247)*Tbl_Load_distrib[[#This Row],[L_elt]]</f>
        <v>0</v>
      </c>
      <c r="I248" s="260">
        <f ca="1">SUMIFS(Tbl_Deck_Tank[Spread],Tbl_Deck_Tank[L from],"&lt;"&amp;Tbl_Load_distrib[[#This Row],[x]],Tbl_Deck_Tank[L to],"&gt;"&amp;C247)*Tbl_Load_distrib[[#This Row],[L_elt]]</f>
        <v>0</v>
      </c>
      <c r="J248" s="137"/>
      <c r="K248" s="165" t="e">
        <f>IFERROR(Tbl_Long_Section[[#This Row],[H Deck-Bottom]],NA())</f>
        <v>#N/A</v>
      </c>
      <c r="L248" s="829" t="e">
        <f>M_depth-Tbl_Load_distrib[[#This Row],[H Deck-Bottom]]</f>
        <v>#N/A</v>
      </c>
      <c r="M248" s="929">
        <f>IFERROR(Tbl_Load_distrib[[#This Row],[x]]-C247,0)</f>
        <v>0</v>
      </c>
      <c r="N248" s="929" t="e">
        <f>IF(ISNA(Tbl_Load_distrib[[#This Row],[x]]),NA(),IF(ISTEXT(N247),0,IF(N247=0,$Z$3,N247-($Z$3-$AA$3)/(Lpp-FE_size)*Tbl_Load_distrib[[#This Row],[L_elt]])))</f>
        <v>#N/A</v>
      </c>
      <c r="O248" s="166" t="e">
        <f ca="1">IF(ISNUMBER(O247),(IF((N247-L247)&lt;0,0,N247-L247)+IF((Tbl_Load_distrib[[#This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48" s="929" t="e">
        <f>IF(ISNA(Tbl_Load_distrib[[#This Row],[x]]),NA(),IF(ISTEXT(P247),0,IF(P247=0,LongSection_DraftAft,P247-(LongSection_DraftAft-LongSection_DraftFore)/(Lpp-FE_size)*Tbl_Load_distrib[[#This Row],[L_elt]])))</f>
        <v>#N/A</v>
      </c>
      <c r="Q248" s="166" t="e">
        <f ca="1">IF(ISNUMBER(Q247),(IF((P247-L247)&lt;0,0,P247-L247)+IF((Tbl_Load_distrib[[#This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48" s="167" t="e">
        <f ca="1">ρ_sw*Tbl_Load_distrib[[#This Row],[Elt Area corrected]]*B/k_depl</f>
        <v>#N/A</v>
      </c>
      <c r="S248" s="167" t="e">
        <f ca="1">Tbl_Load_distrib[[#This Row],[Section Weight]]-Tbl_Load_distrib[[#This Row],[Floating Elt]]</f>
        <v>#N/A</v>
      </c>
      <c r="T248" s="183" t="e">
        <f ca="1">IF(ISTEXT($T247),0,$T247+Tbl_Load_distrib[[#This Row],[Net force / Elt]])</f>
        <v>#N/A</v>
      </c>
      <c r="U248" s="261" t="e">
        <f ca="1">IF(ISTEXT($U247),0,$U247+Tbl_Load_distrib[[#This Row],[Shearing Force]]*Tbl_Load_distrib[[#This Row],[L_elt]])</f>
        <v>#N/A</v>
      </c>
    </row>
    <row r="249" spans="2:21" x14ac:dyDescent="0.25">
      <c r="B249" s="136" t="e">
        <f t="shared" si="7"/>
        <v>#N/A</v>
      </c>
      <c r="C249" s="139" t="e">
        <f t="shared" si="8"/>
        <v>#N/A</v>
      </c>
      <c r="D249" s="152">
        <f ca="1">SUM(Tbl_Load_distrib[[#This Row],[Hull &amp; Structure]:[Reserved]])</f>
        <v>0</v>
      </c>
      <c r="E249" s="260">
        <f>SUMIFS(Tbl_Hull_Structure[Spread],Tbl_Hull_Structure[L from],"&lt;"&amp;Tbl_Load_distrib[[#This Row],[x]],Tbl_Hull_Structure[L to],"&gt;"&amp;C248)*Tbl_Load_distrib[[#This Row],[L_elt]]</f>
        <v>0</v>
      </c>
      <c r="F249" s="260">
        <f ca="1">SUMIFS(Tbl_Ballasts[Spread],Tbl_Ballasts[L from],"&lt;"&amp;Tbl_Load_distrib[[#This Row],[x]],Tbl_Ballasts[L to],"&gt;"&amp;C248)*Tbl_Load_distrib[[#This Row],[L_elt]]</f>
        <v>0</v>
      </c>
      <c r="G249" s="260">
        <f>SUMIFS(Tbl_Lifting[Spread],Tbl_Lifting[L from],"&lt;"&amp;Tbl_Load_distrib[[#This Row],[x]],Tbl_Lifting[L to],"&gt;"&amp;C248)*Tbl_Load_distrib[[#This Row],[L_elt]]</f>
        <v>0</v>
      </c>
      <c r="H249" s="260">
        <f>SUMIFS(Tbl_Additionals[Spread],Tbl_Additionals[L from],"&lt;"&amp;Tbl_Load_distrib[[#This Row],[x]],Tbl_Additionals[L to],"&gt;"&amp;C248)*Tbl_Load_distrib[[#This Row],[L_elt]]</f>
        <v>0</v>
      </c>
      <c r="I249" s="260">
        <f ca="1">SUMIFS(Tbl_Deck_Tank[Spread],Tbl_Deck_Tank[L from],"&lt;"&amp;Tbl_Load_distrib[[#This Row],[x]],Tbl_Deck_Tank[L to],"&gt;"&amp;C248)*Tbl_Load_distrib[[#This Row],[L_elt]]</f>
        <v>0</v>
      </c>
      <c r="J249" s="137"/>
      <c r="K249" s="165" t="e">
        <f>IFERROR(Tbl_Long_Section[[#This Row],[H Deck-Bottom]],NA())</f>
        <v>#N/A</v>
      </c>
      <c r="L249" s="829" t="e">
        <f>M_depth-Tbl_Load_distrib[[#This Row],[H Deck-Bottom]]</f>
        <v>#N/A</v>
      </c>
      <c r="M249" s="929">
        <f>IFERROR(Tbl_Load_distrib[[#This Row],[x]]-C248,0)</f>
        <v>0</v>
      </c>
      <c r="N249" s="929" t="e">
        <f>IF(ISNA(Tbl_Load_distrib[[#This Row],[x]]),NA(),IF(ISTEXT(N248),0,IF(N248=0,$Z$3,N248-($Z$3-$AA$3)/(Lpp-FE_size)*Tbl_Load_distrib[[#This Row],[L_elt]])))</f>
        <v>#N/A</v>
      </c>
      <c r="O249" s="166" t="e">
        <f ca="1">IF(ISNUMBER(O248),(IF((N248-L248)&lt;0,0,N248-L248)+IF((Tbl_Load_distrib[[#This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49" s="929" t="e">
        <f>IF(ISNA(Tbl_Load_distrib[[#This Row],[x]]),NA(),IF(ISTEXT(P248),0,IF(P248=0,LongSection_DraftAft,P248-(LongSection_DraftAft-LongSection_DraftFore)/(Lpp-FE_size)*Tbl_Load_distrib[[#This Row],[L_elt]])))</f>
        <v>#N/A</v>
      </c>
      <c r="Q249" s="166" t="e">
        <f ca="1">IF(ISNUMBER(Q248),(IF((P248-L248)&lt;0,0,P248-L248)+IF((Tbl_Load_distrib[[#This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49" s="167" t="e">
        <f ca="1">ρ_sw*Tbl_Load_distrib[[#This Row],[Elt Area corrected]]*B/k_depl</f>
        <v>#N/A</v>
      </c>
      <c r="S249" s="167" t="e">
        <f ca="1">Tbl_Load_distrib[[#This Row],[Section Weight]]-Tbl_Load_distrib[[#This Row],[Floating Elt]]</f>
        <v>#N/A</v>
      </c>
      <c r="T249" s="183" t="e">
        <f ca="1">IF(ISTEXT($T248),0,$T248+Tbl_Load_distrib[[#This Row],[Net force / Elt]])</f>
        <v>#N/A</v>
      </c>
      <c r="U249" s="261" t="e">
        <f ca="1">IF(ISTEXT($U248),0,$U248+Tbl_Load_distrib[[#This Row],[Shearing Force]]*Tbl_Load_distrib[[#This Row],[L_elt]])</f>
        <v>#N/A</v>
      </c>
    </row>
    <row r="250" spans="2:21" x14ac:dyDescent="0.25">
      <c r="B250" s="136" t="e">
        <f t="shared" si="7"/>
        <v>#N/A</v>
      </c>
      <c r="C250" s="139" t="e">
        <f t="shared" si="8"/>
        <v>#N/A</v>
      </c>
      <c r="D250" s="152">
        <f ca="1">SUM(Tbl_Load_distrib[[#This Row],[Hull &amp; Structure]:[Reserved]])</f>
        <v>0</v>
      </c>
      <c r="E250" s="260">
        <f>SUMIFS(Tbl_Hull_Structure[Spread],Tbl_Hull_Structure[L from],"&lt;"&amp;Tbl_Load_distrib[[#This Row],[x]],Tbl_Hull_Structure[L to],"&gt;"&amp;C249)*Tbl_Load_distrib[[#This Row],[L_elt]]</f>
        <v>0</v>
      </c>
      <c r="F250" s="260">
        <f ca="1">SUMIFS(Tbl_Ballasts[Spread],Tbl_Ballasts[L from],"&lt;"&amp;Tbl_Load_distrib[[#This Row],[x]],Tbl_Ballasts[L to],"&gt;"&amp;C249)*Tbl_Load_distrib[[#This Row],[L_elt]]</f>
        <v>0</v>
      </c>
      <c r="G250" s="260">
        <f>SUMIFS(Tbl_Lifting[Spread],Tbl_Lifting[L from],"&lt;"&amp;Tbl_Load_distrib[[#This Row],[x]],Tbl_Lifting[L to],"&gt;"&amp;C249)*Tbl_Load_distrib[[#This Row],[L_elt]]</f>
        <v>0</v>
      </c>
      <c r="H250" s="260">
        <f>SUMIFS(Tbl_Additionals[Spread],Tbl_Additionals[L from],"&lt;"&amp;Tbl_Load_distrib[[#This Row],[x]],Tbl_Additionals[L to],"&gt;"&amp;C249)*Tbl_Load_distrib[[#This Row],[L_elt]]</f>
        <v>0</v>
      </c>
      <c r="I250" s="260">
        <f ca="1">SUMIFS(Tbl_Deck_Tank[Spread],Tbl_Deck_Tank[L from],"&lt;"&amp;Tbl_Load_distrib[[#This Row],[x]],Tbl_Deck_Tank[L to],"&gt;"&amp;C249)*Tbl_Load_distrib[[#This Row],[L_elt]]</f>
        <v>0</v>
      </c>
      <c r="J250" s="137"/>
      <c r="K250" s="165" t="e">
        <f>IFERROR(Tbl_Long_Section[[#This Row],[H Deck-Bottom]],NA())</f>
        <v>#N/A</v>
      </c>
      <c r="L250" s="829" t="e">
        <f>M_depth-Tbl_Load_distrib[[#This Row],[H Deck-Bottom]]</f>
        <v>#N/A</v>
      </c>
      <c r="M250" s="929">
        <f>IFERROR(Tbl_Load_distrib[[#This Row],[x]]-C249,0)</f>
        <v>0</v>
      </c>
      <c r="N250" s="929" t="e">
        <f>IF(ISNA(Tbl_Load_distrib[[#This Row],[x]]),NA(),IF(ISTEXT(N249),0,IF(N249=0,$Z$3,N249-($Z$3-$AA$3)/(Lpp-FE_size)*Tbl_Load_distrib[[#This Row],[L_elt]])))</f>
        <v>#N/A</v>
      </c>
      <c r="O250" s="166" t="e">
        <f ca="1">IF(ISNUMBER(O249),(IF((N249-L249)&lt;0,0,N249-L249)+IF((Tbl_Load_distrib[[#This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50" s="929" t="e">
        <f>IF(ISNA(Tbl_Load_distrib[[#This Row],[x]]),NA(),IF(ISTEXT(P249),0,IF(P249=0,LongSection_DraftAft,P249-(LongSection_DraftAft-LongSection_DraftFore)/(Lpp-FE_size)*Tbl_Load_distrib[[#This Row],[L_elt]])))</f>
        <v>#N/A</v>
      </c>
      <c r="Q250" s="166" t="e">
        <f ca="1">IF(ISNUMBER(Q249),(IF((P249-L249)&lt;0,0,P249-L249)+IF((Tbl_Load_distrib[[#This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50" s="167" t="e">
        <f ca="1">ρ_sw*Tbl_Load_distrib[[#This Row],[Elt Area corrected]]*B/k_depl</f>
        <v>#N/A</v>
      </c>
      <c r="S250" s="167" t="e">
        <f ca="1">Tbl_Load_distrib[[#This Row],[Section Weight]]-Tbl_Load_distrib[[#This Row],[Floating Elt]]</f>
        <v>#N/A</v>
      </c>
      <c r="T250" s="183" t="e">
        <f ca="1">IF(ISTEXT($T249),0,$T249+Tbl_Load_distrib[[#This Row],[Net force / Elt]])</f>
        <v>#N/A</v>
      </c>
      <c r="U250" s="261" t="e">
        <f ca="1">IF(ISTEXT($U249),0,$U249+Tbl_Load_distrib[[#This Row],[Shearing Force]]*Tbl_Load_distrib[[#This Row],[L_elt]])</f>
        <v>#N/A</v>
      </c>
    </row>
    <row r="251" spans="2:21" x14ac:dyDescent="0.25">
      <c r="B251" s="136" t="e">
        <f t="shared" si="7"/>
        <v>#N/A</v>
      </c>
      <c r="C251" s="139" t="e">
        <f t="shared" si="8"/>
        <v>#N/A</v>
      </c>
      <c r="D251" s="152">
        <f ca="1">SUM(Tbl_Load_distrib[[#This Row],[Hull &amp; Structure]:[Reserved]])</f>
        <v>0</v>
      </c>
      <c r="E251" s="260">
        <f>SUMIFS(Tbl_Hull_Structure[Spread],Tbl_Hull_Structure[L from],"&lt;"&amp;Tbl_Load_distrib[[#This Row],[x]],Tbl_Hull_Structure[L to],"&gt;"&amp;C250)*Tbl_Load_distrib[[#This Row],[L_elt]]</f>
        <v>0</v>
      </c>
      <c r="F251" s="260">
        <f ca="1">SUMIFS(Tbl_Ballasts[Spread],Tbl_Ballasts[L from],"&lt;"&amp;Tbl_Load_distrib[[#This Row],[x]],Tbl_Ballasts[L to],"&gt;"&amp;C250)*Tbl_Load_distrib[[#This Row],[L_elt]]</f>
        <v>0</v>
      </c>
      <c r="G251" s="260">
        <f>SUMIFS(Tbl_Lifting[Spread],Tbl_Lifting[L from],"&lt;"&amp;Tbl_Load_distrib[[#This Row],[x]],Tbl_Lifting[L to],"&gt;"&amp;C250)*Tbl_Load_distrib[[#This Row],[L_elt]]</f>
        <v>0</v>
      </c>
      <c r="H251" s="260">
        <f>SUMIFS(Tbl_Additionals[Spread],Tbl_Additionals[L from],"&lt;"&amp;Tbl_Load_distrib[[#This Row],[x]],Tbl_Additionals[L to],"&gt;"&amp;C250)*Tbl_Load_distrib[[#This Row],[L_elt]]</f>
        <v>0</v>
      </c>
      <c r="I251" s="260">
        <f ca="1">SUMIFS(Tbl_Deck_Tank[Spread],Tbl_Deck_Tank[L from],"&lt;"&amp;Tbl_Load_distrib[[#This Row],[x]],Tbl_Deck_Tank[L to],"&gt;"&amp;C250)*Tbl_Load_distrib[[#This Row],[L_elt]]</f>
        <v>0</v>
      </c>
      <c r="J251" s="137"/>
      <c r="K251" s="165" t="e">
        <f>IFERROR(Tbl_Long_Section[[#This Row],[H Deck-Bottom]],NA())</f>
        <v>#N/A</v>
      </c>
      <c r="L251" s="829" t="e">
        <f>M_depth-Tbl_Load_distrib[[#This Row],[H Deck-Bottom]]</f>
        <v>#N/A</v>
      </c>
      <c r="M251" s="929">
        <f>IFERROR(Tbl_Load_distrib[[#This Row],[x]]-C250,0)</f>
        <v>0</v>
      </c>
      <c r="N251" s="929" t="e">
        <f>IF(ISNA(Tbl_Load_distrib[[#This Row],[x]]),NA(),IF(ISTEXT(N250),0,IF(N250=0,$Z$3,N250-($Z$3-$AA$3)/(Lpp-FE_size)*Tbl_Load_distrib[[#This Row],[L_elt]])))</f>
        <v>#N/A</v>
      </c>
      <c r="O251" s="166" t="e">
        <f ca="1">IF(ISNUMBER(O250),(IF((N250-L250)&lt;0,0,N250-L250)+IF((Tbl_Load_distrib[[#This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51" s="929" t="e">
        <f>IF(ISNA(Tbl_Load_distrib[[#This Row],[x]]),NA(),IF(ISTEXT(P250),0,IF(P250=0,LongSection_DraftAft,P250-(LongSection_DraftAft-LongSection_DraftFore)/(Lpp-FE_size)*Tbl_Load_distrib[[#This Row],[L_elt]])))</f>
        <v>#N/A</v>
      </c>
      <c r="Q251" s="166" t="e">
        <f ca="1">IF(ISNUMBER(Q250),(IF((P250-L250)&lt;0,0,P250-L250)+IF((Tbl_Load_distrib[[#This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51" s="167" t="e">
        <f ca="1">ρ_sw*Tbl_Load_distrib[[#This Row],[Elt Area corrected]]*B/k_depl</f>
        <v>#N/A</v>
      </c>
      <c r="S251" s="167" t="e">
        <f ca="1">Tbl_Load_distrib[[#This Row],[Section Weight]]-Tbl_Load_distrib[[#This Row],[Floating Elt]]</f>
        <v>#N/A</v>
      </c>
      <c r="T251" s="183" t="e">
        <f ca="1">IF(ISTEXT($T250),0,$T250+Tbl_Load_distrib[[#This Row],[Net force / Elt]])</f>
        <v>#N/A</v>
      </c>
      <c r="U251" s="261" t="e">
        <f ca="1">IF(ISTEXT($U250),0,$U250+Tbl_Load_distrib[[#This Row],[Shearing Force]]*Tbl_Load_distrib[[#This Row],[L_elt]])</f>
        <v>#N/A</v>
      </c>
    </row>
    <row r="252" spans="2:21" x14ac:dyDescent="0.25">
      <c r="B252" s="136" t="e">
        <f t="shared" si="7"/>
        <v>#N/A</v>
      </c>
      <c r="C252" s="139" t="e">
        <f t="shared" si="8"/>
        <v>#N/A</v>
      </c>
      <c r="D252" s="152">
        <f ca="1">SUM(Tbl_Load_distrib[[#This Row],[Hull &amp; Structure]:[Reserved]])</f>
        <v>0</v>
      </c>
      <c r="E252" s="260">
        <f>SUMIFS(Tbl_Hull_Structure[Spread],Tbl_Hull_Structure[L from],"&lt;"&amp;Tbl_Load_distrib[[#This Row],[x]],Tbl_Hull_Structure[L to],"&gt;"&amp;C251)*Tbl_Load_distrib[[#This Row],[L_elt]]</f>
        <v>0</v>
      </c>
      <c r="F252" s="260">
        <f ca="1">SUMIFS(Tbl_Ballasts[Spread],Tbl_Ballasts[L from],"&lt;"&amp;Tbl_Load_distrib[[#This Row],[x]],Tbl_Ballasts[L to],"&gt;"&amp;C251)*Tbl_Load_distrib[[#This Row],[L_elt]]</f>
        <v>0</v>
      </c>
      <c r="G252" s="260">
        <f>SUMIFS(Tbl_Lifting[Spread],Tbl_Lifting[L from],"&lt;"&amp;Tbl_Load_distrib[[#This Row],[x]],Tbl_Lifting[L to],"&gt;"&amp;C251)*Tbl_Load_distrib[[#This Row],[L_elt]]</f>
        <v>0</v>
      </c>
      <c r="H252" s="260">
        <f>SUMIFS(Tbl_Additionals[Spread],Tbl_Additionals[L from],"&lt;"&amp;Tbl_Load_distrib[[#This Row],[x]],Tbl_Additionals[L to],"&gt;"&amp;C251)*Tbl_Load_distrib[[#This Row],[L_elt]]</f>
        <v>0</v>
      </c>
      <c r="I252" s="260">
        <f ca="1">SUMIFS(Tbl_Deck_Tank[Spread],Tbl_Deck_Tank[L from],"&lt;"&amp;Tbl_Load_distrib[[#This Row],[x]],Tbl_Deck_Tank[L to],"&gt;"&amp;C251)*Tbl_Load_distrib[[#This Row],[L_elt]]</f>
        <v>0</v>
      </c>
      <c r="J252" s="137"/>
      <c r="K252" s="165" t="e">
        <f>IFERROR(Tbl_Long_Section[[#This Row],[H Deck-Bottom]],NA())</f>
        <v>#N/A</v>
      </c>
      <c r="L252" s="829" t="e">
        <f>M_depth-Tbl_Load_distrib[[#This Row],[H Deck-Bottom]]</f>
        <v>#N/A</v>
      </c>
      <c r="M252" s="929">
        <f>IFERROR(Tbl_Load_distrib[[#This Row],[x]]-C251,0)</f>
        <v>0</v>
      </c>
      <c r="N252" s="929" t="e">
        <f>IF(ISNA(Tbl_Load_distrib[[#This Row],[x]]),NA(),IF(ISTEXT(N251),0,IF(N251=0,$Z$3,N251-($Z$3-$AA$3)/(Lpp-FE_size)*Tbl_Load_distrib[[#This Row],[L_elt]])))</f>
        <v>#N/A</v>
      </c>
      <c r="O252" s="166" t="e">
        <f ca="1">IF(ISNUMBER(O251),(IF((N251-L251)&lt;0,0,N251-L251)+IF((Tbl_Load_distrib[[#This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52" s="929" t="e">
        <f>IF(ISNA(Tbl_Load_distrib[[#This Row],[x]]),NA(),IF(ISTEXT(P251),0,IF(P251=0,LongSection_DraftAft,P251-(LongSection_DraftAft-LongSection_DraftFore)/(Lpp-FE_size)*Tbl_Load_distrib[[#This Row],[L_elt]])))</f>
        <v>#N/A</v>
      </c>
      <c r="Q252" s="166" t="e">
        <f ca="1">IF(ISNUMBER(Q251),(IF((P251-L251)&lt;0,0,P251-L251)+IF((Tbl_Load_distrib[[#This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52" s="167" t="e">
        <f ca="1">ρ_sw*Tbl_Load_distrib[[#This Row],[Elt Area corrected]]*B/k_depl</f>
        <v>#N/A</v>
      </c>
      <c r="S252" s="167" t="e">
        <f ca="1">Tbl_Load_distrib[[#This Row],[Section Weight]]-Tbl_Load_distrib[[#This Row],[Floating Elt]]</f>
        <v>#N/A</v>
      </c>
      <c r="T252" s="183" t="e">
        <f ca="1">IF(ISTEXT($T251),0,$T251+Tbl_Load_distrib[[#This Row],[Net force / Elt]])</f>
        <v>#N/A</v>
      </c>
      <c r="U252" s="261" t="e">
        <f ca="1">IF(ISTEXT($U251),0,$U251+Tbl_Load_distrib[[#This Row],[Shearing Force]]*Tbl_Load_distrib[[#This Row],[L_elt]])</f>
        <v>#N/A</v>
      </c>
    </row>
    <row r="253" spans="2:21" x14ac:dyDescent="0.25">
      <c r="B253" s="136" t="e">
        <f t="shared" si="7"/>
        <v>#N/A</v>
      </c>
      <c r="C253" s="139" t="e">
        <f t="shared" si="8"/>
        <v>#N/A</v>
      </c>
      <c r="D253" s="152">
        <f ca="1">SUM(Tbl_Load_distrib[[#This Row],[Hull &amp; Structure]:[Reserved]])</f>
        <v>0</v>
      </c>
      <c r="E253" s="260">
        <f>SUMIFS(Tbl_Hull_Structure[Spread],Tbl_Hull_Structure[L from],"&lt;"&amp;Tbl_Load_distrib[[#This Row],[x]],Tbl_Hull_Structure[L to],"&gt;"&amp;C252)*Tbl_Load_distrib[[#This Row],[L_elt]]</f>
        <v>0</v>
      </c>
      <c r="F253" s="260">
        <f ca="1">SUMIFS(Tbl_Ballasts[Spread],Tbl_Ballasts[L from],"&lt;"&amp;Tbl_Load_distrib[[#This Row],[x]],Tbl_Ballasts[L to],"&gt;"&amp;C252)*Tbl_Load_distrib[[#This Row],[L_elt]]</f>
        <v>0</v>
      </c>
      <c r="G253" s="260">
        <f>SUMIFS(Tbl_Lifting[Spread],Tbl_Lifting[L from],"&lt;"&amp;Tbl_Load_distrib[[#This Row],[x]],Tbl_Lifting[L to],"&gt;"&amp;C252)*Tbl_Load_distrib[[#This Row],[L_elt]]</f>
        <v>0</v>
      </c>
      <c r="H253" s="260">
        <f>SUMIFS(Tbl_Additionals[Spread],Tbl_Additionals[L from],"&lt;"&amp;Tbl_Load_distrib[[#This Row],[x]],Tbl_Additionals[L to],"&gt;"&amp;C252)*Tbl_Load_distrib[[#This Row],[L_elt]]</f>
        <v>0</v>
      </c>
      <c r="I253" s="260">
        <f ca="1">SUMIFS(Tbl_Deck_Tank[Spread],Tbl_Deck_Tank[L from],"&lt;"&amp;Tbl_Load_distrib[[#This Row],[x]],Tbl_Deck_Tank[L to],"&gt;"&amp;C252)*Tbl_Load_distrib[[#This Row],[L_elt]]</f>
        <v>0</v>
      </c>
      <c r="J253" s="137"/>
      <c r="K253" s="165" t="e">
        <f>IFERROR(Tbl_Long_Section[[#This Row],[H Deck-Bottom]],NA())</f>
        <v>#N/A</v>
      </c>
      <c r="L253" s="829" t="e">
        <f>M_depth-Tbl_Load_distrib[[#This Row],[H Deck-Bottom]]</f>
        <v>#N/A</v>
      </c>
      <c r="M253" s="929">
        <f>IFERROR(Tbl_Load_distrib[[#This Row],[x]]-C252,0)</f>
        <v>0</v>
      </c>
      <c r="N253" s="929" t="e">
        <f>IF(ISNA(Tbl_Load_distrib[[#This Row],[x]]),NA(),IF(ISTEXT(N252),0,IF(N252=0,$Z$3,N252-($Z$3-$AA$3)/(Lpp-FE_size)*Tbl_Load_distrib[[#This Row],[L_elt]])))</f>
        <v>#N/A</v>
      </c>
      <c r="O253" s="166" t="e">
        <f ca="1">IF(ISNUMBER(O252),(IF((N252-L252)&lt;0,0,N252-L252)+IF((Tbl_Load_distrib[[#This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53" s="929" t="e">
        <f>IF(ISNA(Tbl_Load_distrib[[#This Row],[x]]),NA(),IF(ISTEXT(P252),0,IF(P252=0,LongSection_DraftAft,P252-(LongSection_DraftAft-LongSection_DraftFore)/(Lpp-FE_size)*Tbl_Load_distrib[[#This Row],[L_elt]])))</f>
        <v>#N/A</v>
      </c>
      <c r="Q253" s="166" t="e">
        <f ca="1">IF(ISNUMBER(Q252),(IF((P252-L252)&lt;0,0,P252-L252)+IF((Tbl_Load_distrib[[#This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53" s="167" t="e">
        <f ca="1">ρ_sw*Tbl_Load_distrib[[#This Row],[Elt Area corrected]]*B/k_depl</f>
        <v>#N/A</v>
      </c>
      <c r="S253" s="167" t="e">
        <f ca="1">Tbl_Load_distrib[[#This Row],[Section Weight]]-Tbl_Load_distrib[[#This Row],[Floating Elt]]</f>
        <v>#N/A</v>
      </c>
      <c r="T253" s="183" t="e">
        <f ca="1">IF(ISTEXT($T252),0,$T252+Tbl_Load_distrib[[#This Row],[Net force / Elt]])</f>
        <v>#N/A</v>
      </c>
      <c r="U253" s="261" t="e">
        <f ca="1">IF(ISTEXT($U252),0,$U252+Tbl_Load_distrib[[#This Row],[Shearing Force]]*Tbl_Load_distrib[[#This Row],[L_elt]])</f>
        <v>#N/A</v>
      </c>
    </row>
    <row r="254" spans="2:21" x14ac:dyDescent="0.25">
      <c r="B254" s="136" t="e">
        <f t="shared" si="7"/>
        <v>#N/A</v>
      </c>
      <c r="C254" s="139" t="e">
        <f t="shared" si="8"/>
        <v>#N/A</v>
      </c>
      <c r="D254" s="152">
        <f ca="1">SUM(Tbl_Load_distrib[[#This Row],[Hull &amp; Structure]:[Reserved]])</f>
        <v>0</v>
      </c>
      <c r="E254" s="260">
        <f>SUMIFS(Tbl_Hull_Structure[Spread],Tbl_Hull_Structure[L from],"&lt;"&amp;Tbl_Load_distrib[[#This Row],[x]],Tbl_Hull_Structure[L to],"&gt;"&amp;C253)*Tbl_Load_distrib[[#This Row],[L_elt]]</f>
        <v>0</v>
      </c>
      <c r="F254" s="260">
        <f ca="1">SUMIFS(Tbl_Ballasts[Spread],Tbl_Ballasts[L from],"&lt;"&amp;Tbl_Load_distrib[[#This Row],[x]],Tbl_Ballasts[L to],"&gt;"&amp;C253)*Tbl_Load_distrib[[#This Row],[L_elt]]</f>
        <v>0</v>
      </c>
      <c r="G254" s="260">
        <f>SUMIFS(Tbl_Lifting[Spread],Tbl_Lifting[L from],"&lt;"&amp;Tbl_Load_distrib[[#This Row],[x]],Tbl_Lifting[L to],"&gt;"&amp;C253)*Tbl_Load_distrib[[#This Row],[L_elt]]</f>
        <v>0</v>
      </c>
      <c r="H254" s="260">
        <f>SUMIFS(Tbl_Additionals[Spread],Tbl_Additionals[L from],"&lt;"&amp;Tbl_Load_distrib[[#This Row],[x]],Tbl_Additionals[L to],"&gt;"&amp;C253)*Tbl_Load_distrib[[#This Row],[L_elt]]</f>
        <v>0</v>
      </c>
      <c r="I254" s="260">
        <f ca="1">SUMIFS(Tbl_Deck_Tank[Spread],Tbl_Deck_Tank[L from],"&lt;"&amp;Tbl_Load_distrib[[#This Row],[x]],Tbl_Deck_Tank[L to],"&gt;"&amp;C253)*Tbl_Load_distrib[[#This Row],[L_elt]]</f>
        <v>0</v>
      </c>
      <c r="J254" s="137"/>
      <c r="K254" s="165" t="e">
        <f>IFERROR(Tbl_Long_Section[[#This Row],[H Deck-Bottom]],NA())</f>
        <v>#N/A</v>
      </c>
      <c r="L254" s="829" t="e">
        <f>M_depth-Tbl_Load_distrib[[#This Row],[H Deck-Bottom]]</f>
        <v>#N/A</v>
      </c>
      <c r="M254" s="929">
        <f>IFERROR(Tbl_Load_distrib[[#This Row],[x]]-C253,0)</f>
        <v>0</v>
      </c>
      <c r="N254" s="929" t="e">
        <f>IF(ISNA(Tbl_Load_distrib[[#This Row],[x]]),NA(),IF(ISTEXT(N253),0,IF(N253=0,$Z$3,N253-($Z$3-$AA$3)/(Lpp-FE_size)*Tbl_Load_distrib[[#This Row],[L_elt]])))</f>
        <v>#N/A</v>
      </c>
      <c r="O254" s="166" t="e">
        <f ca="1">IF(ISNUMBER(O253),(IF((N253-L253)&lt;0,0,N253-L253)+IF((Tbl_Load_distrib[[#This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54" s="929" t="e">
        <f>IF(ISNA(Tbl_Load_distrib[[#This Row],[x]]),NA(),IF(ISTEXT(P253),0,IF(P253=0,LongSection_DraftAft,P253-(LongSection_DraftAft-LongSection_DraftFore)/(Lpp-FE_size)*Tbl_Load_distrib[[#This Row],[L_elt]])))</f>
        <v>#N/A</v>
      </c>
      <c r="Q254" s="166" t="e">
        <f ca="1">IF(ISNUMBER(Q253),(IF((P253-L253)&lt;0,0,P253-L253)+IF((Tbl_Load_distrib[[#This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54" s="167" t="e">
        <f ca="1">ρ_sw*Tbl_Load_distrib[[#This Row],[Elt Area corrected]]*B/k_depl</f>
        <v>#N/A</v>
      </c>
      <c r="S254" s="167" t="e">
        <f ca="1">Tbl_Load_distrib[[#This Row],[Section Weight]]-Tbl_Load_distrib[[#This Row],[Floating Elt]]</f>
        <v>#N/A</v>
      </c>
      <c r="T254" s="183" t="e">
        <f ca="1">IF(ISTEXT($T253),0,$T253+Tbl_Load_distrib[[#This Row],[Net force / Elt]])</f>
        <v>#N/A</v>
      </c>
      <c r="U254" s="261" t="e">
        <f ca="1">IF(ISTEXT($U253),0,$U253+Tbl_Load_distrib[[#This Row],[Shearing Force]]*Tbl_Load_distrib[[#This Row],[L_elt]])</f>
        <v>#N/A</v>
      </c>
    </row>
    <row r="255" spans="2:21" x14ac:dyDescent="0.25">
      <c r="B255" s="136" t="e">
        <f t="shared" si="7"/>
        <v>#N/A</v>
      </c>
      <c r="C255" s="139" t="e">
        <f t="shared" si="8"/>
        <v>#N/A</v>
      </c>
      <c r="D255" s="152">
        <f ca="1">SUM(Tbl_Load_distrib[[#This Row],[Hull &amp; Structure]:[Reserved]])</f>
        <v>0</v>
      </c>
      <c r="E255" s="260">
        <f>SUMIFS(Tbl_Hull_Structure[Spread],Tbl_Hull_Structure[L from],"&lt;"&amp;Tbl_Load_distrib[[#This Row],[x]],Tbl_Hull_Structure[L to],"&gt;"&amp;C254)*Tbl_Load_distrib[[#This Row],[L_elt]]</f>
        <v>0</v>
      </c>
      <c r="F255" s="260">
        <f ca="1">SUMIFS(Tbl_Ballasts[Spread],Tbl_Ballasts[L from],"&lt;"&amp;Tbl_Load_distrib[[#This Row],[x]],Tbl_Ballasts[L to],"&gt;"&amp;C254)*Tbl_Load_distrib[[#This Row],[L_elt]]</f>
        <v>0</v>
      </c>
      <c r="G255" s="260">
        <f>SUMIFS(Tbl_Lifting[Spread],Tbl_Lifting[L from],"&lt;"&amp;Tbl_Load_distrib[[#This Row],[x]],Tbl_Lifting[L to],"&gt;"&amp;C254)*Tbl_Load_distrib[[#This Row],[L_elt]]</f>
        <v>0</v>
      </c>
      <c r="H255" s="260">
        <f>SUMIFS(Tbl_Additionals[Spread],Tbl_Additionals[L from],"&lt;"&amp;Tbl_Load_distrib[[#This Row],[x]],Tbl_Additionals[L to],"&gt;"&amp;C254)*Tbl_Load_distrib[[#This Row],[L_elt]]</f>
        <v>0</v>
      </c>
      <c r="I255" s="260">
        <f ca="1">SUMIFS(Tbl_Deck_Tank[Spread],Tbl_Deck_Tank[L from],"&lt;"&amp;Tbl_Load_distrib[[#This Row],[x]],Tbl_Deck_Tank[L to],"&gt;"&amp;C254)*Tbl_Load_distrib[[#This Row],[L_elt]]</f>
        <v>0</v>
      </c>
      <c r="J255" s="137"/>
      <c r="K255" s="165" t="e">
        <f>IFERROR(Tbl_Long_Section[[#This Row],[H Deck-Bottom]],NA())</f>
        <v>#N/A</v>
      </c>
      <c r="L255" s="829" t="e">
        <f>M_depth-Tbl_Load_distrib[[#This Row],[H Deck-Bottom]]</f>
        <v>#N/A</v>
      </c>
      <c r="M255" s="929">
        <f>IFERROR(Tbl_Load_distrib[[#This Row],[x]]-C254,0)</f>
        <v>0</v>
      </c>
      <c r="N255" s="929" t="e">
        <f>IF(ISNA(Tbl_Load_distrib[[#This Row],[x]]),NA(),IF(ISTEXT(N254),0,IF(N254=0,$Z$3,N254-($Z$3-$AA$3)/(Lpp-FE_size)*Tbl_Load_distrib[[#This Row],[L_elt]])))</f>
        <v>#N/A</v>
      </c>
      <c r="O255" s="166" t="e">
        <f ca="1">IF(ISNUMBER(O254),(IF((N254-L254)&lt;0,0,N254-L254)+IF((Tbl_Load_distrib[[#This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55" s="929" t="e">
        <f>IF(ISNA(Tbl_Load_distrib[[#This Row],[x]]),NA(),IF(ISTEXT(P254),0,IF(P254=0,LongSection_DraftAft,P254-(LongSection_DraftAft-LongSection_DraftFore)/(Lpp-FE_size)*Tbl_Load_distrib[[#This Row],[L_elt]])))</f>
        <v>#N/A</v>
      </c>
      <c r="Q255" s="166" t="e">
        <f ca="1">IF(ISNUMBER(Q254),(IF((P254-L254)&lt;0,0,P254-L254)+IF((Tbl_Load_distrib[[#This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55" s="167" t="e">
        <f ca="1">ρ_sw*Tbl_Load_distrib[[#This Row],[Elt Area corrected]]*B/k_depl</f>
        <v>#N/A</v>
      </c>
      <c r="S255" s="167" t="e">
        <f ca="1">Tbl_Load_distrib[[#This Row],[Section Weight]]-Tbl_Load_distrib[[#This Row],[Floating Elt]]</f>
        <v>#N/A</v>
      </c>
      <c r="T255" s="183" t="e">
        <f ca="1">IF(ISTEXT($T254),0,$T254+Tbl_Load_distrib[[#This Row],[Net force / Elt]])</f>
        <v>#N/A</v>
      </c>
      <c r="U255" s="261" t="e">
        <f ca="1">IF(ISTEXT($U254),0,$U254+Tbl_Load_distrib[[#This Row],[Shearing Force]]*Tbl_Load_distrib[[#This Row],[L_elt]])</f>
        <v>#N/A</v>
      </c>
    </row>
    <row r="256" spans="2:21" x14ac:dyDescent="0.25">
      <c r="B256" s="136" t="e">
        <f t="shared" si="7"/>
        <v>#N/A</v>
      </c>
      <c r="C256" s="139" t="e">
        <f t="shared" si="8"/>
        <v>#N/A</v>
      </c>
      <c r="D256" s="152">
        <f ca="1">SUM(Tbl_Load_distrib[[#This Row],[Hull &amp; Structure]:[Reserved]])</f>
        <v>0</v>
      </c>
      <c r="E256" s="260">
        <f>SUMIFS(Tbl_Hull_Structure[Spread],Tbl_Hull_Structure[L from],"&lt;"&amp;Tbl_Load_distrib[[#This Row],[x]],Tbl_Hull_Structure[L to],"&gt;"&amp;C255)*Tbl_Load_distrib[[#This Row],[L_elt]]</f>
        <v>0</v>
      </c>
      <c r="F256" s="260">
        <f ca="1">SUMIFS(Tbl_Ballasts[Spread],Tbl_Ballasts[L from],"&lt;"&amp;Tbl_Load_distrib[[#This Row],[x]],Tbl_Ballasts[L to],"&gt;"&amp;C255)*Tbl_Load_distrib[[#This Row],[L_elt]]</f>
        <v>0</v>
      </c>
      <c r="G256" s="260">
        <f>SUMIFS(Tbl_Lifting[Spread],Tbl_Lifting[L from],"&lt;"&amp;Tbl_Load_distrib[[#This Row],[x]],Tbl_Lifting[L to],"&gt;"&amp;C255)*Tbl_Load_distrib[[#This Row],[L_elt]]</f>
        <v>0</v>
      </c>
      <c r="H256" s="260">
        <f>SUMIFS(Tbl_Additionals[Spread],Tbl_Additionals[L from],"&lt;"&amp;Tbl_Load_distrib[[#This Row],[x]],Tbl_Additionals[L to],"&gt;"&amp;C255)*Tbl_Load_distrib[[#This Row],[L_elt]]</f>
        <v>0</v>
      </c>
      <c r="I256" s="260">
        <f ca="1">SUMIFS(Tbl_Deck_Tank[Spread],Tbl_Deck_Tank[L from],"&lt;"&amp;Tbl_Load_distrib[[#This Row],[x]],Tbl_Deck_Tank[L to],"&gt;"&amp;C255)*Tbl_Load_distrib[[#This Row],[L_elt]]</f>
        <v>0</v>
      </c>
      <c r="J256" s="137"/>
      <c r="K256" s="165" t="e">
        <f>IFERROR(Tbl_Long_Section[[#This Row],[H Deck-Bottom]],NA())</f>
        <v>#N/A</v>
      </c>
      <c r="L256" s="829" t="e">
        <f>M_depth-Tbl_Load_distrib[[#This Row],[H Deck-Bottom]]</f>
        <v>#N/A</v>
      </c>
      <c r="M256" s="929">
        <f>IFERROR(Tbl_Load_distrib[[#This Row],[x]]-C255,0)</f>
        <v>0</v>
      </c>
      <c r="N256" s="929" t="e">
        <f>IF(ISNA(Tbl_Load_distrib[[#This Row],[x]]),NA(),IF(ISTEXT(N255),0,IF(N255=0,$Z$3,N255-($Z$3-$AA$3)/(Lpp-FE_size)*Tbl_Load_distrib[[#This Row],[L_elt]])))</f>
        <v>#N/A</v>
      </c>
      <c r="O256" s="166" t="e">
        <f ca="1">IF(ISNUMBER(O255),(IF((N255-L255)&lt;0,0,N255-L255)+IF((Tbl_Load_distrib[[#This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56" s="929" t="e">
        <f>IF(ISNA(Tbl_Load_distrib[[#This Row],[x]]),NA(),IF(ISTEXT(P255),0,IF(P255=0,LongSection_DraftAft,P255-(LongSection_DraftAft-LongSection_DraftFore)/(Lpp-FE_size)*Tbl_Load_distrib[[#This Row],[L_elt]])))</f>
        <v>#N/A</v>
      </c>
      <c r="Q256" s="166" t="e">
        <f ca="1">IF(ISNUMBER(Q255),(IF((P255-L255)&lt;0,0,P255-L255)+IF((Tbl_Load_distrib[[#This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56" s="167" t="e">
        <f ca="1">ρ_sw*Tbl_Load_distrib[[#This Row],[Elt Area corrected]]*B/k_depl</f>
        <v>#N/A</v>
      </c>
      <c r="S256" s="167" t="e">
        <f ca="1">Tbl_Load_distrib[[#This Row],[Section Weight]]-Tbl_Load_distrib[[#This Row],[Floating Elt]]</f>
        <v>#N/A</v>
      </c>
      <c r="T256" s="183" t="e">
        <f ca="1">IF(ISTEXT($T255),0,$T255+Tbl_Load_distrib[[#This Row],[Net force / Elt]])</f>
        <v>#N/A</v>
      </c>
      <c r="U256" s="261" t="e">
        <f ca="1">IF(ISTEXT($U255),0,$U255+Tbl_Load_distrib[[#This Row],[Shearing Force]]*Tbl_Load_distrib[[#This Row],[L_elt]])</f>
        <v>#N/A</v>
      </c>
    </row>
    <row r="257" spans="2:21" x14ac:dyDescent="0.25">
      <c r="B257" s="136" t="e">
        <f t="shared" si="7"/>
        <v>#N/A</v>
      </c>
      <c r="C257" s="139" t="e">
        <f t="shared" si="8"/>
        <v>#N/A</v>
      </c>
      <c r="D257" s="152">
        <f ca="1">SUM(Tbl_Load_distrib[[#This Row],[Hull &amp; Structure]:[Reserved]])</f>
        <v>0</v>
      </c>
      <c r="E257" s="260">
        <f>SUMIFS(Tbl_Hull_Structure[Spread],Tbl_Hull_Structure[L from],"&lt;"&amp;Tbl_Load_distrib[[#This Row],[x]],Tbl_Hull_Structure[L to],"&gt;"&amp;C256)*Tbl_Load_distrib[[#This Row],[L_elt]]</f>
        <v>0</v>
      </c>
      <c r="F257" s="260">
        <f ca="1">SUMIFS(Tbl_Ballasts[Spread],Tbl_Ballasts[L from],"&lt;"&amp;Tbl_Load_distrib[[#This Row],[x]],Tbl_Ballasts[L to],"&gt;"&amp;C256)*Tbl_Load_distrib[[#This Row],[L_elt]]</f>
        <v>0</v>
      </c>
      <c r="G257" s="260">
        <f>SUMIFS(Tbl_Lifting[Spread],Tbl_Lifting[L from],"&lt;"&amp;Tbl_Load_distrib[[#This Row],[x]],Tbl_Lifting[L to],"&gt;"&amp;C256)*Tbl_Load_distrib[[#This Row],[L_elt]]</f>
        <v>0</v>
      </c>
      <c r="H257" s="260">
        <f>SUMIFS(Tbl_Additionals[Spread],Tbl_Additionals[L from],"&lt;"&amp;Tbl_Load_distrib[[#This Row],[x]],Tbl_Additionals[L to],"&gt;"&amp;C256)*Tbl_Load_distrib[[#This Row],[L_elt]]</f>
        <v>0</v>
      </c>
      <c r="I257" s="260">
        <f ca="1">SUMIFS(Tbl_Deck_Tank[Spread],Tbl_Deck_Tank[L from],"&lt;"&amp;Tbl_Load_distrib[[#This Row],[x]],Tbl_Deck_Tank[L to],"&gt;"&amp;C256)*Tbl_Load_distrib[[#This Row],[L_elt]]</f>
        <v>0</v>
      </c>
      <c r="J257" s="137"/>
      <c r="K257" s="165" t="e">
        <f>IFERROR(Tbl_Long_Section[[#This Row],[H Deck-Bottom]],NA())</f>
        <v>#N/A</v>
      </c>
      <c r="L257" s="829" t="e">
        <f>M_depth-Tbl_Load_distrib[[#This Row],[H Deck-Bottom]]</f>
        <v>#N/A</v>
      </c>
      <c r="M257" s="929">
        <f>IFERROR(Tbl_Load_distrib[[#This Row],[x]]-C256,0)</f>
        <v>0</v>
      </c>
      <c r="N257" s="929" t="e">
        <f>IF(ISNA(Tbl_Load_distrib[[#This Row],[x]]),NA(),IF(ISTEXT(N256),0,IF(N256=0,$Z$3,N256-($Z$3-$AA$3)/(Lpp-FE_size)*Tbl_Load_distrib[[#This Row],[L_elt]])))</f>
        <v>#N/A</v>
      </c>
      <c r="O257" s="166" t="e">
        <f ca="1">IF(ISNUMBER(O256),(IF((N256-L256)&lt;0,0,N256-L256)+IF((Tbl_Load_distrib[[#This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57" s="929" t="e">
        <f>IF(ISNA(Tbl_Load_distrib[[#This Row],[x]]),NA(),IF(ISTEXT(P256),0,IF(P256=0,LongSection_DraftAft,P256-(LongSection_DraftAft-LongSection_DraftFore)/(Lpp-FE_size)*Tbl_Load_distrib[[#This Row],[L_elt]])))</f>
        <v>#N/A</v>
      </c>
      <c r="Q257" s="166" t="e">
        <f ca="1">IF(ISNUMBER(Q256),(IF((P256-L256)&lt;0,0,P256-L256)+IF((Tbl_Load_distrib[[#This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57" s="167" t="e">
        <f ca="1">ρ_sw*Tbl_Load_distrib[[#This Row],[Elt Area corrected]]*B/k_depl</f>
        <v>#N/A</v>
      </c>
      <c r="S257" s="167" t="e">
        <f ca="1">Tbl_Load_distrib[[#This Row],[Section Weight]]-Tbl_Load_distrib[[#This Row],[Floating Elt]]</f>
        <v>#N/A</v>
      </c>
      <c r="T257" s="183" t="e">
        <f ca="1">IF(ISTEXT($T256),0,$T256+Tbl_Load_distrib[[#This Row],[Net force / Elt]])</f>
        <v>#N/A</v>
      </c>
      <c r="U257" s="261" t="e">
        <f ca="1">IF(ISTEXT($U256),0,$U256+Tbl_Load_distrib[[#This Row],[Shearing Force]]*Tbl_Load_distrib[[#This Row],[L_elt]])</f>
        <v>#N/A</v>
      </c>
    </row>
    <row r="258" spans="2:21" x14ac:dyDescent="0.25">
      <c r="B258" s="136" t="e">
        <f t="shared" si="7"/>
        <v>#N/A</v>
      </c>
      <c r="C258" s="139" t="e">
        <f t="shared" si="8"/>
        <v>#N/A</v>
      </c>
      <c r="D258" s="152">
        <f ca="1">SUM(Tbl_Load_distrib[[#This Row],[Hull &amp; Structure]:[Reserved]])</f>
        <v>0</v>
      </c>
      <c r="E258" s="260">
        <f>SUMIFS(Tbl_Hull_Structure[Spread],Tbl_Hull_Structure[L from],"&lt;"&amp;Tbl_Load_distrib[[#This Row],[x]],Tbl_Hull_Structure[L to],"&gt;"&amp;C257)*Tbl_Load_distrib[[#This Row],[L_elt]]</f>
        <v>0</v>
      </c>
      <c r="F258" s="260">
        <f ca="1">SUMIFS(Tbl_Ballasts[Spread],Tbl_Ballasts[L from],"&lt;"&amp;Tbl_Load_distrib[[#This Row],[x]],Tbl_Ballasts[L to],"&gt;"&amp;C257)*Tbl_Load_distrib[[#This Row],[L_elt]]</f>
        <v>0</v>
      </c>
      <c r="G258" s="260">
        <f>SUMIFS(Tbl_Lifting[Spread],Tbl_Lifting[L from],"&lt;"&amp;Tbl_Load_distrib[[#This Row],[x]],Tbl_Lifting[L to],"&gt;"&amp;C257)*Tbl_Load_distrib[[#This Row],[L_elt]]</f>
        <v>0</v>
      </c>
      <c r="H258" s="260">
        <f>SUMIFS(Tbl_Additionals[Spread],Tbl_Additionals[L from],"&lt;"&amp;Tbl_Load_distrib[[#This Row],[x]],Tbl_Additionals[L to],"&gt;"&amp;C257)*Tbl_Load_distrib[[#This Row],[L_elt]]</f>
        <v>0</v>
      </c>
      <c r="I258" s="260">
        <f ca="1">SUMIFS(Tbl_Deck_Tank[Spread],Tbl_Deck_Tank[L from],"&lt;"&amp;Tbl_Load_distrib[[#This Row],[x]],Tbl_Deck_Tank[L to],"&gt;"&amp;C257)*Tbl_Load_distrib[[#This Row],[L_elt]]</f>
        <v>0</v>
      </c>
      <c r="J258" s="137"/>
      <c r="K258" s="165" t="e">
        <f>IFERROR(Tbl_Long_Section[[#This Row],[H Deck-Bottom]],NA())</f>
        <v>#N/A</v>
      </c>
      <c r="L258" s="829" t="e">
        <f>M_depth-Tbl_Load_distrib[[#This Row],[H Deck-Bottom]]</f>
        <v>#N/A</v>
      </c>
      <c r="M258" s="929">
        <f>IFERROR(Tbl_Load_distrib[[#This Row],[x]]-C257,0)</f>
        <v>0</v>
      </c>
      <c r="N258" s="929" t="e">
        <f>IF(ISNA(Tbl_Load_distrib[[#This Row],[x]]),NA(),IF(ISTEXT(N257),0,IF(N257=0,$Z$3,N257-($Z$3-$AA$3)/(Lpp-FE_size)*Tbl_Load_distrib[[#This Row],[L_elt]])))</f>
        <v>#N/A</v>
      </c>
      <c r="O258" s="166" t="e">
        <f ca="1">IF(ISNUMBER(O257),(IF((N257-L257)&lt;0,0,N257-L257)+IF((Tbl_Load_distrib[[#This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58" s="929" t="e">
        <f>IF(ISNA(Tbl_Load_distrib[[#This Row],[x]]),NA(),IF(ISTEXT(P257),0,IF(P257=0,LongSection_DraftAft,P257-(LongSection_DraftAft-LongSection_DraftFore)/(Lpp-FE_size)*Tbl_Load_distrib[[#This Row],[L_elt]])))</f>
        <v>#N/A</v>
      </c>
      <c r="Q258" s="166" t="e">
        <f ca="1">IF(ISNUMBER(Q257),(IF((P257-L257)&lt;0,0,P257-L257)+IF((Tbl_Load_distrib[[#This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58" s="167" t="e">
        <f ca="1">ρ_sw*Tbl_Load_distrib[[#This Row],[Elt Area corrected]]*B/k_depl</f>
        <v>#N/A</v>
      </c>
      <c r="S258" s="167" t="e">
        <f ca="1">Tbl_Load_distrib[[#This Row],[Section Weight]]-Tbl_Load_distrib[[#This Row],[Floating Elt]]</f>
        <v>#N/A</v>
      </c>
      <c r="T258" s="183" t="e">
        <f ca="1">IF(ISTEXT($T257),0,$T257+Tbl_Load_distrib[[#This Row],[Net force / Elt]])</f>
        <v>#N/A</v>
      </c>
      <c r="U258" s="261" t="e">
        <f ca="1">IF(ISTEXT($U257),0,$U257+Tbl_Load_distrib[[#This Row],[Shearing Force]]*Tbl_Load_distrib[[#This Row],[L_elt]])</f>
        <v>#N/A</v>
      </c>
    </row>
    <row r="259" spans="2:21" x14ac:dyDescent="0.25">
      <c r="B259" s="136" t="e">
        <f t="shared" si="7"/>
        <v>#N/A</v>
      </c>
      <c r="C259" s="139" t="e">
        <f t="shared" si="8"/>
        <v>#N/A</v>
      </c>
      <c r="D259" s="152">
        <f ca="1">SUM(Tbl_Load_distrib[[#This Row],[Hull &amp; Structure]:[Reserved]])</f>
        <v>0</v>
      </c>
      <c r="E259" s="260">
        <f>SUMIFS(Tbl_Hull_Structure[Spread],Tbl_Hull_Structure[L from],"&lt;"&amp;Tbl_Load_distrib[[#This Row],[x]],Tbl_Hull_Structure[L to],"&gt;"&amp;C258)*Tbl_Load_distrib[[#This Row],[L_elt]]</f>
        <v>0</v>
      </c>
      <c r="F259" s="260">
        <f ca="1">SUMIFS(Tbl_Ballasts[Spread],Tbl_Ballasts[L from],"&lt;"&amp;Tbl_Load_distrib[[#This Row],[x]],Tbl_Ballasts[L to],"&gt;"&amp;C258)*Tbl_Load_distrib[[#This Row],[L_elt]]</f>
        <v>0</v>
      </c>
      <c r="G259" s="260">
        <f>SUMIFS(Tbl_Lifting[Spread],Tbl_Lifting[L from],"&lt;"&amp;Tbl_Load_distrib[[#This Row],[x]],Tbl_Lifting[L to],"&gt;"&amp;C258)*Tbl_Load_distrib[[#This Row],[L_elt]]</f>
        <v>0</v>
      </c>
      <c r="H259" s="260">
        <f>SUMIFS(Tbl_Additionals[Spread],Tbl_Additionals[L from],"&lt;"&amp;Tbl_Load_distrib[[#This Row],[x]],Tbl_Additionals[L to],"&gt;"&amp;C258)*Tbl_Load_distrib[[#This Row],[L_elt]]</f>
        <v>0</v>
      </c>
      <c r="I259" s="260">
        <f ca="1">SUMIFS(Tbl_Deck_Tank[Spread],Tbl_Deck_Tank[L from],"&lt;"&amp;Tbl_Load_distrib[[#This Row],[x]],Tbl_Deck_Tank[L to],"&gt;"&amp;C258)*Tbl_Load_distrib[[#This Row],[L_elt]]</f>
        <v>0</v>
      </c>
      <c r="J259" s="137"/>
      <c r="K259" s="165" t="e">
        <f>IFERROR(Tbl_Long_Section[[#This Row],[H Deck-Bottom]],NA())</f>
        <v>#N/A</v>
      </c>
      <c r="L259" s="829" t="e">
        <f>M_depth-Tbl_Load_distrib[[#This Row],[H Deck-Bottom]]</f>
        <v>#N/A</v>
      </c>
      <c r="M259" s="929">
        <f>IFERROR(Tbl_Load_distrib[[#This Row],[x]]-C258,0)</f>
        <v>0</v>
      </c>
      <c r="N259" s="929" t="e">
        <f>IF(ISNA(Tbl_Load_distrib[[#This Row],[x]]),NA(),IF(ISTEXT(N258),0,IF(N258=0,$Z$3,N258-($Z$3-$AA$3)/(Lpp-FE_size)*Tbl_Load_distrib[[#This Row],[L_elt]])))</f>
        <v>#N/A</v>
      </c>
      <c r="O259" s="166" t="e">
        <f ca="1">IF(ISNUMBER(O258),(IF((N258-L258)&lt;0,0,N258-L258)+IF((Tbl_Load_distrib[[#This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59" s="929" t="e">
        <f>IF(ISNA(Tbl_Load_distrib[[#This Row],[x]]),NA(),IF(ISTEXT(P258),0,IF(P258=0,LongSection_DraftAft,P258-(LongSection_DraftAft-LongSection_DraftFore)/(Lpp-FE_size)*Tbl_Load_distrib[[#This Row],[L_elt]])))</f>
        <v>#N/A</v>
      </c>
      <c r="Q259" s="166" t="e">
        <f ca="1">IF(ISNUMBER(Q258),(IF((P258-L258)&lt;0,0,P258-L258)+IF((Tbl_Load_distrib[[#This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59" s="167" t="e">
        <f ca="1">ρ_sw*Tbl_Load_distrib[[#This Row],[Elt Area corrected]]*B/k_depl</f>
        <v>#N/A</v>
      </c>
      <c r="S259" s="167" t="e">
        <f ca="1">Tbl_Load_distrib[[#This Row],[Section Weight]]-Tbl_Load_distrib[[#This Row],[Floating Elt]]</f>
        <v>#N/A</v>
      </c>
      <c r="T259" s="183" t="e">
        <f ca="1">IF(ISTEXT($T258),0,$T258+Tbl_Load_distrib[[#This Row],[Net force / Elt]])</f>
        <v>#N/A</v>
      </c>
      <c r="U259" s="261" t="e">
        <f ca="1">IF(ISTEXT($U258),0,$U258+Tbl_Load_distrib[[#This Row],[Shearing Force]]*Tbl_Load_distrib[[#This Row],[L_elt]])</f>
        <v>#N/A</v>
      </c>
    </row>
    <row r="260" spans="2:21" x14ac:dyDescent="0.25">
      <c r="B260" s="136" t="e">
        <f t="shared" si="7"/>
        <v>#N/A</v>
      </c>
      <c r="C260" s="139" t="e">
        <f t="shared" si="8"/>
        <v>#N/A</v>
      </c>
      <c r="D260" s="152">
        <f ca="1">SUM(Tbl_Load_distrib[[#This Row],[Hull &amp; Structure]:[Reserved]])</f>
        <v>0</v>
      </c>
      <c r="E260" s="260">
        <f>SUMIFS(Tbl_Hull_Structure[Spread],Tbl_Hull_Structure[L from],"&lt;"&amp;Tbl_Load_distrib[[#This Row],[x]],Tbl_Hull_Structure[L to],"&gt;"&amp;C259)*Tbl_Load_distrib[[#This Row],[L_elt]]</f>
        <v>0</v>
      </c>
      <c r="F260" s="260">
        <f ca="1">SUMIFS(Tbl_Ballasts[Spread],Tbl_Ballasts[L from],"&lt;"&amp;Tbl_Load_distrib[[#This Row],[x]],Tbl_Ballasts[L to],"&gt;"&amp;C259)*Tbl_Load_distrib[[#This Row],[L_elt]]</f>
        <v>0</v>
      </c>
      <c r="G260" s="260">
        <f>SUMIFS(Tbl_Lifting[Spread],Tbl_Lifting[L from],"&lt;"&amp;Tbl_Load_distrib[[#This Row],[x]],Tbl_Lifting[L to],"&gt;"&amp;C259)*Tbl_Load_distrib[[#This Row],[L_elt]]</f>
        <v>0</v>
      </c>
      <c r="H260" s="260">
        <f>SUMIFS(Tbl_Additionals[Spread],Tbl_Additionals[L from],"&lt;"&amp;Tbl_Load_distrib[[#This Row],[x]],Tbl_Additionals[L to],"&gt;"&amp;C259)*Tbl_Load_distrib[[#This Row],[L_elt]]</f>
        <v>0</v>
      </c>
      <c r="I260" s="260">
        <f ca="1">SUMIFS(Tbl_Deck_Tank[Spread],Tbl_Deck_Tank[L from],"&lt;"&amp;Tbl_Load_distrib[[#This Row],[x]],Tbl_Deck_Tank[L to],"&gt;"&amp;C259)*Tbl_Load_distrib[[#This Row],[L_elt]]</f>
        <v>0</v>
      </c>
      <c r="J260" s="137"/>
      <c r="K260" s="165" t="e">
        <f>IFERROR(Tbl_Long_Section[[#This Row],[H Deck-Bottom]],NA())</f>
        <v>#N/A</v>
      </c>
      <c r="L260" s="829" t="e">
        <f>M_depth-Tbl_Load_distrib[[#This Row],[H Deck-Bottom]]</f>
        <v>#N/A</v>
      </c>
      <c r="M260" s="929">
        <f>IFERROR(Tbl_Load_distrib[[#This Row],[x]]-C259,0)</f>
        <v>0</v>
      </c>
      <c r="N260" s="929" t="e">
        <f>IF(ISNA(Tbl_Load_distrib[[#This Row],[x]]),NA(),IF(ISTEXT(N259),0,IF(N259=0,$Z$3,N259-($Z$3-$AA$3)/(Lpp-FE_size)*Tbl_Load_distrib[[#This Row],[L_elt]])))</f>
        <v>#N/A</v>
      </c>
      <c r="O260" s="166" t="e">
        <f ca="1">IF(ISNUMBER(O259),(IF((N259-L259)&lt;0,0,N259-L259)+IF((Tbl_Load_distrib[[#This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60" s="929" t="e">
        <f>IF(ISNA(Tbl_Load_distrib[[#This Row],[x]]),NA(),IF(ISTEXT(P259),0,IF(P259=0,LongSection_DraftAft,P259-(LongSection_DraftAft-LongSection_DraftFore)/(Lpp-FE_size)*Tbl_Load_distrib[[#This Row],[L_elt]])))</f>
        <v>#N/A</v>
      </c>
      <c r="Q260" s="166" t="e">
        <f ca="1">IF(ISNUMBER(Q259),(IF((P259-L259)&lt;0,0,P259-L259)+IF((Tbl_Load_distrib[[#This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60" s="167" t="e">
        <f ca="1">ρ_sw*Tbl_Load_distrib[[#This Row],[Elt Area corrected]]*B/k_depl</f>
        <v>#N/A</v>
      </c>
      <c r="S260" s="167" t="e">
        <f ca="1">Tbl_Load_distrib[[#This Row],[Section Weight]]-Tbl_Load_distrib[[#This Row],[Floating Elt]]</f>
        <v>#N/A</v>
      </c>
      <c r="T260" s="183" t="e">
        <f ca="1">IF(ISTEXT($T259),0,$T259+Tbl_Load_distrib[[#This Row],[Net force / Elt]])</f>
        <v>#N/A</v>
      </c>
      <c r="U260" s="261" t="e">
        <f ca="1">IF(ISTEXT($U259),0,$U259+Tbl_Load_distrib[[#This Row],[Shearing Force]]*Tbl_Load_distrib[[#This Row],[L_elt]])</f>
        <v>#N/A</v>
      </c>
    </row>
    <row r="261" spans="2:21" x14ac:dyDescent="0.25">
      <c r="B261" s="136" t="e">
        <f t="shared" si="7"/>
        <v>#N/A</v>
      </c>
      <c r="C261" s="139" t="e">
        <f t="shared" si="8"/>
        <v>#N/A</v>
      </c>
      <c r="D261" s="152">
        <f ca="1">SUM(Tbl_Load_distrib[[#This Row],[Hull &amp; Structure]:[Reserved]])</f>
        <v>0</v>
      </c>
      <c r="E261" s="260">
        <f>SUMIFS(Tbl_Hull_Structure[Spread],Tbl_Hull_Structure[L from],"&lt;"&amp;Tbl_Load_distrib[[#This Row],[x]],Tbl_Hull_Structure[L to],"&gt;"&amp;C260)*Tbl_Load_distrib[[#This Row],[L_elt]]</f>
        <v>0</v>
      </c>
      <c r="F261" s="260">
        <f ca="1">SUMIFS(Tbl_Ballasts[Spread],Tbl_Ballasts[L from],"&lt;"&amp;Tbl_Load_distrib[[#This Row],[x]],Tbl_Ballasts[L to],"&gt;"&amp;C260)*Tbl_Load_distrib[[#This Row],[L_elt]]</f>
        <v>0</v>
      </c>
      <c r="G261" s="260">
        <f>SUMIFS(Tbl_Lifting[Spread],Tbl_Lifting[L from],"&lt;"&amp;Tbl_Load_distrib[[#This Row],[x]],Tbl_Lifting[L to],"&gt;"&amp;C260)*Tbl_Load_distrib[[#This Row],[L_elt]]</f>
        <v>0</v>
      </c>
      <c r="H261" s="260">
        <f>SUMIFS(Tbl_Additionals[Spread],Tbl_Additionals[L from],"&lt;"&amp;Tbl_Load_distrib[[#This Row],[x]],Tbl_Additionals[L to],"&gt;"&amp;C260)*Tbl_Load_distrib[[#This Row],[L_elt]]</f>
        <v>0</v>
      </c>
      <c r="I261" s="260">
        <f ca="1">SUMIFS(Tbl_Deck_Tank[Spread],Tbl_Deck_Tank[L from],"&lt;"&amp;Tbl_Load_distrib[[#This Row],[x]],Tbl_Deck_Tank[L to],"&gt;"&amp;C260)*Tbl_Load_distrib[[#This Row],[L_elt]]</f>
        <v>0</v>
      </c>
      <c r="J261" s="137"/>
      <c r="K261" s="165" t="e">
        <f>IFERROR(Tbl_Long_Section[[#This Row],[H Deck-Bottom]],NA())</f>
        <v>#N/A</v>
      </c>
      <c r="L261" s="829" t="e">
        <f>M_depth-Tbl_Load_distrib[[#This Row],[H Deck-Bottom]]</f>
        <v>#N/A</v>
      </c>
      <c r="M261" s="929">
        <f>IFERROR(Tbl_Load_distrib[[#This Row],[x]]-C260,0)</f>
        <v>0</v>
      </c>
      <c r="N261" s="929" t="e">
        <f>IF(ISNA(Tbl_Load_distrib[[#This Row],[x]]),NA(),IF(ISTEXT(N260),0,IF(N260=0,$Z$3,N260-($Z$3-$AA$3)/(Lpp-FE_size)*Tbl_Load_distrib[[#This Row],[L_elt]])))</f>
        <v>#N/A</v>
      </c>
      <c r="O261" s="166" t="e">
        <f ca="1">IF(ISNUMBER(O260),(IF((N260-L260)&lt;0,0,N260-L260)+IF((Tbl_Load_distrib[[#This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61" s="929" t="e">
        <f>IF(ISNA(Tbl_Load_distrib[[#This Row],[x]]),NA(),IF(ISTEXT(P260),0,IF(P260=0,LongSection_DraftAft,P260-(LongSection_DraftAft-LongSection_DraftFore)/(Lpp-FE_size)*Tbl_Load_distrib[[#This Row],[L_elt]])))</f>
        <v>#N/A</v>
      </c>
      <c r="Q261" s="166" t="e">
        <f ca="1">IF(ISNUMBER(Q260),(IF((P260-L260)&lt;0,0,P260-L260)+IF((Tbl_Load_distrib[[#This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61" s="167" t="e">
        <f ca="1">ρ_sw*Tbl_Load_distrib[[#This Row],[Elt Area corrected]]*B/k_depl</f>
        <v>#N/A</v>
      </c>
      <c r="S261" s="167" t="e">
        <f ca="1">Tbl_Load_distrib[[#This Row],[Section Weight]]-Tbl_Load_distrib[[#This Row],[Floating Elt]]</f>
        <v>#N/A</v>
      </c>
      <c r="T261" s="183" t="e">
        <f ca="1">IF(ISTEXT($T260),0,$T260+Tbl_Load_distrib[[#This Row],[Net force / Elt]])</f>
        <v>#N/A</v>
      </c>
      <c r="U261" s="261" t="e">
        <f ca="1">IF(ISTEXT($U260),0,$U260+Tbl_Load_distrib[[#This Row],[Shearing Force]]*Tbl_Load_distrib[[#This Row],[L_elt]])</f>
        <v>#N/A</v>
      </c>
    </row>
    <row r="262" spans="2:21" x14ac:dyDescent="0.25">
      <c r="B262" s="136" t="e">
        <f t="shared" ref="B262:B300" si="9">IF(ISTEXT($B261),0,IF($B261+1&gt;Last_Frame,NA(),$B261+1))</f>
        <v>#N/A</v>
      </c>
      <c r="C262" s="139" t="e">
        <f t="shared" ref="C262:C300" si="10">IF(B262*FE_size&gt;Lpp,Lpp,B262*FE_size)</f>
        <v>#N/A</v>
      </c>
      <c r="D262" s="152">
        <f ca="1">SUM(Tbl_Load_distrib[[#This Row],[Hull &amp; Structure]:[Reserved]])</f>
        <v>0</v>
      </c>
      <c r="E262" s="260">
        <f>SUMIFS(Tbl_Hull_Structure[Spread],Tbl_Hull_Structure[L from],"&lt;"&amp;Tbl_Load_distrib[[#This Row],[x]],Tbl_Hull_Structure[L to],"&gt;"&amp;C261)*Tbl_Load_distrib[[#This Row],[L_elt]]</f>
        <v>0</v>
      </c>
      <c r="F262" s="260">
        <f ca="1">SUMIFS(Tbl_Ballasts[Spread],Tbl_Ballasts[L from],"&lt;"&amp;Tbl_Load_distrib[[#This Row],[x]],Tbl_Ballasts[L to],"&gt;"&amp;C261)*Tbl_Load_distrib[[#This Row],[L_elt]]</f>
        <v>0</v>
      </c>
      <c r="G262" s="260">
        <f>SUMIFS(Tbl_Lifting[Spread],Tbl_Lifting[L from],"&lt;"&amp;Tbl_Load_distrib[[#This Row],[x]],Tbl_Lifting[L to],"&gt;"&amp;C261)*Tbl_Load_distrib[[#This Row],[L_elt]]</f>
        <v>0</v>
      </c>
      <c r="H262" s="260">
        <f>SUMIFS(Tbl_Additionals[Spread],Tbl_Additionals[L from],"&lt;"&amp;Tbl_Load_distrib[[#This Row],[x]],Tbl_Additionals[L to],"&gt;"&amp;C261)*Tbl_Load_distrib[[#This Row],[L_elt]]</f>
        <v>0</v>
      </c>
      <c r="I262" s="260">
        <f ca="1">SUMIFS(Tbl_Deck_Tank[Spread],Tbl_Deck_Tank[L from],"&lt;"&amp;Tbl_Load_distrib[[#This Row],[x]],Tbl_Deck_Tank[L to],"&gt;"&amp;C261)*Tbl_Load_distrib[[#This Row],[L_elt]]</f>
        <v>0</v>
      </c>
      <c r="J262" s="137"/>
      <c r="K262" s="165" t="e">
        <f>IFERROR(Tbl_Long_Section[[#This Row],[H Deck-Bottom]],NA())</f>
        <v>#N/A</v>
      </c>
      <c r="L262" s="829" t="e">
        <f>M_depth-Tbl_Load_distrib[[#This Row],[H Deck-Bottom]]</f>
        <v>#N/A</v>
      </c>
      <c r="M262" s="929">
        <f>IFERROR(Tbl_Load_distrib[[#This Row],[x]]-C261,0)</f>
        <v>0</v>
      </c>
      <c r="N262" s="929" t="e">
        <f>IF(ISNA(Tbl_Load_distrib[[#This Row],[x]]),NA(),IF(ISTEXT(N261),0,IF(N261=0,$Z$3,N261-($Z$3-$AA$3)/(Lpp-FE_size)*Tbl_Load_distrib[[#This Row],[L_elt]])))</f>
        <v>#N/A</v>
      </c>
      <c r="O262" s="166" t="e">
        <f ca="1">IF(ISNUMBER(O261),(IF((N261-L261)&lt;0,0,N261-L261)+IF((Tbl_Load_distrib[[#This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62" s="929" t="e">
        <f>IF(ISNA(Tbl_Load_distrib[[#This Row],[x]]),NA(),IF(ISTEXT(P261),0,IF(P261=0,LongSection_DraftAft,P261-(LongSection_DraftAft-LongSection_DraftFore)/(Lpp-FE_size)*Tbl_Load_distrib[[#This Row],[L_elt]])))</f>
        <v>#N/A</v>
      </c>
      <c r="Q262" s="166" t="e">
        <f ca="1">IF(ISNUMBER(Q261),(IF((P261-L261)&lt;0,0,P261-L261)+IF((Tbl_Load_distrib[[#This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62" s="167" t="e">
        <f ca="1">ρ_sw*Tbl_Load_distrib[[#This Row],[Elt Area corrected]]*B/k_depl</f>
        <v>#N/A</v>
      </c>
      <c r="S262" s="167" t="e">
        <f ca="1">Tbl_Load_distrib[[#This Row],[Section Weight]]-Tbl_Load_distrib[[#This Row],[Floating Elt]]</f>
        <v>#N/A</v>
      </c>
      <c r="T262" s="183" t="e">
        <f ca="1">IF(ISTEXT($T261),0,$T261+Tbl_Load_distrib[[#This Row],[Net force / Elt]])</f>
        <v>#N/A</v>
      </c>
      <c r="U262" s="261" t="e">
        <f ca="1">IF(ISTEXT($U261),0,$U261+Tbl_Load_distrib[[#This Row],[Shearing Force]]*Tbl_Load_distrib[[#This Row],[L_elt]])</f>
        <v>#N/A</v>
      </c>
    </row>
    <row r="263" spans="2:21" x14ac:dyDescent="0.25">
      <c r="B263" s="136" t="e">
        <f t="shared" si="9"/>
        <v>#N/A</v>
      </c>
      <c r="C263" s="139" t="e">
        <f t="shared" si="10"/>
        <v>#N/A</v>
      </c>
      <c r="D263" s="152">
        <f ca="1">SUM(Tbl_Load_distrib[[#This Row],[Hull &amp; Structure]:[Reserved]])</f>
        <v>0</v>
      </c>
      <c r="E263" s="260">
        <f>SUMIFS(Tbl_Hull_Structure[Spread],Tbl_Hull_Structure[L from],"&lt;"&amp;Tbl_Load_distrib[[#This Row],[x]],Tbl_Hull_Structure[L to],"&gt;"&amp;C262)*Tbl_Load_distrib[[#This Row],[L_elt]]</f>
        <v>0</v>
      </c>
      <c r="F263" s="260">
        <f ca="1">SUMIFS(Tbl_Ballasts[Spread],Tbl_Ballasts[L from],"&lt;"&amp;Tbl_Load_distrib[[#This Row],[x]],Tbl_Ballasts[L to],"&gt;"&amp;C262)*Tbl_Load_distrib[[#This Row],[L_elt]]</f>
        <v>0</v>
      </c>
      <c r="G263" s="260">
        <f>SUMIFS(Tbl_Lifting[Spread],Tbl_Lifting[L from],"&lt;"&amp;Tbl_Load_distrib[[#This Row],[x]],Tbl_Lifting[L to],"&gt;"&amp;C262)*Tbl_Load_distrib[[#This Row],[L_elt]]</f>
        <v>0</v>
      </c>
      <c r="H263" s="260">
        <f>SUMIFS(Tbl_Additionals[Spread],Tbl_Additionals[L from],"&lt;"&amp;Tbl_Load_distrib[[#This Row],[x]],Tbl_Additionals[L to],"&gt;"&amp;C262)*Tbl_Load_distrib[[#This Row],[L_elt]]</f>
        <v>0</v>
      </c>
      <c r="I263" s="260">
        <f ca="1">SUMIFS(Tbl_Deck_Tank[Spread],Tbl_Deck_Tank[L from],"&lt;"&amp;Tbl_Load_distrib[[#This Row],[x]],Tbl_Deck_Tank[L to],"&gt;"&amp;C262)*Tbl_Load_distrib[[#This Row],[L_elt]]</f>
        <v>0</v>
      </c>
      <c r="J263" s="137"/>
      <c r="K263" s="165" t="e">
        <f>IFERROR(Tbl_Long_Section[[#This Row],[H Deck-Bottom]],NA())</f>
        <v>#N/A</v>
      </c>
      <c r="L263" s="829" t="e">
        <f>M_depth-Tbl_Load_distrib[[#This Row],[H Deck-Bottom]]</f>
        <v>#N/A</v>
      </c>
      <c r="M263" s="929">
        <f>IFERROR(Tbl_Load_distrib[[#This Row],[x]]-C262,0)</f>
        <v>0</v>
      </c>
      <c r="N263" s="929" t="e">
        <f>IF(ISNA(Tbl_Load_distrib[[#This Row],[x]]),NA(),IF(ISTEXT(N262),0,IF(N262=0,$Z$3,N262-($Z$3-$AA$3)/(Lpp-FE_size)*Tbl_Load_distrib[[#This Row],[L_elt]])))</f>
        <v>#N/A</v>
      </c>
      <c r="O263" s="166" t="e">
        <f ca="1">IF(ISNUMBER(O262),(IF((N262-L262)&lt;0,0,N262-L262)+IF((Tbl_Load_distrib[[#This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63" s="929" t="e">
        <f>IF(ISNA(Tbl_Load_distrib[[#This Row],[x]]),NA(),IF(ISTEXT(P262),0,IF(P262=0,LongSection_DraftAft,P262-(LongSection_DraftAft-LongSection_DraftFore)/(Lpp-FE_size)*Tbl_Load_distrib[[#This Row],[L_elt]])))</f>
        <v>#N/A</v>
      </c>
      <c r="Q263" s="166" t="e">
        <f ca="1">IF(ISNUMBER(Q262),(IF((P262-L262)&lt;0,0,P262-L262)+IF((Tbl_Load_distrib[[#This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63" s="167" t="e">
        <f ca="1">ρ_sw*Tbl_Load_distrib[[#This Row],[Elt Area corrected]]*B/k_depl</f>
        <v>#N/A</v>
      </c>
      <c r="S263" s="167" t="e">
        <f ca="1">Tbl_Load_distrib[[#This Row],[Section Weight]]-Tbl_Load_distrib[[#This Row],[Floating Elt]]</f>
        <v>#N/A</v>
      </c>
      <c r="T263" s="183" t="e">
        <f ca="1">IF(ISTEXT($T262),0,$T262+Tbl_Load_distrib[[#This Row],[Net force / Elt]])</f>
        <v>#N/A</v>
      </c>
      <c r="U263" s="261" t="e">
        <f ca="1">IF(ISTEXT($U262),0,$U262+Tbl_Load_distrib[[#This Row],[Shearing Force]]*Tbl_Load_distrib[[#This Row],[L_elt]])</f>
        <v>#N/A</v>
      </c>
    </row>
    <row r="264" spans="2:21" x14ac:dyDescent="0.25">
      <c r="B264" s="136" t="e">
        <f t="shared" si="9"/>
        <v>#N/A</v>
      </c>
      <c r="C264" s="139" t="e">
        <f t="shared" si="10"/>
        <v>#N/A</v>
      </c>
      <c r="D264" s="152">
        <f ca="1">SUM(Tbl_Load_distrib[[#This Row],[Hull &amp; Structure]:[Reserved]])</f>
        <v>0</v>
      </c>
      <c r="E264" s="260">
        <f>SUMIFS(Tbl_Hull_Structure[Spread],Tbl_Hull_Structure[L from],"&lt;"&amp;Tbl_Load_distrib[[#This Row],[x]],Tbl_Hull_Structure[L to],"&gt;"&amp;C263)*Tbl_Load_distrib[[#This Row],[L_elt]]</f>
        <v>0</v>
      </c>
      <c r="F264" s="260">
        <f ca="1">SUMIFS(Tbl_Ballasts[Spread],Tbl_Ballasts[L from],"&lt;"&amp;Tbl_Load_distrib[[#This Row],[x]],Tbl_Ballasts[L to],"&gt;"&amp;C263)*Tbl_Load_distrib[[#This Row],[L_elt]]</f>
        <v>0</v>
      </c>
      <c r="G264" s="260">
        <f>SUMIFS(Tbl_Lifting[Spread],Tbl_Lifting[L from],"&lt;"&amp;Tbl_Load_distrib[[#This Row],[x]],Tbl_Lifting[L to],"&gt;"&amp;C263)*Tbl_Load_distrib[[#This Row],[L_elt]]</f>
        <v>0</v>
      </c>
      <c r="H264" s="260">
        <f>SUMIFS(Tbl_Additionals[Spread],Tbl_Additionals[L from],"&lt;"&amp;Tbl_Load_distrib[[#This Row],[x]],Tbl_Additionals[L to],"&gt;"&amp;C263)*Tbl_Load_distrib[[#This Row],[L_elt]]</f>
        <v>0</v>
      </c>
      <c r="I264" s="260">
        <f ca="1">SUMIFS(Tbl_Deck_Tank[Spread],Tbl_Deck_Tank[L from],"&lt;"&amp;Tbl_Load_distrib[[#This Row],[x]],Tbl_Deck_Tank[L to],"&gt;"&amp;C263)*Tbl_Load_distrib[[#This Row],[L_elt]]</f>
        <v>0</v>
      </c>
      <c r="J264" s="137"/>
      <c r="K264" s="165" t="e">
        <f>IFERROR(Tbl_Long_Section[[#This Row],[H Deck-Bottom]],NA())</f>
        <v>#N/A</v>
      </c>
      <c r="L264" s="829" t="e">
        <f>M_depth-Tbl_Load_distrib[[#This Row],[H Deck-Bottom]]</f>
        <v>#N/A</v>
      </c>
      <c r="M264" s="929">
        <f>IFERROR(Tbl_Load_distrib[[#This Row],[x]]-C263,0)</f>
        <v>0</v>
      </c>
      <c r="N264" s="929" t="e">
        <f>IF(ISNA(Tbl_Load_distrib[[#This Row],[x]]),NA(),IF(ISTEXT(N263),0,IF(N263=0,$Z$3,N263-($Z$3-$AA$3)/(Lpp-FE_size)*Tbl_Load_distrib[[#This Row],[L_elt]])))</f>
        <v>#N/A</v>
      </c>
      <c r="O264" s="166" t="e">
        <f ca="1">IF(ISNUMBER(O263),(IF((N263-L263)&lt;0,0,N263-L263)+IF((Tbl_Load_distrib[[#This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64" s="929" t="e">
        <f>IF(ISNA(Tbl_Load_distrib[[#This Row],[x]]),NA(),IF(ISTEXT(P263),0,IF(P263=0,LongSection_DraftAft,P263-(LongSection_DraftAft-LongSection_DraftFore)/(Lpp-FE_size)*Tbl_Load_distrib[[#This Row],[L_elt]])))</f>
        <v>#N/A</v>
      </c>
      <c r="Q264" s="166" t="e">
        <f ca="1">IF(ISNUMBER(Q263),(IF((P263-L263)&lt;0,0,P263-L263)+IF((Tbl_Load_distrib[[#This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64" s="167" t="e">
        <f ca="1">ρ_sw*Tbl_Load_distrib[[#This Row],[Elt Area corrected]]*B/k_depl</f>
        <v>#N/A</v>
      </c>
      <c r="S264" s="167" t="e">
        <f ca="1">Tbl_Load_distrib[[#This Row],[Section Weight]]-Tbl_Load_distrib[[#This Row],[Floating Elt]]</f>
        <v>#N/A</v>
      </c>
      <c r="T264" s="183" t="e">
        <f ca="1">IF(ISTEXT($T263),0,$T263+Tbl_Load_distrib[[#This Row],[Net force / Elt]])</f>
        <v>#N/A</v>
      </c>
      <c r="U264" s="261" t="e">
        <f ca="1">IF(ISTEXT($U263),0,$U263+Tbl_Load_distrib[[#This Row],[Shearing Force]]*Tbl_Load_distrib[[#This Row],[L_elt]])</f>
        <v>#N/A</v>
      </c>
    </row>
    <row r="265" spans="2:21" x14ac:dyDescent="0.25">
      <c r="B265" s="136" t="e">
        <f t="shared" si="9"/>
        <v>#N/A</v>
      </c>
      <c r="C265" s="139" t="e">
        <f t="shared" si="10"/>
        <v>#N/A</v>
      </c>
      <c r="D265" s="152">
        <f ca="1">SUM(Tbl_Load_distrib[[#This Row],[Hull &amp; Structure]:[Reserved]])</f>
        <v>0</v>
      </c>
      <c r="E265" s="260">
        <f>SUMIFS(Tbl_Hull_Structure[Spread],Tbl_Hull_Structure[L from],"&lt;"&amp;Tbl_Load_distrib[[#This Row],[x]],Tbl_Hull_Structure[L to],"&gt;"&amp;C264)*Tbl_Load_distrib[[#This Row],[L_elt]]</f>
        <v>0</v>
      </c>
      <c r="F265" s="260">
        <f ca="1">SUMIFS(Tbl_Ballasts[Spread],Tbl_Ballasts[L from],"&lt;"&amp;Tbl_Load_distrib[[#This Row],[x]],Tbl_Ballasts[L to],"&gt;"&amp;C264)*Tbl_Load_distrib[[#This Row],[L_elt]]</f>
        <v>0</v>
      </c>
      <c r="G265" s="260">
        <f>SUMIFS(Tbl_Lifting[Spread],Tbl_Lifting[L from],"&lt;"&amp;Tbl_Load_distrib[[#This Row],[x]],Tbl_Lifting[L to],"&gt;"&amp;C264)*Tbl_Load_distrib[[#This Row],[L_elt]]</f>
        <v>0</v>
      </c>
      <c r="H265" s="260">
        <f>SUMIFS(Tbl_Additionals[Spread],Tbl_Additionals[L from],"&lt;"&amp;Tbl_Load_distrib[[#This Row],[x]],Tbl_Additionals[L to],"&gt;"&amp;C264)*Tbl_Load_distrib[[#This Row],[L_elt]]</f>
        <v>0</v>
      </c>
      <c r="I265" s="260">
        <f ca="1">SUMIFS(Tbl_Deck_Tank[Spread],Tbl_Deck_Tank[L from],"&lt;"&amp;Tbl_Load_distrib[[#This Row],[x]],Tbl_Deck_Tank[L to],"&gt;"&amp;C264)*Tbl_Load_distrib[[#This Row],[L_elt]]</f>
        <v>0</v>
      </c>
      <c r="J265" s="137"/>
      <c r="K265" s="165" t="e">
        <f>IFERROR(Tbl_Long_Section[[#This Row],[H Deck-Bottom]],NA())</f>
        <v>#N/A</v>
      </c>
      <c r="L265" s="829" t="e">
        <f>M_depth-Tbl_Load_distrib[[#This Row],[H Deck-Bottom]]</f>
        <v>#N/A</v>
      </c>
      <c r="M265" s="929">
        <f>IFERROR(Tbl_Load_distrib[[#This Row],[x]]-C264,0)</f>
        <v>0</v>
      </c>
      <c r="N265" s="929" t="e">
        <f>IF(ISNA(Tbl_Load_distrib[[#This Row],[x]]),NA(),IF(ISTEXT(N264),0,IF(N264=0,$Z$3,N264-($Z$3-$AA$3)/(Lpp-FE_size)*Tbl_Load_distrib[[#This Row],[L_elt]])))</f>
        <v>#N/A</v>
      </c>
      <c r="O265" s="166" t="e">
        <f ca="1">IF(ISNUMBER(O264),(IF((N264-L264)&lt;0,0,N264-L264)+IF((Tbl_Load_distrib[[#This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65" s="929" t="e">
        <f>IF(ISNA(Tbl_Load_distrib[[#This Row],[x]]),NA(),IF(ISTEXT(P264),0,IF(P264=0,LongSection_DraftAft,P264-(LongSection_DraftAft-LongSection_DraftFore)/(Lpp-FE_size)*Tbl_Load_distrib[[#This Row],[L_elt]])))</f>
        <v>#N/A</v>
      </c>
      <c r="Q265" s="166" t="e">
        <f ca="1">IF(ISNUMBER(Q264),(IF((P264-L264)&lt;0,0,P264-L264)+IF((Tbl_Load_distrib[[#This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65" s="167" t="e">
        <f ca="1">ρ_sw*Tbl_Load_distrib[[#This Row],[Elt Area corrected]]*B/k_depl</f>
        <v>#N/A</v>
      </c>
      <c r="S265" s="167" t="e">
        <f ca="1">Tbl_Load_distrib[[#This Row],[Section Weight]]-Tbl_Load_distrib[[#This Row],[Floating Elt]]</f>
        <v>#N/A</v>
      </c>
      <c r="T265" s="183" t="e">
        <f ca="1">IF(ISTEXT($T264),0,$T264+Tbl_Load_distrib[[#This Row],[Net force / Elt]])</f>
        <v>#N/A</v>
      </c>
      <c r="U265" s="261" t="e">
        <f ca="1">IF(ISTEXT($U264),0,$U264+Tbl_Load_distrib[[#This Row],[Shearing Force]]*Tbl_Load_distrib[[#This Row],[L_elt]])</f>
        <v>#N/A</v>
      </c>
    </row>
    <row r="266" spans="2:21" x14ac:dyDescent="0.25">
      <c r="B266" s="136" t="e">
        <f t="shared" si="9"/>
        <v>#N/A</v>
      </c>
      <c r="C266" s="139" t="e">
        <f t="shared" si="10"/>
        <v>#N/A</v>
      </c>
      <c r="D266" s="152">
        <f ca="1">SUM(Tbl_Load_distrib[[#This Row],[Hull &amp; Structure]:[Reserved]])</f>
        <v>0</v>
      </c>
      <c r="E266" s="260">
        <f>SUMIFS(Tbl_Hull_Structure[Spread],Tbl_Hull_Structure[L from],"&lt;"&amp;Tbl_Load_distrib[[#This Row],[x]],Tbl_Hull_Structure[L to],"&gt;"&amp;C265)*Tbl_Load_distrib[[#This Row],[L_elt]]</f>
        <v>0</v>
      </c>
      <c r="F266" s="260">
        <f ca="1">SUMIFS(Tbl_Ballasts[Spread],Tbl_Ballasts[L from],"&lt;"&amp;Tbl_Load_distrib[[#This Row],[x]],Tbl_Ballasts[L to],"&gt;"&amp;C265)*Tbl_Load_distrib[[#This Row],[L_elt]]</f>
        <v>0</v>
      </c>
      <c r="G266" s="260">
        <f>SUMIFS(Tbl_Lifting[Spread],Tbl_Lifting[L from],"&lt;"&amp;Tbl_Load_distrib[[#This Row],[x]],Tbl_Lifting[L to],"&gt;"&amp;C265)*Tbl_Load_distrib[[#This Row],[L_elt]]</f>
        <v>0</v>
      </c>
      <c r="H266" s="260">
        <f>SUMIFS(Tbl_Additionals[Spread],Tbl_Additionals[L from],"&lt;"&amp;Tbl_Load_distrib[[#This Row],[x]],Tbl_Additionals[L to],"&gt;"&amp;C265)*Tbl_Load_distrib[[#This Row],[L_elt]]</f>
        <v>0</v>
      </c>
      <c r="I266" s="260">
        <f ca="1">SUMIFS(Tbl_Deck_Tank[Spread],Tbl_Deck_Tank[L from],"&lt;"&amp;Tbl_Load_distrib[[#This Row],[x]],Tbl_Deck_Tank[L to],"&gt;"&amp;C265)*Tbl_Load_distrib[[#This Row],[L_elt]]</f>
        <v>0</v>
      </c>
      <c r="J266" s="137"/>
      <c r="K266" s="165" t="e">
        <f>IFERROR(Tbl_Long_Section[[#This Row],[H Deck-Bottom]],NA())</f>
        <v>#N/A</v>
      </c>
      <c r="L266" s="829" t="e">
        <f>M_depth-Tbl_Load_distrib[[#This Row],[H Deck-Bottom]]</f>
        <v>#N/A</v>
      </c>
      <c r="M266" s="929">
        <f>IFERROR(Tbl_Load_distrib[[#This Row],[x]]-C265,0)</f>
        <v>0</v>
      </c>
      <c r="N266" s="929" t="e">
        <f>IF(ISNA(Tbl_Load_distrib[[#This Row],[x]]),NA(),IF(ISTEXT(N265),0,IF(N265=0,$Z$3,N265-($Z$3-$AA$3)/(Lpp-FE_size)*Tbl_Load_distrib[[#This Row],[L_elt]])))</f>
        <v>#N/A</v>
      </c>
      <c r="O266" s="166" t="e">
        <f ca="1">IF(ISNUMBER(O265),(IF((N265-L265)&lt;0,0,N265-L265)+IF((Tbl_Load_distrib[[#This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66" s="929" t="e">
        <f>IF(ISNA(Tbl_Load_distrib[[#This Row],[x]]),NA(),IF(ISTEXT(P265),0,IF(P265=0,LongSection_DraftAft,P265-(LongSection_DraftAft-LongSection_DraftFore)/(Lpp-FE_size)*Tbl_Load_distrib[[#This Row],[L_elt]])))</f>
        <v>#N/A</v>
      </c>
      <c r="Q266" s="166" t="e">
        <f ca="1">IF(ISNUMBER(Q265),(IF((P265-L265)&lt;0,0,P265-L265)+IF((Tbl_Load_distrib[[#This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66" s="167" t="e">
        <f ca="1">ρ_sw*Tbl_Load_distrib[[#This Row],[Elt Area corrected]]*B/k_depl</f>
        <v>#N/A</v>
      </c>
      <c r="S266" s="167" t="e">
        <f ca="1">Tbl_Load_distrib[[#This Row],[Section Weight]]-Tbl_Load_distrib[[#This Row],[Floating Elt]]</f>
        <v>#N/A</v>
      </c>
      <c r="T266" s="183" t="e">
        <f ca="1">IF(ISTEXT($T265),0,$T265+Tbl_Load_distrib[[#This Row],[Net force / Elt]])</f>
        <v>#N/A</v>
      </c>
      <c r="U266" s="261" t="e">
        <f ca="1">IF(ISTEXT($U265),0,$U265+Tbl_Load_distrib[[#This Row],[Shearing Force]]*Tbl_Load_distrib[[#This Row],[L_elt]])</f>
        <v>#N/A</v>
      </c>
    </row>
    <row r="267" spans="2:21" x14ac:dyDescent="0.25">
      <c r="B267" s="136" t="e">
        <f t="shared" si="9"/>
        <v>#N/A</v>
      </c>
      <c r="C267" s="139" t="e">
        <f t="shared" si="10"/>
        <v>#N/A</v>
      </c>
      <c r="D267" s="152">
        <f ca="1">SUM(Tbl_Load_distrib[[#This Row],[Hull &amp; Structure]:[Reserved]])</f>
        <v>0</v>
      </c>
      <c r="E267" s="260">
        <f>SUMIFS(Tbl_Hull_Structure[Spread],Tbl_Hull_Structure[L from],"&lt;"&amp;Tbl_Load_distrib[[#This Row],[x]],Tbl_Hull_Structure[L to],"&gt;"&amp;C266)*Tbl_Load_distrib[[#This Row],[L_elt]]</f>
        <v>0</v>
      </c>
      <c r="F267" s="260">
        <f ca="1">SUMIFS(Tbl_Ballasts[Spread],Tbl_Ballasts[L from],"&lt;"&amp;Tbl_Load_distrib[[#This Row],[x]],Tbl_Ballasts[L to],"&gt;"&amp;C266)*Tbl_Load_distrib[[#This Row],[L_elt]]</f>
        <v>0</v>
      </c>
      <c r="G267" s="260">
        <f>SUMIFS(Tbl_Lifting[Spread],Tbl_Lifting[L from],"&lt;"&amp;Tbl_Load_distrib[[#This Row],[x]],Tbl_Lifting[L to],"&gt;"&amp;C266)*Tbl_Load_distrib[[#This Row],[L_elt]]</f>
        <v>0</v>
      </c>
      <c r="H267" s="260">
        <f>SUMIFS(Tbl_Additionals[Spread],Tbl_Additionals[L from],"&lt;"&amp;Tbl_Load_distrib[[#This Row],[x]],Tbl_Additionals[L to],"&gt;"&amp;C266)*Tbl_Load_distrib[[#This Row],[L_elt]]</f>
        <v>0</v>
      </c>
      <c r="I267" s="260">
        <f ca="1">SUMIFS(Tbl_Deck_Tank[Spread],Tbl_Deck_Tank[L from],"&lt;"&amp;Tbl_Load_distrib[[#This Row],[x]],Tbl_Deck_Tank[L to],"&gt;"&amp;C266)*Tbl_Load_distrib[[#This Row],[L_elt]]</f>
        <v>0</v>
      </c>
      <c r="J267" s="137"/>
      <c r="K267" s="165" t="e">
        <f>IFERROR(Tbl_Long_Section[[#This Row],[H Deck-Bottom]],NA())</f>
        <v>#N/A</v>
      </c>
      <c r="L267" s="829" t="e">
        <f>M_depth-Tbl_Load_distrib[[#This Row],[H Deck-Bottom]]</f>
        <v>#N/A</v>
      </c>
      <c r="M267" s="929">
        <f>IFERROR(Tbl_Load_distrib[[#This Row],[x]]-C266,0)</f>
        <v>0</v>
      </c>
      <c r="N267" s="929" t="e">
        <f>IF(ISNA(Tbl_Load_distrib[[#This Row],[x]]),NA(),IF(ISTEXT(N266),0,IF(N266=0,$Z$3,N266-($Z$3-$AA$3)/(Lpp-FE_size)*Tbl_Load_distrib[[#This Row],[L_elt]])))</f>
        <v>#N/A</v>
      </c>
      <c r="O267" s="166" t="e">
        <f ca="1">IF(ISNUMBER(O266),(IF((N266-L266)&lt;0,0,N266-L266)+IF((Tbl_Load_distrib[[#This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67" s="929" t="e">
        <f>IF(ISNA(Tbl_Load_distrib[[#This Row],[x]]),NA(),IF(ISTEXT(P266),0,IF(P266=0,LongSection_DraftAft,P266-(LongSection_DraftAft-LongSection_DraftFore)/(Lpp-FE_size)*Tbl_Load_distrib[[#This Row],[L_elt]])))</f>
        <v>#N/A</v>
      </c>
      <c r="Q267" s="166" t="e">
        <f ca="1">IF(ISNUMBER(Q266),(IF((P266-L266)&lt;0,0,P266-L266)+IF((Tbl_Load_distrib[[#This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67" s="167" t="e">
        <f ca="1">ρ_sw*Tbl_Load_distrib[[#This Row],[Elt Area corrected]]*B/k_depl</f>
        <v>#N/A</v>
      </c>
      <c r="S267" s="167" t="e">
        <f ca="1">Tbl_Load_distrib[[#This Row],[Section Weight]]-Tbl_Load_distrib[[#This Row],[Floating Elt]]</f>
        <v>#N/A</v>
      </c>
      <c r="T267" s="183" t="e">
        <f ca="1">IF(ISTEXT($T266),0,$T266+Tbl_Load_distrib[[#This Row],[Net force / Elt]])</f>
        <v>#N/A</v>
      </c>
      <c r="U267" s="261" t="e">
        <f ca="1">IF(ISTEXT($U266),0,$U266+Tbl_Load_distrib[[#This Row],[Shearing Force]]*Tbl_Load_distrib[[#This Row],[L_elt]])</f>
        <v>#N/A</v>
      </c>
    </row>
    <row r="268" spans="2:21" x14ac:dyDescent="0.25">
      <c r="B268" s="136" t="e">
        <f t="shared" si="9"/>
        <v>#N/A</v>
      </c>
      <c r="C268" s="139" t="e">
        <f t="shared" si="10"/>
        <v>#N/A</v>
      </c>
      <c r="D268" s="152">
        <f ca="1">SUM(Tbl_Load_distrib[[#This Row],[Hull &amp; Structure]:[Reserved]])</f>
        <v>0</v>
      </c>
      <c r="E268" s="260">
        <f>SUMIFS(Tbl_Hull_Structure[Spread],Tbl_Hull_Structure[L from],"&lt;"&amp;Tbl_Load_distrib[[#This Row],[x]],Tbl_Hull_Structure[L to],"&gt;"&amp;C267)*Tbl_Load_distrib[[#This Row],[L_elt]]</f>
        <v>0</v>
      </c>
      <c r="F268" s="260">
        <f ca="1">SUMIFS(Tbl_Ballasts[Spread],Tbl_Ballasts[L from],"&lt;"&amp;Tbl_Load_distrib[[#This Row],[x]],Tbl_Ballasts[L to],"&gt;"&amp;C267)*Tbl_Load_distrib[[#This Row],[L_elt]]</f>
        <v>0</v>
      </c>
      <c r="G268" s="260">
        <f>SUMIFS(Tbl_Lifting[Spread],Tbl_Lifting[L from],"&lt;"&amp;Tbl_Load_distrib[[#This Row],[x]],Tbl_Lifting[L to],"&gt;"&amp;C267)*Tbl_Load_distrib[[#This Row],[L_elt]]</f>
        <v>0</v>
      </c>
      <c r="H268" s="260">
        <f>SUMIFS(Tbl_Additionals[Spread],Tbl_Additionals[L from],"&lt;"&amp;Tbl_Load_distrib[[#This Row],[x]],Tbl_Additionals[L to],"&gt;"&amp;C267)*Tbl_Load_distrib[[#This Row],[L_elt]]</f>
        <v>0</v>
      </c>
      <c r="I268" s="260">
        <f ca="1">SUMIFS(Tbl_Deck_Tank[Spread],Tbl_Deck_Tank[L from],"&lt;"&amp;Tbl_Load_distrib[[#This Row],[x]],Tbl_Deck_Tank[L to],"&gt;"&amp;C267)*Tbl_Load_distrib[[#This Row],[L_elt]]</f>
        <v>0</v>
      </c>
      <c r="J268" s="137"/>
      <c r="K268" s="165" t="e">
        <f>IFERROR(Tbl_Long_Section[[#This Row],[H Deck-Bottom]],NA())</f>
        <v>#N/A</v>
      </c>
      <c r="L268" s="829" t="e">
        <f>M_depth-Tbl_Load_distrib[[#This Row],[H Deck-Bottom]]</f>
        <v>#N/A</v>
      </c>
      <c r="M268" s="929">
        <f>IFERROR(Tbl_Load_distrib[[#This Row],[x]]-C267,0)</f>
        <v>0</v>
      </c>
      <c r="N268" s="929" t="e">
        <f>IF(ISNA(Tbl_Load_distrib[[#This Row],[x]]),NA(),IF(ISTEXT(N267),0,IF(N267=0,$Z$3,N267-($Z$3-$AA$3)/(Lpp-FE_size)*Tbl_Load_distrib[[#This Row],[L_elt]])))</f>
        <v>#N/A</v>
      </c>
      <c r="O268" s="166" t="e">
        <f ca="1">IF(ISNUMBER(O267),(IF((N267-L267)&lt;0,0,N267-L267)+IF((Tbl_Load_distrib[[#This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68" s="929" t="e">
        <f>IF(ISNA(Tbl_Load_distrib[[#This Row],[x]]),NA(),IF(ISTEXT(P267),0,IF(P267=0,LongSection_DraftAft,P267-(LongSection_DraftAft-LongSection_DraftFore)/(Lpp-FE_size)*Tbl_Load_distrib[[#This Row],[L_elt]])))</f>
        <v>#N/A</v>
      </c>
      <c r="Q268" s="166" t="e">
        <f ca="1">IF(ISNUMBER(Q267),(IF((P267-L267)&lt;0,0,P267-L267)+IF((Tbl_Load_distrib[[#This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68" s="167" t="e">
        <f ca="1">ρ_sw*Tbl_Load_distrib[[#This Row],[Elt Area corrected]]*B/k_depl</f>
        <v>#N/A</v>
      </c>
      <c r="S268" s="167" t="e">
        <f ca="1">Tbl_Load_distrib[[#This Row],[Section Weight]]-Tbl_Load_distrib[[#This Row],[Floating Elt]]</f>
        <v>#N/A</v>
      </c>
      <c r="T268" s="183" t="e">
        <f ca="1">IF(ISTEXT($T267),0,$T267+Tbl_Load_distrib[[#This Row],[Net force / Elt]])</f>
        <v>#N/A</v>
      </c>
      <c r="U268" s="261" t="e">
        <f ca="1">IF(ISTEXT($U267),0,$U267+Tbl_Load_distrib[[#This Row],[Shearing Force]]*Tbl_Load_distrib[[#This Row],[L_elt]])</f>
        <v>#N/A</v>
      </c>
    </row>
    <row r="269" spans="2:21" x14ac:dyDescent="0.25">
      <c r="B269" s="136" t="e">
        <f t="shared" si="9"/>
        <v>#N/A</v>
      </c>
      <c r="C269" s="139" t="e">
        <f t="shared" si="10"/>
        <v>#N/A</v>
      </c>
      <c r="D269" s="152">
        <f ca="1">SUM(Tbl_Load_distrib[[#This Row],[Hull &amp; Structure]:[Reserved]])</f>
        <v>0</v>
      </c>
      <c r="E269" s="260">
        <f>SUMIFS(Tbl_Hull_Structure[Spread],Tbl_Hull_Structure[L from],"&lt;"&amp;Tbl_Load_distrib[[#This Row],[x]],Tbl_Hull_Structure[L to],"&gt;"&amp;C268)*Tbl_Load_distrib[[#This Row],[L_elt]]</f>
        <v>0</v>
      </c>
      <c r="F269" s="260">
        <f ca="1">SUMIFS(Tbl_Ballasts[Spread],Tbl_Ballasts[L from],"&lt;"&amp;Tbl_Load_distrib[[#This Row],[x]],Tbl_Ballasts[L to],"&gt;"&amp;C268)*Tbl_Load_distrib[[#This Row],[L_elt]]</f>
        <v>0</v>
      </c>
      <c r="G269" s="260">
        <f>SUMIFS(Tbl_Lifting[Spread],Tbl_Lifting[L from],"&lt;"&amp;Tbl_Load_distrib[[#This Row],[x]],Tbl_Lifting[L to],"&gt;"&amp;C268)*Tbl_Load_distrib[[#This Row],[L_elt]]</f>
        <v>0</v>
      </c>
      <c r="H269" s="260">
        <f>SUMIFS(Tbl_Additionals[Spread],Tbl_Additionals[L from],"&lt;"&amp;Tbl_Load_distrib[[#This Row],[x]],Tbl_Additionals[L to],"&gt;"&amp;C268)*Tbl_Load_distrib[[#This Row],[L_elt]]</f>
        <v>0</v>
      </c>
      <c r="I269" s="260">
        <f ca="1">SUMIFS(Tbl_Deck_Tank[Spread],Tbl_Deck_Tank[L from],"&lt;"&amp;Tbl_Load_distrib[[#This Row],[x]],Tbl_Deck_Tank[L to],"&gt;"&amp;C268)*Tbl_Load_distrib[[#This Row],[L_elt]]</f>
        <v>0</v>
      </c>
      <c r="J269" s="137"/>
      <c r="K269" s="165" t="e">
        <f>IFERROR(Tbl_Long_Section[[#This Row],[H Deck-Bottom]],NA())</f>
        <v>#N/A</v>
      </c>
      <c r="L269" s="829" t="e">
        <f>M_depth-Tbl_Load_distrib[[#This Row],[H Deck-Bottom]]</f>
        <v>#N/A</v>
      </c>
      <c r="M269" s="929">
        <f>IFERROR(Tbl_Load_distrib[[#This Row],[x]]-C268,0)</f>
        <v>0</v>
      </c>
      <c r="N269" s="929" t="e">
        <f>IF(ISNA(Tbl_Load_distrib[[#This Row],[x]]),NA(),IF(ISTEXT(N268),0,IF(N268=0,$Z$3,N268-($Z$3-$AA$3)/(Lpp-FE_size)*Tbl_Load_distrib[[#This Row],[L_elt]])))</f>
        <v>#N/A</v>
      </c>
      <c r="O269" s="166" t="e">
        <f ca="1">IF(ISNUMBER(O268),(IF((N268-L268)&lt;0,0,N268-L268)+IF((Tbl_Load_distrib[[#This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69" s="929" t="e">
        <f>IF(ISNA(Tbl_Load_distrib[[#This Row],[x]]),NA(),IF(ISTEXT(P268),0,IF(P268=0,LongSection_DraftAft,P268-(LongSection_DraftAft-LongSection_DraftFore)/(Lpp-FE_size)*Tbl_Load_distrib[[#This Row],[L_elt]])))</f>
        <v>#N/A</v>
      </c>
      <c r="Q269" s="166" t="e">
        <f ca="1">IF(ISNUMBER(Q268),(IF((P268-L268)&lt;0,0,P268-L268)+IF((Tbl_Load_distrib[[#This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69" s="167" t="e">
        <f ca="1">ρ_sw*Tbl_Load_distrib[[#This Row],[Elt Area corrected]]*B/k_depl</f>
        <v>#N/A</v>
      </c>
      <c r="S269" s="167" t="e">
        <f ca="1">Tbl_Load_distrib[[#This Row],[Section Weight]]-Tbl_Load_distrib[[#This Row],[Floating Elt]]</f>
        <v>#N/A</v>
      </c>
      <c r="T269" s="183" t="e">
        <f ca="1">IF(ISTEXT($T268),0,$T268+Tbl_Load_distrib[[#This Row],[Net force / Elt]])</f>
        <v>#N/A</v>
      </c>
      <c r="U269" s="261" t="e">
        <f ca="1">IF(ISTEXT($U268),0,$U268+Tbl_Load_distrib[[#This Row],[Shearing Force]]*Tbl_Load_distrib[[#This Row],[L_elt]])</f>
        <v>#N/A</v>
      </c>
    </row>
    <row r="270" spans="2:21" x14ac:dyDescent="0.25">
      <c r="B270" s="136" t="e">
        <f t="shared" si="9"/>
        <v>#N/A</v>
      </c>
      <c r="C270" s="139" t="e">
        <f t="shared" si="10"/>
        <v>#N/A</v>
      </c>
      <c r="D270" s="152">
        <f ca="1">SUM(Tbl_Load_distrib[[#This Row],[Hull &amp; Structure]:[Reserved]])</f>
        <v>0</v>
      </c>
      <c r="E270" s="260">
        <f>SUMIFS(Tbl_Hull_Structure[Spread],Tbl_Hull_Structure[L from],"&lt;"&amp;Tbl_Load_distrib[[#This Row],[x]],Tbl_Hull_Structure[L to],"&gt;"&amp;C269)*Tbl_Load_distrib[[#This Row],[L_elt]]</f>
        <v>0</v>
      </c>
      <c r="F270" s="260">
        <f ca="1">SUMIFS(Tbl_Ballasts[Spread],Tbl_Ballasts[L from],"&lt;"&amp;Tbl_Load_distrib[[#This Row],[x]],Tbl_Ballasts[L to],"&gt;"&amp;C269)*Tbl_Load_distrib[[#This Row],[L_elt]]</f>
        <v>0</v>
      </c>
      <c r="G270" s="260">
        <f>SUMIFS(Tbl_Lifting[Spread],Tbl_Lifting[L from],"&lt;"&amp;Tbl_Load_distrib[[#This Row],[x]],Tbl_Lifting[L to],"&gt;"&amp;C269)*Tbl_Load_distrib[[#This Row],[L_elt]]</f>
        <v>0</v>
      </c>
      <c r="H270" s="260">
        <f>SUMIFS(Tbl_Additionals[Spread],Tbl_Additionals[L from],"&lt;"&amp;Tbl_Load_distrib[[#This Row],[x]],Tbl_Additionals[L to],"&gt;"&amp;C269)*Tbl_Load_distrib[[#This Row],[L_elt]]</f>
        <v>0</v>
      </c>
      <c r="I270" s="260">
        <f ca="1">SUMIFS(Tbl_Deck_Tank[Spread],Tbl_Deck_Tank[L from],"&lt;"&amp;Tbl_Load_distrib[[#This Row],[x]],Tbl_Deck_Tank[L to],"&gt;"&amp;C269)*Tbl_Load_distrib[[#This Row],[L_elt]]</f>
        <v>0</v>
      </c>
      <c r="J270" s="137"/>
      <c r="K270" s="165" t="e">
        <f>IFERROR(Tbl_Long_Section[[#This Row],[H Deck-Bottom]],NA())</f>
        <v>#N/A</v>
      </c>
      <c r="L270" s="829" t="e">
        <f>M_depth-Tbl_Load_distrib[[#This Row],[H Deck-Bottom]]</f>
        <v>#N/A</v>
      </c>
      <c r="M270" s="929">
        <f>IFERROR(Tbl_Load_distrib[[#This Row],[x]]-C269,0)</f>
        <v>0</v>
      </c>
      <c r="N270" s="929" t="e">
        <f>IF(ISNA(Tbl_Load_distrib[[#This Row],[x]]),NA(),IF(ISTEXT(N269),0,IF(N269=0,$Z$3,N269-($Z$3-$AA$3)/(Lpp-FE_size)*Tbl_Load_distrib[[#This Row],[L_elt]])))</f>
        <v>#N/A</v>
      </c>
      <c r="O270" s="166" t="e">
        <f ca="1">IF(ISNUMBER(O269),(IF((N269-L269)&lt;0,0,N269-L269)+IF((Tbl_Load_distrib[[#This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70" s="929" t="e">
        <f>IF(ISNA(Tbl_Load_distrib[[#This Row],[x]]),NA(),IF(ISTEXT(P269),0,IF(P269=0,LongSection_DraftAft,P269-(LongSection_DraftAft-LongSection_DraftFore)/(Lpp-FE_size)*Tbl_Load_distrib[[#This Row],[L_elt]])))</f>
        <v>#N/A</v>
      </c>
      <c r="Q270" s="166" t="e">
        <f ca="1">IF(ISNUMBER(Q269),(IF((P269-L269)&lt;0,0,P269-L269)+IF((Tbl_Load_distrib[[#This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70" s="167" t="e">
        <f ca="1">ρ_sw*Tbl_Load_distrib[[#This Row],[Elt Area corrected]]*B/k_depl</f>
        <v>#N/A</v>
      </c>
      <c r="S270" s="167" t="e">
        <f ca="1">Tbl_Load_distrib[[#This Row],[Section Weight]]-Tbl_Load_distrib[[#This Row],[Floating Elt]]</f>
        <v>#N/A</v>
      </c>
      <c r="T270" s="183" t="e">
        <f ca="1">IF(ISTEXT($T269),0,$T269+Tbl_Load_distrib[[#This Row],[Net force / Elt]])</f>
        <v>#N/A</v>
      </c>
      <c r="U270" s="261" t="e">
        <f ca="1">IF(ISTEXT($U269),0,$U269+Tbl_Load_distrib[[#This Row],[Shearing Force]]*Tbl_Load_distrib[[#This Row],[L_elt]])</f>
        <v>#N/A</v>
      </c>
    </row>
    <row r="271" spans="2:21" x14ac:dyDescent="0.25">
      <c r="B271" s="136" t="e">
        <f t="shared" si="9"/>
        <v>#N/A</v>
      </c>
      <c r="C271" s="139" t="e">
        <f t="shared" si="10"/>
        <v>#N/A</v>
      </c>
      <c r="D271" s="152">
        <f ca="1">SUM(Tbl_Load_distrib[[#This Row],[Hull &amp; Structure]:[Reserved]])</f>
        <v>0</v>
      </c>
      <c r="E271" s="260">
        <f>SUMIFS(Tbl_Hull_Structure[Spread],Tbl_Hull_Structure[L from],"&lt;"&amp;Tbl_Load_distrib[[#This Row],[x]],Tbl_Hull_Structure[L to],"&gt;"&amp;C270)*Tbl_Load_distrib[[#This Row],[L_elt]]</f>
        <v>0</v>
      </c>
      <c r="F271" s="260">
        <f ca="1">SUMIFS(Tbl_Ballasts[Spread],Tbl_Ballasts[L from],"&lt;"&amp;Tbl_Load_distrib[[#This Row],[x]],Tbl_Ballasts[L to],"&gt;"&amp;C270)*Tbl_Load_distrib[[#This Row],[L_elt]]</f>
        <v>0</v>
      </c>
      <c r="G271" s="260">
        <f>SUMIFS(Tbl_Lifting[Spread],Tbl_Lifting[L from],"&lt;"&amp;Tbl_Load_distrib[[#This Row],[x]],Tbl_Lifting[L to],"&gt;"&amp;C270)*Tbl_Load_distrib[[#This Row],[L_elt]]</f>
        <v>0</v>
      </c>
      <c r="H271" s="260">
        <f>SUMIFS(Tbl_Additionals[Spread],Tbl_Additionals[L from],"&lt;"&amp;Tbl_Load_distrib[[#This Row],[x]],Tbl_Additionals[L to],"&gt;"&amp;C270)*Tbl_Load_distrib[[#This Row],[L_elt]]</f>
        <v>0</v>
      </c>
      <c r="I271" s="260">
        <f ca="1">SUMIFS(Tbl_Deck_Tank[Spread],Tbl_Deck_Tank[L from],"&lt;"&amp;Tbl_Load_distrib[[#This Row],[x]],Tbl_Deck_Tank[L to],"&gt;"&amp;C270)*Tbl_Load_distrib[[#This Row],[L_elt]]</f>
        <v>0</v>
      </c>
      <c r="J271" s="137"/>
      <c r="K271" s="165" t="e">
        <f>IFERROR(Tbl_Long_Section[[#This Row],[H Deck-Bottom]],NA())</f>
        <v>#N/A</v>
      </c>
      <c r="L271" s="829" t="e">
        <f>M_depth-Tbl_Load_distrib[[#This Row],[H Deck-Bottom]]</f>
        <v>#N/A</v>
      </c>
      <c r="M271" s="929">
        <f>IFERROR(Tbl_Load_distrib[[#This Row],[x]]-C270,0)</f>
        <v>0</v>
      </c>
      <c r="N271" s="929" t="e">
        <f>IF(ISNA(Tbl_Load_distrib[[#This Row],[x]]),NA(),IF(ISTEXT(N270),0,IF(N270=0,$Z$3,N270-($Z$3-$AA$3)/(Lpp-FE_size)*Tbl_Load_distrib[[#This Row],[L_elt]])))</f>
        <v>#N/A</v>
      </c>
      <c r="O271" s="166" t="e">
        <f ca="1">IF(ISNUMBER(O270),(IF((N270-L270)&lt;0,0,N270-L270)+IF((Tbl_Load_distrib[[#This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71" s="929" t="e">
        <f>IF(ISNA(Tbl_Load_distrib[[#This Row],[x]]),NA(),IF(ISTEXT(P270),0,IF(P270=0,LongSection_DraftAft,P270-(LongSection_DraftAft-LongSection_DraftFore)/(Lpp-FE_size)*Tbl_Load_distrib[[#This Row],[L_elt]])))</f>
        <v>#N/A</v>
      </c>
      <c r="Q271" s="166" t="e">
        <f ca="1">IF(ISNUMBER(Q270),(IF((P270-L270)&lt;0,0,P270-L270)+IF((Tbl_Load_distrib[[#This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71" s="167" t="e">
        <f ca="1">ρ_sw*Tbl_Load_distrib[[#This Row],[Elt Area corrected]]*B/k_depl</f>
        <v>#N/A</v>
      </c>
      <c r="S271" s="167" t="e">
        <f ca="1">Tbl_Load_distrib[[#This Row],[Section Weight]]-Tbl_Load_distrib[[#This Row],[Floating Elt]]</f>
        <v>#N/A</v>
      </c>
      <c r="T271" s="183" t="e">
        <f ca="1">IF(ISTEXT($T270),0,$T270+Tbl_Load_distrib[[#This Row],[Net force / Elt]])</f>
        <v>#N/A</v>
      </c>
      <c r="U271" s="261" t="e">
        <f ca="1">IF(ISTEXT($U270),0,$U270+Tbl_Load_distrib[[#This Row],[Shearing Force]]*Tbl_Load_distrib[[#This Row],[L_elt]])</f>
        <v>#N/A</v>
      </c>
    </row>
    <row r="272" spans="2:21" x14ac:dyDescent="0.25">
      <c r="B272" s="136" t="e">
        <f t="shared" si="9"/>
        <v>#N/A</v>
      </c>
      <c r="C272" s="139" t="e">
        <f t="shared" si="10"/>
        <v>#N/A</v>
      </c>
      <c r="D272" s="152">
        <f ca="1">SUM(Tbl_Load_distrib[[#This Row],[Hull &amp; Structure]:[Reserved]])</f>
        <v>0</v>
      </c>
      <c r="E272" s="260">
        <f>SUMIFS(Tbl_Hull_Structure[Spread],Tbl_Hull_Structure[L from],"&lt;"&amp;Tbl_Load_distrib[[#This Row],[x]],Tbl_Hull_Structure[L to],"&gt;"&amp;C271)*Tbl_Load_distrib[[#This Row],[L_elt]]</f>
        <v>0</v>
      </c>
      <c r="F272" s="260">
        <f ca="1">SUMIFS(Tbl_Ballasts[Spread],Tbl_Ballasts[L from],"&lt;"&amp;Tbl_Load_distrib[[#This Row],[x]],Tbl_Ballasts[L to],"&gt;"&amp;C271)*Tbl_Load_distrib[[#This Row],[L_elt]]</f>
        <v>0</v>
      </c>
      <c r="G272" s="260">
        <f>SUMIFS(Tbl_Lifting[Spread],Tbl_Lifting[L from],"&lt;"&amp;Tbl_Load_distrib[[#This Row],[x]],Tbl_Lifting[L to],"&gt;"&amp;C271)*Tbl_Load_distrib[[#This Row],[L_elt]]</f>
        <v>0</v>
      </c>
      <c r="H272" s="260">
        <f>SUMIFS(Tbl_Additionals[Spread],Tbl_Additionals[L from],"&lt;"&amp;Tbl_Load_distrib[[#This Row],[x]],Tbl_Additionals[L to],"&gt;"&amp;C271)*Tbl_Load_distrib[[#This Row],[L_elt]]</f>
        <v>0</v>
      </c>
      <c r="I272" s="260">
        <f ca="1">SUMIFS(Tbl_Deck_Tank[Spread],Tbl_Deck_Tank[L from],"&lt;"&amp;Tbl_Load_distrib[[#This Row],[x]],Tbl_Deck_Tank[L to],"&gt;"&amp;C271)*Tbl_Load_distrib[[#This Row],[L_elt]]</f>
        <v>0</v>
      </c>
      <c r="J272" s="137"/>
      <c r="K272" s="165" t="e">
        <f>IFERROR(Tbl_Long_Section[[#This Row],[H Deck-Bottom]],NA())</f>
        <v>#N/A</v>
      </c>
      <c r="L272" s="829" t="e">
        <f>M_depth-Tbl_Load_distrib[[#This Row],[H Deck-Bottom]]</f>
        <v>#N/A</v>
      </c>
      <c r="M272" s="929">
        <f>IFERROR(Tbl_Load_distrib[[#This Row],[x]]-C271,0)</f>
        <v>0</v>
      </c>
      <c r="N272" s="929" t="e">
        <f>IF(ISNA(Tbl_Load_distrib[[#This Row],[x]]),NA(),IF(ISTEXT(N271),0,IF(N271=0,$Z$3,N271-($Z$3-$AA$3)/(Lpp-FE_size)*Tbl_Load_distrib[[#This Row],[L_elt]])))</f>
        <v>#N/A</v>
      </c>
      <c r="O272" s="166" t="e">
        <f ca="1">IF(ISNUMBER(O271),(IF((N271-L271)&lt;0,0,N271-L271)+IF((Tbl_Load_distrib[[#This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72" s="929" t="e">
        <f>IF(ISNA(Tbl_Load_distrib[[#This Row],[x]]),NA(),IF(ISTEXT(P271),0,IF(P271=0,LongSection_DraftAft,P271-(LongSection_DraftAft-LongSection_DraftFore)/(Lpp-FE_size)*Tbl_Load_distrib[[#This Row],[L_elt]])))</f>
        <v>#N/A</v>
      </c>
      <c r="Q272" s="166" t="e">
        <f ca="1">IF(ISNUMBER(Q271),(IF((P271-L271)&lt;0,0,P271-L271)+IF((Tbl_Load_distrib[[#This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72" s="167" t="e">
        <f ca="1">ρ_sw*Tbl_Load_distrib[[#This Row],[Elt Area corrected]]*B/k_depl</f>
        <v>#N/A</v>
      </c>
      <c r="S272" s="167" t="e">
        <f ca="1">Tbl_Load_distrib[[#This Row],[Section Weight]]-Tbl_Load_distrib[[#This Row],[Floating Elt]]</f>
        <v>#N/A</v>
      </c>
      <c r="T272" s="183" t="e">
        <f ca="1">IF(ISTEXT($T271),0,$T271+Tbl_Load_distrib[[#This Row],[Net force / Elt]])</f>
        <v>#N/A</v>
      </c>
      <c r="U272" s="261" t="e">
        <f ca="1">IF(ISTEXT($U271),0,$U271+Tbl_Load_distrib[[#This Row],[Shearing Force]]*Tbl_Load_distrib[[#This Row],[L_elt]])</f>
        <v>#N/A</v>
      </c>
    </row>
    <row r="273" spans="2:21" x14ac:dyDescent="0.25">
      <c r="B273" s="136" t="e">
        <f t="shared" si="9"/>
        <v>#N/A</v>
      </c>
      <c r="C273" s="139" t="e">
        <f t="shared" si="10"/>
        <v>#N/A</v>
      </c>
      <c r="D273" s="152">
        <f ca="1">SUM(Tbl_Load_distrib[[#This Row],[Hull &amp; Structure]:[Reserved]])</f>
        <v>0</v>
      </c>
      <c r="E273" s="260">
        <f>SUMIFS(Tbl_Hull_Structure[Spread],Tbl_Hull_Structure[L from],"&lt;"&amp;Tbl_Load_distrib[[#This Row],[x]],Tbl_Hull_Structure[L to],"&gt;"&amp;C272)*Tbl_Load_distrib[[#This Row],[L_elt]]</f>
        <v>0</v>
      </c>
      <c r="F273" s="260">
        <f ca="1">SUMIFS(Tbl_Ballasts[Spread],Tbl_Ballasts[L from],"&lt;"&amp;Tbl_Load_distrib[[#This Row],[x]],Tbl_Ballasts[L to],"&gt;"&amp;C272)*Tbl_Load_distrib[[#This Row],[L_elt]]</f>
        <v>0</v>
      </c>
      <c r="G273" s="260">
        <f>SUMIFS(Tbl_Lifting[Spread],Tbl_Lifting[L from],"&lt;"&amp;Tbl_Load_distrib[[#This Row],[x]],Tbl_Lifting[L to],"&gt;"&amp;C272)*Tbl_Load_distrib[[#This Row],[L_elt]]</f>
        <v>0</v>
      </c>
      <c r="H273" s="260">
        <f>SUMIFS(Tbl_Additionals[Spread],Tbl_Additionals[L from],"&lt;"&amp;Tbl_Load_distrib[[#This Row],[x]],Tbl_Additionals[L to],"&gt;"&amp;C272)*Tbl_Load_distrib[[#This Row],[L_elt]]</f>
        <v>0</v>
      </c>
      <c r="I273" s="260">
        <f ca="1">SUMIFS(Tbl_Deck_Tank[Spread],Tbl_Deck_Tank[L from],"&lt;"&amp;Tbl_Load_distrib[[#This Row],[x]],Tbl_Deck_Tank[L to],"&gt;"&amp;C272)*Tbl_Load_distrib[[#This Row],[L_elt]]</f>
        <v>0</v>
      </c>
      <c r="J273" s="137"/>
      <c r="K273" s="165" t="e">
        <f>IFERROR(Tbl_Long_Section[[#This Row],[H Deck-Bottom]],NA())</f>
        <v>#N/A</v>
      </c>
      <c r="L273" s="829" t="e">
        <f>M_depth-Tbl_Load_distrib[[#This Row],[H Deck-Bottom]]</f>
        <v>#N/A</v>
      </c>
      <c r="M273" s="929">
        <f>IFERROR(Tbl_Load_distrib[[#This Row],[x]]-C272,0)</f>
        <v>0</v>
      </c>
      <c r="N273" s="929" t="e">
        <f>IF(ISNA(Tbl_Load_distrib[[#This Row],[x]]),NA(),IF(ISTEXT(N272),0,IF(N272=0,$Z$3,N272-($Z$3-$AA$3)/(Lpp-FE_size)*Tbl_Load_distrib[[#This Row],[L_elt]])))</f>
        <v>#N/A</v>
      </c>
      <c r="O273" s="166" t="e">
        <f ca="1">IF(ISNUMBER(O272),(IF((N272-L272)&lt;0,0,N272-L272)+IF((Tbl_Load_distrib[[#This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73" s="929" t="e">
        <f>IF(ISNA(Tbl_Load_distrib[[#This Row],[x]]),NA(),IF(ISTEXT(P272),0,IF(P272=0,LongSection_DraftAft,P272-(LongSection_DraftAft-LongSection_DraftFore)/(Lpp-FE_size)*Tbl_Load_distrib[[#This Row],[L_elt]])))</f>
        <v>#N/A</v>
      </c>
      <c r="Q273" s="166" t="e">
        <f ca="1">IF(ISNUMBER(Q272),(IF((P272-L272)&lt;0,0,P272-L272)+IF((Tbl_Load_distrib[[#This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73" s="167" t="e">
        <f ca="1">ρ_sw*Tbl_Load_distrib[[#This Row],[Elt Area corrected]]*B/k_depl</f>
        <v>#N/A</v>
      </c>
      <c r="S273" s="167" t="e">
        <f ca="1">Tbl_Load_distrib[[#This Row],[Section Weight]]-Tbl_Load_distrib[[#This Row],[Floating Elt]]</f>
        <v>#N/A</v>
      </c>
      <c r="T273" s="183" t="e">
        <f ca="1">IF(ISTEXT($T272),0,$T272+Tbl_Load_distrib[[#This Row],[Net force / Elt]])</f>
        <v>#N/A</v>
      </c>
      <c r="U273" s="261" t="e">
        <f ca="1">IF(ISTEXT($U272),0,$U272+Tbl_Load_distrib[[#This Row],[Shearing Force]]*Tbl_Load_distrib[[#This Row],[L_elt]])</f>
        <v>#N/A</v>
      </c>
    </row>
    <row r="274" spans="2:21" x14ac:dyDescent="0.25">
      <c r="B274" s="136" t="e">
        <f t="shared" si="9"/>
        <v>#N/A</v>
      </c>
      <c r="C274" s="139" t="e">
        <f t="shared" si="10"/>
        <v>#N/A</v>
      </c>
      <c r="D274" s="152">
        <f ca="1">SUM(Tbl_Load_distrib[[#This Row],[Hull &amp; Structure]:[Reserved]])</f>
        <v>0</v>
      </c>
      <c r="E274" s="260">
        <f>SUMIFS(Tbl_Hull_Structure[Spread],Tbl_Hull_Structure[L from],"&lt;"&amp;Tbl_Load_distrib[[#This Row],[x]],Tbl_Hull_Structure[L to],"&gt;"&amp;C273)*Tbl_Load_distrib[[#This Row],[L_elt]]</f>
        <v>0</v>
      </c>
      <c r="F274" s="260">
        <f ca="1">SUMIFS(Tbl_Ballasts[Spread],Tbl_Ballasts[L from],"&lt;"&amp;Tbl_Load_distrib[[#This Row],[x]],Tbl_Ballasts[L to],"&gt;"&amp;C273)*Tbl_Load_distrib[[#This Row],[L_elt]]</f>
        <v>0</v>
      </c>
      <c r="G274" s="260">
        <f>SUMIFS(Tbl_Lifting[Spread],Tbl_Lifting[L from],"&lt;"&amp;Tbl_Load_distrib[[#This Row],[x]],Tbl_Lifting[L to],"&gt;"&amp;C273)*Tbl_Load_distrib[[#This Row],[L_elt]]</f>
        <v>0</v>
      </c>
      <c r="H274" s="260">
        <f>SUMIFS(Tbl_Additionals[Spread],Tbl_Additionals[L from],"&lt;"&amp;Tbl_Load_distrib[[#This Row],[x]],Tbl_Additionals[L to],"&gt;"&amp;C273)*Tbl_Load_distrib[[#This Row],[L_elt]]</f>
        <v>0</v>
      </c>
      <c r="I274" s="260">
        <f ca="1">SUMIFS(Tbl_Deck_Tank[Spread],Tbl_Deck_Tank[L from],"&lt;"&amp;Tbl_Load_distrib[[#This Row],[x]],Tbl_Deck_Tank[L to],"&gt;"&amp;C273)*Tbl_Load_distrib[[#This Row],[L_elt]]</f>
        <v>0</v>
      </c>
      <c r="J274" s="137"/>
      <c r="K274" s="165" t="e">
        <f>IFERROR(Tbl_Long_Section[[#This Row],[H Deck-Bottom]],NA())</f>
        <v>#N/A</v>
      </c>
      <c r="L274" s="829" t="e">
        <f>M_depth-Tbl_Load_distrib[[#This Row],[H Deck-Bottom]]</f>
        <v>#N/A</v>
      </c>
      <c r="M274" s="929">
        <f>IFERROR(Tbl_Load_distrib[[#This Row],[x]]-C273,0)</f>
        <v>0</v>
      </c>
      <c r="N274" s="929" t="e">
        <f>IF(ISNA(Tbl_Load_distrib[[#This Row],[x]]),NA(),IF(ISTEXT(N273),0,IF(N273=0,$Z$3,N273-($Z$3-$AA$3)/(Lpp-FE_size)*Tbl_Load_distrib[[#This Row],[L_elt]])))</f>
        <v>#N/A</v>
      </c>
      <c r="O274" s="166" t="e">
        <f ca="1">IF(ISNUMBER(O273),(IF((N273-L273)&lt;0,0,N273-L273)+IF((Tbl_Load_distrib[[#This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74" s="929" t="e">
        <f>IF(ISNA(Tbl_Load_distrib[[#This Row],[x]]),NA(),IF(ISTEXT(P273),0,IF(P273=0,LongSection_DraftAft,P273-(LongSection_DraftAft-LongSection_DraftFore)/(Lpp-FE_size)*Tbl_Load_distrib[[#This Row],[L_elt]])))</f>
        <v>#N/A</v>
      </c>
      <c r="Q274" s="166" t="e">
        <f ca="1">IF(ISNUMBER(Q273),(IF((P273-L273)&lt;0,0,P273-L273)+IF((Tbl_Load_distrib[[#This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74" s="167" t="e">
        <f ca="1">ρ_sw*Tbl_Load_distrib[[#This Row],[Elt Area corrected]]*B/k_depl</f>
        <v>#N/A</v>
      </c>
      <c r="S274" s="167" t="e">
        <f ca="1">Tbl_Load_distrib[[#This Row],[Section Weight]]-Tbl_Load_distrib[[#This Row],[Floating Elt]]</f>
        <v>#N/A</v>
      </c>
      <c r="T274" s="183" t="e">
        <f ca="1">IF(ISTEXT($T273),0,$T273+Tbl_Load_distrib[[#This Row],[Net force / Elt]])</f>
        <v>#N/A</v>
      </c>
      <c r="U274" s="261" t="e">
        <f ca="1">IF(ISTEXT($U273),0,$U273+Tbl_Load_distrib[[#This Row],[Shearing Force]]*Tbl_Load_distrib[[#This Row],[L_elt]])</f>
        <v>#N/A</v>
      </c>
    </row>
    <row r="275" spans="2:21" x14ac:dyDescent="0.25">
      <c r="B275" s="136" t="e">
        <f t="shared" si="9"/>
        <v>#N/A</v>
      </c>
      <c r="C275" s="139" t="e">
        <f t="shared" si="10"/>
        <v>#N/A</v>
      </c>
      <c r="D275" s="152">
        <f ca="1">SUM(Tbl_Load_distrib[[#This Row],[Hull &amp; Structure]:[Reserved]])</f>
        <v>0</v>
      </c>
      <c r="E275" s="260">
        <f>SUMIFS(Tbl_Hull_Structure[Spread],Tbl_Hull_Structure[L from],"&lt;"&amp;Tbl_Load_distrib[[#This Row],[x]],Tbl_Hull_Structure[L to],"&gt;"&amp;C274)*Tbl_Load_distrib[[#This Row],[L_elt]]</f>
        <v>0</v>
      </c>
      <c r="F275" s="260">
        <f ca="1">SUMIFS(Tbl_Ballasts[Spread],Tbl_Ballasts[L from],"&lt;"&amp;Tbl_Load_distrib[[#This Row],[x]],Tbl_Ballasts[L to],"&gt;"&amp;C274)*Tbl_Load_distrib[[#This Row],[L_elt]]</f>
        <v>0</v>
      </c>
      <c r="G275" s="260">
        <f>SUMIFS(Tbl_Lifting[Spread],Tbl_Lifting[L from],"&lt;"&amp;Tbl_Load_distrib[[#This Row],[x]],Tbl_Lifting[L to],"&gt;"&amp;C274)*Tbl_Load_distrib[[#This Row],[L_elt]]</f>
        <v>0</v>
      </c>
      <c r="H275" s="260">
        <f>SUMIFS(Tbl_Additionals[Spread],Tbl_Additionals[L from],"&lt;"&amp;Tbl_Load_distrib[[#This Row],[x]],Tbl_Additionals[L to],"&gt;"&amp;C274)*Tbl_Load_distrib[[#This Row],[L_elt]]</f>
        <v>0</v>
      </c>
      <c r="I275" s="260">
        <f ca="1">SUMIFS(Tbl_Deck_Tank[Spread],Tbl_Deck_Tank[L from],"&lt;"&amp;Tbl_Load_distrib[[#This Row],[x]],Tbl_Deck_Tank[L to],"&gt;"&amp;C274)*Tbl_Load_distrib[[#This Row],[L_elt]]</f>
        <v>0</v>
      </c>
      <c r="J275" s="137"/>
      <c r="K275" s="165" t="e">
        <f>IFERROR(Tbl_Long_Section[[#This Row],[H Deck-Bottom]],NA())</f>
        <v>#N/A</v>
      </c>
      <c r="L275" s="829" t="e">
        <f>M_depth-Tbl_Load_distrib[[#This Row],[H Deck-Bottom]]</f>
        <v>#N/A</v>
      </c>
      <c r="M275" s="929">
        <f>IFERROR(Tbl_Load_distrib[[#This Row],[x]]-C274,0)</f>
        <v>0</v>
      </c>
      <c r="N275" s="929" t="e">
        <f>IF(ISNA(Tbl_Load_distrib[[#This Row],[x]]),NA(),IF(ISTEXT(N274),0,IF(N274=0,$Z$3,N274-($Z$3-$AA$3)/(Lpp-FE_size)*Tbl_Load_distrib[[#This Row],[L_elt]])))</f>
        <v>#N/A</v>
      </c>
      <c r="O275" s="166" t="e">
        <f ca="1">IF(ISNUMBER(O274),(IF((N274-L274)&lt;0,0,N274-L274)+IF((Tbl_Load_distrib[[#This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75" s="929" t="e">
        <f>IF(ISNA(Tbl_Load_distrib[[#This Row],[x]]),NA(),IF(ISTEXT(P274),0,IF(P274=0,LongSection_DraftAft,P274-(LongSection_DraftAft-LongSection_DraftFore)/(Lpp-FE_size)*Tbl_Load_distrib[[#This Row],[L_elt]])))</f>
        <v>#N/A</v>
      </c>
      <c r="Q275" s="166" t="e">
        <f ca="1">IF(ISNUMBER(Q274),(IF((P274-L274)&lt;0,0,P274-L274)+IF((Tbl_Load_distrib[[#This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75" s="167" t="e">
        <f ca="1">ρ_sw*Tbl_Load_distrib[[#This Row],[Elt Area corrected]]*B/k_depl</f>
        <v>#N/A</v>
      </c>
      <c r="S275" s="167" t="e">
        <f ca="1">Tbl_Load_distrib[[#This Row],[Section Weight]]-Tbl_Load_distrib[[#This Row],[Floating Elt]]</f>
        <v>#N/A</v>
      </c>
      <c r="T275" s="183" t="e">
        <f ca="1">IF(ISTEXT($T274),0,$T274+Tbl_Load_distrib[[#This Row],[Net force / Elt]])</f>
        <v>#N/A</v>
      </c>
      <c r="U275" s="261" t="e">
        <f ca="1">IF(ISTEXT($U274),0,$U274+Tbl_Load_distrib[[#This Row],[Shearing Force]]*Tbl_Load_distrib[[#This Row],[L_elt]])</f>
        <v>#N/A</v>
      </c>
    </row>
    <row r="276" spans="2:21" x14ac:dyDescent="0.25">
      <c r="B276" s="136" t="e">
        <f t="shared" si="9"/>
        <v>#N/A</v>
      </c>
      <c r="C276" s="139" t="e">
        <f t="shared" si="10"/>
        <v>#N/A</v>
      </c>
      <c r="D276" s="152">
        <f ca="1">SUM(Tbl_Load_distrib[[#This Row],[Hull &amp; Structure]:[Reserved]])</f>
        <v>0</v>
      </c>
      <c r="E276" s="260">
        <f>SUMIFS(Tbl_Hull_Structure[Spread],Tbl_Hull_Structure[L from],"&lt;"&amp;Tbl_Load_distrib[[#This Row],[x]],Tbl_Hull_Structure[L to],"&gt;"&amp;C275)*Tbl_Load_distrib[[#This Row],[L_elt]]</f>
        <v>0</v>
      </c>
      <c r="F276" s="260">
        <f ca="1">SUMIFS(Tbl_Ballasts[Spread],Tbl_Ballasts[L from],"&lt;"&amp;Tbl_Load_distrib[[#This Row],[x]],Tbl_Ballasts[L to],"&gt;"&amp;C275)*Tbl_Load_distrib[[#This Row],[L_elt]]</f>
        <v>0</v>
      </c>
      <c r="G276" s="260">
        <f>SUMIFS(Tbl_Lifting[Spread],Tbl_Lifting[L from],"&lt;"&amp;Tbl_Load_distrib[[#This Row],[x]],Tbl_Lifting[L to],"&gt;"&amp;C275)*Tbl_Load_distrib[[#This Row],[L_elt]]</f>
        <v>0</v>
      </c>
      <c r="H276" s="260">
        <f>SUMIFS(Tbl_Additionals[Spread],Tbl_Additionals[L from],"&lt;"&amp;Tbl_Load_distrib[[#This Row],[x]],Tbl_Additionals[L to],"&gt;"&amp;C275)*Tbl_Load_distrib[[#This Row],[L_elt]]</f>
        <v>0</v>
      </c>
      <c r="I276" s="260">
        <f ca="1">SUMIFS(Tbl_Deck_Tank[Spread],Tbl_Deck_Tank[L from],"&lt;"&amp;Tbl_Load_distrib[[#This Row],[x]],Tbl_Deck_Tank[L to],"&gt;"&amp;C275)*Tbl_Load_distrib[[#This Row],[L_elt]]</f>
        <v>0</v>
      </c>
      <c r="J276" s="137"/>
      <c r="K276" s="165" t="e">
        <f>IFERROR(Tbl_Long_Section[[#This Row],[H Deck-Bottom]],NA())</f>
        <v>#N/A</v>
      </c>
      <c r="L276" s="829" t="e">
        <f>M_depth-Tbl_Load_distrib[[#This Row],[H Deck-Bottom]]</f>
        <v>#N/A</v>
      </c>
      <c r="M276" s="929">
        <f>IFERROR(Tbl_Load_distrib[[#This Row],[x]]-C275,0)</f>
        <v>0</v>
      </c>
      <c r="N276" s="929" t="e">
        <f>IF(ISNA(Tbl_Load_distrib[[#This Row],[x]]),NA(),IF(ISTEXT(N275),0,IF(N275=0,$Z$3,N275-($Z$3-$AA$3)/(Lpp-FE_size)*Tbl_Load_distrib[[#This Row],[L_elt]])))</f>
        <v>#N/A</v>
      </c>
      <c r="O276" s="166" t="e">
        <f ca="1">IF(ISNUMBER(O275),(IF((N275-L275)&lt;0,0,N275-L275)+IF((Tbl_Load_distrib[[#This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76" s="929" t="e">
        <f>IF(ISNA(Tbl_Load_distrib[[#This Row],[x]]),NA(),IF(ISTEXT(P275),0,IF(P275=0,LongSection_DraftAft,P275-(LongSection_DraftAft-LongSection_DraftFore)/(Lpp-FE_size)*Tbl_Load_distrib[[#This Row],[L_elt]])))</f>
        <v>#N/A</v>
      </c>
      <c r="Q276" s="166" t="e">
        <f ca="1">IF(ISNUMBER(Q275),(IF((P275-L275)&lt;0,0,P275-L275)+IF((Tbl_Load_distrib[[#This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76" s="167" t="e">
        <f ca="1">ρ_sw*Tbl_Load_distrib[[#This Row],[Elt Area corrected]]*B/k_depl</f>
        <v>#N/A</v>
      </c>
      <c r="S276" s="167" t="e">
        <f ca="1">Tbl_Load_distrib[[#This Row],[Section Weight]]-Tbl_Load_distrib[[#This Row],[Floating Elt]]</f>
        <v>#N/A</v>
      </c>
      <c r="T276" s="183" t="e">
        <f ca="1">IF(ISTEXT($T275),0,$T275+Tbl_Load_distrib[[#This Row],[Net force / Elt]])</f>
        <v>#N/A</v>
      </c>
      <c r="U276" s="261" t="e">
        <f ca="1">IF(ISTEXT($U275),0,$U275+Tbl_Load_distrib[[#This Row],[Shearing Force]]*Tbl_Load_distrib[[#This Row],[L_elt]])</f>
        <v>#N/A</v>
      </c>
    </row>
    <row r="277" spans="2:21" x14ac:dyDescent="0.25">
      <c r="B277" s="136" t="e">
        <f t="shared" si="9"/>
        <v>#N/A</v>
      </c>
      <c r="C277" s="139" t="e">
        <f t="shared" si="10"/>
        <v>#N/A</v>
      </c>
      <c r="D277" s="152">
        <f ca="1">SUM(Tbl_Load_distrib[[#This Row],[Hull &amp; Structure]:[Reserved]])</f>
        <v>0</v>
      </c>
      <c r="E277" s="260">
        <f>SUMIFS(Tbl_Hull_Structure[Spread],Tbl_Hull_Structure[L from],"&lt;"&amp;Tbl_Load_distrib[[#This Row],[x]],Tbl_Hull_Structure[L to],"&gt;"&amp;C276)*Tbl_Load_distrib[[#This Row],[L_elt]]</f>
        <v>0</v>
      </c>
      <c r="F277" s="260">
        <f ca="1">SUMIFS(Tbl_Ballasts[Spread],Tbl_Ballasts[L from],"&lt;"&amp;Tbl_Load_distrib[[#This Row],[x]],Tbl_Ballasts[L to],"&gt;"&amp;C276)*Tbl_Load_distrib[[#This Row],[L_elt]]</f>
        <v>0</v>
      </c>
      <c r="G277" s="260">
        <f>SUMIFS(Tbl_Lifting[Spread],Tbl_Lifting[L from],"&lt;"&amp;Tbl_Load_distrib[[#This Row],[x]],Tbl_Lifting[L to],"&gt;"&amp;C276)*Tbl_Load_distrib[[#This Row],[L_elt]]</f>
        <v>0</v>
      </c>
      <c r="H277" s="260">
        <f>SUMIFS(Tbl_Additionals[Spread],Tbl_Additionals[L from],"&lt;"&amp;Tbl_Load_distrib[[#This Row],[x]],Tbl_Additionals[L to],"&gt;"&amp;C276)*Tbl_Load_distrib[[#This Row],[L_elt]]</f>
        <v>0</v>
      </c>
      <c r="I277" s="260">
        <f ca="1">SUMIFS(Tbl_Deck_Tank[Spread],Tbl_Deck_Tank[L from],"&lt;"&amp;Tbl_Load_distrib[[#This Row],[x]],Tbl_Deck_Tank[L to],"&gt;"&amp;C276)*Tbl_Load_distrib[[#This Row],[L_elt]]</f>
        <v>0</v>
      </c>
      <c r="J277" s="137"/>
      <c r="K277" s="165" t="e">
        <f>IFERROR(Tbl_Long_Section[[#This Row],[H Deck-Bottom]],NA())</f>
        <v>#N/A</v>
      </c>
      <c r="L277" s="829" t="e">
        <f>M_depth-Tbl_Load_distrib[[#This Row],[H Deck-Bottom]]</f>
        <v>#N/A</v>
      </c>
      <c r="M277" s="929">
        <f>IFERROR(Tbl_Load_distrib[[#This Row],[x]]-C276,0)</f>
        <v>0</v>
      </c>
      <c r="N277" s="929" t="e">
        <f>IF(ISNA(Tbl_Load_distrib[[#This Row],[x]]),NA(),IF(ISTEXT(N276),0,IF(N276=0,$Z$3,N276-($Z$3-$AA$3)/(Lpp-FE_size)*Tbl_Load_distrib[[#This Row],[L_elt]])))</f>
        <v>#N/A</v>
      </c>
      <c r="O277" s="166" t="e">
        <f ca="1">IF(ISNUMBER(O276),(IF((N276-L276)&lt;0,0,N276-L276)+IF((Tbl_Load_distrib[[#This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77" s="929" t="e">
        <f>IF(ISNA(Tbl_Load_distrib[[#This Row],[x]]),NA(),IF(ISTEXT(P276),0,IF(P276=0,LongSection_DraftAft,P276-(LongSection_DraftAft-LongSection_DraftFore)/(Lpp-FE_size)*Tbl_Load_distrib[[#This Row],[L_elt]])))</f>
        <v>#N/A</v>
      </c>
      <c r="Q277" s="166" t="e">
        <f ca="1">IF(ISNUMBER(Q276),(IF((P276-L276)&lt;0,0,P276-L276)+IF((Tbl_Load_distrib[[#This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77" s="167" t="e">
        <f ca="1">ρ_sw*Tbl_Load_distrib[[#This Row],[Elt Area corrected]]*B/k_depl</f>
        <v>#N/A</v>
      </c>
      <c r="S277" s="167" t="e">
        <f ca="1">Tbl_Load_distrib[[#This Row],[Section Weight]]-Tbl_Load_distrib[[#This Row],[Floating Elt]]</f>
        <v>#N/A</v>
      </c>
      <c r="T277" s="183" t="e">
        <f ca="1">IF(ISTEXT($T276),0,$T276+Tbl_Load_distrib[[#This Row],[Net force / Elt]])</f>
        <v>#N/A</v>
      </c>
      <c r="U277" s="261" t="e">
        <f ca="1">IF(ISTEXT($U276),0,$U276+Tbl_Load_distrib[[#This Row],[Shearing Force]]*Tbl_Load_distrib[[#This Row],[L_elt]])</f>
        <v>#N/A</v>
      </c>
    </row>
    <row r="278" spans="2:21" x14ac:dyDescent="0.25">
      <c r="B278" s="136" t="e">
        <f t="shared" si="9"/>
        <v>#N/A</v>
      </c>
      <c r="C278" s="139" t="e">
        <f t="shared" si="10"/>
        <v>#N/A</v>
      </c>
      <c r="D278" s="152">
        <f ca="1">SUM(Tbl_Load_distrib[[#This Row],[Hull &amp; Structure]:[Reserved]])</f>
        <v>0</v>
      </c>
      <c r="E278" s="260">
        <f>SUMIFS(Tbl_Hull_Structure[Spread],Tbl_Hull_Structure[L from],"&lt;"&amp;Tbl_Load_distrib[[#This Row],[x]],Tbl_Hull_Structure[L to],"&gt;"&amp;C277)*Tbl_Load_distrib[[#This Row],[L_elt]]</f>
        <v>0</v>
      </c>
      <c r="F278" s="260">
        <f ca="1">SUMIFS(Tbl_Ballasts[Spread],Tbl_Ballasts[L from],"&lt;"&amp;Tbl_Load_distrib[[#This Row],[x]],Tbl_Ballasts[L to],"&gt;"&amp;C277)*Tbl_Load_distrib[[#This Row],[L_elt]]</f>
        <v>0</v>
      </c>
      <c r="G278" s="260">
        <f>SUMIFS(Tbl_Lifting[Spread],Tbl_Lifting[L from],"&lt;"&amp;Tbl_Load_distrib[[#This Row],[x]],Tbl_Lifting[L to],"&gt;"&amp;C277)*Tbl_Load_distrib[[#This Row],[L_elt]]</f>
        <v>0</v>
      </c>
      <c r="H278" s="260">
        <f>SUMIFS(Tbl_Additionals[Spread],Tbl_Additionals[L from],"&lt;"&amp;Tbl_Load_distrib[[#This Row],[x]],Tbl_Additionals[L to],"&gt;"&amp;C277)*Tbl_Load_distrib[[#This Row],[L_elt]]</f>
        <v>0</v>
      </c>
      <c r="I278" s="260">
        <f ca="1">SUMIFS(Tbl_Deck_Tank[Spread],Tbl_Deck_Tank[L from],"&lt;"&amp;Tbl_Load_distrib[[#This Row],[x]],Tbl_Deck_Tank[L to],"&gt;"&amp;C277)*Tbl_Load_distrib[[#This Row],[L_elt]]</f>
        <v>0</v>
      </c>
      <c r="J278" s="137"/>
      <c r="K278" s="165" t="e">
        <f>IFERROR(Tbl_Long_Section[[#This Row],[H Deck-Bottom]],NA())</f>
        <v>#N/A</v>
      </c>
      <c r="L278" s="829" t="e">
        <f>M_depth-Tbl_Load_distrib[[#This Row],[H Deck-Bottom]]</f>
        <v>#N/A</v>
      </c>
      <c r="M278" s="929">
        <f>IFERROR(Tbl_Load_distrib[[#This Row],[x]]-C277,0)</f>
        <v>0</v>
      </c>
      <c r="N278" s="929" t="e">
        <f>IF(ISNA(Tbl_Load_distrib[[#This Row],[x]]),NA(),IF(ISTEXT(N277),0,IF(N277=0,$Z$3,N277-($Z$3-$AA$3)/(Lpp-FE_size)*Tbl_Load_distrib[[#This Row],[L_elt]])))</f>
        <v>#N/A</v>
      </c>
      <c r="O278" s="166" t="e">
        <f ca="1">IF(ISNUMBER(O277),(IF((N277-L277)&lt;0,0,N277-L277)+IF((Tbl_Load_distrib[[#This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78" s="929" t="e">
        <f>IF(ISNA(Tbl_Load_distrib[[#This Row],[x]]),NA(),IF(ISTEXT(P277),0,IF(P277=0,LongSection_DraftAft,P277-(LongSection_DraftAft-LongSection_DraftFore)/(Lpp-FE_size)*Tbl_Load_distrib[[#This Row],[L_elt]])))</f>
        <v>#N/A</v>
      </c>
      <c r="Q278" s="166" t="e">
        <f ca="1">IF(ISNUMBER(Q277),(IF((P277-L277)&lt;0,0,P277-L277)+IF((Tbl_Load_distrib[[#This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78" s="167" t="e">
        <f ca="1">ρ_sw*Tbl_Load_distrib[[#This Row],[Elt Area corrected]]*B/k_depl</f>
        <v>#N/A</v>
      </c>
      <c r="S278" s="167" t="e">
        <f ca="1">Tbl_Load_distrib[[#This Row],[Section Weight]]-Tbl_Load_distrib[[#This Row],[Floating Elt]]</f>
        <v>#N/A</v>
      </c>
      <c r="T278" s="183" t="e">
        <f ca="1">IF(ISTEXT($T277),0,$T277+Tbl_Load_distrib[[#This Row],[Net force / Elt]])</f>
        <v>#N/A</v>
      </c>
      <c r="U278" s="261" t="e">
        <f ca="1">IF(ISTEXT($U277),0,$U277+Tbl_Load_distrib[[#This Row],[Shearing Force]]*Tbl_Load_distrib[[#This Row],[L_elt]])</f>
        <v>#N/A</v>
      </c>
    </row>
    <row r="279" spans="2:21" x14ac:dyDescent="0.25">
      <c r="B279" s="136" t="e">
        <f t="shared" si="9"/>
        <v>#N/A</v>
      </c>
      <c r="C279" s="139" t="e">
        <f t="shared" si="10"/>
        <v>#N/A</v>
      </c>
      <c r="D279" s="152">
        <f ca="1">SUM(Tbl_Load_distrib[[#This Row],[Hull &amp; Structure]:[Reserved]])</f>
        <v>0</v>
      </c>
      <c r="E279" s="260">
        <f>SUMIFS(Tbl_Hull_Structure[Spread],Tbl_Hull_Structure[L from],"&lt;"&amp;Tbl_Load_distrib[[#This Row],[x]],Tbl_Hull_Structure[L to],"&gt;"&amp;C278)*Tbl_Load_distrib[[#This Row],[L_elt]]</f>
        <v>0</v>
      </c>
      <c r="F279" s="260">
        <f ca="1">SUMIFS(Tbl_Ballasts[Spread],Tbl_Ballasts[L from],"&lt;"&amp;Tbl_Load_distrib[[#This Row],[x]],Tbl_Ballasts[L to],"&gt;"&amp;C278)*Tbl_Load_distrib[[#This Row],[L_elt]]</f>
        <v>0</v>
      </c>
      <c r="G279" s="260">
        <f>SUMIFS(Tbl_Lifting[Spread],Tbl_Lifting[L from],"&lt;"&amp;Tbl_Load_distrib[[#This Row],[x]],Tbl_Lifting[L to],"&gt;"&amp;C278)*Tbl_Load_distrib[[#This Row],[L_elt]]</f>
        <v>0</v>
      </c>
      <c r="H279" s="260">
        <f>SUMIFS(Tbl_Additionals[Spread],Tbl_Additionals[L from],"&lt;"&amp;Tbl_Load_distrib[[#This Row],[x]],Tbl_Additionals[L to],"&gt;"&amp;C278)*Tbl_Load_distrib[[#This Row],[L_elt]]</f>
        <v>0</v>
      </c>
      <c r="I279" s="260">
        <f ca="1">SUMIFS(Tbl_Deck_Tank[Spread],Tbl_Deck_Tank[L from],"&lt;"&amp;Tbl_Load_distrib[[#This Row],[x]],Tbl_Deck_Tank[L to],"&gt;"&amp;C278)*Tbl_Load_distrib[[#This Row],[L_elt]]</f>
        <v>0</v>
      </c>
      <c r="J279" s="137"/>
      <c r="K279" s="165" t="e">
        <f>IFERROR(Tbl_Long_Section[[#This Row],[H Deck-Bottom]],NA())</f>
        <v>#N/A</v>
      </c>
      <c r="L279" s="829" t="e">
        <f>M_depth-Tbl_Load_distrib[[#This Row],[H Deck-Bottom]]</f>
        <v>#N/A</v>
      </c>
      <c r="M279" s="929">
        <f>IFERROR(Tbl_Load_distrib[[#This Row],[x]]-C278,0)</f>
        <v>0</v>
      </c>
      <c r="N279" s="929" t="e">
        <f>IF(ISNA(Tbl_Load_distrib[[#This Row],[x]]),NA(),IF(ISTEXT(N278),0,IF(N278=0,$Z$3,N278-($Z$3-$AA$3)/(Lpp-FE_size)*Tbl_Load_distrib[[#This Row],[L_elt]])))</f>
        <v>#N/A</v>
      </c>
      <c r="O279" s="166" t="e">
        <f ca="1">IF(ISNUMBER(O278),(IF((N278-L278)&lt;0,0,N278-L278)+IF((Tbl_Load_distrib[[#This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79" s="929" t="e">
        <f>IF(ISNA(Tbl_Load_distrib[[#This Row],[x]]),NA(),IF(ISTEXT(P278),0,IF(P278=0,LongSection_DraftAft,P278-(LongSection_DraftAft-LongSection_DraftFore)/(Lpp-FE_size)*Tbl_Load_distrib[[#This Row],[L_elt]])))</f>
        <v>#N/A</v>
      </c>
      <c r="Q279" s="166" t="e">
        <f ca="1">IF(ISNUMBER(Q278),(IF((P278-L278)&lt;0,0,P278-L278)+IF((Tbl_Load_distrib[[#This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79" s="167" t="e">
        <f ca="1">ρ_sw*Tbl_Load_distrib[[#This Row],[Elt Area corrected]]*B/k_depl</f>
        <v>#N/A</v>
      </c>
      <c r="S279" s="167" t="e">
        <f ca="1">Tbl_Load_distrib[[#This Row],[Section Weight]]-Tbl_Load_distrib[[#This Row],[Floating Elt]]</f>
        <v>#N/A</v>
      </c>
      <c r="T279" s="183" t="e">
        <f ca="1">IF(ISTEXT($T278),0,$T278+Tbl_Load_distrib[[#This Row],[Net force / Elt]])</f>
        <v>#N/A</v>
      </c>
      <c r="U279" s="261" t="e">
        <f ca="1">IF(ISTEXT($U278),0,$U278+Tbl_Load_distrib[[#This Row],[Shearing Force]]*Tbl_Load_distrib[[#This Row],[L_elt]])</f>
        <v>#N/A</v>
      </c>
    </row>
    <row r="280" spans="2:21" x14ac:dyDescent="0.25">
      <c r="B280" s="136" t="e">
        <f t="shared" si="9"/>
        <v>#N/A</v>
      </c>
      <c r="C280" s="139" t="e">
        <f t="shared" si="10"/>
        <v>#N/A</v>
      </c>
      <c r="D280" s="152">
        <f ca="1">SUM(Tbl_Load_distrib[[#This Row],[Hull &amp; Structure]:[Reserved]])</f>
        <v>0</v>
      </c>
      <c r="E280" s="260">
        <f>SUMIFS(Tbl_Hull_Structure[Spread],Tbl_Hull_Structure[L from],"&lt;"&amp;Tbl_Load_distrib[[#This Row],[x]],Tbl_Hull_Structure[L to],"&gt;"&amp;C279)*Tbl_Load_distrib[[#This Row],[L_elt]]</f>
        <v>0</v>
      </c>
      <c r="F280" s="260">
        <f ca="1">SUMIFS(Tbl_Ballasts[Spread],Tbl_Ballasts[L from],"&lt;"&amp;Tbl_Load_distrib[[#This Row],[x]],Tbl_Ballasts[L to],"&gt;"&amp;C279)*Tbl_Load_distrib[[#This Row],[L_elt]]</f>
        <v>0</v>
      </c>
      <c r="G280" s="260">
        <f>SUMIFS(Tbl_Lifting[Spread],Tbl_Lifting[L from],"&lt;"&amp;Tbl_Load_distrib[[#This Row],[x]],Tbl_Lifting[L to],"&gt;"&amp;C279)*Tbl_Load_distrib[[#This Row],[L_elt]]</f>
        <v>0</v>
      </c>
      <c r="H280" s="260">
        <f>SUMIFS(Tbl_Additionals[Spread],Tbl_Additionals[L from],"&lt;"&amp;Tbl_Load_distrib[[#This Row],[x]],Tbl_Additionals[L to],"&gt;"&amp;C279)*Tbl_Load_distrib[[#This Row],[L_elt]]</f>
        <v>0</v>
      </c>
      <c r="I280" s="260">
        <f ca="1">SUMIFS(Tbl_Deck_Tank[Spread],Tbl_Deck_Tank[L from],"&lt;"&amp;Tbl_Load_distrib[[#This Row],[x]],Tbl_Deck_Tank[L to],"&gt;"&amp;C279)*Tbl_Load_distrib[[#This Row],[L_elt]]</f>
        <v>0</v>
      </c>
      <c r="J280" s="137"/>
      <c r="K280" s="165" t="e">
        <f>IFERROR(Tbl_Long_Section[[#This Row],[H Deck-Bottom]],NA())</f>
        <v>#N/A</v>
      </c>
      <c r="L280" s="829" t="e">
        <f>M_depth-Tbl_Load_distrib[[#This Row],[H Deck-Bottom]]</f>
        <v>#N/A</v>
      </c>
      <c r="M280" s="929">
        <f>IFERROR(Tbl_Load_distrib[[#This Row],[x]]-C279,0)</f>
        <v>0</v>
      </c>
      <c r="N280" s="929" t="e">
        <f>IF(ISNA(Tbl_Load_distrib[[#This Row],[x]]),NA(),IF(ISTEXT(N279),0,IF(N279=0,$Z$3,N279-($Z$3-$AA$3)/(Lpp-FE_size)*Tbl_Load_distrib[[#This Row],[L_elt]])))</f>
        <v>#N/A</v>
      </c>
      <c r="O280" s="166" t="e">
        <f ca="1">IF(ISNUMBER(O279),(IF((N279-L279)&lt;0,0,N279-L279)+IF((Tbl_Load_distrib[[#This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80" s="929" t="e">
        <f>IF(ISNA(Tbl_Load_distrib[[#This Row],[x]]),NA(),IF(ISTEXT(P279),0,IF(P279=0,LongSection_DraftAft,P279-(LongSection_DraftAft-LongSection_DraftFore)/(Lpp-FE_size)*Tbl_Load_distrib[[#This Row],[L_elt]])))</f>
        <v>#N/A</v>
      </c>
      <c r="Q280" s="166" t="e">
        <f ca="1">IF(ISNUMBER(Q279),(IF((P279-L279)&lt;0,0,P279-L279)+IF((Tbl_Load_distrib[[#This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80" s="167" t="e">
        <f ca="1">ρ_sw*Tbl_Load_distrib[[#This Row],[Elt Area corrected]]*B/k_depl</f>
        <v>#N/A</v>
      </c>
      <c r="S280" s="167" t="e">
        <f ca="1">Tbl_Load_distrib[[#This Row],[Section Weight]]-Tbl_Load_distrib[[#This Row],[Floating Elt]]</f>
        <v>#N/A</v>
      </c>
      <c r="T280" s="183" t="e">
        <f ca="1">IF(ISTEXT($T279),0,$T279+Tbl_Load_distrib[[#This Row],[Net force / Elt]])</f>
        <v>#N/A</v>
      </c>
      <c r="U280" s="261" t="e">
        <f ca="1">IF(ISTEXT($U279),0,$U279+Tbl_Load_distrib[[#This Row],[Shearing Force]]*Tbl_Load_distrib[[#This Row],[L_elt]])</f>
        <v>#N/A</v>
      </c>
    </row>
    <row r="281" spans="2:21" x14ac:dyDescent="0.25">
      <c r="B281" s="136" t="e">
        <f t="shared" si="9"/>
        <v>#N/A</v>
      </c>
      <c r="C281" s="139" t="e">
        <f t="shared" si="10"/>
        <v>#N/A</v>
      </c>
      <c r="D281" s="152">
        <f ca="1">SUM(Tbl_Load_distrib[[#This Row],[Hull &amp; Structure]:[Reserved]])</f>
        <v>0</v>
      </c>
      <c r="E281" s="260">
        <f>SUMIFS(Tbl_Hull_Structure[Spread],Tbl_Hull_Structure[L from],"&lt;"&amp;Tbl_Load_distrib[[#This Row],[x]],Tbl_Hull_Structure[L to],"&gt;"&amp;C280)*Tbl_Load_distrib[[#This Row],[L_elt]]</f>
        <v>0</v>
      </c>
      <c r="F281" s="260">
        <f ca="1">SUMIFS(Tbl_Ballasts[Spread],Tbl_Ballasts[L from],"&lt;"&amp;Tbl_Load_distrib[[#This Row],[x]],Tbl_Ballasts[L to],"&gt;"&amp;C280)*Tbl_Load_distrib[[#This Row],[L_elt]]</f>
        <v>0</v>
      </c>
      <c r="G281" s="260">
        <f>SUMIFS(Tbl_Lifting[Spread],Tbl_Lifting[L from],"&lt;"&amp;Tbl_Load_distrib[[#This Row],[x]],Tbl_Lifting[L to],"&gt;"&amp;C280)*Tbl_Load_distrib[[#This Row],[L_elt]]</f>
        <v>0</v>
      </c>
      <c r="H281" s="260">
        <f>SUMIFS(Tbl_Additionals[Spread],Tbl_Additionals[L from],"&lt;"&amp;Tbl_Load_distrib[[#This Row],[x]],Tbl_Additionals[L to],"&gt;"&amp;C280)*Tbl_Load_distrib[[#This Row],[L_elt]]</f>
        <v>0</v>
      </c>
      <c r="I281" s="260">
        <f ca="1">SUMIFS(Tbl_Deck_Tank[Spread],Tbl_Deck_Tank[L from],"&lt;"&amp;Tbl_Load_distrib[[#This Row],[x]],Tbl_Deck_Tank[L to],"&gt;"&amp;C280)*Tbl_Load_distrib[[#This Row],[L_elt]]</f>
        <v>0</v>
      </c>
      <c r="J281" s="137"/>
      <c r="K281" s="165" t="e">
        <f>IFERROR(Tbl_Long_Section[[#This Row],[H Deck-Bottom]],NA())</f>
        <v>#N/A</v>
      </c>
      <c r="L281" s="829" t="e">
        <f>M_depth-Tbl_Load_distrib[[#This Row],[H Deck-Bottom]]</f>
        <v>#N/A</v>
      </c>
      <c r="M281" s="929">
        <f>IFERROR(Tbl_Load_distrib[[#This Row],[x]]-C280,0)</f>
        <v>0</v>
      </c>
      <c r="N281" s="929" t="e">
        <f>IF(ISNA(Tbl_Load_distrib[[#This Row],[x]]),NA(),IF(ISTEXT(N280),0,IF(N280=0,$Z$3,N280-($Z$3-$AA$3)/(Lpp-FE_size)*Tbl_Load_distrib[[#This Row],[L_elt]])))</f>
        <v>#N/A</v>
      </c>
      <c r="O281" s="166" t="e">
        <f ca="1">IF(ISNUMBER(O280),(IF((N280-L280)&lt;0,0,N280-L280)+IF((Tbl_Load_distrib[[#This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81" s="929" t="e">
        <f>IF(ISNA(Tbl_Load_distrib[[#This Row],[x]]),NA(),IF(ISTEXT(P280),0,IF(P280=0,LongSection_DraftAft,P280-(LongSection_DraftAft-LongSection_DraftFore)/(Lpp-FE_size)*Tbl_Load_distrib[[#This Row],[L_elt]])))</f>
        <v>#N/A</v>
      </c>
      <c r="Q281" s="166" t="e">
        <f ca="1">IF(ISNUMBER(Q280),(IF((P280-L280)&lt;0,0,P280-L280)+IF((Tbl_Load_distrib[[#This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81" s="167" t="e">
        <f ca="1">ρ_sw*Tbl_Load_distrib[[#This Row],[Elt Area corrected]]*B/k_depl</f>
        <v>#N/A</v>
      </c>
      <c r="S281" s="167" t="e">
        <f ca="1">Tbl_Load_distrib[[#This Row],[Section Weight]]-Tbl_Load_distrib[[#This Row],[Floating Elt]]</f>
        <v>#N/A</v>
      </c>
      <c r="T281" s="183" t="e">
        <f ca="1">IF(ISTEXT($T280),0,$T280+Tbl_Load_distrib[[#This Row],[Net force / Elt]])</f>
        <v>#N/A</v>
      </c>
      <c r="U281" s="261" t="e">
        <f ca="1">IF(ISTEXT($U280),0,$U280+Tbl_Load_distrib[[#This Row],[Shearing Force]]*Tbl_Load_distrib[[#This Row],[L_elt]])</f>
        <v>#N/A</v>
      </c>
    </row>
    <row r="282" spans="2:21" x14ac:dyDescent="0.25">
      <c r="B282" s="136" t="e">
        <f t="shared" si="9"/>
        <v>#N/A</v>
      </c>
      <c r="C282" s="139" t="e">
        <f t="shared" si="10"/>
        <v>#N/A</v>
      </c>
      <c r="D282" s="152">
        <f ca="1">SUM(Tbl_Load_distrib[[#This Row],[Hull &amp; Structure]:[Reserved]])</f>
        <v>0</v>
      </c>
      <c r="E282" s="260">
        <f>SUMIFS(Tbl_Hull_Structure[Spread],Tbl_Hull_Structure[L from],"&lt;"&amp;Tbl_Load_distrib[[#This Row],[x]],Tbl_Hull_Structure[L to],"&gt;"&amp;C281)*Tbl_Load_distrib[[#This Row],[L_elt]]</f>
        <v>0</v>
      </c>
      <c r="F282" s="260">
        <f ca="1">SUMIFS(Tbl_Ballasts[Spread],Tbl_Ballasts[L from],"&lt;"&amp;Tbl_Load_distrib[[#This Row],[x]],Tbl_Ballasts[L to],"&gt;"&amp;C281)*Tbl_Load_distrib[[#This Row],[L_elt]]</f>
        <v>0</v>
      </c>
      <c r="G282" s="260">
        <f>SUMIFS(Tbl_Lifting[Spread],Tbl_Lifting[L from],"&lt;"&amp;Tbl_Load_distrib[[#This Row],[x]],Tbl_Lifting[L to],"&gt;"&amp;C281)*Tbl_Load_distrib[[#This Row],[L_elt]]</f>
        <v>0</v>
      </c>
      <c r="H282" s="260">
        <f>SUMIFS(Tbl_Additionals[Spread],Tbl_Additionals[L from],"&lt;"&amp;Tbl_Load_distrib[[#This Row],[x]],Tbl_Additionals[L to],"&gt;"&amp;C281)*Tbl_Load_distrib[[#This Row],[L_elt]]</f>
        <v>0</v>
      </c>
      <c r="I282" s="260">
        <f ca="1">SUMIFS(Tbl_Deck_Tank[Spread],Tbl_Deck_Tank[L from],"&lt;"&amp;Tbl_Load_distrib[[#This Row],[x]],Tbl_Deck_Tank[L to],"&gt;"&amp;C281)*Tbl_Load_distrib[[#This Row],[L_elt]]</f>
        <v>0</v>
      </c>
      <c r="J282" s="137"/>
      <c r="K282" s="165" t="e">
        <f>IFERROR(Tbl_Long_Section[[#This Row],[H Deck-Bottom]],NA())</f>
        <v>#N/A</v>
      </c>
      <c r="L282" s="829" t="e">
        <f>M_depth-Tbl_Load_distrib[[#This Row],[H Deck-Bottom]]</f>
        <v>#N/A</v>
      </c>
      <c r="M282" s="929">
        <f>IFERROR(Tbl_Load_distrib[[#This Row],[x]]-C281,0)</f>
        <v>0</v>
      </c>
      <c r="N282" s="929" t="e">
        <f>IF(ISNA(Tbl_Load_distrib[[#This Row],[x]]),NA(),IF(ISTEXT(N281),0,IF(N281=0,$Z$3,N281-($Z$3-$AA$3)/(Lpp-FE_size)*Tbl_Load_distrib[[#This Row],[L_elt]])))</f>
        <v>#N/A</v>
      </c>
      <c r="O282" s="166" t="e">
        <f ca="1">IF(ISNUMBER(O281),(IF((N281-L281)&lt;0,0,N281-L281)+IF((Tbl_Load_distrib[[#This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82" s="929" t="e">
        <f>IF(ISNA(Tbl_Load_distrib[[#This Row],[x]]),NA(),IF(ISTEXT(P281),0,IF(P281=0,LongSection_DraftAft,P281-(LongSection_DraftAft-LongSection_DraftFore)/(Lpp-FE_size)*Tbl_Load_distrib[[#This Row],[L_elt]])))</f>
        <v>#N/A</v>
      </c>
      <c r="Q282" s="166" t="e">
        <f ca="1">IF(ISNUMBER(Q281),(IF((P281-L281)&lt;0,0,P281-L281)+IF((Tbl_Load_distrib[[#This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82" s="167" t="e">
        <f ca="1">ρ_sw*Tbl_Load_distrib[[#This Row],[Elt Area corrected]]*B/k_depl</f>
        <v>#N/A</v>
      </c>
      <c r="S282" s="167" t="e">
        <f ca="1">Tbl_Load_distrib[[#This Row],[Section Weight]]-Tbl_Load_distrib[[#This Row],[Floating Elt]]</f>
        <v>#N/A</v>
      </c>
      <c r="T282" s="183" t="e">
        <f ca="1">IF(ISTEXT($T281),0,$T281+Tbl_Load_distrib[[#This Row],[Net force / Elt]])</f>
        <v>#N/A</v>
      </c>
      <c r="U282" s="261" t="e">
        <f ca="1">IF(ISTEXT($U281),0,$U281+Tbl_Load_distrib[[#This Row],[Shearing Force]]*Tbl_Load_distrib[[#This Row],[L_elt]])</f>
        <v>#N/A</v>
      </c>
    </row>
    <row r="283" spans="2:21" x14ac:dyDescent="0.25">
      <c r="B283" s="136" t="e">
        <f t="shared" si="9"/>
        <v>#N/A</v>
      </c>
      <c r="C283" s="139" t="e">
        <f t="shared" si="10"/>
        <v>#N/A</v>
      </c>
      <c r="D283" s="152">
        <f ca="1">SUM(Tbl_Load_distrib[[#This Row],[Hull &amp; Structure]:[Reserved]])</f>
        <v>0</v>
      </c>
      <c r="E283" s="260">
        <f>SUMIFS(Tbl_Hull_Structure[Spread],Tbl_Hull_Structure[L from],"&lt;"&amp;Tbl_Load_distrib[[#This Row],[x]],Tbl_Hull_Structure[L to],"&gt;"&amp;C282)*Tbl_Load_distrib[[#This Row],[L_elt]]</f>
        <v>0</v>
      </c>
      <c r="F283" s="260">
        <f ca="1">SUMIFS(Tbl_Ballasts[Spread],Tbl_Ballasts[L from],"&lt;"&amp;Tbl_Load_distrib[[#This Row],[x]],Tbl_Ballasts[L to],"&gt;"&amp;C282)*Tbl_Load_distrib[[#This Row],[L_elt]]</f>
        <v>0</v>
      </c>
      <c r="G283" s="260">
        <f>SUMIFS(Tbl_Lifting[Spread],Tbl_Lifting[L from],"&lt;"&amp;Tbl_Load_distrib[[#This Row],[x]],Tbl_Lifting[L to],"&gt;"&amp;C282)*Tbl_Load_distrib[[#This Row],[L_elt]]</f>
        <v>0</v>
      </c>
      <c r="H283" s="260">
        <f>SUMIFS(Tbl_Additionals[Spread],Tbl_Additionals[L from],"&lt;"&amp;Tbl_Load_distrib[[#This Row],[x]],Tbl_Additionals[L to],"&gt;"&amp;C282)*Tbl_Load_distrib[[#This Row],[L_elt]]</f>
        <v>0</v>
      </c>
      <c r="I283" s="260">
        <f ca="1">SUMIFS(Tbl_Deck_Tank[Spread],Tbl_Deck_Tank[L from],"&lt;"&amp;Tbl_Load_distrib[[#This Row],[x]],Tbl_Deck_Tank[L to],"&gt;"&amp;C282)*Tbl_Load_distrib[[#This Row],[L_elt]]</f>
        <v>0</v>
      </c>
      <c r="J283" s="137"/>
      <c r="K283" s="165" t="e">
        <f>IFERROR(Tbl_Long_Section[[#This Row],[H Deck-Bottom]],NA())</f>
        <v>#N/A</v>
      </c>
      <c r="L283" s="829" t="e">
        <f>M_depth-Tbl_Load_distrib[[#This Row],[H Deck-Bottom]]</f>
        <v>#N/A</v>
      </c>
      <c r="M283" s="929">
        <f>IFERROR(Tbl_Load_distrib[[#This Row],[x]]-C282,0)</f>
        <v>0</v>
      </c>
      <c r="N283" s="929" t="e">
        <f>IF(ISNA(Tbl_Load_distrib[[#This Row],[x]]),NA(),IF(ISTEXT(N282),0,IF(N282=0,$Z$3,N282-($Z$3-$AA$3)/(Lpp-FE_size)*Tbl_Load_distrib[[#This Row],[L_elt]])))</f>
        <v>#N/A</v>
      </c>
      <c r="O283" s="166" t="e">
        <f ca="1">IF(ISNUMBER(O282),(IF((N282-L282)&lt;0,0,N282-L282)+IF((Tbl_Load_distrib[[#This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83" s="929" t="e">
        <f>IF(ISNA(Tbl_Load_distrib[[#This Row],[x]]),NA(),IF(ISTEXT(P282),0,IF(P282=0,LongSection_DraftAft,P282-(LongSection_DraftAft-LongSection_DraftFore)/(Lpp-FE_size)*Tbl_Load_distrib[[#This Row],[L_elt]])))</f>
        <v>#N/A</v>
      </c>
      <c r="Q283" s="166" t="e">
        <f ca="1">IF(ISNUMBER(Q282),(IF((P282-L282)&lt;0,0,P282-L282)+IF((Tbl_Load_distrib[[#This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83" s="167" t="e">
        <f ca="1">ρ_sw*Tbl_Load_distrib[[#This Row],[Elt Area corrected]]*B/k_depl</f>
        <v>#N/A</v>
      </c>
      <c r="S283" s="167" t="e">
        <f ca="1">Tbl_Load_distrib[[#This Row],[Section Weight]]-Tbl_Load_distrib[[#This Row],[Floating Elt]]</f>
        <v>#N/A</v>
      </c>
      <c r="T283" s="183" t="e">
        <f ca="1">IF(ISTEXT($T282),0,$T282+Tbl_Load_distrib[[#This Row],[Net force / Elt]])</f>
        <v>#N/A</v>
      </c>
      <c r="U283" s="261" t="e">
        <f ca="1">IF(ISTEXT($U282),0,$U282+Tbl_Load_distrib[[#This Row],[Shearing Force]]*Tbl_Load_distrib[[#This Row],[L_elt]])</f>
        <v>#N/A</v>
      </c>
    </row>
    <row r="284" spans="2:21" x14ac:dyDescent="0.25">
      <c r="B284" s="136" t="e">
        <f t="shared" si="9"/>
        <v>#N/A</v>
      </c>
      <c r="C284" s="139" t="e">
        <f t="shared" si="10"/>
        <v>#N/A</v>
      </c>
      <c r="D284" s="152">
        <f ca="1">SUM(Tbl_Load_distrib[[#This Row],[Hull &amp; Structure]:[Reserved]])</f>
        <v>0</v>
      </c>
      <c r="E284" s="260">
        <f>SUMIFS(Tbl_Hull_Structure[Spread],Tbl_Hull_Structure[L from],"&lt;"&amp;Tbl_Load_distrib[[#This Row],[x]],Tbl_Hull_Structure[L to],"&gt;"&amp;C283)*Tbl_Load_distrib[[#This Row],[L_elt]]</f>
        <v>0</v>
      </c>
      <c r="F284" s="260">
        <f ca="1">SUMIFS(Tbl_Ballasts[Spread],Tbl_Ballasts[L from],"&lt;"&amp;Tbl_Load_distrib[[#This Row],[x]],Tbl_Ballasts[L to],"&gt;"&amp;C283)*Tbl_Load_distrib[[#This Row],[L_elt]]</f>
        <v>0</v>
      </c>
      <c r="G284" s="260">
        <f>SUMIFS(Tbl_Lifting[Spread],Tbl_Lifting[L from],"&lt;"&amp;Tbl_Load_distrib[[#This Row],[x]],Tbl_Lifting[L to],"&gt;"&amp;C283)*Tbl_Load_distrib[[#This Row],[L_elt]]</f>
        <v>0</v>
      </c>
      <c r="H284" s="260">
        <f>SUMIFS(Tbl_Additionals[Spread],Tbl_Additionals[L from],"&lt;"&amp;Tbl_Load_distrib[[#This Row],[x]],Tbl_Additionals[L to],"&gt;"&amp;C283)*Tbl_Load_distrib[[#This Row],[L_elt]]</f>
        <v>0</v>
      </c>
      <c r="I284" s="260">
        <f ca="1">SUMIFS(Tbl_Deck_Tank[Spread],Tbl_Deck_Tank[L from],"&lt;"&amp;Tbl_Load_distrib[[#This Row],[x]],Tbl_Deck_Tank[L to],"&gt;"&amp;C283)*Tbl_Load_distrib[[#This Row],[L_elt]]</f>
        <v>0</v>
      </c>
      <c r="J284" s="137"/>
      <c r="K284" s="165" t="e">
        <f>IFERROR(Tbl_Long_Section[[#This Row],[H Deck-Bottom]],NA())</f>
        <v>#N/A</v>
      </c>
      <c r="L284" s="829" t="e">
        <f>M_depth-Tbl_Load_distrib[[#This Row],[H Deck-Bottom]]</f>
        <v>#N/A</v>
      </c>
      <c r="M284" s="929">
        <f>IFERROR(Tbl_Load_distrib[[#This Row],[x]]-C283,0)</f>
        <v>0</v>
      </c>
      <c r="N284" s="929" t="e">
        <f>IF(ISNA(Tbl_Load_distrib[[#This Row],[x]]),NA(),IF(ISTEXT(N283),0,IF(N283=0,$Z$3,N283-($Z$3-$AA$3)/(Lpp-FE_size)*Tbl_Load_distrib[[#This Row],[L_elt]])))</f>
        <v>#N/A</v>
      </c>
      <c r="O284" s="166" t="e">
        <f ca="1">IF(ISNUMBER(O283),(IF((N283-L283)&lt;0,0,N283-L283)+IF((Tbl_Load_distrib[[#This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84" s="929" t="e">
        <f>IF(ISNA(Tbl_Load_distrib[[#This Row],[x]]),NA(),IF(ISTEXT(P283),0,IF(P283=0,LongSection_DraftAft,P283-(LongSection_DraftAft-LongSection_DraftFore)/(Lpp-FE_size)*Tbl_Load_distrib[[#This Row],[L_elt]])))</f>
        <v>#N/A</v>
      </c>
      <c r="Q284" s="166" t="e">
        <f ca="1">IF(ISNUMBER(Q283),(IF((P283-L283)&lt;0,0,P283-L283)+IF((Tbl_Load_distrib[[#This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84" s="167" t="e">
        <f ca="1">ρ_sw*Tbl_Load_distrib[[#This Row],[Elt Area corrected]]*B/k_depl</f>
        <v>#N/A</v>
      </c>
      <c r="S284" s="167" t="e">
        <f ca="1">Tbl_Load_distrib[[#This Row],[Section Weight]]-Tbl_Load_distrib[[#This Row],[Floating Elt]]</f>
        <v>#N/A</v>
      </c>
      <c r="T284" s="183" t="e">
        <f ca="1">IF(ISTEXT($T283),0,$T283+Tbl_Load_distrib[[#This Row],[Net force / Elt]])</f>
        <v>#N/A</v>
      </c>
      <c r="U284" s="261" t="e">
        <f ca="1">IF(ISTEXT($U283),0,$U283+Tbl_Load_distrib[[#This Row],[Shearing Force]]*Tbl_Load_distrib[[#This Row],[L_elt]])</f>
        <v>#N/A</v>
      </c>
    </row>
    <row r="285" spans="2:21" x14ac:dyDescent="0.25">
      <c r="B285" s="136" t="e">
        <f t="shared" si="9"/>
        <v>#N/A</v>
      </c>
      <c r="C285" s="139" t="e">
        <f t="shared" si="10"/>
        <v>#N/A</v>
      </c>
      <c r="D285" s="152">
        <f ca="1">SUM(Tbl_Load_distrib[[#This Row],[Hull &amp; Structure]:[Reserved]])</f>
        <v>0</v>
      </c>
      <c r="E285" s="260">
        <f>SUMIFS(Tbl_Hull_Structure[Spread],Tbl_Hull_Structure[L from],"&lt;"&amp;Tbl_Load_distrib[[#This Row],[x]],Tbl_Hull_Structure[L to],"&gt;"&amp;C284)*Tbl_Load_distrib[[#This Row],[L_elt]]</f>
        <v>0</v>
      </c>
      <c r="F285" s="260">
        <f ca="1">SUMIFS(Tbl_Ballasts[Spread],Tbl_Ballasts[L from],"&lt;"&amp;Tbl_Load_distrib[[#This Row],[x]],Tbl_Ballasts[L to],"&gt;"&amp;C284)*Tbl_Load_distrib[[#This Row],[L_elt]]</f>
        <v>0</v>
      </c>
      <c r="G285" s="260">
        <f>SUMIFS(Tbl_Lifting[Spread],Tbl_Lifting[L from],"&lt;"&amp;Tbl_Load_distrib[[#This Row],[x]],Tbl_Lifting[L to],"&gt;"&amp;C284)*Tbl_Load_distrib[[#This Row],[L_elt]]</f>
        <v>0</v>
      </c>
      <c r="H285" s="260">
        <f>SUMIFS(Tbl_Additionals[Spread],Tbl_Additionals[L from],"&lt;"&amp;Tbl_Load_distrib[[#This Row],[x]],Tbl_Additionals[L to],"&gt;"&amp;C284)*Tbl_Load_distrib[[#This Row],[L_elt]]</f>
        <v>0</v>
      </c>
      <c r="I285" s="260">
        <f ca="1">SUMIFS(Tbl_Deck_Tank[Spread],Tbl_Deck_Tank[L from],"&lt;"&amp;Tbl_Load_distrib[[#This Row],[x]],Tbl_Deck_Tank[L to],"&gt;"&amp;C284)*Tbl_Load_distrib[[#This Row],[L_elt]]</f>
        <v>0</v>
      </c>
      <c r="J285" s="137"/>
      <c r="K285" s="165" t="e">
        <f>IFERROR(Tbl_Long_Section[[#This Row],[H Deck-Bottom]],NA())</f>
        <v>#N/A</v>
      </c>
      <c r="L285" s="829" t="e">
        <f>M_depth-Tbl_Load_distrib[[#This Row],[H Deck-Bottom]]</f>
        <v>#N/A</v>
      </c>
      <c r="M285" s="929">
        <f>IFERROR(Tbl_Load_distrib[[#This Row],[x]]-C284,0)</f>
        <v>0</v>
      </c>
      <c r="N285" s="929" t="e">
        <f>IF(ISNA(Tbl_Load_distrib[[#This Row],[x]]),NA(),IF(ISTEXT(N284),0,IF(N284=0,$Z$3,N284-($Z$3-$AA$3)/(Lpp-FE_size)*Tbl_Load_distrib[[#This Row],[L_elt]])))</f>
        <v>#N/A</v>
      </c>
      <c r="O285" s="166" t="e">
        <f ca="1">IF(ISNUMBER(O284),(IF((N284-L284)&lt;0,0,N284-L284)+IF((Tbl_Load_distrib[[#This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85" s="929" t="e">
        <f>IF(ISNA(Tbl_Load_distrib[[#This Row],[x]]),NA(),IF(ISTEXT(P284),0,IF(P284=0,LongSection_DraftAft,P284-(LongSection_DraftAft-LongSection_DraftFore)/(Lpp-FE_size)*Tbl_Load_distrib[[#This Row],[L_elt]])))</f>
        <v>#N/A</v>
      </c>
      <c r="Q285" s="166" t="e">
        <f ca="1">IF(ISNUMBER(Q284),(IF((P284-L284)&lt;0,0,P284-L284)+IF((Tbl_Load_distrib[[#This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85" s="167" t="e">
        <f ca="1">ρ_sw*Tbl_Load_distrib[[#This Row],[Elt Area corrected]]*B/k_depl</f>
        <v>#N/A</v>
      </c>
      <c r="S285" s="167" t="e">
        <f ca="1">Tbl_Load_distrib[[#This Row],[Section Weight]]-Tbl_Load_distrib[[#This Row],[Floating Elt]]</f>
        <v>#N/A</v>
      </c>
      <c r="T285" s="183" t="e">
        <f ca="1">IF(ISTEXT($T284),0,$T284+Tbl_Load_distrib[[#This Row],[Net force / Elt]])</f>
        <v>#N/A</v>
      </c>
      <c r="U285" s="261" t="e">
        <f ca="1">IF(ISTEXT($U284),0,$U284+Tbl_Load_distrib[[#This Row],[Shearing Force]]*Tbl_Load_distrib[[#This Row],[L_elt]])</f>
        <v>#N/A</v>
      </c>
    </row>
    <row r="286" spans="2:21" x14ac:dyDescent="0.25">
      <c r="B286" s="136" t="e">
        <f t="shared" si="9"/>
        <v>#N/A</v>
      </c>
      <c r="C286" s="139" t="e">
        <f t="shared" si="10"/>
        <v>#N/A</v>
      </c>
      <c r="D286" s="152">
        <f ca="1">SUM(Tbl_Load_distrib[[#This Row],[Hull &amp; Structure]:[Reserved]])</f>
        <v>0</v>
      </c>
      <c r="E286" s="260">
        <f>SUMIFS(Tbl_Hull_Structure[Spread],Tbl_Hull_Structure[L from],"&lt;"&amp;Tbl_Load_distrib[[#This Row],[x]],Tbl_Hull_Structure[L to],"&gt;"&amp;C285)*Tbl_Load_distrib[[#This Row],[L_elt]]</f>
        <v>0</v>
      </c>
      <c r="F286" s="260">
        <f ca="1">SUMIFS(Tbl_Ballasts[Spread],Tbl_Ballasts[L from],"&lt;"&amp;Tbl_Load_distrib[[#This Row],[x]],Tbl_Ballasts[L to],"&gt;"&amp;C285)*Tbl_Load_distrib[[#This Row],[L_elt]]</f>
        <v>0</v>
      </c>
      <c r="G286" s="260">
        <f>SUMIFS(Tbl_Lifting[Spread],Tbl_Lifting[L from],"&lt;"&amp;Tbl_Load_distrib[[#This Row],[x]],Tbl_Lifting[L to],"&gt;"&amp;C285)*Tbl_Load_distrib[[#This Row],[L_elt]]</f>
        <v>0</v>
      </c>
      <c r="H286" s="260">
        <f>SUMIFS(Tbl_Additionals[Spread],Tbl_Additionals[L from],"&lt;"&amp;Tbl_Load_distrib[[#This Row],[x]],Tbl_Additionals[L to],"&gt;"&amp;C285)*Tbl_Load_distrib[[#This Row],[L_elt]]</f>
        <v>0</v>
      </c>
      <c r="I286" s="260">
        <f ca="1">SUMIFS(Tbl_Deck_Tank[Spread],Tbl_Deck_Tank[L from],"&lt;"&amp;Tbl_Load_distrib[[#This Row],[x]],Tbl_Deck_Tank[L to],"&gt;"&amp;C285)*Tbl_Load_distrib[[#This Row],[L_elt]]</f>
        <v>0</v>
      </c>
      <c r="J286" s="137"/>
      <c r="K286" s="165" t="e">
        <f>IFERROR(Tbl_Long_Section[[#This Row],[H Deck-Bottom]],NA())</f>
        <v>#N/A</v>
      </c>
      <c r="L286" s="829" t="e">
        <f>M_depth-Tbl_Load_distrib[[#This Row],[H Deck-Bottom]]</f>
        <v>#N/A</v>
      </c>
      <c r="M286" s="929">
        <f>IFERROR(Tbl_Load_distrib[[#This Row],[x]]-C285,0)</f>
        <v>0</v>
      </c>
      <c r="N286" s="929" t="e">
        <f>IF(ISNA(Tbl_Load_distrib[[#This Row],[x]]),NA(),IF(ISTEXT(N285),0,IF(N285=0,$Z$3,N285-($Z$3-$AA$3)/(Lpp-FE_size)*Tbl_Load_distrib[[#This Row],[L_elt]])))</f>
        <v>#N/A</v>
      </c>
      <c r="O286" s="166" t="e">
        <f ca="1">IF(ISNUMBER(O285),(IF((N285-L285)&lt;0,0,N285-L285)+IF((Tbl_Load_distrib[[#This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86" s="929" t="e">
        <f>IF(ISNA(Tbl_Load_distrib[[#This Row],[x]]),NA(),IF(ISTEXT(P285),0,IF(P285=0,LongSection_DraftAft,P285-(LongSection_DraftAft-LongSection_DraftFore)/(Lpp-FE_size)*Tbl_Load_distrib[[#This Row],[L_elt]])))</f>
        <v>#N/A</v>
      </c>
      <c r="Q286" s="166" t="e">
        <f ca="1">IF(ISNUMBER(Q285),(IF((P285-L285)&lt;0,0,P285-L285)+IF((Tbl_Load_distrib[[#This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86" s="167" t="e">
        <f ca="1">ρ_sw*Tbl_Load_distrib[[#This Row],[Elt Area corrected]]*B/k_depl</f>
        <v>#N/A</v>
      </c>
      <c r="S286" s="167" t="e">
        <f ca="1">Tbl_Load_distrib[[#This Row],[Section Weight]]-Tbl_Load_distrib[[#This Row],[Floating Elt]]</f>
        <v>#N/A</v>
      </c>
      <c r="T286" s="183" t="e">
        <f ca="1">IF(ISTEXT($T285),0,$T285+Tbl_Load_distrib[[#This Row],[Net force / Elt]])</f>
        <v>#N/A</v>
      </c>
      <c r="U286" s="261" t="e">
        <f ca="1">IF(ISTEXT($U285),0,$U285+Tbl_Load_distrib[[#This Row],[Shearing Force]]*Tbl_Load_distrib[[#This Row],[L_elt]])</f>
        <v>#N/A</v>
      </c>
    </row>
    <row r="287" spans="2:21" x14ac:dyDescent="0.25">
      <c r="B287" s="136" t="e">
        <f t="shared" si="9"/>
        <v>#N/A</v>
      </c>
      <c r="C287" s="139" t="e">
        <f t="shared" si="10"/>
        <v>#N/A</v>
      </c>
      <c r="D287" s="152">
        <f ca="1">SUM(Tbl_Load_distrib[[#This Row],[Hull &amp; Structure]:[Reserved]])</f>
        <v>0</v>
      </c>
      <c r="E287" s="260">
        <f>SUMIFS(Tbl_Hull_Structure[Spread],Tbl_Hull_Structure[L from],"&lt;"&amp;Tbl_Load_distrib[[#This Row],[x]],Tbl_Hull_Structure[L to],"&gt;"&amp;C286)*Tbl_Load_distrib[[#This Row],[L_elt]]</f>
        <v>0</v>
      </c>
      <c r="F287" s="260">
        <f ca="1">SUMIFS(Tbl_Ballasts[Spread],Tbl_Ballasts[L from],"&lt;"&amp;Tbl_Load_distrib[[#This Row],[x]],Tbl_Ballasts[L to],"&gt;"&amp;C286)*Tbl_Load_distrib[[#This Row],[L_elt]]</f>
        <v>0</v>
      </c>
      <c r="G287" s="260">
        <f>SUMIFS(Tbl_Lifting[Spread],Tbl_Lifting[L from],"&lt;"&amp;Tbl_Load_distrib[[#This Row],[x]],Tbl_Lifting[L to],"&gt;"&amp;C286)*Tbl_Load_distrib[[#This Row],[L_elt]]</f>
        <v>0</v>
      </c>
      <c r="H287" s="260">
        <f>SUMIFS(Tbl_Additionals[Spread],Tbl_Additionals[L from],"&lt;"&amp;Tbl_Load_distrib[[#This Row],[x]],Tbl_Additionals[L to],"&gt;"&amp;C286)*Tbl_Load_distrib[[#This Row],[L_elt]]</f>
        <v>0</v>
      </c>
      <c r="I287" s="260">
        <f ca="1">SUMIFS(Tbl_Deck_Tank[Spread],Tbl_Deck_Tank[L from],"&lt;"&amp;Tbl_Load_distrib[[#This Row],[x]],Tbl_Deck_Tank[L to],"&gt;"&amp;C286)*Tbl_Load_distrib[[#This Row],[L_elt]]</f>
        <v>0</v>
      </c>
      <c r="J287" s="137"/>
      <c r="K287" s="165" t="e">
        <f>IFERROR(Tbl_Long_Section[[#This Row],[H Deck-Bottom]],NA())</f>
        <v>#N/A</v>
      </c>
      <c r="L287" s="829" t="e">
        <f>M_depth-Tbl_Load_distrib[[#This Row],[H Deck-Bottom]]</f>
        <v>#N/A</v>
      </c>
      <c r="M287" s="929">
        <f>IFERROR(Tbl_Load_distrib[[#This Row],[x]]-C286,0)</f>
        <v>0</v>
      </c>
      <c r="N287" s="929" t="e">
        <f>IF(ISNA(Tbl_Load_distrib[[#This Row],[x]]),NA(),IF(ISTEXT(N286),0,IF(N286=0,$Z$3,N286-($Z$3-$AA$3)/(Lpp-FE_size)*Tbl_Load_distrib[[#This Row],[L_elt]])))</f>
        <v>#N/A</v>
      </c>
      <c r="O287" s="166" t="e">
        <f ca="1">IF(ISNUMBER(O286),(IF((N286-L286)&lt;0,0,N286-L286)+IF((Tbl_Load_distrib[[#This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87" s="929" t="e">
        <f>IF(ISNA(Tbl_Load_distrib[[#This Row],[x]]),NA(),IF(ISTEXT(P286),0,IF(P286=0,LongSection_DraftAft,P286-(LongSection_DraftAft-LongSection_DraftFore)/(Lpp-FE_size)*Tbl_Load_distrib[[#This Row],[L_elt]])))</f>
        <v>#N/A</v>
      </c>
      <c r="Q287" s="166" t="e">
        <f ca="1">IF(ISNUMBER(Q286),(IF((P286-L286)&lt;0,0,P286-L286)+IF((Tbl_Load_distrib[[#This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87" s="167" t="e">
        <f ca="1">ρ_sw*Tbl_Load_distrib[[#This Row],[Elt Area corrected]]*B/k_depl</f>
        <v>#N/A</v>
      </c>
      <c r="S287" s="167" t="e">
        <f ca="1">Tbl_Load_distrib[[#This Row],[Section Weight]]-Tbl_Load_distrib[[#This Row],[Floating Elt]]</f>
        <v>#N/A</v>
      </c>
      <c r="T287" s="183" t="e">
        <f ca="1">IF(ISTEXT($T286),0,$T286+Tbl_Load_distrib[[#This Row],[Net force / Elt]])</f>
        <v>#N/A</v>
      </c>
      <c r="U287" s="261" t="e">
        <f ca="1">IF(ISTEXT($U286),0,$U286+Tbl_Load_distrib[[#This Row],[Shearing Force]]*Tbl_Load_distrib[[#This Row],[L_elt]])</f>
        <v>#N/A</v>
      </c>
    </row>
    <row r="288" spans="2:21" x14ac:dyDescent="0.25">
      <c r="B288" s="136" t="e">
        <f t="shared" si="9"/>
        <v>#N/A</v>
      </c>
      <c r="C288" s="139" t="e">
        <f t="shared" si="10"/>
        <v>#N/A</v>
      </c>
      <c r="D288" s="152">
        <f ca="1">SUM(Tbl_Load_distrib[[#This Row],[Hull &amp; Structure]:[Reserved]])</f>
        <v>0</v>
      </c>
      <c r="E288" s="260">
        <f>SUMIFS(Tbl_Hull_Structure[Spread],Tbl_Hull_Structure[L from],"&lt;"&amp;Tbl_Load_distrib[[#This Row],[x]],Tbl_Hull_Structure[L to],"&gt;"&amp;C287)*Tbl_Load_distrib[[#This Row],[L_elt]]</f>
        <v>0</v>
      </c>
      <c r="F288" s="260">
        <f ca="1">SUMIFS(Tbl_Ballasts[Spread],Tbl_Ballasts[L from],"&lt;"&amp;Tbl_Load_distrib[[#This Row],[x]],Tbl_Ballasts[L to],"&gt;"&amp;C287)*Tbl_Load_distrib[[#This Row],[L_elt]]</f>
        <v>0</v>
      </c>
      <c r="G288" s="260">
        <f>SUMIFS(Tbl_Lifting[Spread],Tbl_Lifting[L from],"&lt;"&amp;Tbl_Load_distrib[[#This Row],[x]],Tbl_Lifting[L to],"&gt;"&amp;C287)*Tbl_Load_distrib[[#This Row],[L_elt]]</f>
        <v>0</v>
      </c>
      <c r="H288" s="260">
        <f>SUMIFS(Tbl_Additionals[Spread],Tbl_Additionals[L from],"&lt;"&amp;Tbl_Load_distrib[[#This Row],[x]],Tbl_Additionals[L to],"&gt;"&amp;C287)*Tbl_Load_distrib[[#This Row],[L_elt]]</f>
        <v>0</v>
      </c>
      <c r="I288" s="260">
        <f ca="1">SUMIFS(Tbl_Deck_Tank[Spread],Tbl_Deck_Tank[L from],"&lt;"&amp;Tbl_Load_distrib[[#This Row],[x]],Tbl_Deck_Tank[L to],"&gt;"&amp;C287)*Tbl_Load_distrib[[#This Row],[L_elt]]</f>
        <v>0</v>
      </c>
      <c r="J288" s="137"/>
      <c r="K288" s="165" t="e">
        <f>IFERROR(Tbl_Long_Section[[#This Row],[H Deck-Bottom]],NA())</f>
        <v>#N/A</v>
      </c>
      <c r="L288" s="829" t="e">
        <f>M_depth-Tbl_Load_distrib[[#This Row],[H Deck-Bottom]]</f>
        <v>#N/A</v>
      </c>
      <c r="M288" s="929">
        <f>IFERROR(Tbl_Load_distrib[[#This Row],[x]]-C287,0)</f>
        <v>0</v>
      </c>
      <c r="N288" s="929" t="e">
        <f>IF(ISNA(Tbl_Load_distrib[[#This Row],[x]]),NA(),IF(ISTEXT(N287),0,IF(N287=0,$Z$3,N287-($Z$3-$AA$3)/(Lpp-FE_size)*Tbl_Load_distrib[[#This Row],[L_elt]])))</f>
        <v>#N/A</v>
      </c>
      <c r="O288" s="166" t="e">
        <f ca="1">IF(ISNUMBER(O287),(IF((N287-L287)&lt;0,0,N287-L287)+IF((Tbl_Load_distrib[[#This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88" s="929" t="e">
        <f>IF(ISNA(Tbl_Load_distrib[[#This Row],[x]]),NA(),IF(ISTEXT(P287),0,IF(P287=0,LongSection_DraftAft,P287-(LongSection_DraftAft-LongSection_DraftFore)/(Lpp-FE_size)*Tbl_Load_distrib[[#This Row],[L_elt]])))</f>
        <v>#N/A</v>
      </c>
      <c r="Q288" s="166" t="e">
        <f ca="1">IF(ISNUMBER(Q287),(IF((P287-L287)&lt;0,0,P287-L287)+IF((Tbl_Load_distrib[[#This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88" s="167" t="e">
        <f ca="1">ρ_sw*Tbl_Load_distrib[[#This Row],[Elt Area corrected]]*B/k_depl</f>
        <v>#N/A</v>
      </c>
      <c r="S288" s="167" t="e">
        <f ca="1">Tbl_Load_distrib[[#This Row],[Section Weight]]-Tbl_Load_distrib[[#This Row],[Floating Elt]]</f>
        <v>#N/A</v>
      </c>
      <c r="T288" s="183" t="e">
        <f ca="1">IF(ISTEXT($T287),0,$T287+Tbl_Load_distrib[[#This Row],[Net force / Elt]])</f>
        <v>#N/A</v>
      </c>
      <c r="U288" s="261" t="e">
        <f ca="1">IF(ISTEXT($U287),0,$U287+Tbl_Load_distrib[[#This Row],[Shearing Force]]*Tbl_Load_distrib[[#This Row],[L_elt]])</f>
        <v>#N/A</v>
      </c>
    </row>
    <row r="289" spans="2:21" x14ac:dyDescent="0.25">
      <c r="B289" s="136" t="e">
        <f t="shared" si="9"/>
        <v>#N/A</v>
      </c>
      <c r="C289" s="139" t="e">
        <f t="shared" si="10"/>
        <v>#N/A</v>
      </c>
      <c r="D289" s="152">
        <f ca="1">SUM(Tbl_Load_distrib[[#This Row],[Hull &amp; Structure]:[Reserved]])</f>
        <v>0</v>
      </c>
      <c r="E289" s="260">
        <f>SUMIFS(Tbl_Hull_Structure[Spread],Tbl_Hull_Structure[L from],"&lt;"&amp;Tbl_Load_distrib[[#This Row],[x]],Tbl_Hull_Structure[L to],"&gt;"&amp;C288)*Tbl_Load_distrib[[#This Row],[L_elt]]</f>
        <v>0</v>
      </c>
      <c r="F289" s="260">
        <f ca="1">SUMIFS(Tbl_Ballasts[Spread],Tbl_Ballasts[L from],"&lt;"&amp;Tbl_Load_distrib[[#This Row],[x]],Tbl_Ballasts[L to],"&gt;"&amp;C288)*Tbl_Load_distrib[[#This Row],[L_elt]]</f>
        <v>0</v>
      </c>
      <c r="G289" s="260">
        <f>SUMIFS(Tbl_Lifting[Spread],Tbl_Lifting[L from],"&lt;"&amp;Tbl_Load_distrib[[#This Row],[x]],Tbl_Lifting[L to],"&gt;"&amp;C288)*Tbl_Load_distrib[[#This Row],[L_elt]]</f>
        <v>0</v>
      </c>
      <c r="H289" s="260">
        <f>SUMIFS(Tbl_Additionals[Spread],Tbl_Additionals[L from],"&lt;"&amp;Tbl_Load_distrib[[#This Row],[x]],Tbl_Additionals[L to],"&gt;"&amp;C288)*Tbl_Load_distrib[[#This Row],[L_elt]]</f>
        <v>0</v>
      </c>
      <c r="I289" s="260">
        <f ca="1">SUMIFS(Tbl_Deck_Tank[Spread],Tbl_Deck_Tank[L from],"&lt;"&amp;Tbl_Load_distrib[[#This Row],[x]],Tbl_Deck_Tank[L to],"&gt;"&amp;C288)*Tbl_Load_distrib[[#This Row],[L_elt]]</f>
        <v>0</v>
      </c>
      <c r="J289" s="137"/>
      <c r="K289" s="165" t="e">
        <f>IFERROR(Tbl_Long_Section[[#This Row],[H Deck-Bottom]],NA())</f>
        <v>#N/A</v>
      </c>
      <c r="L289" s="829" t="e">
        <f>M_depth-Tbl_Load_distrib[[#This Row],[H Deck-Bottom]]</f>
        <v>#N/A</v>
      </c>
      <c r="M289" s="929">
        <f>IFERROR(Tbl_Load_distrib[[#This Row],[x]]-C288,0)</f>
        <v>0</v>
      </c>
      <c r="N289" s="929" t="e">
        <f>IF(ISNA(Tbl_Load_distrib[[#This Row],[x]]),NA(),IF(ISTEXT(N288),0,IF(N288=0,$Z$3,N288-($Z$3-$AA$3)/(Lpp-FE_size)*Tbl_Load_distrib[[#This Row],[L_elt]])))</f>
        <v>#N/A</v>
      </c>
      <c r="O289" s="166" t="e">
        <f ca="1">IF(ISNUMBER(O288),(IF((N288-L288)&lt;0,0,N288-L288)+IF((Tbl_Load_distrib[[#This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89" s="929" t="e">
        <f>IF(ISNA(Tbl_Load_distrib[[#This Row],[x]]),NA(),IF(ISTEXT(P288),0,IF(P288=0,LongSection_DraftAft,P288-(LongSection_DraftAft-LongSection_DraftFore)/(Lpp-FE_size)*Tbl_Load_distrib[[#This Row],[L_elt]])))</f>
        <v>#N/A</v>
      </c>
      <c r="Q289" s="166" t="e">
        <f ca="1">IF(ISNUMBER(Q288),(IF((P288-L288)&lt;0,0,P288-L288)+IF((Tbl_Load_distrib[[#This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89" s="167" t="e">
        <f ca="1">ρ_sw*Tbl_Load_distrib[[#This Row],[Elt Area corrected]]*B/k_depl</f>
        <v>#N/A</v>
      </c>
      <c r="S289" s="167" t="e">
        <f ca="1">Tbl_Load_distrib[[#This Row],[Section Weight]]-Tbl_Load_distrib[[#This Row],[Floating Elt]]</f>
        <v>#N/A</v>
      </c>
      <c r="T289" s="183" t="e">
        <f ca="1">IF(ISTEXT($T288),0,$T288+Tbl_Load_distrib[[#This Row],[Net force / Elt]])</f>
        <v>#N/A</v>
      </c>
      <c r="U289" s="261" t="e">
        <f ca="1">IF(ISTEXT($U288),0,$U288+Tbl_Load_distrib[[#This Row],[Shearing Force]]*Tbl_Load_distrib[[#This Row],[L_elt]])</f>
        <v>#N/A</v>
      </c>
    </row>
    <row r="290" spans="2:21" x14ac:dyDescent="0.25">
      <c r="B290" s="136" t="e">
        <f t="shared" si="9"/>
        <v>#N/A</v>
      </c>
      <c r="C290" s="139" t="e">
        <f t="shared" si="10"/>
        <v>#N/A</v>
      </c>
      <c r="D290" s="152">
        <f ca="1">SUM(Tbl_Load_distrib[[#This Row],[Hull &amp; Structure]:[Reserved]])</f>
        <v>0</v>
      </c>
      <c r="E290" s="260">
        <f>SUMIFS(Tbl_Hull_Structure[Spread],Tbl_Hull_Structure[L from],"&lt;"&amp;Tbl_Load_distrib[[#This Row],[x]],Tbl_Hull_Structure[L to],"&gt;"&amp;C289)*Tbl_Load_distrib[[#This Row],[L_elt]]</f>
        <v>0</v>
      </c>
      <c r="F290" s="260">
        <f ca="1">SUMIFS(Tbl_Ballasts[Spread],Tbl_Ballasts[L from],"&lt;"&amp;Tbl_Load_distrib[[#This Row],[x]],Tbl_Ballasts[L to],"&gt;"&amp;C289)*Tbl_Load_distrib[[#This Row],[L_elt]]</f>
        <v>0</v>
      </c>
      <c r="G290" s="260">
        <f>SUMIFS(Tbl_Lifting[Spread],Tbl_Lifting[L from],"&lt;"&amp;Tbl_Load_distrib[[#This Row],[x]],Tbl_Lifting[L to],"&gt;"&amp;C289)*Tbl_Load_distrib[[#This Row],[L_elt]]</f>
        <v>0</v>
      </c>
      <c r="H290" s="260">
        <f>SUMIFS(Tbl_Additionals[Spread],Tbl_Additionals[L from],"&lt;"&amp;Tbl_Load_distrib[[#This Row],[x]],Tbl_Additionals[L to],"&gt;"&amp;C289)*Tbl_Load_distrib[[#This Row],[L_elt]]</f>
        <v>0</v>
      </c>
      <c r="I290" s="260">
        <f ca="1">SUMIFS(Tbl_Deck_Tank[Spread],Tbl_Deck_Tank[L from],"&lt;"&amp;Tbl_Load_distrib[[#This Row],[x]],Tbl_Deck_Tank[L to],"&gt;"&amp;C289)*Tbl_Load_distrib[[#This Row],[L_elt]]</f>
        <v>0</v>
      </c>
      <c r="J290" s="137"/>
      <c r="K290" s="165" t="e">
        <f>IFERROR(Tbl_Long_Section[[#This Row],[H Deck-Bottom]],NA())</f>
        <v>#N/A</v>
      </c>
      <c r="L290" s="829" t="e">
        <f>M_depth-Tbl_Load_distrib[[#This Row],[H Deck-Bottom]]</f>
        <v>#N/A</v>
      </c>
      <c r="M290" s="929">
        <f>IFERROR(Tbl_Load_distrib[[#This Row],[x]]-C289,0)</f>
        <v>0</v>
      </c>
      <c r="N290" s="929" t="e">
        <f>IF(ISNA(Tbl_Load_distrib[[#This Row],[x]]),NA(),IF(ISTEXT(N289),0,IF(N289=0,$Z$3,N289-($Z$3-$AA$3)/(Lpp-FE_size)*Tbl_Load_distrib[[#This Row],[L_elt]])))</f>
        <v>#N/A</v>
      </c>
      <c r="O290" s="166" t="e">
        <f ca="1">IF(ISNUMBER(O289),(IF((N289-L289)&lt;0,0,N289-L289)+IF((Tbl_Load_distrib[[#This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90" s="929" t="e">
        <f>IF(ISNA(Tbl_Load_distrib[[#This Row],[x]]),NA(),IF(ISTEXT(P289),0,IF(P289=0,LongSection_DraftAft,P289-(LongSection_DraftAft-LongSection_DraftFore)/(Lpp-FE_size)*Tbl_Load_distrib[[#This Row],[L_elt]])))</f>
        <v>#N/A</v>
      </c>
      <c r="Q290" s="166" t="e">
        <f ca="1">IF(ISNUMBER(Q289),(IF((P289-L289)&lt;0,0,P289-L289)+IF((Tbl_Load_distrib[[#This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90" s="167" t="e">
        <f ca="1">ρ_sw*Tbl_Load_distrib[[#This Row],[Elt Area corrected]]*B/k_depl</f>
        <v>#N/A</v>
      </c>
      <c r="S290" s="167" t="e">
        <f ca="1">Tbl_Load_distrib[[#This Row],[Section Weight]]-Tbl_Load_distrib[[#This Row],[Floating Elt]]</f>
        <v>#N/A</v>
      </c>
      <c r="T290" s="183" t="e">
        <f ca="1">IF(ISTEXT($T289),0,$T289+Tbl_Load_distrib[[#This Row],[Net force / Elt]])</f>
        <v>#N/A</v>
      </c>
      <c r="U290" s="261" t="e">
        <f ca="1">IF(ISTEXT($U289),0,$U289+Tbl_Load_distrib[[#This Row],[Shearing Force]]*Tbl_Load_distrib[[#This Row],[L_elt]])</f>
        <v>#N/A</v>
      </c>
    </row>
    <row r="291" spans="2:21" x14ac:dyDescent="0.25">
      <c r="B291" s="136" t="e">
        <f t="shared" si="9"/>
        <v>#N/A</v>
      </c>
      <c r="C291" s="139" t="e">
        <f t="shared" si="10"/>
        <v>#N/A</v>
      </c>
      <c r="D291" s="152">
        <f ca="1">SUM(Tbl_Load_distrib[[#This Row],[Hull &amp; Structure]:[Reserved]])</f>
        <v>0</v>
      </c>
      <c r="E291" s="260">
        <f>SUMIFS(Tbl_Hull_Structure[Spread],Tbl_Hull_Structure[L from],"&lt;"&amp;Tbl_Load_distrib[[#This Row],[x]],Tbl_Hull_Structure[L to],"&gt;"&amp;C290)*Tbl_Load_distrib[[#This Row],[L_elt]]</f>
        <v>0</v>
      </c>
      <c r="F291" s="260">
        <f ca="1">SUMIFS(Tbl_Ballasts[Spread],Tbl_Ballasts[L from],"&lt;"&amp;Tbl_Load_distrib[[#This Row],[x]],Tbl_Ballasts[L to],"&gt;"&amp;C290)*Tbl_Load_distrib[[#This Row],[L_elt]]</f>
        <v>0</v>
      </c>
      <c r="G291" s="260">
        <f>SUMIFS(Tbl_Lifting[Spread],Tbl_Lifting[L from],"&lt;"&amp;Tbl_Load_distrib[[#This Row],[x]],Tbl_Lifting[L to],"&gt;"&amp;C290)*Tbl_Load_distrib[[#This Row],[L_elt]]</f>
        <v>0</v>
      </c>
      <c r="H291" s="260">
        <f>SUMIFS(Tbl_Additionals[Spread],Tbl_Additionals[L from],"&lt;"&amp;Tbl_Load_distrib[[#This Row],[x]],Tbl_Additionals[L to],"&gt;"&amp;C290)*Tbl_Load_distrib[[#This Row],[L_elt]]</f>
        <v>0</v>
      </c>
      <c r="I291" s="260">
        <f ca="1">SUMIFS(Tbl_Deck_Tank[Spread],Tbl_Deck_Tank[L from],"&lt;"&amp;Tbl_Load_distrib[[#This Row],[x]],Tbl_Deck_Tank[L to],"&gt;"&amp;C290)*Tbl_Load_distrib[[#This Row],[L_elt]]</f>
        <v>0</v>
      </c>
      <c r="J291" s="137"/>
      <c r="K291" s="165" t="e">
        <f>IFERROR(Tbl_Long_Section[[#This Row],[H Deck-Bottom]],NA())</f>
        <v>#N/A</v>
      </c>
      <c r="L291" s="829" t="e">
        <f>M_depth-Tbl_Load_distrib[[#This Row],[H Deck-Bottom]]</f>
        <v>#N/A</v>
      </c>
      <c r="M291" s="929">
        <f>IFERROR(Tbl_Load_distrib[[#This Row],[x]]-C290,0)</f>
        <v>0</v>
      </c>
      <c r="N291" s="929" t="e">
        <f>IF(ISNA(Tbl_Load_distrib[[#This Row],[x]]),NA(),IF(ISTEXT(N290),0,IF(N290=0,$Z$3,N290-($Z$3-$AA$3)/(Lpp-FE_size)*Tbl_Load_distrib[[#This Row],[L_elt]])))</f>
        <v>#N/A</v>
      </c>
      <c r="O291" s="166" t="e">
        <f ca="1">IF(ISNUMBER(O290),(IF((N290-L290)&lt;0,0,N290-L290)+IF((Tbl_Load_distrib[[#This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91" s="929" t="e">
        <f>IF(ISNA(Tbl_Load_distrib[[#This Row],[x]]),NA(),IF(ISTEXT(P290),0,IF(P290=0,LongSection_DraftAft,P290-(LongSection_DraftAft-LongSection_DraftFore)/(Lpp-FE_size)*Tbl_Load_distrib[[#This Row],[L_elt]])))</f>
        <v>#N/A</v>
      </c>
      <c r="Q291" s="166" t="e">
        <f ca="1">IF(ISNUMBER(Q290),(IF((P290-L290)&lt;0,0,P290-L290)+IF((Tbl_Load_distrib[[#This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91" s="167" t="e">
        <f ca="1">ρ_sw*Tbl_Load_distrib[[#This Row],[Elt Area corrected]]*B/k_depl</f>
        <v>#N/A</v>
      </c>
      <c r="S291" s="167" t="e">
        <f ca="1">Tbl_Load_distrib[[#This Row],[Section Weight]]-Tbl_Load_distrib[[#This Row],[Floating Elt]]</f>
        <v>#N/A</v>
      </c>
      <c r="T291" s="183" t="e">
        <f ca="1">IF(ISTEXT($T290),0,$T290+Tbl_Load_distrib[[#This Row],[Net force / Elt]])</f>
        <v>#N/A</v>
      </c>
      <c r="U291" s="261" t="e">
        <f ca="1">IF(ISTEXT($U290),0,$U290+Tbl_Load_distrib[[#This Row],[Shearing Force]]*Tbl_Load_distrib[[#This Row],[L_elt]])</f>
        <v>#N/A</v>
      </c>
    </row>
    <row r="292" spans="2:21" x14ac:dyDescent="0.25">
      <c r="B292" s="136" t="e">
        <f t="shared" si="9"/>
        <v>#N/A</v>
      </c>
      <c r="C292" s="139" t="e">
        <f t="shared" si="10"/>
        <v>#N/A</v>
      </c>
      <c r="D292" s="152">
        <f ca="1">SUM(Tbl_Load_distrib[[#This Row],[Hull &amp; Structure]:[Reserved]])</f>
        <v>0</v>
      </c>
      <c r="E292" s="260">
        <f>SUMIFS(Tbl_Hull_Structure[Spread],Tbl_Hull_Structure[L from],"&lt;"&amp;Tbl_Load_distrib[[#This Row],[x]],Tbl_Hull_Structure[L to],"&gt;"&amp;C291)*Tbl_Load_distrib[[#This Row],[L_elt]]</f>
        <v>0</v>
      </c>
      <c r="F292" s="260">
        <f ca="1">SUMIFS(Tbl_Ballasts[Spread],Tbl_Ballasts[L from],"&lt;"&amp;Tbl_Load_distrib[[#This Row],[x]],Tbl_Ballasts[L to],"&gt;"&amp;C291)*Tbl_Load_distrib[[#This Row],[L_elt]]</f>
        <v>0</v>
      </c>
      <c r="G292" s="260">
        <f>SUMIFS(Tbl_Lifting[Spread],Tbl_Lifting[L from],"&lt;"&amp;Tbl_Load_distrib[[#This Row],[x]],Tbl_Lifting[L to],"&gt;"&amp;C291)*Tbl_Load_distrib[[#This Row],[L_elt]]</f>
        <v>0</v>
      </c>
      <c r="H292" s="260">
        <f>SUMIFS(Tbl_Additionals[Spread],Tbl_Additionals[L from],"&lt;"&amp;Tbl_Load_distrib[[#This Row],[x]],Tbl_Additionals[L to],"&gt;"&amp;C291)*Tbl_Load_distrib[[#This Row],[L_elt]]</f>
        <v>0</v>
      </c>
      <c r="I292" s="260">
        <f ca="1">SUMIFS(Tbl_Deck_Tank[Spread],Tbl_Deck_Tank[L from],"&lt;"&amp;Tbl_Load_distrib[[#This Row],[x]],Tbl_Deck_Tank[L to],"&gt;"&amp;C291)*Tbl_Load_distrib[[#This Row],[L_elt]]</f>
        <v>0</v>
      </c>
      <c r="J292" s="137"/>
      <c r="K292" s="165" t="e">
        <f>IFERROR(Tbl_Long_Section[[#This Row],[H Deck-Bottom]],NA())</f>
        <v>#N/A</v>
      </c>
      <c r="L292" s="829" t="e">
        <f>M_depth-Tbl_Load_distrib[[#This Row],[H Deck-Bottom]]</f>
        <v>#N/A</v>
      </c>
      <c r="M292" s="929">
        <f>IFERROR(Tbl_Load_distrib[[#This Row],[x]]-C291,0)</f>
        <v>0</v>
      </c>
      <c r="N292" s="929" t="e">
        <f>IF(ISNA(Tbl_Load_distrib[[#This Row],[x]]),NA(),IF(ISTEXT(N291),0,IF(N291=0,$Z$3,N291-($Z$3-$AA$3)/(Lpp-FE_size)*Tbl_Load_distrib[[#This Row],[L_elt]])))</f>
        <v>#N/A</v>
      </c>
      <c r="O292" s="166" t="e">
        <f ca="1">IF(ISNUMBER(O291),(IF((N291-L291)&lt;0,0,N291-L291)+IF((Tbl_Load_distrib[[#This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92" s="929" t="e">
        <f>IF(ISNA(Tbl_Load_distrib[[#This Row],[x]]),NA(),IF(ISTEXT(P291),0,IF(P291=0,LongSection_DraftAft,P291-(LongSection_DraftAft-LongSection_DraftFore)/(Lpp-FE_size)*Tbl_Load_distrib[[#This Row],[L_elt]])))</f>
        <v>#N/A</v>
      </c>
      <c r="Q292" s="166" t="e">
        <f ca="1">IF(ISNUMBER(Q291),(IF((P291-L291)&lt;0,0,P291-L291)+IF((Tbl_Load_distrib[[#This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92" s="167" t="e">
        <f ca="1">ρ_sw*Tbl_Load_distrib[[#This Row],[Elt Area corrected]]*B/k_depl</f>
        <v>#N/A</v>
      </c>
      <c r="S292" s="167" t="e">
        <f ca="1">Tbl_Load_distrib[[#This Row],[Section Weight]]-Tbl_Load_distrib[[#This Row],[Floating Elt]]</f>
        <v>#N/A</v>
      </c>
      <c r="T292" s="183" t="e">
        <f ca="1">IF(ISTEXT($T291),0,$T291+Tbl_Load_distrib[[#This Row],[Net force / Elt]])</f>
        <v>#N/A</v>
      </c>
      <c r="U292" s="261" t="e">
        <f ca="1">IF(ISTEXT($U291),0,$U291+Tbl_Load_distrib[[#This Row],[Shearing Force]]*Tbl_Load_distrib[[#This Row],[L_elt]])</f>
        <v>#N/A</v>
      </c>
    </row>
    <row r="293" spans="2:21" x14ac:dyDescent="0.25">
      <c r="B293" s="136" t="e">
        <f t="shared" si="9"/>
        <v>#N/A</v>
      </c>
      <c r="C293" s="139" t="e">
        <f t="shared" si="10"/>
        <v>#N/A</v>
      </c>
      <c r="D293" s="152">
        <f ca="1">SUM(Tbl_Load_distrib[[#This Row],[Hull &amp; Structure]:[Reserved]])</f>
        <v>0</v>
      </c>
      <c r="E293" s="260">
        <f>SUMIFS(Tbl_Hull_Structure[Spread],Tbl_Hull_Structure[L from],"&lt;"&amp;Tbl_Load_distrib[[#This Row],[x]],Tbl_Hull_Structure[L to],"&gt;"&amp;C292)*Tbl_Load_distrib[[#This Row],[L_elt]]</f>
        <v>0</v>
      </c>
      <c r="F293" s="260">
        <f ca="1">SUMIFS(Tbl_Ballasts[Spread],Tbl_Ballasts[L from],"&lt;"&amp;Tbl_Load_distrib[[#This Row],[x]],Tbl_Ballasts[L to],"&gt;"&amp;C292)*Tbl_Load_distrib[[#This Row],[L_elt]]</f>
        <v>0</v>
      </c>
      <c r="G293" s="260">
        <f>SUMIFS(Tbl_Lifting[Spread],Tbl_Lifting[L from],"&lt;"&amp;Tbl_Load_distrib[[#This Row],[x]],Tbl_Lifting[L to],"&gt;"&amp;C292)*Tbl_Load_distrib[[#This Row],[L_elt]]</f>
        <v>0</v>
      </c>
      <c r="H293" s="260">
        <f>SUMIFS(Tbl_Additionals[Spread],Tbl_Additionals[L from],"&lt;"&amp;Tbl_Load_distrib[[#This Row],[x]],Tbl_Additionals[L to],"&gt;"&amp;C292)*Tbl_Load_distrib[[#This Row],[L_elt]]</f>
        <v>0</v>
      </c>
      <c r="I293" s="260">
        <f ca="1">SUMIFS(Tbl_Deck_Tank[Spread],Tbl_Deck_Tank[L from],"&lt;"&amp;Tbl_Load_distrib[[#This Row],[x]],Tbl_Deck_Tank[L to],"&gt;"&amp;C292)*Tbl_Load_distrib[[#This Row],[L_elt]]</f>
        <v>0</v>
      </c>
      <c r="J293" s="137"/>
      <c r="K293" s="165" t="e">
        <f>IFERROR(Tbl_Long_Section[[#This Row],[H Deck-Bottom]],NA())</f>
        <v>#N/A</v>
      </c>
      <c r="L293" s="829" t="e">
        <f>M_depth-Tbl_Load_distrib[[#This Row],[H Deck-Bottom]]</f>
        <v>#N/A</v>
      </c>
      <c r="M293" s="929">
        <f>IFERROR(Tbl_Load_distrib[[#This Row],[x]]-C292,0)</f>
        <v>0</v>
      </c>
      <c r="N293" s="929" t="e">
        <f>IF(ISNA(Tbl_Load_distrib[[#This Row],[x]]),NA(),IF(ISTEXT(N292),0,IF(N292=0,$Z$3,N292-($Z$3-$AA$3)/(Lpp-FE_size)*Tbl_Load_distrib[[#This Row],[L_elt]])))</f>
        <v>#N/A</v>
      </c>
      <c r="O293" s="166" t="e">
        <f ca="1">IF(ISNUMBER(O292),(IF((N292-L292)&lt;0,0,N292-L292)+IF((Tbl_Load_distrib[[#This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93" s="929" t="e">
        <f>IF(ISNA(Tbl_Load_distrib[[#This Row],[x]]),NA(),IF(ISTEXT(P292),0,IF(P292=0,LongSection_DraftAft,P292-(LongSection_DraftAft-LongSection_DraftFore)/(Lpp-FE_size)*Tbl_Load_distrib[[#This Row],[L_elt]])))</f>
        <v>#N/A</v>
      </c>
      <c r="Q293" s="166" t="e">
        <f ca="1">IF(ISNUMBER(Q292),(IF((P292-L292)&lt;0,0,P292-L292)+IF((Tbl_Load_distrib[[#This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93" s="167" t="e">
        <f ca="1">ρ_sw*Tbl_Load_distrib[[#This Row],[Elt Area corrected]]*B/k_depl</f>
        <v>#N/A</v>
      </c>
      <c r="S293" s="167" t="e">
        <f ca="1">Tbl_Load_distrib[[#This Row],[Section Weight]]-Tbl_Load_distrib[[#This Row],[Floating Elt]]</f>
        <v>#N/A</v>
      </c>
      <c r="T293" s="183" t="e">
        <f ca="1">IF(ISTEXT($T292),0,$T292+Tbl_Load_distrib[[#This Row],[Net force / Elt]])</f>
        <v>#N/A</v>
      </c>
      <c r="U293" s="261" t="e">
        <f ca="1">IF(ISTEXT($U292),0,$U292+Tbl_Load_distrib[[#This Row],[Shearing Force]]*Tbl_Load_distrib[[#This Row],[L_elt]])</f>
        <v>#N/A</v>
      </c>
    </row>
    <row r="294" spans="2:21" x14ac:dyDescent="0.25">
      <c r="B294" s="136" t="e">
        <f t="shared" si="9"/>
        <v>#N/A</v>
      </c>
      <c r="C294" s="139" t="e">
        <f t="shared" si="10"/>
        <v>#N/A</v>
      </c>
      <c r="D294" s="152">
        <f ca="1">SUM(Tbl_Load_distrib[[#This Row],[Hull &amp; Structure]:[Reserved]])</f>
        <v>0</v>
      </c>
      <c r="E294" s="260">
        <f>SUMIFS(Tbl_Hull_Structure[Spread],Tbl_Hull_Structure[L from],"&lt;"&amp;Tbl_Load_distrib[[#This Row],[x]],Tbl_Hull_Structure[L to],"&gt;"&amp;C293)*Tbl_Load_distrib[[#This Row],[L_elt]]</f>
        <v>0</v>
      </c>
      <c r="F294" s="260">
        <f ca="1">SUMIFS(Tbl_Ballasts[Spread],Tbl_Ballasts[L from],"&lt;"&amp;Tbl_Load_distrib[[#This Row],[x]],Tbl_Ballasts[L to],"&gt;"&amp;C293)*Tbl_Load_distrib[[#This Row],[L_elt]]</f>
        <v>0</v>
      </c>
      <c r="G294" s="260">
        <f>SUMIFS(Tbl_Lifting[Spread],Tbl_Lifting[L from],"&lt;"&amp;Tbl_Load_distrib[[#This Row],[x]],Tbl_Lifting[L to],"&gt;"&amp;C293)*Tbl_Load_distrib[[#This Row],[L_elt]]</f>
        <v>0</v>
      </c>
      <c r="H294" s="260">
        <f>SUMIFS(Tbl_Additionals[Spread],Tbl_Additionals[L from],"&lt;"&amp;Tbl_Load_distrib[[#This Row],[x]],Tbl_Additionals[L to],"&gt;"&amp;C293)*Tbl_Load_distrib[[#This Row],[L_elt]]</f>
        <v>0</v>
      </c>
      <c r="I294" s="260">
        <f ca="1">SUMIFS(Tbl_Deck_Tank[Spread],Tbl_Deck_Tank[L from],"&lt;"&amp;Tbl_Load_distrib[[#This Row],[x]],Tbl_Deck_Tank[L to],"&gt;"&amp;C293)*Tbl_Load_distrib[[#This Row],[L_elt]]</f>
        <v>0</v>
      </c>
      <c r="J294" s="137"/>
      <c r="K294" s="165" t="e">
        <f>IFERROR(Tbl_Long_Section[[#This Row],[H Deck-Bottom]],NA())</f>
        <v>#N/A</v>
      </c>
      <c r="L294" s="829" t="e">
        <f>M_depth-Tbl_Load_distrib[[#This Row],[H Deck-Bottom]]</f>
        <v>#N/A</v>
      </c>
      <c r="M294" s="929">
        <f>IFERROR(Tbl_Load_distrib[[#This Row],[x]]-C293,0)</f>
        <v>0</v>
      </c>
      <c r="N294" s="929" t="e">
        <f>IF(ISNA(Tbl_Load_distrib[[#This Row],[x]]),NA(),IF(ISTEXT(N293),0,IF(N293=0,$Z$3,N293-($Z$3-$AA$3)/(Lpp-FE_size)*Tbl_Load_distrib[[#This Row],[L_elt]])))</f>
        <v>#N/A</v>
      </c>
      <c r="O294" s="166" t="e">
        <f ca="1">IF(ISNUMBER(O293),(IF((N293-L293)&lt;0,0,N293-L293)+IF((Tbl_Load_distrib[[#This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94" s="929" t="e">
        <f>IF(ISNA(Tbl_Load_distrib[[#This Row],[x]]),NA(),IF(ISTEXT(P293),0,IF(P293=0,LongSection_DraftAft,P293-(LongSection_DraftAft-LongSection_DraftFore)/(Lpp-FE_size)*Tbl_Load_distrib[[#This Row],[L_elt]])))</f>
        <v>#N/A</v>
      </c>
      <c r="Q294" s="166" t="e">
        <f ca="1">IF(ISNUMBER(Q293),(IF((P293-L293)&lt;0,0,P293-L293)+IF((Tbl_Load_distrib[[#This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94" s="167" t="e">
        <f ca="1">ρ_sw*Tbl_Load_distrib[[#This Row],[Elt Area corrected]]*B/k_depl</f>
        <v>#N/A</v>
      </c>
      <c r="S294" s="167" t="e">
        <f ca="1">Tbl_Load_distrib[[#This Row],[Section Weight]]-Tbl_Load_distrib[[#This Row],[Floating Elt]]</f>
        <v>#N/A</v>
      </c>
      <c r="T294" s="183" t="e">
        <f ca="1">IF(ISTEXT($T293),0,$T293+Tbl_Load_distrib[[#This Row],[Net force / Elt]])</f>
        <v>#N/A</v>
      </c>
      <c r="U294" s="261" t="e">
        <f ca="1">IF(ISTEXT($U293),0,$U293+Tbl_Load_distrib[[#This Row],[Shearing Force]]*Tbl_Load_distrib[[#This Row],[L_elt]])</f>
        <v>#N/A</v>
      </c>
    </row>
    <row r="295" spans="2:21" x14ac:dyDescent="0.25">
      <c r="B295" s="136" t="e">
        <f t="shared" si="9"/>
        <v>#N/A</v>
      </c>
      <c r="C295" s="139" t="e">
        <f t="shared" si="10"/>
        <v>#N/A</v>
      </c>
      <c r="D295" s="152">
        <f ca="1">SUM(Tbl_Load_distrib[[#This Row],[Hull &amp; Structure]:[Reserved]])</f>
        <v>0</v>
      </c>
      <c r="E295" s="260">
        <f>SUMIFS(Tbl_Hull_Structure[Spread],Tbl_Hull_Structure[L from],"&lt;"&amp;Tbl_Load_distrib[[#This Row],[x]],Tbl_Hull_Structure[L to],"&gt;"&amp;C294)*Tbl_Load_distrib[[#This Row],[L_elt]]</f>
        <v>0</v>
      </c>
      <c r="F295" s="260">
        <f ca="1">SUMIFS(Tbl_Ballasts[Spread],Tbl_Ballasts[L from],"&lt;"&amp;Tbl_Load_distrib[[#This Row],[x]],Tbl_Ballasts[L to],"&gt;"&amp;C294)*Tbl_Load_distrib[[#This Row],[L_elt]]</f>
        <v>0</v>
      </c>
      <c r="G295" s="260">
        <f>SUMIFS(Tbl_Lifting[Spread],Tbl_Lifting[L from],"&lt;"&amp;Tbl_Load_distrib[[#This Row],[x]],Tbl_Lifting[L to],"&gt;"&amp;C294)*Tbl_Load_distrib[[#This Row],[L_elt]]</f>
        <v>0</v>
      </c>
      <c r="H295" s="260">
        <f>SUMIFS(Tbl_Additionals[Spread],Tbl_Additionals[L from],"&lt;"&amp;Tbl_Load_distrib[[#This Row],[x]],Tbl_Additionals[L to],"&gt;"&amp;C294)*Tbl_Load_distrib[[#This Row],[L_elt]]</f>
        <v>0</v>
      </c>
      <c r="I295" s="260">
        <f ca="1">SUMIFS(Tbl_Deck_Tank[Spread],Tbl_Deck_Tank[L from],"&lt;"&amp;Tbl_Load_distrib[[#This Row],[x]],Tbl_Deck_Tank[L to],"&gt;"&amp;C294)*Tbl_Load_distrib[[#This Row],[L_elt]]</f>
        <v>0</v>
      </c>
      <c r="J295" s="137"/>
      <c r="K295" s="165" t="e">
        <f>IFERROR(Tbl_Long_Section[[#This Row],[H Deck-Bottom]],NA())</f>
        <v>#N/A</v>
      </c>
      <c r="L295" s="829" t="e">
        <f>M_depth-Tbl_Load_distrib[[#This Row],[H Deck-Bottom]]</f>
        <v>#N/A</v>
      </c>
      <c r="M295" s="929">
        <f>IFERROR(Tbl_Load_distrib[[#This Row],[x]]-C294,0)</f>
        <v>0</v>
      </c>
      <c r="N295" s="929" t="e">
        <f>IF(ISNA(Tbl_Load_distrib[[#This Row],[x]]),NA(),IF(ISTEXT(N294),0,IF(N294=0,$Z$3,N294-($Z$3-$AA$3)/(Lpp-FE_size)*Tbl_Load_distrib[[#This Row],[L_elt]])))</f>
        <v>#N/A</v>
      </c>
      <c r="O295" s="166" t="e">
        <f ca="1">IF(ISNUMBER(O294),(IF((N294-L294)&lt;0,0,N294-L294)+IF((Tbl_Load_distrib[[#This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95" s="929" t="e">
        <f>IF(ISNA(Tbl_Load_distrib[[#This Row],[x]]),NA(),IF(ISTEXT(P294),0,IF(P294=0,LongSection_DraftAft,P294-(LongSection_DraftAft-LongSection_DraftFore)/(Lpp-FE_size)*Tbl_Load_distrib[[#This Row],[L_elt]])))</f>
        <v>#N/A</v>
      </c>
      <c r="Q295" s="166" t="e">
        <f ca="1">IF(ISNUMBER(Q294),(IF((P294-L294)&lt;0,0,P294-L294)+IF((Tbl_Load_distrib[[#This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95" s="167" t="e">
        <f ca="1">ρ_sw*Tbl_Load_distrib[[#This Row],[Elt Area corrected]]*B/k_depl</f>
        <v>#N/A</v>
      </c>
      <c r="S295" s="167" t="e">
        <f ca="1">Tbl_Load_distrib[[#This Row],[Section Weight]]-Tbl_Load_distrib[[#This Row],[Floating Elt]]</f>
        <v>#N/A</v>
      </c>
      <c r="T295" s="183" t="e">
        <f ca="1">IF(ISTEXT($T294),0,$T294+Tbl_Load_distrib[[#This Row],[Net force / Elt]])</f>
        <v>#N/A</v>
      </c>
      <c r="U295" s="261" t="e">
        <f ca="1">IF(ISTEXT($U294),0,$U294+Tbl_Load_distrib[[#This Row],[Shearing Force]]*Tbl_Load_distrib[[#This Row],[L_elt]])</f>
        <v>#N/A</v>
      </c>
    </row>
    <row r="296" spans="2:21" x14ac:dyDescent="0.25">
      <c r="B296" s="136" t="e">
        <f t="shared" si="9"/>
        <v>#N/A</v>
      </c>
      <c r="C296" s="139" t="e">
        <f t="shared" si="10"/>
        <v>#N/A</v>
      </c>
      <c r="D296" s="152">
        <f ca="1">SUM(Tbl_Load_distrib[[#This Row],[Hull &amp; Structure]:[Reserved]])</f>
        <v>0</v>
      </c>
      <c r="E296" s="260">
        <f>SUMIFS(Tbl_Hull_Structure[Spread],Tbl_Hull_Structure[L from],"&lt;"&amp;Tbl_Load_distrib[[#This Row],[x]],Tbl_Hull_Structure[L to],"&gt;"&amp;C295)*Tbl_Load_distrib[[#This Row],[L_elt]]</f>
        <v>0</v>
      </c>
      <c r="F296" s="260">
        <f ca="1">SUMIFS(Tbl_Ballasts[Spread],Tbl_Ballasts[L from],"&lt;"&amp;Tbl_Load_distrib[[#This Row],[x]],Tbl_Ballasts[L to],"&gt;"&amp;C295)*Tbl_Load_distrib[[#This Row],[L_elt]]</f>
        <v>0</v>
      </c>
      <c r="G296" s="260">
        <f>SUMIFS(Tbl_Lifting[Spread],Tbl_Lifting[L from],"&lt;"&amp;Tbl_Load_distrib[[#This Row],[x]],Tbl_Lifting[L to],"&gt;"&amp;C295)*Tbl_Load_distrib[[#This Row],[L_elt]]</f>
        <v>0</v>
      </c>
      <c r="H296" s="260">
        <f>SUMIFS(Tbl_Additionals[Spread],Tbl_Additionals[L from],"&lt;"&amp;Tbl_Load_distrib[[#This Row],[x]],Tbl_Additionals[L to],"&gt;"&amp;C295)*Tbl_Load_distrib[[#This Row],[L_elt]]</f>
        <v>0</v>
      </c>
      <c r="I296" s="260">
        <f ca="1">SUMIFS(Tbl_Deck_Tank[Spread],Tbl_Deck_Tank[L from],"&lt;"&amp;Tbl_Load_distrib[[#This Row],[x]],Tbl_Deck_Tank[L to],"&gt;"&amp;C295)*Tbl_Load_distrib[[#This Row],[L_elt]]</f>
        <v>0</v>
      </c>
      <c r="J296" s="137"/>
      <c r="K296" s="165" t="e">
        <f>IFERROR(Tbl_Long_Section[[#This Row],[H Deck-Bottom]],NA())</f>
        <v>#N/A</v>
      </c>
      <c r="L296" s="829" t="e">
        <f>M_depth-Tbl_Load_distrib[[#This Row],[H Deck-Bottom]]</f>
        <v>#N/A</v>
      </c>
      <c r="M296" s="929">
        <f>IFERROR(Tbl_Load_distrib[[#This Row],[x]]-C295,0)</f>
        <v>0</v>
      </c>
      <c r="N296" s="929" t="e">
        <f>IF(ISNA(Tbl_Load_distrib[[#This Row],[x]]),NA(),IF(ISTEXT(N295),0,IF(N295=0,$Z$3,N295-($Z$3-$AA$3)/(Lpp-FE_size)*Tbl_Load_distrib[[#This Row],[L_elt]])))</f>
        <v>#N/A</v>
      </c>
      <c r="O296" s="166" t="e">
        <f ca="1">IF(ISNUMBER(O295),(IF((N295-L295)&lt;0,0,N295-L295)+IF((Tbl_Load_distrib[[#This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96" s="929" t="e">
        <f>IF(ISNA(Tbl_Load_distrib[[#This Row],[x]]),NA(),IF(ISTEXT(P295),0,IF(P295=0,LongSection_DraftAft,P295-(LongSection_DraftAft-LongSection_DraftFore)/(Lpp-FE_size)*Tbl_Load_distrib[[#This Row],[L_elt]])))</f>
        <v>#N/A</v>
      </c>
      <c r="Q296" s="166" t="e">
        <f ca="1">IF(ISNUMBER(Q295),(IF((P295-L295)&lt;0,0,P295-L295)+IF((Tbl_Load_distrib[[#This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96" s="167" t="e">
        <f ca="1">ρ_sw*Tbl_Load_distrib[[#This Row],[Elt Area corrected]]*B/k_depl</f>
        <v>#N/A</v>
      </c>
      <c r="S296" s="167" t="e">
        <f ca="1">Tbl_Load_distrib[[#This Row],[Section Weight]]-Tbl_Load_distrib[[#This Row],[Floating Elt]]</f>
        <v>#N/A</v>
      </c>
      <c r="T296" s="183" t="e">
        <f ca="1">IF(ISTEXT($T295),0,$T295+Tbl_Load_distrib[[#This Row],[Net force / Elt]])</f>
        <v>#N/A</v>
      </c>
      <c r="U296" s="261" t="e">
        <f ca="1">IF(ISTEXT($U295),0,$U295+Tbl_Load_distrib[[#This Row],[Shearing Force]]*Tbl_Load_distrib[[#This Row],[L_elt]])</f>
        <v>#N/A</v>
      </c>
    </row>
    <row r="297" spans="2:21" x14ac:dyDescent="0.25">
      <c r="B297" s="136" t="e">
        <f t="shared" si="9"/>
        <v>#N/A</v>
      </c>
      <c r="C297" s="139" t="e">
        <f t="shared" si="10"/>
        <v>#N/A</v>
      </c>
      <c r="D297" s="152">
        <f ca="1">SUM(Tbl_Load_distrib[[#This Row],[Hull &amp; Structure]:[Reserved]])</f>
        <v>0</v>
      </c>
      <c r="E297" s="260">
        <f>SUMIFS(Tbl_Hull_Structure[Spread],Tbl_Hull_Structure[L from],"&lt;"&amp;Tbl_Load_distrib[[#This Row],[x]],Tbl_Hull_Structure[L to],"&gt;"&amp;C296)*Tbl_Load_distrib[[#This Row],[L_elt]]</f>
        <v>0</v>
      </c>
      <c r="F297" s="260">
        <f ca="1">SUMIFS(Tbl_Ballasts[Spread],Tbl_Ballasts[L from],"&lt;"&amp;Tbl_Load_distrib[[#This Row],[x]],Tbl_Ballasts[L to],"&gt;"&amp;C296)*Tbl_Load_distrib[[#This Row],[L_elt]]</f>
        <v>0</v>
      </c>
      <c r="G297" s="260">
        <f>SUMIFS(Tbl_Lifting[Spread],Tbl_Lifting[L from],"&lt;"&amp;Tbl_Load_distrib[[#This Row],[x]],Tbl_Lifting[L to],"&gt;"&amp;C296)*Tbl_Load_distrib[[#This Row],[L_elt]]</f>
        <v>0</v>
      </c>
      <c r="H297" s="260">
        <f>SUMIFS(Tbl_Additionals[Spread],Tbl_Additionals[L from],"&lt;"&amp;Tbl_Load_distrib[[#This Row],[x]],Tbl_Additionals[L to],"&gt;"&amp;C296)*Tbl_Load_distrib[[#This Row],[L_elt]]</f>
        <v>0</v>
      </c>
      <c r="I297" s="260">
        <f ca="1">SUMIFS(Tbl_Deck_Tank[Spread],Tbl_Deck_Tank[L from],"&lt;"&amp;Tbl_Load_distrib[[#This Row],[x]],Tbl_Deck_Tank[L to],"&gt;"&amp;C296)*Tbl_Load_distrib[[#This Row],[L_elt]]</f>
        <v>0</v>
      </c>
      <c r="J297" s="137"/>
      <c r="K297" s="165" t="e">
        <f>IFERROR(Tbl_Long_Section[[#This Row],[H Deck-Bottom]],NA())</f>
        <v>#N/A</v>
      </c>
      <c r="L297" s="829" t="e">
        <f>M_depth-Tbl_Load_distrib[[#This Row],[H Deck-Bottom]]</f>
        <v>#N/A</v>
      </c>
      <c r="M297" s="929">
        <f>IFERROR(Tbl_Load_distrib[[#This Row],[x]]-C296,0)</f>
        <v>0</v>
      </c>
      <c r="N297" s="929" t="e">
        <f>IF(ISNA(Tbl_Load_distrib[[#This Row],[x]]),NA(),IF(ISTEXT(N296),0,IF(N296=0,$Z$3,N296-($Z$3-$AA$3)/(Lpp-FE_size)*Tbl_Load_distrib[[#This Row],[L_elt]])))</f>
        <v>#N/A</v>
      </c>
      <c r="O297" s="166" t="e">
        <f ca="1">IF(ISNUMBER(O296),(IF((N296-L296)&lt;0,0,N296-L296)+IF((Tbl_Load_distrib[[#This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97" s="929" t="e">
        <f>IF(ISNA(Tbl_Load_distrib[[#This Row],[x]]),NA(),IF(ISTEXT(P296),0,IF(P296=0,LongSection_DraftAft,P296-(LongSection_DraftAft-LongSection_DraftFore)/(Lpp-FE_size)*Tbl_Load_distrib[[#This Row],[L_elt]])))</f>
        <v>#N/A</v>
      </c>
      <c r="Q297" s="166" t="e">
        <f ca="1">IF(ISNUMBER(Q296),(IF((P296-L296)&lt;0,0,P296-L296)+IF((Tbl_Load_distrib[[#This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97" s="167" t="e">
        <f ca="1">ρ_sw*Tbl_Load_distrib[[#This Row],[Elt Area corrected]]*B/k_depl</f>
        <v>#N/A</v>
      </c>
      <c r="S297" s="167" t="e">
        <f ca="1">Tbl_Load_distrib[[#This Row],[Section Weight]]-Tbl_Load_distrib[[#This Row],[Floating Elt]]</f>
        <v>#N/A</v>
      </c>
      <c r="T297" s="183" t="e">
        <f ca="1">IF(ISTEXT($T296),0,$T296+Tbl_Load_distrib[[#This Row],[Net force / Elt]])</f>
        <v>#N/A</v>
      </c>
      <c r="U297" s="261" t="e">
        <f ca="1">IF(ISTEXT($U296),0,$U296+Tbl_Load_distrib[[#This Row],[Shearing Force]]*Tbl_Load_distrib[[#This Row],[L_elt]])</f>
        <v>#N/A</v>
      </c>
    </row>
    <row r="298" spans="2:21" x14ac:dyDescent="0.25">
      <c r="B298" s="136" t="e">
        <f t="shared" si="9"/>
        <v>#N/A</v>
      </c>
      <c r="C298" s="139" t="e">
        <f t="shared" si="10"/>
        <v>#N/A</v>
      </c>
      <c r="D298" s="152">
        <f ca="1">SUM(Tbl_Load_distrib[[#This Row],[Hull &amp; Structure]:[Reserved]])</f>
        <v>0</v>
      </c>
      <c r="E298" s="260">
        <f>SUMIFS(Tbl_Hull_Structure[Spread],Tbl_Hull_Structure[L from],"&lt;"&amp;Tbl_Load_distrib[[#This Row],[x]],Tbl_Hull_Structure[L to],"&gt;"&amp;C297)*Tbl_Load_distrib[[#This Row],[L_elt]]</f>
        <v>0</v>
      </c>
      <c r="F298" s="260">
        <f ca="1">SUMIFS(Tbl_Ballasts[Spread],Tbl_Ballasts[L from],"&lt;"&amp;Tbl_Load_distrib[[#This Row],[x]],Tbl_Ballasts[L to],"&gt;"&amp;C297)*Tbl_Load_distrib[[#This Row],[L_elt]]</f>
        <v>0</v>
      </c>
      <c r="G298" s="260">
        <f>SUMIFS(Tbl_Lifting[Spread],Tbl_Lifting[L from],"&lt;"&amp;Tbl_Load_distrib[[#This Row],[x]],Tbl_Lifting[L to],"&gt;"&amp;C297)*Tbl_Load_distrib[[#This Row],[L_elt]]</f>
        <v>0</v>
      </c>
      <c r="H298" s="260">
        <f>SUMIFS(Tbl_Additionals[Spread],Tbl_Additionals[L from],"&lt;"&amp;Tbl_Load_distrib[[#This Row],[x]],Tbl_Additionals[L to],"&gt;"&amp;C297)*Tbl_Load_distrib[[#This Row],[L_elt]]</f>
        <v>0</v>
      </c>
      <c r="I298" s="260">
        <f ca="1">SUMIFS(Tbl_Deck_Tank[Spread],Tbl_Deck_Tank[L from],"&lt;"&amp;Tbl_Load_distrib[[#This Row],[x]],Tbl_Deck_Tank[L to],"&gt;"&amp;C297)*Tbl_Load_distrib[[#This Row],[L_elt]]</f>
        <v>0</v>
      </c>
      <c r="J298" s="137"/>
      <c r="K298" s="165" t="e">
        <f>IFERROR(Tbl_Long_Section[[#This Row],[H Deck-Bottom]],NA())</f>
        <v>#N/A</v>
      </c>
      <c r="L298" s="829" t="e">
        <f>M_depth-Tbl_Load_distrib[[#This Row],[H Deck-Bottom]]</f>
        <v>#N/A</v>
      </c>
      <c r="M298" s="929">
        <f>IFERROR(Tbl_Load_distrib[[#This Row],[x]]-C297,0)</f>
        <v>0</v>
      </c>
      <c r="N298" s="929" t="e">
        <f>IF(ISNA(Tbl_Load_distrib[[#This Row],[x]]),NA(),IF(ISTEXT(N297),0,IF(N297=0,$Z$3,N297-($Z$3-$AA$3)/(Lpp-FE_size)*Tbl_Load_distrib[[#This Row],[L_elt]])))</f>
        <v>#N/A</v>
      </c>
      <c r="O298" s="166" t="e">
        <f ca="1">IF(ISNUMBER(O297),(IF((N297-L297)&lt;0,0,N297-L297)+IF((Tbl_Load_distrib[[#This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98" s="929" t="e">
        <f>IF(ISNA(Tbl_Load_distrib[[#This Row],[x]]),NA(),IF(ISTEXT(P297),0,IF(P297=0,LongSection_DraftAft,P297-(LongSection_DraftAft-LongSection_DraftFore)/(Lpp-FE_size)*Tbl_Load_distrib[[#This Row],[L_elt]])))</f>
        <v>#N/A</v>
      </c>
      <c r="Q298" s="166" t="e">
        <f ca="1">IF(ISNUMBER(Q297),(IF((P297-L297)&lt;0,0,P297-L297)+IF((Tbl_Load_distrib[[#This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98" s="167" t="e">
        <f ca="1">ρ_sw*Tbl_Load_distrib[[#This Row],[Elt Area corrected]]*B/k_depl</f>
        <v>#N/A</v>
      </c>
      <c r="S298" s="167" t="e">
        <f ca="1">Tbl_Load_distrib[[#This Row],[Section Weight]]-Tbl_Load_distrib[[#This Row],[Floating Elt]]</f>
        <v>#N/A</v>
      </c>
      <c r="T298" s="183" t="e">
        <f ca="1">IF(ISTEXT($T297),0,$T297+Tbl_Load_distrib[[#This Row],[Net force / Elt]])</f>
        <v>#N/A</v>
      </c>
      <c r="U298" s="261" t="e">
        <f ca="1">IF(ISTEXT($U297),0,$U297+Tbl_Load_distrib[[#This Row],[Shearing Force]]*Tbl_Load_distrib[[#This Row],[L_elt]])</f>
        <v>#N/A</v>
      </c>
    </row>
    <row r="299" spans="2:21" x14ac:dyDescent="0.25">
      <c r="B299" s="136" t="e">
        <f t="shared" si="9"/>
        <v>#N/A</v>
      </c>
      <c r="C299" s="139" t="e">
        <f t="shared" si="10"/>
        <v>#N/A</v>
      </c>
      <c r="D299" s="152">
        <f ca="1">SUM(Tbl_Load_distrib[[#This Row],[Hull &amp; Structure]:[Reserved]])</f>
        <v>0</v>
      </c>
      <c r="E299" s="260">
        <f>SUMIFS(Tbl_Hull_Structure[Spread],Tbl_Hull_Structure[L from],"&lt;"&amp;Tbl_Load_distrib[[#This Row],[x]],Tbl_Hull_Structure[L to],"&gt;"&amp;C298)*Tbl_Load_distrib[[#This Row],[L_elt]]</f>
        <v>0</v>
      </c>
      <c r="F299" s="260">
        <f ca="1">SUMIFS(Tbl_Ballasts[Spread],Tbl_Ballasts[L from],"&lt;"&amp;Tbl_Load_distrib[[#This Row],[x]],Tbl_Ballasts[L to],"&gt;"&amp;C298)*Tbl_Load_distrib[[#This Row],[L_elt]]</f>
        <v>0</v>
      </c>
      <c r="G299" s="260">
        <f>SUMIFS(Tbl_Lifting[Spread],Tbl_Lifting[L from],"&lt;"&amp;Tbl_Load_distrib[[#This Row],[x]],Tbl_Lifting[L to],"&gt;"&amp;C298)*Tbl_Load_distrib[[#This Row],[L_elt]]</f>
        <v>0</v>
      </c>
      <c r="H299" s="260">
        <f>SUMIFS(Tbl_Additionals[Spread],Tbl_Additionals[L from],"&lt;"&amp;Tbl_Load_distrib[[#This Row],[x]],Tbl_Additionals[L to],"&gt;"&amp;C298)*Tbl_Load_distrib[[#This Row],[L_elt]]</f>
        <v>0</v>
      </c>
      <c r="I299" s="260">
        <f ca="1">SUMIFS(Tbl_Deck_Tank[Spread],Tbl_Deck_Tank[L from],"&lt;"&amp;Tbl_Load_distrib[[#This Row],[x]],Tbl_Deck_Tank[L to],"&gt;"&amp;C298)*Tbl_Load_distrib[[#This Row],[L_elt]]</f>
        <v>0</v>
      </c>
      <c r="J299" s="137"/>
      <c r="K299" s="165" t="e">
        <f>IFERROR(Tbl_Long_Section[[#This Row],[H Deck-Bottom]],NA())</f>
        <v>#N/A</v>
      </c>
      <c r="L299" s="829" t="e">
        <f>M_depth-Tbl_Load_distrib[[#This Row],[H Deck-Bottom]]</f>
        <v>#N/A</v>
      </c>
      <c r="M299" s="929">
        <f>IFERROR(Tbl_Load_distrib[[#This Row],[x]]-C298,0)</f>
        <v>0</v>
      </c>
      <c r="N299" s="929" t="e">
        <f>IF(ISNA(Tbl_Load_distrib[[#This Row],[x]]),NA(),IF(ISTEXT(N298),0,IF(N298=0,$Z$3,N298-($Z$3-$AA$3)/(Lpp-FE_size)*Tbl_Load_distrib[[#This Row],[L_elt]])))</f>
        <v>#N/A</v>
      </c>
      <c r="O299" s="166" t="e">
        <f ca="1">IF(ISNUMBER(O298),(IF((N298-L298)&lt;0,0,N298-L298)+IF((Tbl_Load_distrib[[#This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299" s="929" t="e">
        <f>IF(ISNA(Tbl_Load_distrib[[#This Row],[x]]),NA(),IF(ISTEXT(P298),0,IF(P298=0,LongSection_DraftAft,P298-(LongSection_DraftAft-LongSection_DraftFore)/(Lpp-FE_size)*Tbl_Load_distrib[[#This Row],[L_elt]])))</f>
        <v>#N/A</v>
      </c>
      <c r="Q299" s="166" t="e">
        <f ca="1">IF(ISNUMBER(Q298),(IF((P298-L298)&lt;0,0,P298-L298)+IF((Tbl_Load_distrib[[#This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299" s="167" t="e">
        <f ca="1">ρ_sw*Tbl_Load_distrib[[#This Row],[Elt Area corrected]]*B/k_depl</f>
        <v>#N/A</v>
      </c>
      <c r="S299" s="167" t="e">
        <f ca="1">Tbl_Load_distrib[[#This Row],[Section Weight]]-Tbl_Load_distrib[[#This Row],[Floating Elt]]</f>
        <v>#N/A</v>
      </c>
      <c r="T299" s="183" t="e">
        <f ca="1">IF(ISTEXT($T298),0,$T298+Tbl_Load_distrib[[#This Row],[Net force / Elt]])</f>
        <v>#N/A</v>
      </c>
      <c r="U299" s="261" t="e">
        <f ca="1">IF(ISTEXT($U298),0,$U298+Tbl_Load_distrib[[#This Row],[Shearing Force]]*Tbl_Load_distrib[[#This Row],[L_elt]])</f>
        <v>#N/A</v>
      </c>
    </row>
    <row r="300" spans="2:21" x14ac:dyDescent="0.25">
      <c r="B300" s="136" t="e">
        <f t="shared" si="9"/>
        <v>#N/A</v>
      </c>
      <c r="C300" s="139" t="e">
        <f t="shared" si="10"/>
        <v>#N/A</v>
      </c>
      <c r="D300" s="152">
        <f ca="1">SUM(Tbl_Load_distrib[[#This Row],[Hull &amp; Structure]:[Reserved]])</f>
        <v>0</v>
      </c>
      <c r="E300" s="260">
        <f>SUMIFS(Tbl_Hull_Structure[Spread],Tbl_Hull_Structure[L from],"&lt;"&amp;Tbl_Load_distrib[[#This Row],[x]],Tbl_Hull_Structure[L to],"&gt;"&amp;C299)*Tbl_Load_distrib[[#This Row],[L_elt]]</f>
        <v>0</v>
      </c>
      <c r="F300" s="260">
        <f ca="1">SUMIFS(Tbl_Ballasts[Spread],Tbl_Ballasts[L from],"&lt;"&amp;Tbl_Load_distrib[[#This Row],[x]],Tbl_Ballasts[L to],"&gt;"&amp;C299)*Tbl_Load_distrib[[#This Row],[L_elt]]</f>
        <v>0</v>
      </c>
      <c r="G300" s="260">
        <f>SUMIFS(Tbl_Lifting[Spread],Tbl_Lifting[L from],"&lt;"&amp;Tbl_Load_distrib[[#This Row],[x]],Tbl_Lifting[L to],"&gt;"&amp;C299)*Tbl_Load_distrib[[#This Row],[L_elt]]</f>
        <v>0</v>
      </c>
      <c r="H300" s="260">
        <f>SUMIFS(Tbl_Additionals[Spread],Tbl_Additionals[L from],"&lt;"&amp;Tbl_Load_distrib[[#This Row],[x]],Tbl_Additionals[L to],"&gt;"&amp;C299)*Tbl_Load_distrib[[#This Row],[L_elt]]</f>
        <v>0</v>
      </c>
      <c r="I300" s="260">
        <f ca="1">SUMIFS(Tbl_Deck_Tank[Spread],Tbl_Deck_Tank[L from],"&lt;"&amp;Tbl_Load_distrib[[#This Row],[x]],Tbl_Deck_Tank[L to],"&gt;"&amp;C299)*Tbl_Load_distrib[[#This Row],[L_elt]]</f>
        <v>0</v>
      </c>
      <c r="J300" s="137"/>
      <c r="K300" s="165" t="e">
        <f>IFERROR(Tbl_Long_Section[[#This Row],[H Deck-Bottom]],NA())</f>
        <v>#N/A</v>
      </c>
      <c r="L300" s="829" t="e">
        <f>M_depth-Tbl_Load_distrib[[#This Row],[H Deck-Bottom]]</f>
        <v>#N/A</v>
      </c>
      <c r="M300" s="929">
        <f>IFERROR(Tbl_Load_distrib[[#This Row],[x]]-C299,0)</f>
        <v>0</v>
      </c>
      <c r="N300" s="929" t="e">
        <f>IF(ISNA(Tbl_Load_distrib[[#This Row],[x]]),NA(),IF(ISTEXT(N299),0,IF(N299=0,$Z$3,N299-($Z$3-$AA$3)/(Lpp-FE_size)*Tbl_Load_distrib[[#This Row],[L_elt]])))</f>
        <v>#N/A</v>
      </c>
      <c r="O300" s="166" t="e">
        <f ca="1">IF(ISNUMBER(O299),(IF((N299-L299)&lt;0,0,N299-L299)+IF((Tbl_Load_distrib[[#This Row],[H waterline before corr.]]-Tbl_Load_distrib[[#This Row],[H Keel-Bottom]])&lt;0,0,Tbl_Load_distrib[[#This Row],[H waterline before corr.]]-Tbl_Load_distrib[[#This Row],[H Keel-Bottom]]))*Tbl_Load_distrib[[#This Row],[L_elt]]/2,IF((Tbl_Load_distrib[[#This Row],[H waterline before corr.]]-Tbl_Load_distrib[[#This Row],[H Keel-Bottom]])&lt;0,0,(Tbl_Load_distrib[[#This Row],[H waterline before corr.]]-Tbl_Load_distrib[[#This Row],[H Keel-Bottom]])*Tbl_Load_distrib[[#This Row],[L_elt]]))</f>
        <v>#N/A</v>
      </c>
      <c r="P300" s="929" t="e">
        <f>IF(ISNA(Tbl_Load_distrib[[#This Row],[x]]),NA(),IF(ISTEXT(P299),0,IF(P299=0,LongSection_DraftAft,P299-(LongSection_DraftAft-LongSection_DraftFore)/(Lpp-FE_size)*Tbl_Load_distrib[[#This Row],[L_elt]])))</f>
        <v>#N/A</v>
      </c>
      <c r="Q300" s="166" t="e">
        <f ca="1">IF(ISNUMBER(Q299),(IF((P299-L299)&lt;0,0,P299-L299)+IF((Tbl_Load_distrib[[#This Row],[H waterline corrected]]-Tbl_Load_distrib[[#This Row],[H Keel-Bottom]])&lt;0,0,Tbl_Load_distrib[[#This Row],[H waterline corrected]]-Tbl_Load_distrib[[#This Row],[H Keel-Bottom]]))*Tbl_Load_distrib[[#This Row],[L_elt]]/2,IF((Tbl_Load_distrib[[#This Row],[H waterline corrected]]-Tbl_Load_distrib[[#This Row],[H Keel-Bottom]])&lt;0,0,(Tbl_Load_distrib[[#This Row],[H waterline corrected]]-Tbl_Load_distrib[[#This Row],[H Keel-Bottom]])*Tbl_Load_distrib[[#This Row],[L_elt]]))</f>
        <v>#N/A</v>
      </c>
      <c r="R300" s="167" t="e">
        <f ca="1">ρ_sw*Tbl_Load_distrib[[#This Row],[Elt Area corrected]]*B/k_depl</f>
        <v>#N/A</v>
      </c>
      <c r="S300" s="167" t="e">
        <f ca="1">Tbl_Load_distrib[[#This Row],[Section Weight]]-Tbl_Load_distrib[[#This Row],[Floating Elt]]</f>
        <v>#N/A</v>
      </c>
      <c r="T300" s="183" t="e">
        <f ca="1">IF(ISTEXT($T299),0,$T299+Tbl_Load_distrib[[#This Row],[Net force / Elt]])</f>
        <v>#N/A</v>
      </c>
      <c r="U300" s="261" t="e">
        <f ca="1">IF(ISTEXT($U299),0,$U299+Tbl_Load_distrib[[#This Row],[Shearing Force]]*Tbl_Load_distrib[[#This Row],[L_elt]])</f>
        <v>#N/A</v>
      </c>
    </row>
  </sheetData>
  <mergeCells count="1">
    <mergeCell ref="B2:B3"/>
  </mergeCells>
  <conditionalFormatting sqref="C3 L3">
    <cfRule type="cellIs" dxfId="364" priority="18" operator="equal">
      <formula>"OK"</formula>
    </cfRule>
  </conditionalFormatting>
  <conditionalFormatting sqref="E3">
    <cfRule type="cellIs" dxfId="363" priority="17" operator="equal">
      <formula>"OK"</formula>
    </cfRule>
  </conditionalFormatting>
  <conditionalFormatting sqref="D3">
    <cfRule type="cellIs" dxfId="362" priority="16" operator="equal">
      <formula>"OK"</formula>
    </cfRule>
  </conditionalFormatting>
  <conditionalFormatting sqref="Q3">
    <cfRule type="cellIs" dxfId="361" priority="15" operator="equal">
      <formula>"OK"</formula>
    </cfRule>
  </conditionalFormatting>
  <conditionalFormatting sqref="S3">
    <cfRule type="cellIs" dxfId="360" priority="14" operator="equal">
      <formula>"OK"</formula>
    </cfRule>
  </conditionalFormatting>
  <conditionalFormatting sqref="R3">
    <cfRule type="cellIs" dxfId="359" priority="13" operator="equal">
      <formula>"OK"</formula>
    </cfRule>
  </conditionalFormatting>
  <conditionalFormatting sqref="F3">
    <cfRule type="cellIs" dxfId="358" priority="12" operator="equal">
      <formula>"OK"</formula>
    </cfRule>
  </conditionalFormatting>
  <conditionalFormatting sqref="G3">
    <cfRule type="cellIs" dxfId="357" priority="11" operator="equal">
      <formula>"OK"</formula>
    </cfRule>
  </conditionalFormatting>
  <conditionalFormatting sqref="H3">
    <cfRule type="cellIs" dxfId="356" priority="10" operator="equal">
      <formula>"OK"</formula>
    </cfRule>
  </conditionalFormatting>
  <conditionalFormatting sqref="I3">
    <cfRule type="cellIs" dxfId="355" priority="9" operator="equal">
      <formula>"OK"</formula>
    </cfRule>
  </conditionalFormatting>
  <conditionalFormatting sqref="J3">
    <cfRule type="cellIs" dxfId="354" priority="8" operator="equal">
      <formula>"OK"</formula>
    </cfRule>
  </conditionalFormatting>
  <conditionalFormatting sqref="K3">
    <cfRule type="cellIs" dxfId="353" priority="7" operator="equal">
      <formula>"OK"</formula>
    </cfRule>
  </conditionalFormatting>
  <conditionalFormatting sqref="A1">
    <cfRule type="cellIs" dxfId="352" priority="5" operator="equal">
      <formula>"OK"</formula>
    </cfRule>
  </conditionalFormatting>
  <conditionalFormatting sqref="M3">
    <cfRule type="cellIs" dxfId="351" priority="3" operator="equal">
      <formula>"OK"</formula>
    </cfRule>
  </conditionalFormatting>
  <conditionalFormatting sqref="AC2">
    <cfRule type="cellIs" dxfId="350" priority="2" operator="equal">
      <formula>"OK"</formula>
    </cfRule>
  </conditionalFormatting>
  <conditionalFormatting sqref="N3">
    <cfRule type="cellIs" dxfId="349" priority="1" operator="equal">
      <formula>"OK"</formula>
    </cfRule>
  </conditionalFormatting>
  <pageMargins left="0.7" right="0.7" top="0.75" bottom="0.75" header="0.3" footer="0.3"/>
  <pageSetup paperSize="9"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euil9"/>
  <dimension ref="B1:J23"/>
  <sheetViews>
    <sheetView zoomScale="80" zoomScaleNormal="80" workbookViewId="0">
      <selection activeCell="B5" sqref="B5"/>
    </sheetView>
  </sheetViews>
  <sheetFormatPr baseColWidth="10" defaultRowHeight="15" x14ac:dyDescent="0.25"/>
  <cols>
    <col min="1" max="1" width="4.28515625" style="33" customWidth="1"/>
    <col min="2" max="2" width="35.7109375" style="33" bestFit="1" customWidth="1"/>
    <col min="3" max="3" width="32.85546875" style="33" bestFit="1" customWidth="1"/>
    <col min="4" max="4" width="8.7109375" style="55" bestFit="1" customWidth="1"/>
    <col min="5" max="5" width="6.5703125" style="33" bestFit="1" customWidth="1"/>
    <col min="6" max="6" width="5.5703125" style="33" customWidth="1"/>
    <col min="7" max="16384" width="11.42578125" style="33"/>
  </cols>
  <sheetData>
    <row r="1" spans="2:10" ht="15.75" thickBot="1" x14ac:dyDescent="0.3"/>
    <row r="2" spans="2:10" x14ac:dyDescent="0.25">
      <c r="B2" s="1025" t="s">
        <v>261</v>
      </c>
      <c r="C2" s="1026"/>
      <c r="D2" s="1026"/>
      <c r="E2" s="1026"/>
      <c r="F2" s="1027"/>
    </row>
    <row r="3" spans="2:10" x14ac:dyDescent="0.25">
      <c r="B3" s="201" t="s">
        <v>262</v>
      </c>
      <c r="C3" s="202" t="s">
        <v>263</v>
      </c>
      <c r="E3" s="6"/>
      <c r="F3" s="61"/>
    </row>
    <row r="4" spans="2:10" ht="23.25" customHeight="1" x14ac:dyDescent="0.25">
      <c r="B4" s="1031" t="s">
        <v>556</v>
      </c>
      <c r="C4" s="1032"/>
      <c r="D4" s="1032"/>
      <c r="E4" s="1032"/>
      <c r="F4" s="1033"/>
    </row>
    <row r="5" spans="2:10" x14ac:dyDescent="0.25">
      <c r="B5" s="186" t="s">
        <v>31</v>
      </c>
      <c r="C5" s="188" t="s">
        <v>238</v>
      </c>
      <c r="D5" s="55" t="s">
        <v>239</v>
      </c>
      <c r="E5" s="203">
        <v>60</v>
      </c>
      <c r="F5" s="61" t="s">
        <v>12</v>
      </c>
      <c r="J5" s="191"/>
    </row>
    <row r="6" spans="2:10" x14ac:dyDescent="0.25">
      <c r="B6" s="186" t="s">
        <v>30</v>
      </c>
      <c r="C6" s="188" t="s">
        <v>241</v>
      </c>
      <c r="D6" s="55" t="s">
        <v>240</v>
      </c>
      <c r="E6" s="203">
        <v>60</v>
      </c>
      <c r="F6" s="61" t="s">
        <v>12</v>
      </c>
    </row>
    <row r="7" spans="2:10" x14ac:dyDescent="0.25">
      <c r="B7" s="186" t="s">
        <v>167</v>
      </c>
      <c r="C7" s="188" t="s">
        <v>244</v>
      </c>
      <c r="D7" s="55" t="s">
        <v>245</v>
      </c>
      <c r="E7" s="203">
        <v>20</v>
      </c>
      <c r="F7" s="61" t="s">
        <v>12</v>
      </c>
    </row>
    <row r="8" spans="2:10" ht="18" x14ac:dyDescent="0.35">
      <c r="B8" s="186" t="s">
        <v>247</v>
      </c>
      <c r="C8" s="188" t="s">
        <v>246</v>
      </c>
      <c r="D8" s="55" t="s">
        <v>254</v>
      </c>
      <c r="E8" s="203">
        <v>4</v>
      </c>
      <c r="F8" s="61" t="s">
        <v>12</v>
      </c>
    </row>
    <row r="9" spans="2:10" x14ac:dyDescent="0.25">
      <c r="B9" s="186"/>
      <c r="C9" s="188"/>
      <c r="E9" s="203"/>
      <c r="F9" s="61"/>
    </row>
    <row r="10" spans="2:10" ht="18" x14ac:dyDescent="0.35">
      <c r="B10" s="186" t="s">
        <v>32</v>
      </c>
      <c r="C10" s="188" t="s">
        <v>249</v>
      </c>
      <c r="D10" s="55" t="s">
        <v>252</v>
      </c>
      <c r="E10" s="204">
        <v>2472</v>
      </c>
      <c r="F10" s="61" t="s">
        <v>20</v>
      </c>
    </row>
    <row r="11" spans="2:10" ht="18" x14ac:dyDescent="0.35">
      <c r="B11" s="186" t="s">
        <v>256</v>
      </c>
      <c r="C11" s="188" t="s">
        <v>255</v>
      </c>
      <c r="D11" s="55" t="s">
        <v>253</v>
      </c>
      <c r="E11" s="203">
        <v>3.18</v>
      </c>
      <c r="F11" s="61" t="s">
        <v>12</v>
      </c>
    </row>
    <row r="12" spans="2:10" x14ac:dyDescent="0.25">
      <c r="B12" s="192" t="s">
        <v>248</v>
      </c>
      <c r="C12" s="193" t="s">
        <v>426</v>
      </c>
      <c r="D12" s="194"/>
      <c r="E12" s="195">
        <f>M_depth-Draft_max</f>
        <v>0.81999999999999984</v>
      </c>
      <c r="F12" s="196" t="s">
        <v>12</v>
      </c>
    </row>
    <row r="13" spans="2:10" ht="15.75" thickBot="1" x14ac:dyDescent="0.3">
      <c r="B13" s="187"/>
      <c r="C13" s="189"/>
      <c r="D13" s="190"/>
      <c r="E13" s="60"/>
      <c r="F13" s="62"/>
    </row>
    <row r="16" spans="2:10" ht="15.75" thickBot="1" x14ac:dyDescent="0.3"/>
    <row r="17" spans="2:6" x14ac:dyDescent="0.25">
      <c r="B17" s="1028" t="s">
        <v>260</v>
      </c>
      <c r="C17" s="1029"/>
      <c r="D17" s="1029"/>
      <c r="E17" s="1029"/>
      <c r="F17" s="1030"/>
    </row>
    <row r="18" spans="2:6" ht="18" x14ac:dyDescent="0.35">
      <c r="B18" s="57" t="s">
        <v>243</v>
      </c>
      <c r="C18" s="188" t="s">
        <v>242</v>
      </c>
      <c r="D18" s="59" t="s">
        <v>259</v>
      </c>
      <c r="E18" s="203">
        <v>0.5</v>
      </c>
      <c r="F18" s="61" t="s">
        <v>12</v>
      </c>
    </row>
    <row r="19" spans="2:6" ht="18" x14ac:dyDescent="0.35">
      <c r="B19" s="57" t="s">
        <v>257</v>
      </c>
      <c r="C19" s="188" t="s">
        <v>234</v>
      </c>
      <c r="D19" s="59" t="s">
        <v>258</v>
      </c>
      <c r="E19" s="203">
        <v>1E-3</v>
      </c>
      <c r="F19" s="200"/>
    </row>
    <row r="20" spans="2:6" ht="18" x14ac:dyDescent="0.35">
      <c r="B20" s="57" t="s">
        <v>314</v>
      </c>
      <c r="C20" s="188" t="s">
        <v>315</v>
      </c>
      <c r="D20" s="59" t="s">
        <v>316</v>
      </c>
      <c r="E20" s="203">
        <v>0.1</v>
      </c>
      <c r="F20" s="200" t="s">
        <v>12</v>
      </c>
    </row>
    <row r="21" spans="2:6" ht="18" x14ac:dyDescent="0.35">
      <c r="B21" s="57" t="s">
        <v>486</v>
      </c>
      <c r="C21" s="188" t="s">
        <v>487</v>
      </c>
      <c r="D21" s="59" t="s">
        <v>488</v>
      </c>
      <c r="E21" s="203">
        <v>0.1</v>
      </c>
      <c r="F21" s="200" t="s">
        <v>12</v>
      </c>
    </row>
    <row r="22" spans="2:6" ht="18" x14ac:dyDescent="0.35">
      <c r="B22" s="57" t="s">
        <v>165</v>
      </c>
      <c r="C22" s="188" t="s">
        <v>250</v>
      </c>
      <c r="D22" s="198" t="s">
        <v>251</v>
      </c>
      <c r="E22" s="203">
        <v>1.0249999999999999</v>
      </c>
      <c r="F22" s="61" t="s">
        <v>164</v>
      </c>
    </row>
    <row r="23" spans="2:6" ht="15.75" thickBot="1" x14ac:dyDescent="0.3">
      <c r="B23" s="58"/>
      <c r="C23" s="189"/>
      <c r="D23" s="199"/>
      <c r="E23" s="60"/>
      <c r="F23" s="62"/>
    </row>
  </sheetData>
  <mergeCells count="3">
    <mergeCell ref="B2:F2"/>
    <mergeCell ref="B17:F17"/>
    <mergeCell ref="B4:F4"/>
  </mergeCells>
  <conditionalFormatting sqref="B5:F14 B18:F22">
    <cfRule type="expression" dxfId="325" priority="3">
      <formula>MOD(ROW(),2)</formula>
    </cfRule>
  </conditionalFormatting>
  <conditionalFormatting sqref="B23:F23">
    <cfRule type="expression" dxfId="324" priority="2">
      <formula>MOD(ROW(),2)</formula>
    </cfRule>
  </conditionalFormatting>
  <conditionalFormatting sqref="B3:F3">
    <cfRule type="expression" dxfId="323" priority="1">
      <formula>MOD(ROW(),2)</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12"/>
  <dimension ref="A1:J166"/>
  <sheetViews>
    <sheetView zoomScale="70" zoomScaleNormal="70" workbookViewId="0">
      <selection activeCell="M5" sqref="M5"/>
    </sheetView>
  </sheetViews>
  <sheetFormatPr baseColWidth="10" defaultRowHeight="15" x14ac:dyDescent="0.25"/>
  <cols>
    <col min="1" max="1" width="7.140625" customWidth="1"/>
    <col min="3" max="4" width="16.140625" customWidth="1"/>
    <col min="5" max="5" width="13.7109375" customWidth="1"/>
    <col min="9" max="9" width="11.5703125" bestFit="1" customWidth="1"/>
    <col min="10" max="10" width="14.140625" bestFit="1" customWidth="1"/>
  </cols>
  <sheetData>
    <row r="1" spans="1:10" x14ac:dyDescent="0.25">
      <c r="B1" s="72"/>
      <c r="D1" s="27"/>
      <c r="E1" s="1034" t="s">
        <v>34</v>
      </c>
      <c r="F1" s="1034"/>
      <c r="G1" s="27"/>
      <c r="H1" s="27"/>
      <c r="I1" s="27"/>
      <c r="J1" s="27"/>
    </row>
    <row r="2" spans="1:10" ht="15.75" customHeight="1" x14ac:dyDescent="0.25">
      <c r="B2" s="1035"/>
      <c r="C2" s="1035"/>
      <c r="D2" s="27"/>
      <c r="E2" s="27"/>
      <c r="F2" s="27"/>
      <c r="G2" s="27"/>
      <c r="H2" s="27"/>
      <c r="I2" s="27"/>
      <c r="J2" s="27"/>
    </row>
    <row r="3" spans="1:10" x14ac:dyDescent="0.25">
      <c r="A3" s="309" t="s">
        <v>291</v>
      </c>
      <c r="B3" s="302">
        <f ca="1">($D$5-$D$3)/($D$5-$D$4)*B$4+($D$3-$D$4)/($D$5-$D$4)*B$5</f>
        <v>1.0049113233287859</v>
      </c>
      <c r="C3" s="316">
        <f ca="1">($D$5-$D$3)/($D$5-$D$4)*C$4+($D$3-$D$4)/($D$5-$D$4)*C$5</f>
        <v>1034.147394270123</v>
      </c>
      <c r="D3" s="317">
        <f ca="1">Displacement</f>
        <v>1060</v>
      </c>
      <c r="E3" s="303">
        <f t="shared" ref="E3:J3" ca="1" si="0">($D$5-$D$3)/($D$5-$D$4)*E$4+($D$3-$D$4)/($D$5-$D$4)*E$5</f>
        <v>10.992455661664394</v>
      </c>
      <c r="F3" s="303">
        <f t="shared" ca="1" si="0"/>
        <v>42.477899045020457</v>
      </c>
      <c r="G3" s="303">
        <f t="shared" ca="1" si="0"/>
        <v>29.997245566166438</v>
      </c>
      <c r="H3" s="303">
        <f t="shared" ca="1" si="0"/>
        <v>30.019263301500683</v>
      </c>
      <c r="I3" s="303">
        <f t="shared" ca="1" si="0"/>
        <v>0</v>
      </c>
      <c r="J3" s="304">
        <f t="shared" ca="1" si="0"/>
        <v>35.007979536152796</v>
      </c>
    </row>
    <row r="4" spans="1:10" x14ac:dyDescent="0.25">
      <c r="A4" s="310">
        <f ca="1">MATCH($D$3,Tbl_Hydrostatic[Displ. S.W.],1)</f>
        <v>36</v>
      </c>
      <c r="B4" s="305">
        <f ca="1">INDEX(Tbl_Hydrostatic[Draught],$A4)</f>
        <v>1</v>
      </c>
      <c r="C4" s="300">
        <f ca="1">INDEX(Tbl_Hydrostatic[Displ. F.W.],$A4)</f>
        <v>1028.8800000000001</v>
      </c>
      <c r="D4" s="300">
        <f ca="1">INDEX(Tbl_Hydrostatic[Displ. S.W.],$A4)</f>
        <v>1054.5999999999999</v>
      </c>
      <c r="E4" s="300">
        <f ca="1">INDEX(Tbl_Hydrostatic[Immersion],$A4)</f>
        <v>10.99</v>
      </c>
      <c r="F4" s="300">
        <f ca="1">INDEX(Tbl_Hydrostatic[M CT],$A4)</f>
        <v>42.5</v>
      </c>
      <c r="G4" s="300">
        <f ca="1">INDEX(Tbl_Hydrostatic[LCB],$A4)</f>
        <v>29.997</v>
      </c>
      <c r="H4" s="300">
        <f ca="1">INDEX(Tbl_Hydrostatic[TCB],$A4)</f>
        <v>30.02</v>
      </c>
      <c r="I4" s="300">
        <f ca="1">INDEX(Tbl_Hydrostatic[LCF],$A4)</f>
        <v>0</v>
      </c>
      <c r="J4" s="301">
        <f ca="1">INDEX(Tbl_Hydrostatic[KM transv],$A4)</f>
        <v>35.173000000000002</v>
      </c>
    </row>
    <row r="5" spans="1:10" x14ac:dyDescent="0.25">
      <c r="A5" s="311">
        <f ca="1">A4+1</f>
        <v>37</v>
      </c>
      <c r="B5" s="306">
        <f ca="1">INDEX(Tbl_Hydrostatic[Draught],$A5)</f>
        <v>1.02</v>
      </c>
      <c r="C5" s="307">
        <f ca="1">INDEX(Tbl_Hydrostatic[Displ. F.W.],$A5)</f>
        <v>1050.33</v>
      </c>
      <c r="D5" s="307">
        <f ca="1">INDEX(Tbl_Hydrostatic[Displ. S.W.],$A5)</f>
        <v>1076.5899999999999</v>
      </c>
      <c r="E5" s="307">
        <f ca="1">INDEX(Tbl_Hydrostatic[Immersion],$A5)</f>
        <v>11</v>
      </c>
      <c r="F5" s="307">
        <f ca="1">INDEX(Tbl_Hydrostatic[M CT],$A5)</f>
        <v>42.41</v>
      </c>
      <c r="G5" s="307">
        <f ca="1">INDEX(Tbl_Hydrostatic[LCB],$A5)</f>
        <v>29.998000000000001</v>
      </c>
      <c r="H5" s="307">
        <f ca="1">INDEX(Tbl_Hydrostatic[TCB],$A5)</f>
        <v>30.016999999999999</v>
      </c>
      <c r="I5" s="307">
        <f ca="1">INDEX(Tbl_Hydrostatic[LCF],$A5)</f>
        <v>0</v>
      </c>
      <c r="J5" s="308">
        <f ca="1">INDEX(Tbl_Hydrostatic[KM transv],$A5)</f>
        <v>34.500999999999998</v>
      </c>
    </row>
    <row r="6" spans="1:10" x14ac:dyDescent="0.25">
      <c r="B6" s="54"/>
      <c r="C6" s="54"/>
      <c r="D6" s="54"/>
      <c r="E6" s="54"/>
      <c r="F6" s="54"/>
      <c r="G6" s="54"/>
      <c r="H6" s="54"/>
      <c r="I6" s="54"/>
      <c r="J6" s="54"/>
    </row>
    <row r="7" spans="1:10" x14ac:dyDescent="0.25">
      <c r="B7" s="44"/>
      <c r="C7" s="53">
        <v>1</v>
      </c>
      <c r="D7" s="53">
        <v>1.0249999999999999</v>
      </c>
      <c r="E7" s="46"/>
      <c r="F7" s="45"/>
      <c r="G7" s="44"/>
      <c r="H7" s="44"/>
      <c r="I7" s="44"/>
      <c r="J7" s="48"/>
    </row>
    <row r="8" spans="1:10" x14ac:dyDescent="0.25">
      <c r="B8" s="298" t="s">
        <v>12</v>
      </c>
      <c r="C8" s="299" t="s">
        <v>24</v>
      </c>
      <c r="D8" s="299" t="s">
        <v>24</v>
      </c>
      <c r="E8" s="299" t="s">
        <v>292</v>
      </c>
      <c r="F8" s="299" t="s">
        <v>293</v>
      </c>
      <c r="G8" s="299" t="s">
        <v>12</v>
      </c>
      <c r="H8" s="299" t="s">
        <v>12</v>
      </c>
      <c r="I8" s="299" t="s">
        <v>12</v>
      </c>
      <c r="J8" s="986" t="s">
        <v>12</v>
      </c>
    </row>
    <row r="9" spans="1:10" ht="21" customHeight="1" x14ac:dyDescent="0.25">
      <c r="B9" s="295" t="s">
        <v>283</v>
      </c>
      <c r="C9" s="296" t="s">
        <v>285</v>
      </c>
      <c r="D9" s="296" t="s">
        <v>284</v>
      </c>
      <c r="E9" s="296" t="s">
        <v>286</v>
      </c>
      <c r="F9" s="296" t="s">
        <v>287</v>
      </c>
      <c r="G9" s="296" t="s">
        <v>288</v>
      </c>
      <c r="H9" s="296" t="s">
        <v>35</v>
      </c>
      <c r="I9" s="296" t="s">
        <v>289</v>
      </c>
      <c r="J9" s="297" t="s">
        <v>290</v>
      </c>
    </row>
    <row r="10" spans="1:10" x14ac:dyDescent="0.25">
      <c r="B10" s="842">
        <v>0.3</v>
      </c>
      <c r="C10" s="844">
        <v>294.33</v>
      </c>
      <c r="D10" s="976">
        <v>301.69</v>
      </c>
      <c r="E10" s="844">
        <v>10.57</v>
      </c>
      <c r="F10" s="841">
        <v>37.18</v>
      </c>
      <c r="G10" s="841">
        <v>30</v>
      </c>
      <c r="H10" s="841">
        <v>29.998999999999999</v>
      </c>
      <c r="I10" s="841">
        <v>0</v>
      </c>
      <c r="J10" s="982">
        <v>116.806</v>
      </c>
    </row>
    <row r="11" spans="1:10" x14ac:dyDescent="0.25">
      <c r="B11" s="842">
        <v>0.32</v>
      </c>
      <c r="C11" s="844">
        <v>314.95999999999998</v>
      </c>
      <c r="D11" s="976">
        <v>322.83999999999997</v>
      </c>
      <c r="E11" s="844">
        <v>10.55</v>
      </c>
      <c r="F11" s="841">
        <v>37.42</v>
      </c>
      <c r="G11" s="841">
        <v>30</v>
      </c>
      <c r="H11" s="841">
        <v>29.95</v>
      </c>
      <c r="I11" s="841">
        <v>0</v>
      </c>
      <c r="J11" s="982">
        <v>109.181</v>
      </c>
    </row>
    <row r="12" spans="1:10" x14ac:dyDescent="0.25">
      <c r="B12" s="842">
        <v>0.34</v>
      </c>
      <c r="C12" s="844">
        <v>335.56</v>
      </c>
      <c r="D12" s="976">
        <v>343.95</v>
      </c>
      <c r="E12" s="844">
        <v>10.56</v>
      </c>
      <c r="F12" s="841">
        <v>37.64</v>
      </c>
      <c r="G12" s="841">
        <v>29.997</v>
      </c>
      <c r="H12" s="841">
        <v>29.969000000000001</v>
      </c>
      <c r="I12" s="841">
        <v>0</v>
      </c>
      <c r="J12" s="982">
        <v>102.488</v>
      </c>
    </row>
    <row r="13" spans="1:10" x14ac:dyDescent="0.25">
      <c r="B13" s="842">
        <v>0.36</v>
      </c>
      <c r="C13" s="844">
        <v>356.17</v>
      </c>
      <c r="D13" s="976">
        <v>365.07</v>
      </c>
      <c r="E13" s="844">
        <v>10.57</v>
      </c>
      <c r="F13" s="841">
        <v>37.799999999999997</v>
      </c>
      <c r="G13" s="841">
        <v>29.995999999999999</v>
      </c>
      <c r="H13" s="841">
        <v>29.98</v>
      </c>
      <c r="I13" s="841">
        <v>0</v>
      </c>
      <c r="J13" s="982">
        <v>96.570999999999998</v>
      </c>
    </row>
    <row r="14" spans="1:10" x14ac:dyDescent="0.25">
      <c r="B14" s="843">
        <v>0.38</v>
      </c>
      <c r="C14" s="845">
        <v>376.79</v>
      </c>
      <c r="D14" s="977">
        <v>386.21</v>
      </c>
      <c r="E14" s="845">
        <v>10.57</v>
      </c>
      <c r="F14" s="846">
        <v>37.799999999999997</v>
      </c>
      <c r="G14" s="846">
        <v>29.995000000000001</v>
      </c>
      <c r="H14" s="841">
        <v>29.991</v>
      </c>
      <c r="I14" s="841">
        <v>0</v>
      </c>
      <c r="J14" s="983">
        <v>91.304000000000002</v>
      </c>
    </row>
    <row r="15" spans="1:10" x14ac:dyDescent="0.25">
      <c r="B15" s="842">
        <v>0.4</v>
      </c>
      <c r="C15" s="844">
        <v>397.42</v>
      </c>
      <c r="D15" s="976">
        <v>407.35</v>
      </c>
      <c r="E15" s="844">
        <v>10.57</v>
      </c>
      <c r="F15" s="841">
        <v>37.799999999999997</v>
      </c>
      <c r="G15" s="841">
        <v>29.995000000000001</v>
      </c>
      <c r="H15" s="841">
        <v>29.997</v>
      </c>
      <c r="I15" s="841">
        <v>0</v>
      </c>
      <c r="J15" s="982">
        <v>86.584999999999994</v>
      </c>
    </row>
    <row r="16" spans="1:10" x14ac:dyDescent="0.25">
      <c r="B16" s="842">
        <v>0.42</v>
      </c>
      <c r="C16" s="844">
        <v>418.05</v>
      </c>
      <c r="D16" s="976">
        <v>428.5</v>
      </c>
      <c r="E16" s="844">
        <v>10.58</v>
      </c>
      <c r="F16" s="841">
        <v>37.799999999999997</v>
      </c>
      <c r="G16" s="841">
        <v>29.995000000000001</v>
      </c>
      <c r="H16" s="841">
        <v>30.007999999999999</v>
      </c>
      <c r="I16" s="841">
        <v>0</v>
      </c>
      <c r="J16" s="982">
        <v>82.331999999999994</v>
      </c>
    </row>
    <row r="17" spans="2:10" x14ac:dyDescent="0.25">
      <c r="B17" s="842">
        <v>0.44</v>
      </c>
      <c r="C17" s="844">
        <v>438.69</v>
      </c>
      <c r="D17" s="976">
        <v>449.66</v>
      </c>
      <c r="E17" s="844">
        <v>10.58</v>
      </c>
      <c r="F17" s="841">
        <v>37.880000000000003</v>
      </c>
      <c r="G17" s="841">
        <v>29.995999999999999</v>
      </c>
      <c r="H17" s="841">
        <v>30.015999999999998</v>
      </c>
      <c r="I17" s="841">
        <v>0</v>
      </c>
      <c r="J17" s="982">
        <v>78.48</v>
      </c>
    </row>
    <row r="18" spans="2:10" x14ac:dyDescent="0.25">
      <c r="B18" s="842">
        <v>0.46</v>
      </c>
      <c r="C18" s="844">
        <v>459.34</v>
      </c>
      <c r="D18" s="976">
        <v>470.82</v>
      </c>
      <c r="E18" s="844">
        <v>10.58</v>
      </c>
      <c r="F18" s="841">
        <v>37.840000000000003</v>
      </c>
      <c r="G18" s="841">
        <v>29.997</v>
      </c>
      <c r="H18" s="841">
        <v>30.015000000000001</v>
      </c>
      <c r="I18" s="841">
        <v>0</v>
      </c>
      <c r="J18" s="982">
        <v>75.028000000000006</v>
      </c>
    </row>
    <row r="19" spans="2:10" x14ac:dyDescent="0.25">
      <c r="B19" s="843">
        <v>0.48</v>
      </c>
      <c r="C19" s="845">
        <v>479.98</v>
      </c>
      <c r="D19" s="977">
        <v>491.98</v>
      </c>
      <c r="E19" s="845">
        <v>10.58</v>
      </c>
      <c r="F19" s="846">
        <v>38.090000000000003</v>
      </c>
      <c r="G19" s="846">
        <v>29.998000000000001</v>
      </c>
      <c r="H19" s="841">
        <v>30.018999999999998</v>
      </c>
      <c r="I19" s="841">
        <v>0</v>
      </c>
      <c r="J19" s="983">
        <v>71.819999999999993</v>
      </c>
    </row>
    <row r="20" spans="2:10" x14ac:dyDescent="0.25">
      <c r="B20" s="842">
        <v>0.5</v>
      </c>
      <c r="C20" s="844">
        <v>500.63</v>
      </c>
      <c r="D20" s="976">
        <v>513.15</v>
      </c>
      <c r="E20" s="844">
        <v>10.58</v>
      </c>
      <c r="F20" s="841">
        <v>38.340000000000003</v>
      </c>
      <c r="G20" s="841">
        <v>29.998000000000001</v>
      </c>
      <c r="H20" s="841">
        <v>30.015000000000001</v>
      </c>
      <c r="I20" s="841">
        <v>0</v>
      </c>
      <c r="J20" s="982">
        <v>68.878</v>
      </c>
    </row>
    <row r="21" spans="2:10" x14ac:dyDescent="0.25">
      <c r="B21" s="842">
        <v>0.52</v>
      </c>
      <c r="C21" s="844">
        <v>521.28</v>
      </c>
      <c r="D21" s="976">
        <v>534.30999999999995</v>
      </c>
      <c r="E21" s="844">
        <v>10.57</v>
      </c>
      <c r="F21" s="841">
        <v>38.590000000000003</v>
      </c>
      <c r="G21" s="841">
        <v>29.998999999999999</v>
      </c>
      <c r="H21" s="841">
        <v>30.030999999999999</v>
      </c>
      <c r="I21" s="841">
        <v>0</v>
      </c>
      <c r="J21" s="982">
        <v>66.17</v>
      </c>
    </row>
    <row r="22" spans="2:10" x14ac:dyDescent="0.25">
      <c r="B22" s="842">
        <v>0.54</v>
      </c>
      <c r="C22" s="844">
        <v>541.91</v>
      </c>
      <c r="D22" s="976">
        <v>555.46</v>
      </c>
      <c r="E22" s="844">
        <v>10.64</v>
      </c>
      <c r="F22" s="841">
        <v>38.83</v>
      </c>
      <c r="G22" s="841">
        <v>30</v>
      </c>
      <c r="H22" s="841">
        <v>29.995000000000001</v>
      </c>
      <c r="I22" s="841">
        <v>0</v>
      </c>
      <c r="J22" s="982">
        <v>64.054000000000002</v>
      </c>
    </row>
    <row r="23" spans="2:10" x14ac:dyDescent="0.25">
      <c r="B23" s="842">
        <v>0.56000000000000005</v>
      </c>
      <c r="C23" s="844">
        <v>562.80999999999995</v>
      </c>
      <c r="D23" s="976">
        <v>576.88</v>
      </c>
      <c r="E23" s="844">
        <v>10.78</v>
      </c>
      <c r="F23" s="841">
        <v>39.08</v>
      </c>
      <c r="G23" s="841">
        <v>30</v>
      </c>
      <c r="H23" s="841">
        <v>30</v>
      </c>
      <c r="I23" s="841">
        <v>0</v>
      </c>
      <c r="J23" s="982">
        <v>62.192</v>
      </c>
    </row>
    <row r="24" spans="2:10" x14ac:dyDescent="0.25">
      <c r="B24" s="843">
        <v>0.57999999999999996</v>
      </c>
      <c r="C24" s="845">
        <v>583.85</v>
      </c>
      <c r="D24" s="977">
        <v>598.44000000000005</v>
      </c>
      <c r="E24" s="845">
        <v>10.78</v>
      </c>
      <c r="F24" s="846">
        <v>39.33</v>
      </c>
      <c r="G24" s="846">
        <v>30</v>
      </c>
      <c r="H24" s="841">
        <v>30.003</v>
      </c>
      <c r="I24" s="841">
        <v>0</v>
      </c>
      <c r="J24" s="983">
        <v>60.243000000000002</v>
      </c>
    </row>
    <row r="25" spans="2:10" x14ac:dyDescent="0.25">
      <c r="B25" s="842">
        <v>0.6</v>
      </c>
      <c r="C25" s="844">
        <v>604.88</v>
      </c>
      <c r="D25" s="976">
        <v>620</v>
      </c>
      <c r="E25" s="844">
        <v>10.78</v>
      </c>
      <c r="F25" s="841">
        <v>39.58</v>
      </c>
      <c r="G25" s="841">
        <v>30</v>
      </c>
      <c r="H25" s="841">
        <v>29.998999999999999</v>
      </c>
      <c r="I25" s="841">
        <v>0</v>
      </c>
      <c r="J25" s="982">
        <v>58.171999999999997</v>
      </c>
    </row>
    <row r="26" spans="2:10" x14ac:dyDescent="0.25">
      <c r="B26" s="842">
        <v>0.62</v>
      </c>
      <c r="C26" s="844">
        <v>625.9</v>
      </c>
      <c r="D26" s="976">
        <v>641.54</v>
      </c>
      <c r="E26" s="844">
        <v>10.76</v>
      </c>
      <c r="F26" s="841">
        <v>39.83</v>
      </c>
      <c r="G26" s="841">
        <v>29.998999999999999</v>
      </c>
      <c r="H26" s="841">
        <v>29.948</v>
      </c>
      <c r="I26" s="841">
        <v>0</v>
      </c>
      <c r="J26" s="982">
        <v>56.237000000000002</v>
      </c>
    </row>
    <row r="27" spans="2:10" x14ac:dyDescent="0.25">
      <c r="B27" s="842">
        <v>0.64</v>
      </c>
      <c r="C27" s="844">
        <v>646.89</v>
      </c>
      <c r="D27" s="976">
        <v>663.07</v>
      </c>
      <c r="E27" s="844">
        <v>10.77</v>
      </c>
      <c r="F27" s="841">
        <v>40.06</v>
      </c>
      <c r="G27" s="841">
        <v>29.998000000000001</v>
      </c>
      <c r="H27" s="841">
        <v>29.965</v>
      </c>
      <c r="I27" s="841">
        <v>0</v>
      </c>
      <c r="J27" s="982">
        <v>54.429000000000002</v>
      </c>
    </row>
    <row r="28" spans="2:10" x14ac:dyDescent="0.25">
      <c r="B28" s="842">
        <v>0.66</v>
      </c>
      <c r="C28" s="844">
        <v>667.91</v>
      </c>
      <c r="D28" s="976">
        <v>684.6</v>
      </c>
      <c r="E28" s="844">
        <v>10.77</v>
      </c>
      <c r="F28" s="841">
        <v>40.06</v>
      </c>
      <c r="G28" s="841">
        <v>29.997</v>
      </c>
      <c r="H28" s="841">
        <v>29.981000000000002</v>
      </c>
      <c r="I28" s="841">
        <v>0</v>
      </c>
      <c r="J28" s="982">
        <v>52.734999999999999</v>
      </c>
    </row>
    <row r="29" spans="2:10" x14ac:dyDescent="0.25">
      <c r="B29" s="843">
        <v>0.68</v>
      </c>
      <c r="C29" s="845">
        <v>688.93</v>
      </c>
      <c r="D29" s="977">
        <v>706.15</v>
      </c>
      <c r="E29" s="845">
        <v>10.78</v>
      </c>
      <c r="F29" s="846">
        <v>40.06</v>
      </c>
      <c r="G29" s="846">
        <v>29.995999999999999</v>
      </c>
      <c r="H29" s="841">
        <v>29.995999999999999</v>
      </c>
      <c r="I29" s="841">
        <v>0</v>
      </c>
      <c r="J29" s="983">
        <v>51.146000000000001</v>
      </c>
    </row>
    <row r="30" spans="2:10" x14ac:dyDescent="0.25">
      <c r="B30" s="842">
        <v>0.7</v>
      </c>
      <c r="C30" s="844">
        <v>709.96</v>
      </c>
      <c r="D30" s="976">
        <v>727.71</v>
      </c>
      <c r="E30" s="844">
        <v>10.78</v>
      </c>
      <c r="F30" s="841">
        <v>40.06</v>
      </c>
      <c r="G30" s="841">
        <v>29.995999999999999</v>
      </c>
      <c r="H30" s="841">
        <v>30.001999999999999</v>
      </c>
      <c r="I30" s="841">
        <v>0</v>
      </c>
      <c r="J30" s="982">
        <v>49.651000000000003</v>
      </c>
    </row>
    <row r="31" spans="2:10" x14ac:dyDescent="0.25">
      <c r="B31" s="842">
        <v>0.72</v>
      </c>
      <c r="C31" s="844">
        <v>731</v>
      </c>
      <c r="D31" s="976">
        <v>749.27</v>
      </c>
      <c r="E31" s="844">
        <v>10.79</v>
      </c>
      <c r="F31" s="841">
        <v>40.06</v>
      </c>
      <c r="G31" s="841">
        <v>29.997</v>
      </c>
      <c r="H31" s="841">
        <v>30.018000000000001</v>
      </c>
      <c r="I31" s="841">
        <v>0</v>
      </c>
      <c r="J31" s="982">
        <v>48.243000000000002</v>
      </c>
    </row>
    <row r="32" spans="2:10" x14ac:dyDescent="0.25">
      <c r="B32" s="842">
        <v>0.74</v>
      </c>
      <c r="C32" s="844">
        <v>752.05</v>
      </c>
      <c r="D32" s="976">
        <v>770.85</v>
      </c>
      <c r="E32" s="844">
        <v>10.79</v>
      </c>
      <c r="F32" s="841">
        <v>40.08</v>
      </c>
      <c r="G32" s="841">
        <v>29.997</v>
      </c>
      <c r="H32" s="841">
        <v>30.016999999999999</v>
      </c>
      <c r="I32" s="841">
        <v>0</v>
      </c>
      <c r="J32" s="982">
        <v>46.953000000000003</v>
      </c>
    </row>
    <row r="33" spans="2:10" x14ac:dyDescent="0.25">
      <c r="B33" s="842">
        <v>0.76</v>
      </c>
      <c r="C33" s="844">
        <v>773.1</v>
      </c>
      <c r="D33" s="976">
        <v>792.42</v>
      </c>
      <c r="E33" s="844">
        <v>10.79</v>
      </c>
      <c r="F33" s="841">
        <v>40.340000000000003</v>
      </c>
      <c r="G33" s="841">
        <v>29.998000000000001</v>
      </c>
      <c r="H33" s="841">
        <v>30.023</v>
      </c>
      <c r="I33" s="841">
        <v>0</v>
      </c>
      <c r="J33" s="982">
        <v>45.695999999999998</v>
      </c>
    </row>
    <row r="34" spans="2:10" x14ac:dyDescent="0.25">
      <c r="B34" s="843">
        <v>0.78</v>
      </c>
      <c r="C34" s="845">
        <v>794.15</v>
      </c>
      <c r="D34" s="977">
        <v>814</v>
      </c>
      <c r="E34" s="845">
        <v>10.79</v>
      </c>
      <c r="F34" s="846">
        <v>40.590000000000003</v>
      </c>
      <c r="G34" s="846">
        <v>29.998999999999999</v>
      </c>
      <c r="H34" s="841">
        <v>30.024999999999999</v>
      </c>
      <c r="I34" s="841">
        <v>0</v>
      </c>
      <c r="J34" s="983">
        <v>44.505000000000003</v>
      </c>
    </row>
    <row r="35" spans="2:10" x14ac:dyDescent="0.25">
      <c r="B35" s="842">
        <v>0.8</v>
      </c>
      <c r="C35" s="844">
        <v>815.2</v>
      </c>
      <c r="D35" s="976">
        <v>835.58</v>
      </c>
      <c r="E35" s="844">
        <v>10.78</v>
      </c>
      <c r="F35" s="841">
        <v>40.840000000000003</v>
      </c>
      <c r="G35" s="841">
        <v>29.998999999999999</v>
      </c>
      <c r="H35" s="841">
        <v>30.03</v>
      </c>
      <c r="I35" s="841">
        <v>0</v>
      </c>
      <c r="J35" s="982">
        <v>43.381</v>
      </c>
    </row>
    <row r="36" spans="2:10" x14ac:dyDescent="0.25">
      <c r="B36" s="842">
        <v>0.82</v>
      </c>
      <c r="C36" s="844">
        <v>836.24</v>
      </c>
      <c r="D36" s="976">
        <v>857.15</v>
      </c>
      <c r="E36" s="844">
        <v>10.8</v>
      </c>
      <c r="F36" s="841">
        <v>41.09</v>
      </c>
      <c r="G36" s="841">
        <v>30</v>
      </c>
      <c r="H36" s="841">
        <v>29.998999999999999</v>
      </c>
      <c r="I36" s="841">
        <v>0</v>
      </c>
      <c r="J36" s="982">
        <v>42.5</v>
      </c>
    </row>
    <row r="37" spans="2:10" x14ac:dyDescent="0.25">
      <c r="B37" s="842">
        <v>0.84</v>
      </c>
      <c r="C37" s="844">
        <v>857.49</v>
      </c>
      <c r="D37" s="976">
        <v>878.93</v>
      </c>
      <c r="E37" s="844">
        <v>10.99</v>
      </c>
      <c r="F37" s="841">
        <v>41.34</v>
      </c>
      <c r="G37" s="841">
        <v>30</v>
      </c>
      <c r="H37" s="841">
        <v>29.997</v>
      </c>
      <c r="I37" s="841">
        <v>0</v>
      </c>
      <c r="J37" s="982">
        <v>41.793999999999997</v>
      </c>
    </row>
    <row r="38" spans="2:10" x14ac:dyDescent="0.25">
      <c r="B38" s="842">
        <v>0.86</v>
      </c>
      <c r="C38" s="844">
        <v>878.93</v>
      </c>
      <c r="D38" s="976">
        <v>900.9</v>
      </c>
      <c r="E38" s="844">
        <v>10.98</v>
      </c>
      <c r="F38" s="841">
        <v>41.6</v>
      </c>
      <c r="G38" s="841">
        <v>30</v>
      </c>
      <c r="H38" s="841">
        <v>30.001999999999999</v>
      </c>
      <c r="I38" s="841">
        <v>0</v>
      </c>
      <c r="J38" s="982">
        <v>41.009</v>
      </c>
    </row>
    <row r="39" spans="2:10" x14ac:dyDescent="0.25">
      <c r="B39" s="843">
        <v>0.88</v>
      </c>
      <c r="C39" s="845">
        <v>900.36</v>
      </c>
      <c r="D39" s="977">
        <v>922.87</v>
      </c>
      <c r="E39" s="845">
        <v>10.98</v>
      </c>
      <c r="F39" s="846">
        <v>41.86</v>
      </c>
      <c r="G39" s="846">
        <v>30</v>
      </c>
      <c r="H39" s="841">
        <v>30.004000000000001</v>
      </c>
      <c r="I39" s="841">
        <v>0</v>
      </c>
      <c r="J39" s="983">
        <v>40.064</v>
      </c>
    </row>
    <row r="40" spans="2:10" x14ac:dyDescent="0.25">
      <c r="B40" s="842">
        <v>0.9</v>
      </c>
      <c r="C40" s="844">
        <v>921.78</v>
      </c>
      <c r="D40" s="976">
        <v>944.83</v>
      </c>
      <c r="E40" s="844">
        <v>10.96</v>
      </c>
      <c r="F40" s="841">
        <v>42.11</v>
      </c>
      <c r="G40" s="841">
        <v>30</v>
      </c>
      <c r="H40" s="841">
        <v>29.949000000000002</v>
      </c>
      <c r="I40" s="841">
        <v>0</v>
      </c>
      <c r="J40" s="982">
        <v>39.152999999999999</v>
      </c>
    </row>
    <row r="41" spans="2:10" x14ac:dyDescent="0.25">
      <c r="B41" s="965">
        <v>0.92</v>
      </c>
      <c r="C41" s="966">
        <v>943.18</v>
      </c>
      <c r="D41" s="978">
        <v>966.76</v>
      </c>
      <c r="E41" s="966">
        <v>10.97</v>
      </c>
      <c r="F41" s="980">
        <v>42.36</v>
      </c>
      <c r="G41" s="967">
        <v>29.998000000000001</v>
      </c>
      <c r="H41" s="841">
        <v>29.960999999999999</v>
      </c>
      <c r="I41" s="967">
        <v>0</v>
      </c>
      <c r="J41" s="984">
        <v>38.283000000000001</v>
      </c>
    </row>
    <row r="42" spans="2:10" x14ac:dyDescent="0.25">
      <c r="B42" s="965">
        <v>0.94</v>
      </c>
      <c r="C42" s="966">
        <v>964.59</v>
      </c>
      <c r="D42" s="978">
        <v>988.7</v>
      </c>
      <c r="E42" s="966">
        <v>10.98</v>
      </c>
      <c r="F42" s="980">
        <v>42.4</v>
      </c>
      <c r="G42" s="967">
        <v>29.998000000000001</v>
      </c>
      <c r="H42" s="841">
        <v>29.975000000000001</v>
      </c>
      <c r="I42" s="967">
        <v>0</v>
      </c>
      <c r="J42" s="984">
        <v>37.453000000000003</v>
      </c>
    </row>
    <row r="43" spans="2:10" x14ac:dyDescent="0.25">
      <c r="B43" s="965">
        <v>0.96</v>
      </c>
      <c r="C43" s="966">
        <v>986.01</v>
      </c>
      <c r="D43" s="978">
        <v>1010.66</v>
      </c>
      <c r="E43" s="966">
        <v>10.98</v>
      </c>
      <c r="F43" s="980">
        <v>42.4</v>
      </c>
      <c r="G43" s="967">
        <v>29.997</v>
      </c>
      <c r="H43" s="841">
        <v>29.994</v>
      </c>
      <c r="I43" s="967">
        <v>0</v>
      </c>
      <c r="J43" s="984">
        <v>36.658999999999999</v>
      </c>
    </row>
    <row r="44" spans="2:10" x14ac:dyDescent="0.25">
      <c r="B44" s="965">
        <v>0.98</v>
      </c>
      <c r="C44" s="966">
        <v>1007.44</v>
      </c>
      <c r="D44" s="978">
        <v>1032.6300000000001</v>
      </c>
      <c r="E44" s="966">
        <v>10.98</v>
      </c>
      <c r="F44" s="980">
        <v>42.4</v>
      </c>
      <c r="G44" s="967">
        <v>29.997</v>
      </c>
      <c r="H44" s="841">
        <v>30.004000000000001</v>
      </c>
      <c r="I44" s="967">
        <v>0</v>
      </c>
      <c r="J44" s="984">
        <v>35.9</v>
      </c>
    </row>
    <row r="45" spans="2:10" x14ac:dyDescent="0.25">
      <c r="B45" s="965">
        <v>1</v>
      </c>
      <c r="C45" s="966">
        <v>1028.8800000000001</v>
      </c>
      <c r="D45" s="978">
        <v>1054.5999999999999</v>
      </c>
      <c r="E45" s="966">
        <v>10.99</v>
      </c>
      <c r="F45" s="980">
        <v>42.5</v>
      </c>
      <c r="G45" s="967">
        <v>29.997</v>
      </c>
      <c r="H45" s="841">
        <v>30.02</v>
      </c>
      <c r="I45" s="967">
        <v>0</v>
      </c>
      <c r="J45" s="984">
        <v>35.173000000000002</v>
      </c>
    </row>
    <row r="46" spans="2:10" x14ac:dyDescent="0.25">
      <c r="B46" s="965">
        <v>1.02</v>
      </c>
      <c r="C46" s="966">
        <v>1050.33</v>
      </c>
      <c r="D46" s="978">
        <v>1076.5899999999999</v>
      </c>
      <c r="E46" s="966">
        <v>11</v>
      </c>
      <c r="F46" s="980">
        <v>42.41</v>
      </c>
      <c r="G46" s="967">
        <v>29.998000000000001</v>
      </c>
      <c r="H46" s="841">
        <v>30.016999999999999</v>
      </c>
      <c r="I46" s="967">
        <v>0</v>
      </c>
      <c r="J46" s="984">
        <v>34.500999999999998</v>
      </c>
    </row>
    <row r="47" spans="2:10" x14ac:dyDescent="0.25">
      <c r="B47" s="965">
        <v>1.04</v>
      </c>
      <c r="C47" s="966">
        <v>1071.78</v>
      </c>
      <c r="D47" s="978">
        <v>1098.58</v>
      </c>
      <c r="E47" s="966">
        <v>11</v>
      </c>
      <c r="F47" s="980">
        <v>42.67</v>
      </c>
      <c r="G47" s="967">
        <v>29.998000000000001</v>
      </c>
      <c r="H47" s="841">
        <v>30.015999999999998</v>
      </c>
      <c r="I47" s="967">
        <v>0</v>
      </c>
      <c r="J47" s="984">
        <v>33.832999999999998</v>
      </c>
    </row>
    <row r="48" spans="2:10" x14ac:dyDescent="0.25">
      <c r="B48" s="965">
        <v>1.06</v>
      </c>
      <c r="C48" s="966">
        <v>1093.24</v>
      </c>
      <c r="D48" s="978">
        <v>1120.57</v>
      </c>
      <c r="E48" s="966">
        <v>10.99</v>
      </c>
      <c r="F48" s="980">
        <v>42.93</v>
      </c>
      <c r="G48" s="967">
        <v>29.998999999999999</v>
      </c>
      <c r="H48" s="841">
        <v>30.024000000000001</v>
      </c>
      <c r="I48" s="967">
        <v>0</v>
      </c>
      <c r="J48" s="984">
        <v>33.19</v>
      </c>
    </row>
    <row r="49" spans="2:10" x14ac:dyDescent="0.25">
      <c r="B49" s="965">
        <v>1.08</v>
      </c>
      <c r="C49" s="966">
        <v>1114.69</v>
      </c>
      <c r="D49" s="978">
        <v>1142.56</v>
      </c>
      <c r="E49" s="966">
        <v>10.99</v>
      </c>
      <c r="F49" s="980">
        <v>43.18</v>
      </c>
      <c r="G49" s="967">
        <v>29.998999999999999</v>
      </c>
      <c r="H49" s="841">
        <v>30.024000000000001</v>
      </c>
      <c r="I49" s="967">
        <v>0</v>
      </c>
      <c r="J49" s="984">
        <v>32.567999999999998</v>
      </c>
    </row>
    <row r="50" spans="2:10" x14ac:dyDescent="0.25">
      <c r="B50" s="965">
        <v>1.1000000000000001</v>
      </c>
      <c r="C50" s="966">
        <v>1136.1300000000001</v>
      </c>
      <c r="D50" s="978">
        <v>1164.54</v>
      </c>
      <c r="E50" s="966">
        <v>11</v>
      </c>
      <c r="F50" s="980">
        <v>43.44</v>
      </c>
      <c r="G50" s="967">
        <v>30</v>
      </c>
      <c r="H50" s="841">
        <v>30.013000000000002</v>
      </c>
      <c r="I50" s="967">
        <v>0</v>
      </c>
      <c r="J50" s="984">
        <v>32.090000000000003</v>
      </c>
    </row>
    <row r="51" spans="2:10" x14ac:dyDescent="0.25">
      <c r="B51" s="965">
        <v>1.1200000000000001</v>
      </c>
      <c r="C51" s="966">
        <v>1157.73</v>
      </c>
      <c r="D51" s="978">
        <v>1186.67</v>
      </c>
      <c r="E51" s="966">
        <v>11.19</v>
      </c>
      <c r="F51" s="980">
        <v>43.7</v>
      </c>
      <c r="G51" s="967">
        <v>30</v>
      </c>
      <c r="H51" s="841">
        <v>29.997</v>
      </c>
      <c r="I51" s="967">
        <v>0</v>
      </c>
      <c r="J51" s="984">
        <v>31.751999999999999</v>
      </c>
    </row>
    <row r="52" spans="2:10" x14ac:dyDescent="0.25">
      <c r="B52" s="965">
        <v>1.1399999999999999</v>
      </c>
      <c r="C52" s="966">
        <v>1179.56</v>
      </c>
      <c r="D52" s="978">
        <v>1209.05</v>
      </c>
      <c r="E52" s="966">
        <v>11.19</v>
      </c>
      <c r="F52" s="980">
        <v>43.96</v>
      </c>
      <c r="G52" s="967">
        <v>30</v>
      </c>
      <c r="H52" s="841">
        <v>29.995999999999999</v>
      </c>
      <c r="I52" s="967">
        <v>0</v>
      </c>
      <c r="J52" s="984">
        <v>31.364999999999998</v>
      </c>
    </row>
    <row r="53" spans="2:10" x14ac:dyDescent="0.25">
      <c r="B53" s="965">
        <v>1.1599999999999999</v>
      </c>
      <c r="C53" s="966">
        <v>1201.4000000000001</v>
      </c>
      <c r="D53" s="978">
        <v>1231.44</v>
      </c>
      <c r="E53" s="966">
        <v>11.19</v>
      </c>
      <c r="F53" s="980">
        <v>44.22</v>
      </c>
      <c r="G53" s="967">
        <v>30</v>
      </c>
      <c r="H53" s="841">
        <v>30.004000000000001</v>
      </c>
      <c r="I53" s="967">
        <v>0</v>
      </c>
      <c r="J53" s="984">
        <v>30.824999999999999</v>
      </c>
    </row>
    <row r="54" spans="2:10" x14ac:dyDescent="0.25">
      <c r="B54" s="965">
        <v>1.18</v>
      </c>
      <c r="C54" s="966">
        <v>1223.23</v>
      </c>
      <c r="D54" s="978">
        <v>1253.81</v>
      </c>
      <c r="E54" s="966">
        <v>11.17</v>
      </c>
      <c r="F54" s="980">
        <v>44.48</v>
      </c>
      <c r="G54" s="967">
        <v>30</v>
      </c>
      <c r="H54" s="841">
        <v>29.945</v>
      </c>
      <c r="I54" s="967">
        <v>0</v>
      </c>
      <c r="J54" s="984">
        <v>30.305</v>
      </c>
    </row>
    <row r="55" spans="2:10" x14ac:dyDescent="0.25">
      <c r="B55" s="965">
        <v>1.2</v>
      </c>
      <c r="C55" s="966">
        <v>1245.03</v>
      </c>
      <c r="D55" s="978">
        <v>1276.1500000000001</v>
      </c>
      <c r="E55" s="966">
        <v>11.18</v>
      </c>
      <c r="F55" s="980">
        <v>44.74</v>
      </c>
      <c r="G55" s="967">
        <v>29.998999999999999</v>
      </c>
      <c r="H55" s="841">
        <v>29.966000000000001</v>
      </c>
      <c r="I55" s="967">
        <v>0</v>
      </c>
      <c r="J55" s="984">
        <v>29.794</v>
      </c>
    </row>
    <row r="56" spans="2:10" x14ac:dyDescent="0.25">
      <c r="B56" s="965">
        <v>1.22</v>
      </c>
      <c r="C56" s="966">
        <v>1266.83</v>
      </c>
      <c r="D56" s="978">
        <v>1298.51</v>
      </c>
      <c r="E56" s="966">
        <v>11.18</v>
      </c>
      <c r="F56" s="980">
        <v>44.83</v>
      </c>
      <c r="G56" s="967">
        <v>29.998000000000001</v>
      </c>
      <c r="H56" s="841">
        <v>29.974</v>
      </c>
      <c r="I56" s="967">
        <v>0</v>
      </c>
      <c r="J56" s="984">
        <v>29.300999999999998</v>
      </c>
    </row>
    <row r="57" spans="2:10" x14ac:dyDescent="0.25">
      <c r="B57" s="968">
        <v>1.24</v>
      </c>
      <c r="C57" s="969">
        <v>1288.6600000000001</v>
      </c>
      <c r="D57" s="979">
        <v>1320.87</v>
      </c>
      <c r="E57" s="969">
        <v>11.19</v>
      </c>
      <c r="F57" s="981">
        <v>44.83</v>
      </c>
      <c r="G57" s="970">
        <v>29.998000000000001</v>
      </c>
      <c r="H57" s="841">
        <v>29.986999999999998</v>
      </c>
      <c r="I57" s="970">
        <v>0</v>
      </c>
      <c r="J57" s="985">
        <v>28.812999999999999</v>
      </c>
    </row>
    <row r="58" spans="2:10" x14ac:dyDescent="0.25">
      <c r="B58" s="968">
        <v>1.26</v>
      </c>
      <c r="C58" s="969">
        <v>1310.49</v>
      </c>
      <c r="D58" s="979">
        <v>1343.25</v>
      </c>
      <c r="E58" s="969">
        <v>11.19</v>
      </c>
      <c r="F58" s="981">
        <v>44.83</v>
      </c>
      <c r="G58" s="970">
        <v>29.998000000000001</v>
      </c>
      <c r="H58" s="841">
        <v>30.001999999999999</v>
      </c>
      <c r="I58" s="970">
        <v>0</v>
      </c>
      <c r="J58" s="985">
        <v>28.364000000000001</v>
      </c>
    </row>
    <row r="59" spans="2:10" x14ac:dyDescent="0.25">
      <c r="B59" s="968">
        <v>1.28</v>
      </c>
      <c r="C59" s="969">
        <v>1332.33</v>
      </c>
      <c r="D59" s="979">
        <v>1365.63</v>
      </c>
      <c r="E59" s="969">
        <v>11.2</v>
      </c>
      <c r="F59" s="981">
        <v>44.83</v>
      </c>
      <c r="G59" s="970">
        <v>29.998000000000001</v>
      </c>
      <c r="H59" s="841">
        <v>30.010999999999999</v>
      </c>
      <c r="I59" s="970">
        <v>0</v>
      </c>
      <c r="J59" s="985">
        <v>27.922000000000001</v>
      </c>
    </row>
    <row r="60" spans="2:10" x14ac:dyDescent="0.25">
      <c r="B60" s="968">
        <v>1.3</v>
      </c>
      <c r="C60" s="969">
        <v>1354.18</v>
      </c>
      <c r="D60" s="979">
        <v>1388.03</v>
      </c>
      <c r="E60" s="969">
        <v>11.2</v>
      </c>
      <c r="F60" s="981">
        <v>44.83</v>
      </c>
      <c r="G60" s="970">
        <v>29.998000000000001</v>
      </c>
      <c r="H60" s="841">
        <v>30.024999999999999</v>
      </c>
      <c r="I60" s="970">
        <v>0</v>
      </c>
      <c r="J60" s="985">
        <v>27.510999999999999</v>
      </c>
    </row>
    <row r="61" spans="2:10" x14ac:dyDescent="0.25">
      <c r="B61" s="968">
        <v>1.32</v>
      </c>
      <c r="C61" s="969">
        <v>1376.03</v>
      </c>
      <c r="D61" s="979">
        <v>1410.43</v>
      </c>
      <c r="E61" s="969">
        <v>11.2</v>
      </c>
      <c r="F61" s="981">
        <v>45.09</v>
      </c>
      <c r="G61" s="970">
        <v>29.998999999999999</v>
      </c>
      <c r="H61" s="841">
        <v>30.016999999999999</v>
      </c>
      <c r="I61" s="970">
        <v>0</v>
      </c>
      <c r="J61" s="985">
        <v>27.097000000000001</v>
      </c>
    </row>
    <row r="62" spans="2:10" x14ac:dyDescent="0.25">
      <c r="B62" s="968">
        <v>1.34</v>
      </c>
      <c r="C62" s="969">
        <v>1397.88</v>
      </c>
      <c r="D62" s="979">
        <v>1432.83</v>
      </c>
      <c r="E62" s="969">
        <v>11.2</v>
      </c>
      <c r="F62" s="981">
        <v>45.35</v>
      </c>
      <c r="G62" s="970">
        <v>29.998999999999999</v>
      </c>
      <c r="H62" s="841">
        <v>30.02</v>
      </c>
      <c r="I62" s="970">
        <v>0</v>
      </c>
      <c r="J62" s="985">
        <v>26.693999999999999</v>
      </c>
    </row>
    <row r="63" spans="2:10" x14ac:dyDescent="0.25">
      <c r="B63" s="968">
        <v>1.36</v>
      </c>
      <c r="C63" s="969">
        <v>1419.74</v>
      </c>
      <c r="D63" s="979">
        <v>1455.23</v>
      </c>
      <c r="E63" s="969">
        <v>11.2</v>
      </c>
      <c r="F63" s="981">
        <v>45.61</v>
      </c>
      <c r="G63" s="970">
        <v>29.998999999999999</v>
      </c>
      <c r="H63" s="841">
        <v>30.024999999999999</v>
      </c>
      <c r="I63" s="970">
        <v>0</v>
      </c>
      <c r="J63" s="985">
        <v>26.3</v>
      </c>
    </row>
    <row r="64" spans="2:10" x14ac:dyDescent="0.25">
      <c r="B64" s="968">
        <v>1.38</v>
      </c>
      <c r="C64" s="969">
        <v>1441.58</v>
      </c>
      <c r="D64" s="979">
        <v>1477.62</v>
      </c>
      <c r="E64" s="969">
        <v>11.2</v>
      </c>
      <c r="F64" s="981">
        <v>45.87</v>
      </c>
      <c r="G64" s="970">
        <v>30</v>
      </c>
      <c r="H64" s="841">
        <v>30.013999999999999</v>
      </c>
      <c r="I64" s="970">
        <v>0</v>
      </c>
      <c r="J64" s="985">
        <v>25.992000000000001</v>
      </c>
    </row>
    <row r="65" spans="2:10" x14ac:dyDescent="0.25">
      <c r="B65" s="968">
        <v>1.4</v>
      </c>
      <c r="C65" s="969">
        <v>1463.53</v>
      </c>
      <c r="D65" s="979">
        <v>1500.11</v>
      </c>
      <c r="E65" s="969">
        <v>11.4</v>
      </c>
      <c r="F65" s="981">
        <v>46.14</v>
      </c>
      <c r="G65" s="970">
        <v>30</v>
      </c>
      <c r="H65" s="841">
        <v>30.004000000000001</v>
      </c>
      <c r="I65" s="970">
        <v>0</v>
      </c>
      <c r="J65" s="985">
        <v>25.808</v>
      </c>
    </row>
    <row r="66" spans="2:10" x14ac:dyDescent="0.25">
      <c r="B66" s="968">
        <v>1.42</v>
      </c>
      <c r="C66" s="969">
        <v>1485.76</v>
      </c>
      <c r="D66" s="979">
        <v>1522.9</v>
      </c>
      <c r="E66" s="969">
        <v>11.4</v>
      </c>
      <c r="F66" s="981">
        <v>46.4</v>
      </c>
      <c r="G66" s="970">
        <v>30</v>
      </c>
      <c r="H66" s="841">
        <v>29.998000000000001</v>
      </c>
      <c r="I66" s="970">
        <v>0</v>
      </c>
      <c r="J66" s="985">
        <v>25.6</v>
      </c>
    </row>
    <row r="67" spans="2:10" x14ac:dyDescent="0.25">
      <c r="B67" s="968">
        <v>1.44</v>
      </c>
      <c r="C67" s="969">
        <v>1508</v>
      </c>
      <c r="D67" s="979">
        <v>1545.7</v>
      </c>
      <c r="E67" s="969">
        <v>11.4</v>
      </c>
      <c r="F67" s="981">
        <v>46.67</v>
      </c>
      <c r="G67" s="970">
        <v>30</v>
      </c>
      <c r="H67" s="841">
        <v>29.998000000000001</v>
      </c>
      <c r="I67" s="970">
        <v>0</v>
      </c>
      <c r="J67" s="985">
        <v>25.266999999999999</v>
      </c>
    </row>
    <row r="68" spans="2:10" x14ac:dyDescent="0.25">
      <c r="B68" s="968">
        <v>1.46</v>
      </c>
      <c r="C68" s="969">
        <v>1530.24</v>
      </c>
      <c r="D68" s="979">
        <v>1568.49</v>
      </c>
      <c r="E68" s="969">
        <v>11.37</v>
      </c>
      <c r="F68" s="981">
        <v>46.93</v>
      </c>
      <c r="G68" s="970">
        <v>30</v>
      </c>
      <c r="H68" s="841">
        <v>29.943999999999999</v>
      </c>
      <c r="I68" s="970">
        <v>0</v>
      </c>
      <c r="J68" s="985">
        <v>24.923999999999999</v>
      </c>
    </row>
    <row r="69" spans="2:10" x14ac:dyDescent="0.25">
      <c r="B69" s="968">
        <v>1.48</v>
      </c>
      <c r="C69" s="969">
        <v>1552.43</v>
      </c>
      <c r="D69" s="979">
        <v>1591.24</v>
      </c>
      <c r="E69" s="969">
        <v>11.38</v>
      </c>
      <c r="F69" s="981">
        <v>47.19</v>
      </c>
      <c r="G69" s="970">
        <v>29.998999999999999</v>
      </c>
      <c r="H69" s="841">
        <v>29.956</v>
      </c>
      <c r="I69" s="970">
        <v>0</v>
      </c>
      <c r="J69" s="985">
        <v>24.588000000000001</v>
      </c>
    </row>
    <row r="70" spans="2:10" x14ac:dyDescent="0.25">
      <c r="B70" s="968">
        <v>1.5</v>
      </c>
      <c r="C70" s="969">
        <v>1574.64</v>
      </c>
      <c r="D70" s="979">
        <v>1614.01</v>
      </c>
      <c r="E70" s="969">
        <v>11.39</v>
      </c>
      <c r="F70" s="981">
        <v>47.35</v>
      </c>
      <c r="G70" s="970">
        <v>29.998999999999999</v>
      </c>
      <c r="H70" s="841">
        <v>29.98</v>
      </c>
      <c r="I70" s="970">
        <v>0</v>
      </c>
      <c r="J70" s="985">
        <v>24.24</v>
      </c>
    </row>
    <row r="71" spans="2:10" x14ac:dyDescent="0.25">
      <c r="B71" s="973">
        <v>1.52</v>
      </c>
      <c r="C71" s="974">
        <v>1596.86</v>
      </c>
      <c r="D71" s="977">
        <v>1636.78</v>
      </c>
      <c r="E71" s="974">
        <v>11.39</v>
      </c>
      <c r="F71" s="846">
        <v>47.35</v>
      </c>
      <c r="G71" s="975">
        <v>29.998000000000001</v>
      </c>
      <c r="H71" s="841">
        <v>29.986999999999998</v>
      </c>
      <c r="I71" s="975">
        <v>0</v>
      </c>
      <c r="J71" s="983">
        <v>23.934000000000001</v>
      </c>
    </row>
    <row r="72" spans="2:10" x14ac:dyDescent="0.25">
      <c r="B72" s="973">
        <v>1.54</v>
      </c>
      <c r="C72" s="974">
        <v>1619.09</v>
      </c>
      <c r="D72" s="977">
        <v>1659.57</v>
      </c>
      <c r="E72" s="974">
        <v>11.4</v>
      </c>
      <c r="F72" s="846">
        <v>47.35</v>
      </c>
      <c r="G72" s="975">
        <v>29.998000000000001</v>
      </c>
      <c r="H72" s="841">
        <v>29.995999999999999</v>
      </c>
      <c r="I72" s="975">
        <v>0</v>
      </c>
      <c r="J72" s="983">
        <v>23.635000000000002</v>
      </c>
    </row>
    <row r="73" spans="2:10" x14ac:dyDescent="0.25">
      <c r="B73" s="973">
        <v>1.56</v>
      </c>
      <c r="C73" s="974">
        <v>1641.33</v>
      </c>
      <c r="D73" s="977">
        <v>1682.37</v>
      </c>
      <c r="E73" s="974">
        <v>11.4</v>
      </c>
      <c r="F73" s="846">
        <v>47.35</v>
      </c>
      <c r="G73" s="975">
        <v>29.998000000000001</v>
      </c>
      <c r="H73" s="841">
        <v>30.013000000000002</v>
      </c>
      <c r="I73" s="975">
        <v>0</v>
      </c>
      <c r="J73" s="983">
        <v>23.338000000000001</v>
      </c>
    </row>
    <row r="74" spans="2:10" x14ac:dyDescent="0.25">
      <c r="B74" s="973">
        <v>1.58</v>
      </c>
      <c r="C74" s="974">
        <v>1663.58</v>
      </c>
      <c r="D74" s="977">
        <v>1705.17</v>
      </c>
      <c r="E74" s="974">
        <v>11.41</v>
      </c>
      <c r="F74" s="846">
        <v>47.35</v>
      </c>
      <c r="G74" s="975">
        <v>29.998999999999999</v>
      </c>
      <c r="H74" s="841">
        <v>30.013999999999999</v>
      </c>
      <c r="I74" s="975">
        <v>0</v>
      </c>
      <c r="J74" s="983">
        <v>23.062000000000001</v>
      </c>
    </row>
    <row r="75" spans="2:10" x14ac:dyDescent="0.25">
      <c r="B75" s="973">
        <v>1.6</v>
      </c>
      <c r="C75" s="974">
        <v>1685.84</v>
      </c>
      <c r="D75" s="977">
        <v>1727.98</v>
      </c>
      <c r="E75" s="974">
        <v>11.4</v>
      </c>
      <c r="F75" s="846">
        <v>47.61</v>
      </c>
      <c r="G75" s="975">
        <v>29.998999999999999</v>
      </c>
      <c r="H75" s="841">
        <v>30.027000000000001</v>
      </c>
      <c r="I75" s="975">
        <v>0</v>
      </c>
      <c r="J75" s="983">
        <v>22.780999999999999</v>
      </c>
    </row>
    <row r="76" spans="2:10" x14ac:dyDescent="0.25">
      <c r="B76" s="973">
        <v>1.62</v>
      </c>
      <c r="C76" s="974">
        <v>1708.09</v>
      </c>
      <c r="D76" s="977">
        <v>1750.79</v>
      </c>
      <c r="E76" s="974">
        <v>11.41</v>
      </c>
      <c r="F76" s="846">
        <v>47.87</v>
      </c>
      <c r="G76" s="975">
        <v>29.998999999999999</v>
      </c>
      <c r="H76" s="841">
        <v>30.021999999999998</v>
      </c>
      <c r="I76" s="975">
        <v>0</v>
      </c>
      <c r="J76" s="983">
        <v>22.504999999999999</v>
      </c>
    </row>
    <row r="77" spans="2:10" x14ac:dyDescent="0.25">
      <c r="B77" s="973">
        <v>1.64</v>
      </c>
      <c r="C77" s="974">
        <v>1730.35</v>
      </c>
      <c r="D77" s="977">
        <v>1773.61</v>
      </c>
      <c r="E77" s="974">
        <v>11.41</v>
      </c>
      <c r="F77" s="846">
        <v>48.14</v>
      </c>
      <c r="G77" s="975">
        <v>29.998999999999999</v>
      </c>
      <c r="H77" s="841">
        <v>30.02</v>
      </c>
      <c r="I77" s="975">
        <v>0</v>
      </c>
      <c r="J77" s="983">
        <v>22.234000000000002</v>
      </c>
    </row>
    <row r="78" spans="2:10" x14ac:dyDescent="0.25">
      <c r="B78" s="973">
        <v>1.66</v>
      </c>
      <c r="C78" s="974">
        <v>1752.6</v>
      </c>
      <c r="D78" s="977">
        <v>1796.41</v>
      </c>
      <c r="E78" s="974">
        <v>11.4</v>
      </c>
      <c r="F78" s="846">
        <v>48.4</v>
      </c>
      <c r="G78" s="975">
        <v>30</v>
      </c>
      <c r="H78" s="841">
        <v>30.03</v>
      </c>
      <c r="I78" s="975">
        <v>0</v>
      </c>
      <c r="J78" s="983">
        <v>22.007000000000001</v>
      </c>
    </row>
    <row r="79" spans="2:10" x14ac:dyDescent="0.25">
      <c r="B79" s="973">
        <v>1.68</v>
      </c>
      <c r="C79" s="974">
        <v>1774.87</v>
      </c>
      <c r="D79" s="977">
        <v>1819.24</v>
      </c>
      <c r="E79" s="974">
        <v>11.59</v>
      </c>
      <c r="F79" s="846">
        <v>48.65</v>
      </c>
      <c r="G79" s="975">
        <v>30</v>
      </c>
      <c r="H79" s="841">
        <v>30.030999999999999</v>
      </c>
      <c r="I79" s="975">
        <v>0</v>
      </c>
      <c r="J79" s="983">
        <v>21.896000000000001</v>
      </c>
    </row>
    <row r="80" spans="2:10" x14ac:dyDescent="0.25">
      <c r="B80" s="973">
        <v>1.7</v>
      </c>
      <c r="C80" s="974">
        <v>1797.49</v>
      </c>
      <c r="D80" s="977">
        <v>1842.43</v>
      </c>
      <c r="E80" s="974">
        <v>11.6</v>
      </c>
      <c r="F80" s="846">
        <v>48.9</v>
      </c>
      <c r="G80" s="975">
        <v>30</v>
      </c>
      <c r="H80" s="841">
        <v>30.004000000000001</v>
      </c>
      <c r="I80" s="975">
        <v>0</v>
      </c>
      <c r="J80" s="983">
        <v>21.785</v>
      </c>
    </row>
    <row r="81" spans="2:10" x14ac:dyDescent="0.25">
      <c r="B81" s="973">
        <v>1.72</v>
      </c>
      <c r="C81" s="974">
        <v>1820.13</v>
      </c>
      <c r="D81" s="977">
        <v>1865.63</v>
      </c>
      <c r="E81" s="974">
        <v>11.6</v>
      </c>
      <c r="F81" s="846">
        <v>49.16</v>
      </c>
      <c r="G81" s="975">
        <v>30</v>
      </c>
      <c r="H81" s="841">
        <v>29.998999999999999</v>
      </c>
      <c r="I81" s="975">
        <v>0</v>
      </c>
      <c r="J81" s="983">
        <v>21.573</v>
      </c>
    </row>
    <row r="82" spans="2:10" x14ac:dyDescent="0.25">
      <c r="B82" s="973">
        <v>1.74</v>
      </c>
      <c r="C82" s="974">
        <v>1842.77</v>
      </c>
      <c r="D82" s="977">
        <v>1888.84</v>
      </c>
      <c r="E82" s="974">
        <v>11.58</v>
      </c>
      <c r="F82" s="846">
        <v>49.44</v>
      </c>
      <c r="G82" s="975">
        <v>30</v>
      </c>
      <c r="H82" s="841">
        <v>29.954999999999998</v>
      </c>
      <c r="I82" s="975">
        <v>0</v>
      </c>
      <c r="J82" s="983">
        <v>21.33</v>
      </c>
    </row>
    <row r="83" spans="2:10" x14ac:dyDescent="0.25">
      <c r="B83" s="973">
        <v>1.76</v>
      </c>
      <c r="C83" s="974">
        <v>1865.37</v>
      </c>
      <c r="D83" s="977">
        <v>1912.01</v>
      </c>
      <c r="E83" s="974">
        <v>11.58</v>
      </c>
      <c r="F83" s="846">
        <v>49.7</v>
      </c>
      <c r="G83" s="975">
        <v>30</v>
      </c>
      <c r="H83" s="841">
        <v>29.962</v>
      </c>
      <c r="I83" s="975">
        <v>0</v>
      </c>
      <c r="J83" s="983">
        <v>21.065000000000001</v>
      </c>
    </row>
    <row r="84" spans="2:10" x14ac:dyDescent="0.25">
      <c r="B84" s="973">
        <v>1.78</v>
      </c>
      <c r="C84" s="974">
        <v>1887.98</v>
      </c>
      <c r="D84" s="977">
        <v>1935.18</v>
      </c>
      <c r="E84" s="974">
        <v>11.6</v>
      </c>
      <c r="F84" s="846">
        <v>49.96</v>
      </c>
      <c r="G84" s="975">
        <v>29.998999999999999</v>
      </c>
      <c r="H84" s="841">
        <v>29.963999999999999</v>
      </c>
      <c r="I84" s="975">
        <v>0</v>
      </c>
      <c r="J84" s="983">
        <v>20.861000000000001</v>
      </c>
    </row>
    <row r="85" spans="2:10" x14ac:dyDescent="0.25">
      <c r="B85" s="973">
        <v>1.8</v>
      </c>
      <c r="C85" s="974">
        <v>1910.6</v>
      </c>
      <c r="D85" s="977">
        <v>1958.37</v>
      </c>
      <c r="E85" s="974">
        <v>11.6</v>
      </c>
      <c r="F85" s="846">
        <v>49.97</v>
      </c>
      <c r="G85" s="975">
        <v>29.998999999999999</v>
      </c>
      <c r="H85" s="841">
        <v>29.991</v>
      </c>
      <c r="I85" s="975">
        <v>0</v>
      </c>
      <c r="J85" s="983">
        <v>20.623000000000001</v>
      </c>
    </row>
    <row r="86" spans="2:10" x14ac:dyDescent="0.25">
      <c r="B86" s="973">
        <v>1.82</v>
      </c>
      <c r="C86" s="974">
        <v>1933.23</v>
      </c>
      <c r="D86" s="977">
        <v>1981.56</v>
      </c>
      <c r="E86" s="974">
        <v>11.6</v>
      </c>
      <c r="F86" s="846">
        <v>49.96</v>
      </c>
      <c r="G86" s="975">
        <v>29.998999999999999</v>
      </c>
      <c r="H86" s="841">
        <v>29.995999999999999</v>
      </c>
      <c r="I86" s="975">
        <v>0</v>
      </c>
      <c r="J86" s="983">
        <v>20.41</v>
      </c>
    </row>
    <row r="87" spans="2:10" x14ac:dyDescent="0.25">
      <c r="B87" s="973">
        <v>1.84</v>
      </c>
      <c r="C87" s="974">
        <v>1955.87</v>
      </c>
      <c r="D87" s="977">
        <v>2004.77</v>
      </c>
      <c r="E87" s="974">
        <v>11.6</v>
      </c>
      <c r="F87" s="846">
        <v>49.97</v>
      </c>
      <c r="G87" s="975">
        <v>29.998999999999999</v>
      </c>
      <c r="H87" s="841">
        <v>30.004999999999999</v>
      </c>
      <c r="I87" s="975">
        <v>0</v>
      </c>
      <c r="J87" s="983">
        <v>20.202999999999999</v>
      </c>
    </row>
    <row r="88" spans="2:10" x14ac:dyDescent="0.25">
      <c r="B88" s="973">
        <v>1.86</v>
      </c>
      <c r="C88" s="974">
        <v>1978.52</v>
      </c>
      <c r="D88" s="977">
        <v>2027.98</v>
      </c>
      <c r="E88" s="974">
        <v>11.61</v>
      </c>
      <c r="F88" s="846">
        <v>49.96</v>
      </c>
      <c r="G88" s="975">
        <v>29.998999999999999</v>
      </c>
      <c r="H88" s="841">
        <v>30.024999999999999</v>
      </c>
      <c r="I88" s="975">
        <v>0</v>
      </c>
      <c r="J88" s="983">
        <v>20</v>
      </c>
    </row>
    <row r="89" spans="2:10" x14ac:dyDescent="0.25">
      <c r="B89" s="973">
        <v>1.88</v>
      </c>
      <c r="C89" s="974">
        <v>2001.17</v>
      </c>
      <c r="D89" s="977">
        <v>2051.1999999999998</v>
      </c>
      <c r="E89" s="974">
        <v>11.61</v>
      </c>
      <c r="F89" s="846">
        <v>50.2</v>
      </c>
      <c r="G89" s="975">
        <v>29.998999999999999</v>
      </c>
      <c r="H89" s="841">
        <v>30.013000000000002</v>
      </c>
      <c r="I89" s="975">
        <v>0</v>
      </c>
      <c r="J89" s="983">
        <v>19.797999999999998</v>
      </c>
    </row>
    <row r="90" spans="2:10" x14ac:dyDescent="0.25">
      <c r="B90" s="973">
        <v>1.9</v>
      </c>
      <c r="C90" s="974">
        <v>2023.83</v>
      </c>
      <c r="D90" s="977">
        <v>2074.4299999999998</v>
      </c>
      <c r="E90" s="974">
        <v>11.61</v>
      </c>
      <c r="F90" s="846">
        <v>50.48</v>
      </c>
      <c r="G90" s="975">
        <v>30</v>
      </c>
      <c r="H90" s="841">
        <v>30.027000000000001</v>
      </c>
      <c r="I90" s="975">
        <v>0</v>
      </c>
      <c r="J90" s="983">
        <v>19.597000000000001</v>
      </c>
    </row>
    <row r="91" spans="2:10" x14ac:dyDescent="0.25">
      <c r="B91" s="973">
        <v>1.92</v>
      </c>
      <c r="C91" s="974">
        <v>2046.49</v>
      </c>
      <c r="D91" s="977">
        <v>2097.65</v>
      </c>
      <c r="E91" s="974">
        <v>11.61</v>
      </c>
      <c r="F91" s="846">
        <v>50.74</v>
      </c>
      <c r="G91" s="975">
        <v>30</v>
      </c>
      <c r="H91" s="841">
        <v>30.023</v>
      </c>
      <c r="I91" s="975">
        <v>0</v>
      </c>
      <c r="J91" s="983">
        <v>19.401</v>
      </c>
    </row>
    <row r="92" spans="2:10" x14ac:dyDescent="0.25">
      <c r="B92" s="973">
        <v>1.94</v>
      </c>
      <c r="C92" s="974">
        <v>2069.15</v>
      </c>
      <c r="D92" s="977">
        <v>2120.87</v>
      </c>
      <c r="E92" s="974">
        <v>11.6</v>
      </c>
      <c r="F92" s="846">
        <v>51.02</v>
      </c>
      <c r="G92" s="975">
        <v>30</v>
      </c>
      <c r="H92" s="841">
        <v>30.036999999999999</v>
      </c>
      <c r="I92" s="975">
        <v>0</v>
      </c>
      <c r="J92" s="983">
        <v>19.227</v>
      </c>
    </row>
    <row r="93" spans="2:10" x14ac:dyDescent="0.25">
      <c r="B93" s="973">
        <v>1.96</v>
      </c>
      <c r="C93" s="974">
        <v>2091.79</v>
      </c>
      <c r="D93" s="977">
        <v>2144.09</v>
      </c>
      <c r="E93" s="974">
        <v>11.75</v>
      </c>
      <c r="F93" s="846">
        <v>51.29</v>
      </c>
      <c r="G93" s="975">
        <v>30</v>
      </c>
      <c r="H93" s="841">
        <v>30.062000000000001</v>
      </c>
      <c r="I93" s="975">
        <v>0</v>
      </c>
      <c r="J93" s="983">
        <v>19.154</v>
      </c>
    </row>
    <row r="94" spans="2:10" x14ac:dyDescent="0.25">
      <c r="B94" s="973">
        <v>1.98</v>
      </c>
      <c r="C94" s="974">
        <v>2114.7800000000002</v>
      </c>
      <c r="D94" s="977">
        <v>2167.65</v>
      </c>
      <c r="E94" s="974">
        <v>11.81</v>
      </c>
      <c r="F94" s="846">
        <v>51.52</v>
      </c>
      <c r="G94" s="975">
        <v>30.001000000000001</v>
      </c>
      <c r="H94" s="841">
        <v>29.99</v>
      </c>
      <c r="I94" s="975">
        <v>0</v>
      </c>
      <c r="J94" s="983">
        <v>19.094000000000001</v>
      </c>
    </row>
    <row r="95" spans="2:10" x14ac:dyDescent="0.25">
      <c r="B95" s="973">
        <v>2</v>
      </c>
      <c r="C95" s="974">
        <v>2137.83</v>
      </c>
      <c r="D95" s="977">
        <v>2191.27</v>
      </c>
      <c r="E95" s="974">
        <v>11.81</v>
      </c>
      <c r="F95" s="846">
        <v>51.8</v>
      </c>
      <c r="G95" s="975">
        <v>30.001000000000001</v>
      </c>
      <c r="H95" s="841">
        <v>30.004999999999999</v>
      </c>
      <c r="I95" s="975">
        <v>0</v>
      </c>
      <c r="J95" s="983">
        <v>18.956</v>
      </c>
    </row>
    <row r="96" spans="2:10" x14ac:dyDescent="0.25">
      <c r="B96" s="973">
        <v>2.02</v>
      </c>
      <c r="C96" s="974">
        <v>2160.86</v>
      </c>
      <c r="D96" s="977">
        <v>2214.88</v>
      </c>
      <c r="E96" s="974">
        <v>11.8</v>
      </c>
      <c r="F96" s="846">
        <v>52.07</v>
      </c>
      <c r="G96" s="975">
        <v>30.001000000000001</v>
      </c>
      <c r="H96" s="841">
        <v>29.97</v>
      </c>
      <c r="I96" s="975">
        <v>0</v>
      </c>
      <c r="J96" s="983">
        <v>18.774999999999999</v>
      </c>
    </row>
    <row r="97" spans="2:10" x14ac:dyDescent="0.25">
      <c r="B97" s="973">
        <v>2.04</v>
      </c>
      <c r="C97" s="974">
        <v>2183.87</v>
      </c>
      <c r="D97" s="977">
        <v>2238.4699999999998</v>
      </c>
      <c r="E97" s="974">
        <v>11.79</v>
      </c>
      <c r="F97" s="846">
        <v>52.35</v>
      </c>
      <c r="G97" s="975">
        <v>30</v>
      </c>
      <c r="H97" s="841">
        <v>29.954999999999998</v>
      </c>
      <c r="I97" s="975">
        <v>0</v>
      </c>
      <c r="J97" s="983">
        <v>18.576000000000001</v>
      </c>
    </row>
    <row r="98" spans="2:10" x14ac:dyDescent="0.25">
      <c r="B98" s="973">
        <v>2.06</v>
      </c>
      <c r="C98" s="974">
        <v>2206.88</v>
      </c>
      <c r="D98" s="977">
        <v>2262.0500000000002</v>
      </c>
      <c r="E98" s="974">
        <v>11.79</v>
      </c>
      <c r="F98" s="846">
        <v>52.62</v>
      </c>
      <c r="G98" s="975">
        <v>30</v>
      </c>
      <c r="H98" s="841">
        <v>29.978000000000002</v>
      </c>
      <c r="I98" s="975">
        <v>0</v>
      </c>
      <c r="J98" s="983">
        <v>18.407</v>
      </c>
    </row>
    <row r="99" spans="2:10" x14ac:dyDescent="0.25">
      <c r="B99" s="973">
        <v>2.08</v>
      </c>
      <c r="C99" s="974">
        <v>2229.9</v>
      </c>
      <c r="D99" s="977">
        <v>2285.65</v>
      </c>
      <c r="E99" s="974">
        <v>11.81</v>
      </c>
      <c r="F99" s="846">
        <v>52.67</v>
      </c>
      <c r="G99" s="975">
        <v>30</v>
      </c>
      <c r="H99" s="841">
        <v>29.974</v>
      </c>
      <c r="I99" s="975">
        <v>0</v>
      </c>
      <c r="J99" s="983">
        <v>18.257000000000001</v>
      </c>
    </row>
    <row r="100" spans="2:10" x14ac:dyDescent="0.25">
      <c r="B100" s="973">
        <v>2.1</v>
      </c>
      <c r="C100" s="974">
        <v>2252.9299999999998</v>
      </c>
      <c r="D100" s="977">
        <v>2309.2600000000002</v>
      </c>
      <c r="E100" s="974">
        <v>11.81</v>
      </c>
      <c r="F100" s="846">
        <v>52.67</v>
      </c>
      <c r="G100" s="975">
        <v>29.998999999999999</v>
      </c>
      <c r="H100" s="841">
        <v>29.997</v>
      </c>
      <c r="I100" s="975">
        <v>0</v>
      </c>
      <c r="J100" s="983">
        <v>18.087</v>
      </c>
    </row>
    <row r="101" spans="2:10" x14ac:dyDescent="0.25">
      <c r="B101" s="973">
        <v>2.12</v>
      </c>
      <c r="C101" s="974">
        <v>2275.9699999999998</v>
      </c>
      <c r="D101" s="977">
        <v>2332.87</v>
      </c>
      <c r="E101" s="974">
        <v>11.81</v>
      </c>
      <c r="F101" s="846">
        <v>52.67</v>
      </c>
      <c r="G101" s="975">
        <v>29.998999999999999</v>
      </c>
      <c r="H101" s="841">
        <v>30.003</v>
      </c>
      <c r="I101" s="975">
        <v>0</v>
      </c>
      <c r="J101" s="983">
        <v>17.931999999999999</v>
      </c>
    </row>
    <row r="102" spans="2:10" x14ac:dyDescent="0.25">
      <c r="B102" s="973">
        <v>2.14</v>
      </c>
      <c r="C102" s="974">
        <v>2299.02</v>
      </c>
      <c r="D102" s="977">
        <v>2356.5</v>
      </c>
      <c r="E102" s="974">
        <v>11.82</v>
      </c>
      <c r="F102" s="846">
        <v>52.67</v>
      </c>
      <c r="G102" s="975">
        <v>29.998999999999999</v>
      </c>
      <c r="H102" s="841">
        <v>30.024000000000001</v>
      </c>
      <c r="I102" s="975">
        <v>0</v>
      </c>
      <c r="J102" s="983">
        <v>17.78</v>
      </c>
    </row>
    <row r="103" spans="2:10" x14ac:dyDescent="0.25">
      <c r="B103" s="973">
        <v>2.16</v>
      </c>
      <c r="C103" s="974">
        <v>2322.0700000000002</v>
      </c>
      <c r="D103" s="977">
        <v>2380.13</v>
      </c>
      <c r="E103" s="974">
        <v>11.82</v>
      </c>
      <c r="F103" s="846">
        <v>52.9</v>
      </c>
      <c r="G103" s="975">
        <v>30</v>
      </c>
      <c r="H103" s="841">
        <v>30.024000000000001</v>
      </c>
      <c r="I103" s="975">
        <v>0</v>
      </c>
      <c r="J103" s="983">
        <v>17.628</v>
      </c>
    </row>
    <row r="104" spans="2:10" x14ac:dyDescent="0.25">
      <c r="B104" s="973">
        <v>2.1800000000000002</v>
      </c>
      <c r="C104" s="974">
        <v>2345.13</v>
      </c>
      <c r="D104" s="977">
        <v>2403.7600000000002</v>
      </c>
      <c r="E104" s="974">
        <v>11.82</v>
      </c>
      <c r="F104" s="846">
        <v>53.18</v>
      </c>
      <c r="G104" s="975">
        <v>30</v>
      </c>
      <c r="H104" s="841">
        <v>30.009</v>
      </c>
      <c r="I104" s="975">
        <v>0</v>
      </c>
      <c r="J104" s="983">
        <v>17.475999999999999</v>
      </c>
    </row>
    <row r="105" spans="2:10" x14ac:dyDescent="0.25">
      <c r="B105" s="973">
        <v>2.2000000000000002</v>
      </c>
      <c r="C105" s="974">
        <v>2368.19</v>
      </c>
      <c r="D105" s="977">
        <v>2427.39</v>
      </c>
      <c r="E105" s="974">
        <v>11.82</v>
      </c>
      <c r="F105" s="846">
        <v>53.45</v>
      </c>
      <c r="G105" s="975">
        <v>30</v>
      </c>
      <c r="H105" s="841">
        <v>30.021000000000001</v>
      </c>
      <c r="I105" s="975">
        <v>0</v>
      </c>
      <c r="J105" s="983">
        <v>17.327000000000002</v>
      </c>
    </row>
    <row r="106" spans="2:10" x14ac:dyDescent="0.25">
      <c r="B106" s="973">
        <v>2.2200000000000002</v>
      </c>
      <c r="C106" s="974">
        <v>2391.2399999999998</v>
      </c>
      <c r="D106" s="977">
        <v>2451.0300000000002</v>
      </c>
      <c r="E106" s="974">
        <v>11.81</v>
      </c>
      <c r="F106" s="846">
        <v>53.73</v>
      </c>
      <c r="G106" s="975">
        <v>30</v>
      </c>
      <c r="H106" s="841">
        <v>30.039000000000001</v>
      </c>
      <c r="I106" s="975">
        <v>0</v>
      </c>
      <c r="J106" s="983">
        <v>17.186</v>
      </c>
    </row>
    <row r="107" spans="2:10" x14ac:dyDescent="0.25">
      <c r="B107" s="973">
        <v>2.2400000000000002</v>
      </c>
      <c r="C107" s="974">
        <v>2414.3000000000002</v>
      </c>
      <c r="D107" s="977">
        <v>2474.66</v>
      </c>
      <c r="E107" s="974">
        <v>11.91</v>
      </c>
      <c r="F107" s="846">
        <v>54.01</v>
      </c>
      <c r="G107" s="975">
        <v>30.001000000000001</v>
      </c>
      <c r="H107" s="841">
        <v>30.052</v>
      </c>
      <c r="I107" s="975">
        <v>0</v>
      </c>
      <c r="J107" s="983">
        <v>17.135999999999999</v>
      </c>
    </row>
    <row r="108" spans="2:10" x14ac:dyDescent="0.25">
      <c r="B108" s="973">
        <v>2.2599999999999998</v>
      </c>
      <c r="C108" s="974">
        <v>2437.64</v>
      </c>
      <c r="D108" s="977">
        <v>2498.58</v>
      </c>
      <c r="E108" s="974">
        <v>12.01</v>
      </c>
      <c r="F108" s="846">
        <v>54.25</v>
      </c>
      <c r="G108" s="975">
        <v>30.001000000000001</v>
      </c>
      <c r="H108" s="841">
        <v>30.003</v>
      </c>
      <c r="I108" s="975">
        <v>0</v>
      </c>
      <c r="J108" s="983">
        <v>17.106000000000002</v>
      </c>
    </row>
    <row r="109" spans="2:10" x14ac:dyDescent="0.25">
      <c r="B109" s="973">
        <v>2.2799999999999998</v>
      </c>
      <c r="C109" s="974">
        <v>2461.08</v>
      </c>
      <c r="D109" s="977">
        <v>2522.61</v>
      </c>
      <c r="E109" s="974">
        <v>12.02</v>
      </c>
      <c r="F109" s="846">
        <v>54.53</v>
      </c>
      <c r="G109" s="975">
        <v>30.001000000000001</v>
      </c>
      <c r="H109" s="841">
        <v>29.989000000000001</v>
      </c>
      <c r="I109" s="975">
        <v>0</v>
      </c>
      <c r="J109" s="983">
        <v>17.018000000000001</v>
      </c>
    </row>
    <row r="110" spans="2:10" x14ac:dyDescent="0.25">
      <c r="B110" s="973">
        <v>2.2999999999999998</v>
      </c>
      <c r="C110" s="974">
        <v>2484.52</v>
      </c>
      <c r="D110" s="977">
        <v>2546.64</v>
      </c>
      <c r="E110" s="974">
        <v>12.01</v>
      </c>
      <c r="F110" s="846">
        <v>54.81</v>
      </c>
      <c r="G110" s="975">
        <v>30.001000000000001</v>
      </c>
      <c r="H110" s="841">
        <v>29.989000000000001</v>
      </c>
      <c r="I110" s="975">
        <v>0</v>
      </c>
      <c r="J110" s="983">
        <v>16.879000000000001</v>
      </c>
    </row>
    <row r="111" spans="2:10" x14ac:dyDescent="0.25">
      <c r="B111" s="973">
        <v>2.3199999999999998</v>
      </c>
      <c r="C111" s="974">
        <v>2507.94</v>
      </c>
      <c r="D111" s="977">
        <v>2570.64</v>
      </c>
      <c r="E111" s="974">
        <v>11.99</v>
      </c>
      <c r="F111" s="846">
        <v>55.09</v>
      </c>
      <c r="G111" s="975">
        <v>30</v>
      </c>
      <c r="H111" s="841">
        <v>29.96</v>
      </c>
      <c r="I111" s="975">
        <v>0</v>
      </c>
      <c r="J111" s="983">
        <v>16.724</v>
      </c>
    </row>
    <row r="112" spans="2:10" x14ac:dyDescent="0.25">
      <c r="B112" s="973">
        <v>2.34</v>
      </c>
      <c r="C112" s="974">
        <v>2531.35</v>
      </c>
      <c r="D112" s="977">
        <v>2594.63</v>
      </c>
      <c r="E112" s="974">
        <v>12</v>
      </c>
      <c r="F112" s="846">
        <v>55.37</v>
      </c>
      <c r="G112" s="975">
        <v>30</v>
      </c>
      <c r="H112" s="841">
        <v>29.977</v>
      </c>
      <c r="I112" s="975">
        <v>0</v>
      </c>
      <c r="J112" s="983">
        <v>16.591000000000001</v>
      </c>
    </row>
    <row r="113" spans="2:10" x14ac:dyDescent="0.25">
      <c r="B113" s="973">
        <v>2.36</v>
      </c>
      <c r="C113" s="974">
        <v>2554.77</v>
      </c>
      <c r="D113" s="977">
        <v>2618.63</v>
      </c>
      <c r="E113" s="974">
        <v>12.01</v>
      </c>
      <c r="F113" s="846">
        <v>55.48</v>
      </c>
      <c r="G113" s="975">
        <v>30</v>
      </c>
      <c r="H113" s="841">
        <v>29.983000000000001</v>
      </c>
      <c r="I113" s="975">
        <v>0</v>
      </c>
      <c r="J113" s="983">
        <v>16.468</v>
      </c>
    </row>
    <row r="114" spans="2:10" x14ac:dyDescent="0.25">
      <c r="B114" s="973">
        <v>2.38</v>
      </c>
      <c r="C114" s="974">
        <v>2578.19</v>
      </c>
      <c r="D114" s="977">
        <v>2642.65</v>
      </c>
      <c r="E114" s="974">
        <v>12.02</v>
      </c>
      <c r="F114" s="846">
        <v>55.47</v>
      </c>
      <c r="G114" s="975">
        <v>30</v>
      </c>
      <c r="H114" s="841">
        <v>29.98</v>
      </c>
      <c r="I114" s="975">
        <v>0</v>
      </c>
      <c r="J114" s="983">
        <v>16.350000000000001</v>
      </c>
    </row>
    <row r="115" spans="2:10" x14ac:dyDescent="0.25">
      <c r="B115" s="973">
        <v>2.4</v>
      </c>
      <c r="C115" s="974">
        <v>2601.64</v>
      </c>
      <c r="D115" s="977">
        <v>2666.68</v>
      </c>
      <c r="E115" s="974">
        <v>12.01</v>
      </c>
      <c r="F115" s="846">
        <v>55.47</v>
      </c>
      <c r="G115" s="975">
        <v>30</v>
      </c>
      <c r="H115" s="841">
        <v>30.003</v>
      </c>
      <c r="I115" s="975">
        <v>0</v>
      </c>
      <c r="J115" s="983">
        <v>16.225000000000001</v>
      </c>
    </row>
    <row r="116" spans="2:10" x14ac:dyDescent="0.25">
      <c r="B116" s="973">
        <v>2.42</v>
      </c>
      <c r="C116" s="974">
        <v>2625.08</v>
      </c>
      <c r="D116" s="977">
        <v>2690.71</v>
      </c>
      <c r="E116" s="974">
        <v>12.02</v>
      </c>
      <c r="F116" s="846">
        <v>55.47</v>
      </c>
      <c r="G116" s="975">
        <v>30</v>
      </c>
      <c r="H116" s="841">
        <v>30.03</v>
      </c>
      <c r="I116" s="975">
        <v>0</v>
      </c>
      <c r="J116" s="983">
        <v>16.108000000000001</v>
      </c>
    </row>
    <row r="117" spans="2:10" x14ac:dyDescent="0.25">
      <c r="B117" s="973">
        <v>2.44</v>
      </c>
      <c r="C117" s="974">
        <v>2648.54</v>
      </c>
      <c r="D117" s="977">
        <v>2714.76</v>
      </c>
      <c r="E117" s="974">
        <v>12.02</v>
      </c>
      <c r="F117" s="846">
        <v>55.61</v>
      </c>
      <c r="G117" s="975">
        <v>30</v>
      </c>
      <c r="H117" s="841">
        <v>30.027999999999999</v>
      </c>
      <c r="I117" s="975">
        <v>0</v>
      </c>
      <c r="J117" s="983">
        <v>15.99</v>
      </c>
    </row>
    <row r="118" spans="2:10" x14ac:dyDescent="0.25">
      <c r="B118" s="973">
        <v>2.46</v>
      </c>
      <c r="C118" s="974">
        <v>2672</v>
      </c>
      <c r="D118" s="977">
        <v>2738.8</v>
      </c>
      <c r="E118" s="974">
        <v>12.02</v>
      </c>
      <c r="F118" s="846">
        <v>55.77</v>
      </c>
      <c r="G118" s="975">
        <v>30</v>
      </c>
      <c r="H118" s="841">
        <v>30.018999999999998</v>
      </c>
      <c r="I118" s="975">
        <v>0</v>
      </c>
      <c r="J118" s="983">
        <v>15.871</v>
      </c>
    </row>
    <row r="119" spans="2:10" x14ac:dyDescent="0.25">
      <c r="B119" s="973">
        <v>2.48</v>
      </c>
      <c r="C119" s="974">
        <v>2695.45</v>
      </c>
      <c r="D119" s="977">
        <v>2762.84</v>
      </c>
      <c r="E119" s="974">
        <v>12.03</v>
      </c>
      <c r="F119" s="846">
        <v>55.94</v>
      </c>
      <c r="G119" s="975">
        <v>30</v>
      </c>
      <c r="H119" s="841">
        <v>30.006</v>
      </c>
      <c r="I119" s="975">
        <v>0</v>
      </c>
      <c r="J119" s="983">
        <v>15.754</v>
      </c>
    </row>
    <row r="120" spans="2:10" x14ac:dyDescent="0.25">
      <c r="B120" s="973">
        <v>2.5</v>
      </c>
      <c r="C120" s="974">
        <v>2718.91</v>
      </c>
      <c r="D120" s="977">
        <v>2786.89</v>
      </c>
      <c r="E120" s="974">
        <v>12.02</v>
      </c>
      <c r="F120" s="846">
        <v>56.16</v>
      </c>
      <c r="G120" s="975">
        <v>30</v>
      </c>
      <c r="H120" s="841">
        <v>30.03</v>
      </c>
      <c r="I120" s="975">
        <v>0</v>
      </c>
      <c r="J120" s="983">
        <v>15.643000000000001</v>
      </c>
    </row>
    <row r="121" spans="2:10" x14ac:dyDescent="0.25">
      <c r="B121" s="973">
        <v>2.52</v>
      </c>
      <c r="C121" s="974">
        <v>2742.37</v>
      </c>
      <c r="D121" s="977">
        <v>2810.93</v>
      </c>
      <c r="E121" s="974">
        <v>12.06</v>
      </c>
      <c r="F121" s="846">
        <v>56.39</v>
      </c>
      <c r="G121" s="975">
        <v>30.001000000000001</v>
      </c>
      <c r="H121" s="841">
        <v>30.007999999999999</v>
      </c>
      <c r="I121" s="975">
        <v>0</v>
      </c>
      <c r="J121" s="983">
        <v>15.568</v>
      </c>
    </row>
    <row r="122" spans="2:10" x14ac:dyDescent="0.25">
      <c r="B122" s="973">
        <v>2.54</v>
      </c>
      <c r="C122" s="974">
        <v>2765.98</v>
      </c>
      <c r="D122" s="977">
        <v>2835.13</v>
      </c>
      <c r="E122" s="974">
        <v>12.13</v>
      </c>
      <c r="F122" s="846">
        <v>56.62</v>
      </c>
      <c r="G122" s="975">
        <v>30.001000000000001</v>
      </c>
      <c r="H122" s="841">
        <v>30.010999999999999</v>
      </c>
      <c r="I122" s="975">
        <v>0</v>
      </c>
      <c r="J122" s="983">
        <v>15.516999999999999</v>
      </c>
    </row>
    <row r="123" spans="2:10" x14ac:dyDescent="0.25">
      <c r="B123" s="973">
        <v>2.56</v>
      </c>
      <c r="C123" s="974">
        <v>2789.66</v>
      </c>
      <c r="D123" s="977">
        <v>2859.4</v>
      </c>
      <c r="E123" s="974">
        <v>12.14</v>
      </c>
      <c r="F123" s="846">
        <v>56.9</v>
      </c>
      <c r="G123" s="975">
        <v>30.001000000000001</v>
      </c>
      <c r="H123" s="841">
        <v>29.998999999999999</v>
      </c>
      <c r="I123" s="975">
        <v>0</v>
      </c>
      <c r="J123" s="983">
        <v>15.444000000000001</v>
      </c>
    </row>
    <row r="124" spans="2:10" x14ac:dyDescent="0.25">
      <c r="B124" s="973">
        <v>2.58</v>
      </c>
      <c r="C124" s="974">
        <v>2813.34</v>
      </c>
      <c r="D124" s="977">
        <v>2883.67</v>
      </c>
      <c r="E124" s="974">
        <v>12.17</v>
      </c>
      <c r="F124" s="846">
        <v>57.18</v>
      </c>
      <c r="G124" s="975">
        <v>30.001000000000001</v>
      </c>
      <c r="H124" s="841">
        <v>29.992999999999999</v>
      </c>
      <c r="I124" s="975">
        <v>0</v>
      </c>
      <c r="J124" s="983">
        <v>15.352</v>
      </c>
    </row>
    <row r="125" spans="2:10" x14ac:dyDescent="0.25">
      <c r="B125" s="973">
        <v>2.6</v>
      </c>
      <c r="C125" s="974">
        <v>2837.08</v>
      </c>
      <c r="D125" s="977">
        <v>2908.01</v>
      </c>
      <c r="E125" s="974">
        <v>12.18</v>
      </c>
      <c r="F125" s="846">
        <v>57.48</v>
      </c>
      <c r="G125" s="975">
        <v>30.001000000000001</v>
      </c>
      <c r="H125" s="841">
        <v>29.992000000000001</v>
      </c>
      <c r="I125" s="975">
        <v>0</v>
      </c>
      <c r="J125" s="983">
        <v>15.263999999999999</v>
      </c>
    </row>
    <row r="126" spans="2:10" x14ac:dyDescent="0.25">
      <c r="B126" s="973">
        <v>2.62</v>
      </c>
      <c r="C126" s="974">
        <v>2860.84</v>
      </c>
      <c r="D126" s="977">
        <v>2932.36</v>
      </c>
      <c r="E126" s="974">
        <v>12.18</v>
      </c>
      <c r="F126" s="846">
        <v>57.82</v>
      </c>
      <c r="G126" s="975">
        <v>30.001000000000001</v>
      </c>
      <c r="H126" s="841">
        <v>30.012</v>
      </c>
      <c r="I126" s="975">
        <v>0</v>
      </c>
      <c r="J126" s="983">
        <v>15.172000000000001</v>
      </c>
    </row>
    <row r="127" spans="2:10" x14ac:dyDescent="0.25">
      <c r="B127" s="973">
        <v>2.64</v>
      </c>
      <c r="C127" s="974">
        <v>2884.61</v>
      </c>
      <c r="D127" s="977">
        <v>2956.72</v>
      </c>
      <c r="E127" s="974">
        <v>12.21</v>
      </c>
      <c r="F127" s="846">
        <v>58.08</v>
      </c>
      <c r="G127" s="975">
        <v>30.001000000000001</v>
      </c>
      <c r="H127" s="841">
        <v>30.010999999999999</v>
      </c>
      <c r="I127" s="975">
        <v>0</v>
      </c>
      <c r="J127" s="983">
        <v>15.087</v>
      </c>
    </row>
    <row r="128" spans="2:10" x14ac:dyDescent="0.25">
      <c r="B128" s="973">
        <v>2.66</v>
      </c>
      <c r="C128" s="974">
        <v>2908.44</v>
      </c>
      <c r="D128" s="977">
        <v>2981.16</v>
      </c>
      <c r="E128" s="974">
        <v>12.22</v>
      </c>
      <c r="F128" s="846">
        <v>58.28</v>
      </c>
      <c r="G128" s="975">
        <v>30.001000000000001</v>
      </c>
      <c r="H128" s="841">
        <v>29.995000000000001</v>
      </c>
      <c r="I128" s="975">
        <v>0</v>
      </c>
      <c r="J128" s="983">
        <v>15.003</v>
      </c>
    </row>
    <row r="129" spans="2:10" x14ac:dyDescent="0.25">
      <c r="B129" s="973">
        <v>2.68</v>
      </c>
      <c r="C129" s="974">
        <v>2932.28</v>
      </c>
      <c r="D129" s="977">
        <v>3005.59</v>
      </c>
      <c r="E129" s="974">
        <v>12.23</v>
      </c>
      <c r="F129" s="846">
        <v>58.5</v>
      </c>
      <c r="G129" s="975">
        <v>30.001000000000001</v>
      </c>
      <c r="H129" s="841">
        <v>29.986999999999998</v>
      </c>
      <c r="I129" s="975">
        <v>0</v>
      </c>
      <c r="J129" s="983">
        <v>14.914999999999999</v>
      </c>
    </row>
    <row r="130" spans="2:10" x14ac:dyDescent="0.25">
      <c r="B130" s="973">
        <v>2.7</v>
      </c>
      <c r="C130" s="974">
        <v>2956.14</v>
      </c>
      <c r="D130" s="977">
        <v>3030.05</v>
      </c>
      <c r="E130" s="974">
        <v>12.26</v>
      </c>
      <c r="F130" s="846">
        <v>58.7</v>
      </c>
      <c r="G130" s="975">
        <v>30.001000000000001</v>
      </c>
      <c r="H130" s="841">
        <v>29.994</v>
      </c>
      <c r="I130" s="975">
        <v>0</v>
      </c>
      <c r="J130" s="983">
        <v>14.834</v>
      </c>
    </row>
    <row r="131" spans="2:10" x14ac:dyDescent="0.25">
      <c r="B131" s="973">
        <v>2.72</v>
      </c>
      <c r="C131" s="974">
        <v>2980.06</v>
      </c>
      <c r="D131" s="977">
        <v>3054.57</v>
      </c>
      <c r="E131" s="974">
        <v>12.25</v>
      </c>
      <c r="F131" s="846">
        <v>58.89</v>
      </c>
      <c r="G131" s="975">
        <v>30.001000000000001</v>
      </c>
      <c r="H131" s="841">
        <v>30.01</v>
      </c>
      <c r="I131" s="975">
        <v>0</v>
      </c>
      <c r="J131" s="983">
        <v>14.750999999999999</v>
      </c>
    </row>
    <row r="132" spans="2:10" x14ac:dyDescent="0.25">
      <c r="B132" s="973">
        <v>2.74</v>
      </c>
      <c r="C132" s="974">
        <v>3003.99</v>
      </c>
      <c r="D132" s="977">
        <v>3079.09</v>
      </c>
      <c r="E132" s="974">
        <v>12.26</v>
      </c>
      <c r="F132" s="846">
        <v>59.08</v>
      </c>
      <c r="G132" s="975">
        <v>30.001000000000001</v>
      </c>
      <c r="H132" s="841">
        <v>30.015999999999998</v>
      </c>
      <c r="I132" s="975">
        <v>0</v>
      </c>
      <c r="J132" s="983">
        <v>14.669</v>
      </c>
    </row>
    <row r="133" spans="2:10" x14ac:dyDescent="0.25">
      <c r="B133" s="973">
        <v>2.76</v>
      </c>
      <c r="C133" s="974">
        <v>3027.94</v>
      </c>
      <c r="D133" s="977">
        <v>3103.63</v>
      </c>
      <c r="E133" s="974">
        <v>12.3</v>
      </c>
      <c r="F133" s="846">
        <v>59.23</v>
      </c>
      <c r="G133" s="975">
        <v>30.001000000000001</v>
      </c>
      <c r="H133" s="841">
        <v>29.994</v>
      </c>
      <c r="I133" s="975">
        <v>0</v>
      </c>
      <c r="J133" s="983">
        <v>14.590999999999999</v>
      </c>
    </row>
    <row r="134" spans="2:10" x14ac:dyDescent="0.25">
      <c r="B134" s="973">
        <v>2.78</v>
      </c>
      <c r="C134" s="974">
        <v>3051.93</v>
      </c>
      <c r="D134" s="977">
        <v>3128.23</v>
      </c>
      <c r="E134" s="974">
        <v>12.31</v>
      </c>
      <c r="F134" s="846">
        <v>59.37</v>
      </c>
      <c r="G134" s="975">
        <v>30.001000000000001</v>
      </c>
      <c r="H134" s="841">
        <v>29.984000000000002</v>
      </c>
      <c r="I134" s="975">
        <v>0</v>
      </c>
      <c r="J134" s="983">
        <v>14.512</v>
      </c>
    </row>
    <row r="135" spans="2:10" x14ac:dyDescent="0.25">
      <c r="B135" s="973">
        <v>2.8</v>
      </c>
      <c r="C135" s="974">
        <v>3075.93</v>
      </c>
      <c r="D135" s="977">
        <v>3152.83</v>
      </c>
      <c r="E135" s="974">
        <v>12.3</v>
      </c>
      <c r="F135" s="846">
        <v>59.51</v>
      </c>
      <c r="G135" s="975">
        <v>30.001000000000001</v>
      </c>
      <c r="H135" s="841">
        <v>30.001000000000001</v>
      </c>
      <c r="I135" s="975">
        <v>0</v>
      </c>
      <c r="J135" s="983">
        <v>14.427</v>
      </c>
    </row>
    <row r="136" spans="2:10" x14ac:dyDescent="0.25">
      <c r="B136" s="973">
        <v>2.82</v>
      </c>
      <c r="C136" s="974">
        <v>3099.96</v>
      </c>
      <c r="D136" s="977">
        <v>3177.45</v>
      </c>
      <c r="E136" s="974">
        <v>12.32</v>
      </c>
      <c r="F136" s="846">
        <v>59.6</v>
      </c>
      <c r="G136" s="975">
        <v>30.001000000000001</v>
      </c>
      <c r="H136" s="841">
        <v>30.013000000000002</v>
      </c>
      <c r="I136" s="975">
        <v>0</v>
      </c>
      <c r="J136" s="983">
        <v>14.345000000000001</v>
      </c>
    </row>
    <row r="137" spans="2:10" x14ac:dyDescent="0.25">
      <c r="B137" s="973">
        <v>2.84</v>
      </c>
      <c r="C137" s="974">
        <v>3124</v>
      </c>
      <c r="D137" s="977">
        <v>3202.1</v>
      </c>
      <c r="E137" s="974">
        <v>12.31</v>
      </c>
      <c r="F137" s="846">
        <v>59.69</v>
      </c>
      <c r="G137" s="975">
        <v>30.001000000000001</v>
      </c>
      <c r="H137" s="841">
        <v>30.013999999999999</v>
      </c>
      <c r="I137" s="975">
        <v>0</v>
      </c>
      <c r="J137" s="983">
        <v>14.260999999999999</v>
      </c>
    </row>
    <row r="138" spans="2:10" x14ac:dyDescent="0.25">
      <c r="B138" s="973">
        <v>2.86</v>
      </c>
      <c r="C138" s="974">
        <v>3148.03</v>
      </c>
      <c r="D138" s="977">
        <v>3226.73</v>
      </c>
      <c r="E138" s="974">
        <v>12.32</v>
      </c>
      <c r="F138" s="846">
        <v>59.76</v>
      </c>
      <c r="G138" s="975">
        <v>30.001000000000001</v>
      </c>
      <c r="H138" s="841">
        <v>29.997</v>
      </c>
      <c r="I138" s="975">
        <v>0</v>
      </c>
      <c r="J138" s="983">
        <v>14.173999999999999</v>
      </c>
    </row>
    <row r="139" spans="2:10" x14ac:dyDescent="0.25">
      <c r="B139" s="973">
        <v>2.88</v>
      </c>
      <c r="C139" s="974">
        <v>3172.07</v>
      </c>
      <c r="D139" s="977">
        <v>3251.37</v>
      </c>
      <c r="E139" s="974">
        <v>12.33</v>
      </c>
      <c r="F139" s="846">
        <v>59.78</v>
      </c>
      <c r="G139" s="975">
        <v>30.001000000000001</v>
      </c>
      <c r="H139" s="841">
        <v>29.984999999999999</v>
      </c>
      <c r="I139" s="975">
        <v>0</v>
      </c>
      <c r="J139" s="983">
        <v>14.087999999999999</v>
      </c>
    </row>
    <row r="140" spans="2:10" x14ac:dyDescent="0.25">
      <c r="B140" s="973">
        <v>2.9</v>
      </c>
      <c r="C140" s="974">
        <v>3196.11</v>
      </c>
      <c r="D140" s="977">
        <v>3276.01</v>
      </c>
      <c r="E140" s="974">
        <v>12.32</v>
      </c>
      <c r="F140" s="846">
        <v>59.81</v>
      </c>
      <c r="G140" s="975">
        <v>30.001000000000001</v>
      </c>
      <c r="H140" s="841">
        <v>29.997</v>
      </c>
      <c r="I140" s="975">
        <v>0</v>
      </c>
      <c r="J140" s="983">
        <v>14.004</v>
      </c>
    </row>
    <row r="141" spans="2:10" x14ac:dyDescent="0.25">
      <c r="B141" s="973">
        <v>2.92</v>
      </c>
      <c r="C141" s="974">
        <v>3220.15</v>
      </c>
      <c r="D141" s="977">
        <v>3300.65</v>
      </c>
      <c r="E141" s="974">
        <v>12.31</v>
      </c>
      <c r="F141" s="846">
        <v>59.83</v>
      </c>
      <c r="G141" s="975">
        <v>30.001000000000001</v>
      </c>
      <c r="H141" s="841">
        <v>30.010999999999999</v>
      </c>
      <c r="I141" s="975">
        <v>0</v>
      </c>
      <c r="J141" s="983">
        <v>13.920999999999999</v>
      </c>
    </row>
    <row r="142" spans="2:10" x14ac:dyDescent="0.25">
      <c r="B142" s="973">
        <v>2.94</v>
      </c>
      <c r="C142" s="974">
        <v>3244.19</v>
      </c>
      <c r="D142" s="977">
        <v>3325.29</v>
      </c>
      <c r="E142" s="974">
        <v>12.32</v>
      </c>
      <c r="F142" s="846">
        <v>59.84</v>
      </c>
      <c r="G142" s="975">
        <v>30.001000000000001</v>
      </c>
      <c r="H142" s="841">
        <v>30.013999999999999</v>
      </c>
      <c r="I142" s="975">
        <v>0</v>
      </c>
      <c r="J142" s="983">
        <v>13.84</v>
      </c>
    </row>
    <row r="143" spans="2:10" x14ac:dyDescent="0.25">
      <c r="B143" s="973">
        <v>2.96</v>
      </c>
      <c r="C143" s="974">
        <v>3268.23</v>
      </c>
      <c r="D143" s="977">
        <v>3349.93</v>
      </c>
      <c r="E143" s="974">
        <v>12.32</v>
      </c>
      <c r="F143" s="846">
        <v>59.83</v>
      </c>
      <c r="G143" s="975">
        <v>30.001000000000001</v>
      </c>
      <c r="H143" s="841">
        <v>29.995000000000001</v>
      </c>
      <c r="I143" s="975">
        <v>0</v>
      </c>
      <c r="J143" s="983">
        <v>13.76</v>
      </c>
    </row>
    <row r="144" spans="2:10" x14ac:dyDescent="0.25">
      <c r="B144" s="973">
        <v>2.98</v>
      </c>
      <c r="C144" s="974">
        <v>3292.26</v>
      </c>
      <c r="D144" s="977">
        <v>3374.57</v>
      </c>
      <c r="E144" s="974">
        <v>12.33</v>
      </c>
      <c r="F144" s="846">
        <v>59.83</v>
      </c>
      <c r="G144" s="975">
        <v>30.001000000000001</v>
      </c>
      <c r="H144" s="841">
        <v>29.984000000000002</v>
      </c>
      <c r="I144" s="975">
        <v>0</v>
      </c>
      <c r="J144" s="983">
        <v>13.680999999999999</v>
      </c>
    </row>
    <row r="145" spans="2:10" x14ac:dyDescent="0.25">
      <c r="B145" s="973">
        <v>3</v>
      </c>
      <c r="C145" s="974">
        <v>3316.3</v>
      </c>
      <c r="D145" s="977">
        <v>3399.21</v>
      </c>
      <c r="E145" s="974">
        <v>12.32</v>
      </c>
      <c r="F145" s="846">
        <v>59.83</v>
      </c>
      <c r="G145" s="975">
        <v>30.001000000000001</v>
      </c>
      <c r="H145" s="841">
        <v>29.992000000000001</v>
      </c>
      <c r="I145" s="975">
        <v>0</v>
      </c>
      <c r="J145" s="983">
        <v>13.603</v>
      </c>
    </row>
    <row r="146" spans="2:10" x14ac:dyDescent="0.25">
      <c r="B146" s="973">
        <v>3.02</v>
      </c>
      <c r="C146" s="974">
        <v>3340.34</v>
      </c>
      <c r="D146" s="977">
        <v>3423.85</v>
      </c>
      <c r="E146" s="974">
        <v>12.31</v>
      </c>
      <c r="F146" s="846">
        <v>59.83</v>
      </c>
      <c r="G146" s="975">
        <v>30.001000000000001</v>
      </c>
      <c r="H146" s="841">
        <v>30.013000000000002</v>
      </c>
      <c r="I146" s="975">
        <v>0</v>
      </c>
      <c r="J146" s="983">
        <v>13.526999999999999</v>
      </c>
    </row>
    <row r="147" spans="2:10" x14ac:dyDescent="0.25">
      <c r="B147" s="973">
        <v>3.04</v>
      </c>
      <c r="C147" s="974">
        <v>3364.38</v>
      </c>
      <c r="D147" s="977">
        <v>3448.49</v>
      </c>
      <c r="E147" s="974">
        <v>12.31</v>
      </c>
      <c r="F147" s="846">
        <v>59.84</v>
      </c>
      <c r="G147" s="975">
        <v>30.001000000000001</v>
      </c>
      <c r="H147" s="841">
        <v>30.013000000000002</v>
      </c>
      <c r="I147" s="975">
        <v>0</v>
      </c>
      <c r="J147" s="983">
        <v>13.452</v>
      </c>
    </row>
    <row r="148" spans="2:10" x14ac:dyDescent="0.25">
      <c r="B148" s="973">
        <v>3.06</v>
      </c>
      <c r="C148" s="974">
        <v>3388.42</v>
      </c>
      <c r="D148" s="977">
        <v>3473.13</v>
      </c>
      <c r="E148" s="974">
        <v>12.32</v>
      </c>
      <c r="F148" s="846">
        <v>59.83</v>
      </c>
      <c r="G148" s="975">
        <v>30.001000000000001</v>
      </c>
      <c r="H148" s="841">
        <v>29.995000000000001</v>
      </c>
      <c r="I148" s="975">
        <v>0</v>
      </c>
      <c r="J148" s="983">
        <v>13.378</v>
      </c>
    </row>
    <row r="149" spans="2:10" x14ac:dyDescent="0.25">
      <c r="B149" s="973">
        <v>3.08</v>
      </c>
      <c r="C149" s="974">
        <v>3412.45</v>
      </c>
      <c r="D149" s="977">
        <v>3497.76</v>
      </c>
      <c r="E149" s="974">
        <v>12.33</v>
      </c>
      <c r="F149" s="846">
        <v>59.83</v>
      </c>
      <c r="G149" s="975">
        <v>30.001000000000001</v>
      </c>
      <c r="H149" s="841">
        <v>29.984000000000002</v>
      </c>
      <c r="I149" s="975">
        <v>0</v>
      </c>
      <c r="J149" s="983">
        <v>13.305999999999999</v>
      </c>
    </row>
    <row r="150" spans="2:10" x14ac:dyDescent="0.25">
      <c r="B150" s="973">
        <v>3.1</v>
      </c>
      <c r="C150" s="974">
        <v>3436.49</v>
      </c>
      <c r="D150" s="977">
        <v>3522.4</v>
      </c>
      <c r="E150" s="974">
        <v>12.32</v>
      </c>
      <c r="F150" s="846">
        <v>59.83</v>
      </c>
      <c r="G150" s="975">
        <v>30.001000000000001</v>
      </c>
      <c r="H150" s="841">
        <v>29.992000000000001</v>
      </c>
      <c r="I150" s="975">
        <v>0</v>
      </c>
      <c r="J150" s="983">
        <v>13.234</v>
      </c>
    </row>
    <row r="151" spans="2:10" x14ac:dyDescent="0.25">
      <c r="B151" s="973">
        <v>3.12</v>
      </c>
      <c r="C151" s="974">
        <v>3460.54</v>
      </c>
      <c r="D151" s="977">
        <v>3547.05</v>
      </c>
      <c r="E151" s="974">
        <v>12.31</v>
      </c>
      <c r="F151" s="846">
        <v>59.83</v>
      </c>
      <c r="G151" s="975">
        <v>30.001000000000001</v>
      </c>
      <c r="H151" s="841">
        <v>30.013000000000002</v>
      </c>
      <c r="I151" s="975">
        <v>0</v>
      </c>
      <c r="J151" s="983">
        <v>13.164</v>
      </c>
    </row>
    <row r="152" spans="2:10" x14ac:dyDescent="0.25">
      <c r="B152" s="973">
        <v>3.14</v>
      </c>
      <c r="C152" s="974">
        <v>3484.58</v>
      </c>
      <c r="D152" s="977">
        <v>3571.69</v>
      </c>
      <c r="E152" s="974">
        <v>12.31</v>
      </c>
      <c r="F152" s="846">
        <v>59.84</v>
      </c>
      <c r="G152" s="975">
        <v>30.001000000000001</v>
      </c>
      <c r="H152" s="841">
        <v>30.016999999999999</v>
      </c>
      <c r="I152" s="975">
        <v>0</v>
      </c>
      <c r="J152" s="983">
        <v>13.093999999999999</v>
      </c>
    </row>
    <row r="153" spans="2:10" x14ac:dyDescent="0.25">
      <c r="B153" s="973">
        <v>3.16</v>
      </c>
      <c r="C153" s="974">
        <v>3508.61</v>
      </c>
      <c r="D153" s="977">
        <v>3596.33</v>
      </c>
      <c r="E153" s="974">
        <v>12.32</v>
      </c>
      <c r="F153" s="846">
        <v>59.83</v>
      </c>
      <c r="G153" s="975">
        <v>30.001000000000001</v>
      </c>
      <c r="H153" s="841">
        <v>29.994</v>
      </c>
      <c r="I153" s="975">
        <v>0</v>
      </c>
      <c r="J153" s="983">
        <v>13.026</v>
      </c>
    </row>
    <row r="154" spans="2:10" x14ac:dyDescent="0.25">
      <c r="B154" s="973">
        <v>3.18</v>
      </c>
      <c r="C154" s="974">
        <v>3532.65</v>
      </c>
      <c r="D154" s="977">
        <v>3620.96</v>
      </c>
      <c r="E154" s="974">
        <v>12.33</v>
      </c>
      <c r="F154" s="846">
        <v>59.83</v>
      </c>
      <c r="G154" s="975">
        <v>30.001000000000001</v>
      </c>
      <c r="H154" s="841">
        <v>29.98</v>
      </c>
      <c r="I154" s="975">
        <v>0</v>
      </c>
      <c r="J154" s="983">
        <v>12.959</v>
      </c>
    </row>
    <row r="155" spans="2:10" x14ac:dyDescent="0.25">
      <c r="B155" s="973">
        <v>3.2</v>
      </c>
      <c r="C155" s="974">
        <v>3556.69</v>
      </c>
      <c r="D155" s="977">
        <v>3645.6</v>
      </c>
      <c r="E155" s="974">
        <v>12.32</v>
      </c>
      <c r="F155" s="846">
        <v>59.83</v>
      </c>
      <c r="G155" s="975">
        <v>30.001000000000001</v>
      </c>
      <c r="H155" s="841">
        <v>29.992999999999999</v>
      </c>
      <c r="I155" s="975">
        <v>0</v>
      </c>
      <c r="J155" s="983">
        <v>12.893000000000001</v>
      </c>
    </row>
    <row r="156" spans="2:10" x14ac:dyDescent="0.25">
      <c r="B156" s="973">
        <v>3.206</v>
      </c>
      <c r="C156" s="974">
        <v>3563.9</v>
      </c>
      <c r="D156" s="977">
        <v>3652.99</v>
      </c>
      <c r="E156" s="974">
        <v>12.33</v>
      </c>
      <c r="F156" s="846">
        <v>59.83</v>
      </c>
      <c r="G156" s="975">
        <v>30.001000000000001</v>
      </c>
      <c r="H156" s="841">
        <v>29.983000000000001</v>
      </c>
      <c r="I156" s="975">
        <v>0</v>
      </c>
      <c r="J156" s="983">
        <v>12.872999999999999</v>
      </c>
    </row>
    <row r="157" spans="2:10" x14ac:dyDescent="0.25">
      <c r="B157" s="973">
        <v>3.22</v>
      </c>
      <c r="C157" s="974">
        <v>3580.73</v>
      </c>
      <c r="D157" s="977">
        <v>3670.25</v>
      </c>
      <c r="E157" s="974">
        <v>12.31</v>
      </c>
      <c r="F157" s="846">
        <v>59.83</v>
      </c>
      <c r="G157" s="975">
        <v>30.001000000000001</v>
      </c>
      <c r="H157" s="841">
        <v>30.015000000000001</v>
      </c>
      <c r="I157" s="975">
        <v>0</v>
      </c>
      <c r="J157" s="983">
        <v>12.827</v>
      </c>
    </row>
    <row r="158" spans="2:10" x14ac:dyDescent="0.25">
      <c r="B158" s="973">
        <v>3.24</v>
      </c>
      <c r="C158" s="974">
        <v>3604.77</v>
      </c>
      <c r="D158" s="977">
        <v>3694.89</v>
      </c>
      <c r="E158" s="974">
        <v>12.31</v>
      </c>
      <c r="F158" s="846">
        <v>59.84</v>
      </c>
      <c r="G158" s="975">
        <v>30.001000000000001</v>
      </c>
      <c r="H158" s="841">
        <v>30.015000000000001</v>
      </c>
      <c r="I158" s="975">
        <v>0</v>
      </c>
      <c r="J158" s="983">
        <v>12.763</v>
      </c>
    </row>
    <row r="159" spans="2:10" x14ac:dyDescent="0.25">
      <c r="B159" s="973">
        <v>3.26</v>
      </c>
      <c r="C159" s="974">
        <v>3628.8</v>
      </c>
      <c r="D159" s="977">
        <v>3719.52</v>
      </c>
      <c r="E159" s="974">
        <v>12.32</v>
      </c>
      <c r="F159" s="846">
        <v>59.83</v>
      </c>
      <c r="G159" s="975">
        <v>30.001000000000001</v>
      </c>
      <c r="H159" s="841">
        <v>29.992000000000001</v>
      </c>
      <c r="I159" s="975">
        <v>0</v>
      </c>
      <c r="J159" s="983">
        <v>12.7</v>
      </c>
    </row>
    <row r="160" spans="2:10" x14ac:dyDescent="0.25">
      <c r="B160" s="973">
        <v>3.28</v>
      </c>
      <c r="C160" s="974">
        <v>3652.84</v>
      </c>
      <c r="D160" s="977">
        <v>3744.16</v>
      </c>
      <c r="E160" s="974">
        <v>12.33</v>
      </c>
      <c r="F160" s="846">
        <v>59.83</v>
      </c>
      <c r="G160" s="975">
        <v>30.001000000000001</v>
      </c>
      <c r="H160" s="841">
        <v>29.984999999999999</v>
      </c>
      <c r="I160" s="975">
        <v>0</v>
      </c>
      <c r="J160" s="983">
        <v>12.638999999999999</v>
      </c>
    </row>
    <row r="161" spans="2:10" x14ac:dyDescent="0.25">
      <c r="B161" s="973">
        <v>3.3</v>
      </c>
      <c r="C161" s="974">
        <v>3676.88</v>
      </c>
      <c r="D161" s="977">
        <v>3768.8</v>
      </c>
      <c r="E161" s="974">
        <v>12.32</v>
      </c>
      <c r="F161" s="846">
        <v>59.83</v>
      </c>
      <c r="G161" s="975">
        <v>30.001000000000001</v>
      </c>
      <c r="H161" s="841">
        <v>29.992000000000001</v>
      </c>
      <c r="I161" s="975">
        <v>0</v>
      </c>
      <c r="J161" s="983">
        <v>12.577</v>
      </c>
    </row>
    <row r="162" spans="2:10" x14ac:dyDescent="0.25">
      <c r="B162" s="973">
        <v>3.32</v>
      </c>
      <c r="C162" s="974">
        <v>3700.92</v>
      </c>
      <c r="D162" s="977">
        <v>3793.45</v>
      </c>
      <c r="E162" s="974">
        <v>12.31</v>
      </c>
      <c r="F162" s="846">
        <v>59.84</v>
      </c>
      <c r="G162" s="975">
        <v>30</v>
      </c>
      <c r="H162" s="841">
        <v>30.013000000000002</v>
      </c>
      <c r="I162" s="975">
        <v>0</v>
      </c>
      <c r="J162" s="983">
        <v>12.516999999999999</v>
      </c>
    </row>
    <row r="163" spans="2:10" x14ac:dyDescent="0.25">
      <c r="B163" s="973">
        <v>3.34</v>
      </c>
      <c r="C163" s="974">
        <v>3724.96</v>
      </c>
      <c r="D163" s="977">
        <v>3818.09</v>
      </c>
      <c r="E163" s="974">
        <v>12.31</v>
      </c>
      <c r="F163" s="846">
        <v>59.84</v>
      </c>
      <c r="G163" s="975">
        <v>30</v>
      </c>
      <c r="H163" s="841">
        <v>30.018000000000001</v>
      </c>
      <c r="I163" s="975">
        <v>0</v>
      </c>
      <c r="J163" s="983">
        <v>12.457000000000001</v>
      </c>
    </row>
    <row r="164" spans="2:10" x14ac:dyDescent="0.25">
      <c r="B164" s="973">
        <v>3.36</v>
      </c>
      <c r="C164" s="974">
        <v>3749</v>
      </c>
      <c r="D164" s="977">
        <v>3842.72</v>
      </c>
      <c r="E164" s="974">
        <v>12.32</v>
      </c>
      <c r="F164" s="846">
        <v>59.83</v>
      </c>
      <c r="G164" s="975">
        <v>30.001000000000001</v>
      </c>
      <c r="H164" s="841">
        <v>29.994</v>
      </c>
      <c r="I164" s="975">
        <v>0</v>
      </c>
      <c r="J164" s="983">
        <v>12.4</v>
      </c>
    </row>
    <row r="165" spans="2:10" x14ac:dyDescent="0.25">
      <c r="B165" s="973">
        <v>3.38</v>
      </c>
      <c r="C165" s="974">
        <v>3773.03</v>
      </c>
      <c r="D165" s="977">
        <v>3867.36</v>
      </c>
      <c r="E165" s="974">
        <v>12.33</v>
      </c>
      <c r="F165" s="846">
        <v>59.83</v>
      </c>
      <c r="G165" s="975">
        <v>30.001000000000001</v>
      </c>
      <c r="H165" s="841">
        <v>29.981999999999999</v>
      </c>
      <c r="I165" s="975">
        <v>0</v>
      </c>
      <c r="J165" s="983">
        <v>12.340999999999999</v>
      </c>
    </row>
    <row r="166" spans="2:10" x14ac:dyDescent="0.25">
      <c r="B166" s="973">
        <v>3.4</v>
      </c>
      <c r="C166" s="974">
        <v>3797.07</v>
      </c>
      <c r="D166" s="977">
        <v>3892</v>
      </c>
      <c r="E166" s="974">
        <v>12.32</v>
      </c>
      <c r="F166" s="846">
        <v>59.83</v>
      </c>
      <c r="G166" s="975">
        <v>30.001000000000001</v>
      </c>
      <c r="H166" s="841">
        <v>29.99</v>
      </c>
      <c r="I166" s="975">
        <v>0</v>
      </c>
      <c r="J166" s="983">
        <v>12.285</v>
      </c>
    </row>
  </sheetData>
  <mergeCells count="2">
    <mergeCell ref="E1:F1"/>
    <mergeCell ref="B2:C2"/>
  </mergeCells>
  <pageMargins left="0.7" right="0.7" top="0.75" bottom="0.75" header="0.3" footer="0.3"/>
  <ignoredErrors>
    <ignoredError sqref="D3" formula="1"/>
    <ignoredError sqref="C10:C166" calculatedColumn="1"/>
  </ignoredErrors>
  <drawing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euil13"/>
  <dimension ref="B1:S342"/>
  <sheetViews>
    <sheetView zoomScale="85" zoomScaleNormal="85" workbookViewId="0">
      <pane ySplit="11" topLeftCell="A12" activePane="bottomLeft" state="frozenSplit"/>
      <selection activeCell="K36" sqref="K36"/>
      <selection pane="bottomLeft" activeCell="N14" sqref="N14"/>
    </sheetView>
  </sheetViews>
  <sheetFormatPr baseColWidth="10" defaultRowHeight="15" x14ac:dyDescent="0.25"/>
  <cols>
    <col min="1" max="1" width="5.5703125" style="33" customWidth="1"/>
    <col min="3" max="3" width="12.42578125" customWidth="1"/>
    <col min="4" max="4" width="12.5703125" customWidth="1"/>
    <col min="5" max="5" width="12" customWidth="1"/>
    <col min="6" max="6" width="14.42578125" customWidth="1"/>
    <col min="7" max="7" width="13.140625" customWidth="1"/>
    <col min="8" max="8" width="6.7109375" customWidth="1"/>
    <col min="9" max="9" width="7.5703125" style="33" customWidth="1"/>
    <col min="10" max="10" width="11.85546875" customWidth="1"/>
    <col min="11" max="11" width="16" customWidth="1"/>
    <col min="12" max="19" width="8.7109375" customWidth="1"/>
    <col min="20" max="16384" width="11.42578125" style="33"/>
  </cols>
  <sheetData>
    <row r="1" spans="2:19" x14ac:dyDescent="0.25">
      <c r="B1" s="33"/>
      <c r="C1" s="33"/>
      <c r="D1" s="33"/>
      <c r="E1" s="33"/>
      <c r="F1" s="33"/>
      <c r="G1" s="33"/>
      <c r="H1" s="33"/>
      <c r="J1" s="33"/>
      <c r="K1" s="33"/>
      <c r="L1" s="33"/>
      <c r="M1" s="33"/>
      <c r="N1" s="33"/>
      <c r="O1" s="33"/>
      <c r="P1" s="33"/>
      <c r="Q1" s="33"/>
      <c r="R1" s="33"/>
      <c r="S1" s="33"/>
    </row>
    <row r="2" spans="2:19" x14ac:dyDescent="0.25">
      <c r="B2" s="1039" t="s">
        <v>305</v>
      </c>
      <c r="C2" s="1040"/>
      <c r="D2" s="1040"/>
      <c r="E2" s="1040"/>
      <c r="F2" s="1041"/>
      <c r="G2" s="336"/>
      <c r="H2" s="336"/>
      <c r="I2" s="309" t="s">
        <v>291</v>
      </c>
      <c r="J2" s="315">
        <f ca="1">Displacement</f>
        <v>1060</v>
      </c>
      <c r="K2" s="303">
        <f t="shared" ref="K2:S2" ca="1" si="0">($J$4-$J$2)/($J$4-$J$3)*K$3+($J$2-$J$3)/($J$4-$J$3)*K$4</f>
        <v>0</v>
      </c>
      <c r="L2" s="303">
        <f t="shared" ca="1" si="0"/>
        <v>-1.0999999999999999E-2</v>
      </c>
      <c r="M2" s="303">
        <f t="shared" ca="1" si="0"/>
        <v>1.2130000000000001</v>
      </c>
      <c r="N2" s="303">
        <f t="shared" ca="1" si="0"/>
        <v>3.056</v>
      </c>
      <c r="O2" s="303">
        <f t="shared" ca="1" si="0"/>
        <v>5.1890000000000001</v>
      </c>
      <c r="P2" s="303">
        <f t="shared" ca="1" si="0"/>
        <v>6.1479999999999997</v>
      </c>
      <c r="Q2" s="303">
        <f t="shared" ca="1" si="0"/>
        <v>6.6890000000000001</v>
      </c>
      <c r="R2" s="303">
        <f t="shared" ca="1" si="0"/>
        <v>7.0819999999999999</v>
      </c>
      <c r="S2" s="303">
        <f t="shared" ca="1" si="0"/>
        <v>6.8520000000000003</v>
      </c>
    </row>
    <row r="3" spans="2:19" x14ac:dyDescent="0.25">
      <c r="B3" s="1042" t="s">
        <v>13</v>
      </c>
      <c r="C3" s="1043"/>
      <c r="D3" s="56" t="s">
        <v>304</v>
      </c>
      <c r="E3" s="185" t="s">
        <v>303</v>
      </c>
      <c r="F3" s="318" t="s">
        <v>151</v>
      </c>
      <c r="G3" s="33"/>
      <c r="H3" s="33"/>
      <c r="I3" s="310">
        <f ca="1">MATCH($J$2,Tbl_KN[Displ.],1)</f>
        <v>57</v>
      </c>
      <c r="J3" s="305">
        <f ca="1">INDEX(Tbl_KN[Displ.],$I3)</f>
        <v>1060</v>
      </c>
      <c r="K3" s="300">
        <f ca="1">INDEX(Tbl_KN[Tφ=0],$I3)</f>
        <v>0</v>
      </c>
      <c r="L3" s="300">
        <f ca="1">INDEX(Tbl_KN[0,00],$I3)</f>
        <v>-1.0999999999999999E-2</v>
      </c>
      <c r="M3" s="300">
        <f ca="1">INDEX(Tbl_KN[2,00],$I3)</f>
        <v>1.2130000000000001</v>
      </c>
      <c r="N3" s="300">
        <f ca="1">INDEX(Tbl_KN[5,00],$I3)</f>
        <v>3.056</v>
      </c>
      <c r="O3" s="300">
        <f ca="1">INDEX(Tbl_KN[10,00],$I3)</f>
        <v>5.1890000000000001</v>
      </c>
      <c r="P3" s="300">
        <f ca="1">INDEX(Tbl_KN[15,00],$I3)</f>
        <v>6.1479999999999997</v>
      </c>
      <c r="Q3" s="300">
        <f ca="1">INDEX(Tbl_KN[20,00],$I3)</f>
        <v>6.6890000000000001</v>
      </c>
      <c r="R3" s="300">
        <f ca="1">INDEX(Tbl_KN[30,00],$I3)</f>
        <v>7.0819999999999999</v>
      </c>
      <c r="S3" s="300">
        <f ca="1">INDEX(Tbl_KN[40,00],$I3)</f>
        <v>6.8520000000000003</v>
      </c>
    </row>
    <row r="4" spans="2:19" x14ac:dyDescent="0.25">
      <c r="B4" s="1044" t="s">
        <v>48</v>
      </c>
      <c r="C4" s="1045"/>
      <c r="D4" s="342">
        <f ca="1">INDEX(Tbl_KN_Charts[G''N sin(φ)],MATCH(30,Tbl_KN_Charts[List],0))</f>
        <v>5.0819999999999999</v>
      </c>
      <c r="E4" s="338">
        <v>0.2</v>
      </c>
      <c r="F4" s="141" t="str">
        <f ca="1">IF(D4&gt;=E4,"OK","KO")</f>
        <v>OK</v>
      </c>
      <c r="G4" s="33"/>
      <c r="H4" s="33"/>
      <c r="I4" s="311">
        <f ca="1">I3+1</f>
        <v>58</v>
      </c>
      <c r="J4" s="306">
        <f ca="1">INDEX(Tbl_KN[Displ.],$I4)</f>
        <v>1070</v>
      </c>
      <c r="K4" s="307">
        <f ca="1">INDEX(Tbl_KN[Tφ=0],$I4)</f>
        <v>0</v>
      </c>
      <c r="L4" s="307">
        <f ca="1">INDEX(Tbl_KN[0,00],$I4)</f>
        <v>-1.0999999999999999E-2</v>
      </c>
      <c r="M4" s="307">
        <f ca="1">INDEX(Tbl_KN[2,00],$I4)</f>
        <v>1.2030000000000001</v>
      </c>
      <c r="N4" s="307">
        <f ca="1">INDEX(Tbl_KN[5,00],$I4)</f>
        <v>3.03</v>
      </c>
      <c r="O4" s="307">
        <f ca="1">INDEX(Tbl_KN[10,00],$I4)</f>
        <v>5.1680000000000001</v>
      </c>
      <c r="P4" s="307">
        <f ca="1">INDEX(Tbl_KN[15,00],$I4)</f>
        <v>6.133</v>
      </c>
      <c r="Q4" s="307">
        <f ca="1">INDEX(Tbl_KN[20,00],$I4)</f>
        <v>6.6760000000000002</v>
      </c>
      <c r="R4" s="307">
        <f ca="1">INDEX(Tbl_KN[30,00],$I4)</f>
        <v>7.069</v>
      </c>
      <c r="S4" s="307">
        <f ca="1">INDEX(Tbl_KN[40,00],$I4)</f>
        <v>6.8390000000000004</v>
      </c>
    </row>
    <row r="5" spans="2:19" x14ac:dyDescent="0.25">
      <c r="B5" s="1044" t="s">
        <v>50</v>
      </c>
      <c r="C5" s="1045"/>
      <c r="D5" s="343">
        <f ca="1">C9</f>
        <v>20</v>
      </c>
      <c r="E5" s="339">
        <v>15</v>
      </c>
      <c r="F5" s="141" t="str">
        <f ca="1">IF(D5&gt;=E5,"OK","KO")</f>
        <v>OK</v>
      </c>
      <c r="G5" s="33"/>
      <c r="H5" s="33"/>
      <c r="J5" s="319"/>
      <c r="K5" s="33"/>
      <c r="L5" s="319"/>
      <c r="M5" s="319"/>
      <c r="N5" s="319"/>
      <c r="O5" s="319"/>
      <c r="P5" s="319"/>
      <c r="Q5" s="319"/>
      <c r="R5" s="319"/>
      <c r="S5" s="319"/>
    </row>
    <row r="6" spans="2:19" x14ac:dyDescent="0.25">
      <c r="B6" s="1044" t="s">
        <v>49</v>
      </c>
      <c r="C6" s="1045"/>
      <c r="D6" s="346">
        <f ca="1">SUMIF(Tbl_KN_Charts[flag],1,Tbl_KN_Charts[Trapeze])</f>
        <v>1.7248887401416764</v>
      </c>
      <c r="E6" s="340">
        <v>0.15</v>
      </c>
      <c r="F6" s="141" t="str">
        <f ca="1">IF(D6&gt;=E6,"OK","KO")</f>
        <v>OK</v>
      </c>
      <c r="G6" s="33"/>
      <c r="H6" s="33"/>
      <c r="J6" s="320" t="s">
        <v>36</v>
      </c>
      <c r="K6" s="320"/>
      <c r="L6" s="320"/>
      <c r="M6" s="320"/>
      <c r="N6" s="320"/>
      <c r="O6" s="320"/>
      <c r="P6" s="320"/>
      <c r="Q6" s="320"/>
      <c r="R6" s="320"/>
      <c r="S6" s="320"/>
    </row>
    <row r="7" spans="2:19" x14ac:dyDescent="0.25">
      <c r="B7" s="1037" t="s">
        <v>51</v>
      </c>
      <c r="C7" s="1038"/>
      <c r="D7" s="344">
        <f ca="1">SUM(Tbl_KN_Charts[Tmax])</f>
        <v>1.3062038407781604</v>
      </c>
      <c r="E7" s="341">
        <f ca="1">0.055+0.001*(30-C9)</f>
        <v>6.5000000000000002E-2</v>
      </c>
      <c r="F7" s="337" t="str">
        <f ca="1">IF(D7&gt;=E7,"OK","KO")</f>
        <v>OK</v>
      </c>
      <c r="G7" s="33"/>
      <c r="H7" s="33"/>
      <c r="J7" s="321" t="s">
        <v>63</v>
      </c>
      <c r="K7" s="321"/>
      <c r="L7" s="321"/>
      <c r="M7" s="321"/>
      <c r="N7" s="321"/>
      <c r="O7" s="321"/>
      <c r="P7" s="321"/>
      <c r="Q7" s="321"/>
      <c r="R7" s="321"/>
      <c r="S7" s="321"/>
    </row>
    <row r="8" spans="2:19" x14ac:dyDescent="0.25">
      <c r="B8" s="33"/>
      <c r="C8" s="33"/>
      <c r="D8" s="33"/>
      <c r="E8" s="33"/>
      <c r="F8" s="33"/>
      <c r="G8" s="33"/>
      <c r="H8" s="33"/>
      <c r="J8" s="321" t="s">
        <v>37</v>
      </c>
      <c r="K8" s="321"/>
      <c r="L8" s="321"/>
      <c r="M8" s="321"/>
      <c r="N8" s="321"/>
      <c r="O8" s="321"/>
      <c r="P8" s="321"/>
      <c r="Q8" s="321"/>
      <c r="R8" s="321"/>
      <c r="S8" s="321"/>
    </row>
    <row r="9" spans="2:19" x14ac:dyDescent="0.25">
      <c r="B9" s="332">
        <f ca="1">MATCH($E$9,Tbl_KN_Charts[G''N sin(φ)],0)</f>
        <v>6</v>
      </c>
      <c r="C9" s="333">
        <f ca="1">INDEX(Tbl_KN_Charts[List],$B$9)</f>
        <v>20</v>
      </c>
      <c r="D9" s="323" t="s">
        <v>302</v>
      </c>
      <c r="E9" s="334">
        <f t="array" aca="1" ref="E9" ca="1">MAX(IF(ISNA(Tbl_KN_Charts[G''N sin(φ)]),,Tbl_KN_Charts[G''N sin(φ)]))</f>
        <v>5.3209194266973254</v>
      </c>
      <c r="F9" s="33"/>
      <c r="G9" s="33"/>
      <c r="H9" s="33"/>
      <c r="J9" s="321" t="s">
        <v>41</v>
      </c>
      <c r="K9" s="321"/>
      <c r="L9" s="321"/>
      <c r="M9" s="321"/>
      <c r="N9" s="321"/>
      <c r="O9" s="321"/>
      <c r="P9" s="321"/>
      <c r="Q9" s="321"/>
      <c r="R9" s="321"/>
      <c r="S9" s="321"/>
    </row>
    <row r="10" spans="2:19" ht="15" customHeight="1" x14ac:dyDescent="0.25">
      <c r="B10" s="331" t="s">
        <v>295</v>
      </c>
      <c r="C10" s="322" t="s">
        <v>295</v>
      </c>
      <c r="D10" s="322" t="s">
        <v>296</v>
      </c>
      <c r="E10" s="322" t="s">
        <v>296</v>
      </c>
      <c r="F10" s="323" t="s">
        <v>297</v>
      </c>
      <c r="G10" s="323" t="s">
        <v>297</v>
      </c>
      <c r="H10" s="324"/>
      <c r="J10" s="313" t="s">
        <v>40</v>
      </c>
      <c r="K10" s="314" t="s">
        <v>12</v>
      </c>
      <c r="L10" s="1036" t="s">
        <v>39</v>
      </c>
      <c r="M10" s="1036"/>
      <c r="N10" s="1036"/>
      <c r="O10" s="1036"/>
      <c r="P10" s="1036"/>
      <c r="Q10" s="1036"/>
      <c r="R10" s="1036"/>
      <c r="S10" s="1036"/>
    </row>
    <row r="11" spans="2:19" ht="24.75" customHeight="1" x14ac:dyDescent="0.25">
      <c r="B11" s="154" t="s">
        <v>269</v>
      </c>
      <c r="C11" s="326" t="s">
        <v>421</v>
      </c>
      <c r="D11" s="326" t="s">
        <v>298</v>
      </c>
      <c r="E11" s="326" t="s">
        <v>300</v>
      </c>
      <c r="F11" s="326" t="s">
        <v>301</v>
      </c>
      <c r="G11" s="327" t="s">
        <v>299</v>
      </c>
      <c r="H11" s="326" t="s">
        <v>306</v>
      </c>
      <c r="J11" s="839" t="s">
        <v>38</v>
      </c>
      <c r="K11" s="840" t="s">
        <v>294</v>
      </c>
      <c r="L11" s="312" t="s">
        <v>548</v>
      </c>
      <c r="M11" s="312" t="s">
        <v>549</v>
      </c>
      <c r="N11" s="312" t="s">
        <v>550</v>
      </c>
      <c r="O11" s="312" t="s">
        <v>551</v>
      </c>
      <c r="P11" s="312" t="s">
        <v>552</v>
      </c>
      <c r="Q11" s="312" t="s">
        <v>553</v>
      </c>
      <c r="R11" s="312" t="s">
        <v>554</v>
      </c>
      <c r="S11" s="312" t="s">
        <v>555</v>
      </c>
    </row>
    <row r="12" spans="2:19" x14ac:dyDescent="0.25">
      <c r="B12" s="325">
        <f>IF(ISNUMBER($B11),$B11+1,1)</f>
        <v>1</v>
      </c>
      <c r="C12" s="329">
        <f>IF(INDEX($L$11:$ZI$11,Tbl_KN_Charts[[#This Row],[N]])&lt;&gt;"",VALUE(INDEX($L$11:$ZI$11,Tbl_KN_Charts[[#This Row],[N]])),NA())</f>
        <v>0</v>
      </c>
      <c r="D12" s="263">
        <f ca="1">IF(INDEX($L$2:$ZP$2,Tbl_KN_Charts[[#This Row],[N]])&lt;&gt;"",VALUE(INDEX($L$2:$ZP$2,Tbl_KN_Charts[[#This Row],[N]])),NA())</f>
        <v>-1.0999999999999999E-2</v>
      </c>
      <c r="E12" s="328">
        <f ca="1">Tbl_KN_Charts[[#This Row],[KN sin(φ) ]]-(KG+ixꙍ/Displacement)*SIN(Tbl_KN_Charts[[#This Row],[List]]*PI()/180)-TCG*SIN(Tbl_KN_Charts[[#This Row],[List]]*PI()/180)</f>
        <v>-1.0999999999999999E-2</v>
      </c>
      <c r="F12" s="330" t="str">
        <f t="shared" ref="F12:F33" ca="1" si="1">IFERROR((E11+E12)/2*(C12-C11)*PI()/180,"")</f>
        <v/>
      </c>
      <c r="G12" s="335" t="str">
        <f ca="1">IF(Tbl_KN_Charts[[#This Row],[N]]&lt;=$B$9,Tbl_KN_Charts[[#This Row],[Trapeze]],"")</f>
        <v/>
      </c>
      <c r="H12" s="345">
        <f>IFERROR(IF(AND(Tbl_KN_Charts[[#This Row],[List]]&gt;=30,Tbl_KN_Charts[[#This Row],[List]]&lt;=40),1,0),0)</f>
        <v>0</v>
      </c>
      <c r="J12" s="836">
        <v>500</v>
      </c>
      <c r="K12" s="837"/>
      <c r="L12" s="837">
        <v>-1.2E-2</v>
      </c>
      <c r="M12" s="837">
        <v>2.468</v>
      </c>
      <c r="N12" s="837">
        <v>5.1429999999999998</v>
      </c>
      <c r="O12" s="837">
        <v>6.6020000000000003</v>
      </c>
      <c r="P12" s="837">
        <v>7.2060000000000004</v>
      </c>
      <c r="Q12" s="838">
        <v>7.5010000000000003</v>
      </c>
      <c r="R12" s="837">
        <v>7.6269999999999998</v>
      </c>
      <c r="S12" s="837">
        <v>7.3680000000000003</v>
      </c>
    </row>
    <row r="13" spans="2:19" x14ac:dyDescent="0.25">
      <c r="B13" s="325">
        <f t="shared" ref="B13:B18" si="2">IF(ISNUMBER($B12),$B12+1,1)</f>
        <v>2</v>
      </c>
      <c r="C13" s="329">
        <f>IF(INDEX($L$11:$ZI$11,Tbl_KN_Charts[[#This Row],[N]])&lt;&gt;"",VALUE(INDEX($L$11:$ZI$11,Tbl_KN_Charts[[#This Row],[N]])),NA())</f>
        <v>2</v>
      </c>
      <c r="D13" s="263">
        <f ca="1">IF(INDEX($L$2:$ZP$2,Tbl_KN_Charts[[#This Row],[N]])&lt;&gt;"",VALUE(INDEX($L$2:$ZP$2,Tbl_KN_Charts[[#This Row],[N]])),NA())</f>
        <v>1.2130000000000001</v>
      </c>
      <c r="E13" s="328">
        <f ca="1">Tbl_KN_Charts[[#This Row],[KN sin(φ) ]]-(KG+ixꙍ/Displacement)*SIN(Tbl_KN_Charts[[#This Row],[List]]*PI()/180)-TCG*SIN(Tbl_KN_Charts[[#This Row],[List]]*PI()/180)</f>
        <v>1.0734020131899962</v>
      </c>
      <c r="F13" s="330">
        <f t="shared" ca="1" si="1"/>
        <v>1.854241310998166E-2</v>
      </c>
      <c r="G13" s="335">
        <f ca="1">IF(Tbl_KN_Charts[[#This Row],[N]]&lt;=$B$9,Tbl_KN_Charts[[#This Row],[Trapeze]],"")</f>
        <v>1.854241310998166E-2</v>
      </c>
      <c r="H13" s="345">
        <f>IFERROR(IF(AND(Tbl_KN_Charts[[#This Row],[List]]&gt;=30,Tbl_KN_Charts[[#This Row],[List]]&lt;=40),1,0),0)</f>
        <v>0</v>
      </c>
      <c r="J13" s="836">
        <v>510</v>
      </c>
      <c r="K13" s="837"/>
      <c r="L13" s="837">
        <v>-1.2E-2</v>
      </c>
      <c r="M13" s="837">
        <v>2.4220000000000002</v>
      </c>
      <c r="N13" s="837">
        <v>5.0970000000000004</v>
      </c>
      <c r="O13" s="837">
        <v>6.5709999999999997</v>
      </c>
      <c r="P13" s="837">
        <v>7.1829999999999998</v>
      </c>
      <c r="Q13" s="837">
        <v>7.4829999999999997</v>
      </c>
      <c r="R13" s="837">
        <v>7.617</v>
      </c>
      <c r="S13" s="837">
        <v>7.3650000000000002</v>
      </c>
    </row>
    <row r="14" spans="2:19" x14ac:dyDescent="0.25">
      <c r="B14" s="325">
        <f t="shared" si="2"/>
        <v>3</v>
      </c>
      <c r="C14" s="329">
        <f>IF(INDEX($L$11:$ZI$11,Tbl_KN_Charts[[#This Row],[N]])&lt;&gt;"",VALUE(INDEX($L$11:$ZI$11,Tbl_KN_Charts[[#This Row],[N]])),NA())</f>
        <v>5</v>
      </c>
      <c r="D14" s="263">
        <f ca="1">IF(INDEX($L$2:$ZP$2,Tbl_KN_Charts[[#This Row],[N]])&lt;&gt;"",VALUE(INDEX($L$2:$ZP$2,Tbl_KN_Charts[[#This Row],[N]])),NA())</f>
        <v>3.056</v>
      </c>
      <c r="E14" s="328">
        <f ca="1">Tbl_KN_Charts[[#This Row],[KN sin(φ) ]]-(KG+ixꙍ/Displacement)*SIN(Tbl_KN_Charts[[#This Row],[List]]*PI()/180)-TCG*SIN(Tbl_KN_Charts[[#This Row],[List]]*PI()/180)</f>
        <v>2.7073770290093675</v>
      </c>
      <c r="F14" s="330">
        <f t="shared" ca="1" si="1"/>
        <v>9.8980563865164795E-2</v>
      </c>
      <c r="G14" s="335">
        <f ca="1">IF(Tbl_KN_Charts[[#This Row],[N]]&lt;=$B$9,Tbl_KN_Charts[[#This Row],[Trapeze]],"")</f>
        <v>9.8980563865164795E-2</v>
      </c>
      <c r="H14" s="345">
        <f>IFERROR(IF(AND(Tbl_KN_Charts[[#This Row],[List]]&gt;=30,Tbl_KN_Charts[[#This Row],[List]]&lt;=40),1,0),0)</f>
        <v>0</v>
      </c>
      <c r="J14" s="836">
        <v>520</v>
      </c>
      <c r="K14" s="837"/>
      <c r="L14" s="837">
        <v>-1.2E-2</v>
      </c>
      <c r="M14" s="837">
        <v>2.3769999999999998</v>
      </c>
      <c r="N14" s="837">
        <v>5.05</v>
      </c>
      <c r="O14" s="837">
        <v>6.54</v>
      </c>
      <c r="P14" s="837">
        <v>7.1589999999999998</v>
      </c>
      <c r="Q14" s="837">
        <v>7.4660000000000002</v>
      </c>
      <c r="R14" s="837">
        <v>7.6079999999999997</v>
      </c>
      <c r="S14" s="837">
        <v>7.3620000000000001</v>
      </c>
    </row>
    <row r="15" spans="2:19" x14ac:dyDescent="0.25">
      <c r="B15" s="325">
        <f t="shared" si="2"/>
        <v>4</v>
      </c>
      <c r="C15" s="329">
        <f>IF(INDEX($L$11:$ZI$11,Tbl_KN_Charts[[#This Row],[N]])&lt;&gt;"",VALUE(INDEX($L$11:$ZI$11,Tbl_KN_Charts[[#This Row],[N]])),NA())</f>
        <v>10</v>
      </c>
      <c r="D15" s="263">
        <f ca="1">IF(INDEX($L$2:$ZP$2,Tbl_KN_Charts[[#This Row],[N]])&lt;&gt;"",VALUE(INDEX($L$2:$ZP$2,Tbl_KN_Charts[[#This Row],[N]])),NA())</f>
        <v>5.1890000000000001</v>
      </c>
      <c r="E15" s="328">
        <f ca="1">Tbl_KN_Charts[[#This Row],[KN sin(φ) ]]-(KG+ixꙍ/Displacement)*SIN(Tbl_KN_Charts[[#This Row],[List]]*PI()/180)-TCG*SIN(Tbl_KN_Charts[[#This Row],[List]]*PI()/180)</f>
        <v>4.4944072893322788</v>
      </c>
      <c r="F15" s="330">
        <f t="shared" ca="1" si="1"/>
        <v>0.31423712093389294</v>
      </c>
      <c r="G15" s="335">
        <f ca="1">IF(Tbl_KN_Charts[[#This Row],[N]]&lt;=$B$9,Tbl_KN_Charts[[#This Row],[Trapeze]],"")</f>
        <v>0.31423712093389294</v>
      </c>
      <c r="H15" s="345">
        <f>IFERROR(IF(AND(Tbl_KN_Charts[[#This Row],[List]]&gt;=30,Tbl_KN_Charts[[#This Row],[List]]&lt;=40),1,0),0)</f>
        <v>0</v>
      </c>
      <c r="J15" s="836">
        <v>530</v>
      </c>
      <c r="K15" s="837"/>
      <c r="L15" s="837">
        <v>-1.2E-2</v>
      </c>
      <c r="M15" s="837">
        <v>2.3330000000000002</v>
      </c>
      <c r="N15" s="837">
        <v>5.0049999999999999</v>
      </c>
      <c r="O15" s="837">
        <v>6.5090000000000003</v>
      </c>
      <c r="P15" s="837">
        <v>7.1360000000000001</v>
      </c>
      <c r="Q15" s="837">
        <v>7.4480000000000004</v>
      </c>
      <c r="R15" s="837">
        <v>7.5979999999999999</v>
      </c>
      <c r="S15" s="837">
        <v>7.359</v>
      </c>
    </row>
    <row r="16" spans="2:19" x14ac:dyDescent="0.25">
      <c r="B16" s="325">
        <f t="shared" si="2"/>
        <v>5</v>
      </c>
      <c r="C16" s="329">
        <f>IF(INDEX($L$11:$ZI$11,Tbl_KN_Charts[[#This Row],[N]])&lt;&gt;"",VALUE(INDEX($L$11:$ZI$11,Tbl_KN_Charts[[#This Row],[N]])),NA())</f>
        <v>15</v>
      </c>
      <c r="D16" s="263">
        <f ca="1">IF(INDEX($L$2:$ZP$2,Tbl_KN_Charts[[#This Row],[N]])&lt;&gt;"",VALUE(INDEX($L$2:$ZP$2,Tbl_KN_Charts[[#This Row],[N]])),NA())</f>
        <v>6.1479999999999997</v>
      </c>
      <c r="E16" s="328">
        <f ca="1">Tbl_KN_Charts[[#This Row],[KN sin(φ) ]]-(KG+ixꙍ/Displacement)*SIN(Tbl_KN_Charts[[#This Row],[List]]*PI()/180)-TCG*SIN(Tbl_KN_Charts[[#This Row],[List]]*PI()/180)</f>
        <v>5.1127238195899167</v>
      </c>
      <c r="F16" s="330">
        <f t="shared" ca="1" si="1"/>
        <v>0.4191901738036658</v>
      </c>
      <c r="G16" s="335">
        <f ca="1">IF(Tbl_KN_Charts[[#This Row],[N]]&lt;=$B$9,Tbl_KN_Charts[[#This Row],[Trapeze]],"")</f>
        <v>0.4191901738036658</v>
      </c>
      <c r="H16" s="345">
        <f>IFERROR(IF(AND(Tbl_KN_Charts[[#This Row],[List]]&gt;=30,Tbl_KN_Charts[[#This Row],[List]]&lt;=40),1,0),0)</f>
        <v>0</v>
      </c>
      <c r="J16" s="836">
        <v>540</v>
      </c>
      <c r="K16" s="837"/>
      <c r="L16" s="837">
        <v>-1.2E-2</v>
      </c>
      <c r="M16" s="837">
        <v>2.2919999999999998</v>
      </c>
      <c r="N16" s="837">
        <v>4.9589999999999996</v>
      </c>
      <c r="O16" s="837">
        <v>6.4790000000000001</v>
      </c>
      <c r="P16" s="837">
        <v>7.1139999999999999</v>
      </c>
      <c r="Q16" s="837">
        <v>7.431</v>
      </c>
      <c r="R16" s="837">
        <v>7.5890000000000004</v>
      </c>
      <c r="S16" s="837">
        <v>7.3570000000000002</v>
      </c>
    </row>
    <row r="17" spans="2:19" x14ac:dyDescent="0.25">
      <c r="B17" s="325">
        <f t="shared" si="2"/>
        <v>6</v>
      </c>
      <c r="C17" s="329">
        <f>IF(INDEX($L$11:$ZI$11,Tbl_KN_Charts[[#This Row],[N]])&lt;&gt;"",VALUE(INDEX($L$11:$ZI$11,Tbl_KN_Charts[[#This Row],[N]])),NA())</f>
        <v>20</v>
      </c>
      <c r="D17" s="263">
        <f ca="1">IF(INDEX($L$2:$ZP$2,Tbl_KN_Charts[[#This Row],[N]])&lt;&gt;"",VALUE(INDEX($L$2:$ZP$2,Tbl_KN_Charts[[#This Row],[N]])),NA())</f>
        <v>6.6890000000000001</v>
      </c>
      <c r="E17" s="328">
        <f ca="1">Tbl_KN_Charts[[#This Row],[KN sin(φ) ]]-(KG+ixꙍ/Displacement)*SIN(Tbl_KN_Charts[[#This Row],[List]]*PI()/180)-TCG*SIN(Tbl_KN_Charts[[#This Row],[List]]*PI()/180)</f>
        <v>5.3209194266973254</v>
      </c>
      <c r="F17" s="330">
        <f t="shared" ca="1" si="1"/>
        <v>0.45525356906545511</v>
      </c>
      <c r="G17" s="335">
        <f ca="1">IF(Tbl_KN_Charts[[#This Row],[N]]&lt;=$B$9,Tbl_KN_Charts[[#This Row],[Trapeze]],"")</f>
        <v>0.45525356906545511</v>
      </c>
      <c r="H17" s="345">
        <f>IFERROR(IF(AND(Tbl_KN_Charts[[#This Row],[List]]&gt;=30,Tbl_KN_Charts[[#This Row],[List]]&lt;=40),1,0),0)</f>
        <v>0</v>
      </c>
      <c r="J17" s="836">
        <v>550</v>
      </c>
      <c r="K17" s="837"/>
      <c r="L17" s="837">
        <v>-1.2E-2</v>
      </c>
      <c r="M17" s="837">
        <v>2.2519999999999998</v>
      </c>
      <c r="N17" s="837">
        <v>4.9139999999999997</v>
      </c>
      <c r="O17" s="837">
        <v>6.4489999999999998</v>
      </c>
      <c r="P17" s="837">
        <v>7.0910000000000002</v>
      </c>
      <c r="Q17" s="837">
        <v>7.4130000000000003</v>
      </c>
      <c r="R17" s="837">
        <v>7.58</v>
      </c>
      <c r="S17" s="837">
        <v>7.3529999999999998</v>
      </c>
    </row>
    <row r="18" spans="2:19" x14ac:dyDescent="0.25">
      <c r="B18" s="325">
        <f t="shared" si="2"/>
        <v>7</v>
      </c>
      <c r="C18" s="329">
        <f>IF(INDEX($L$11:$ZI$11,Tbl_KN_Charts[[#This Row],[N]])&lt;&gt;"",VALUE(INDEX($L$11:$ZI$11,Tbl_KN_Charts[[#This Row],[N]])),NA())</f>
        <v>30</v>
      </c>
      <c r="D18" s="263">
        <f ca="1">IF(INDEX($L$2:$ZP$2,Tbl_KN_Charts[[#This Row],[N]])&lt;&gt;"",VALUE(INDEX($L$2:$ZP$2,Tbl_KN_Charts[[#This Row],[N]])),NA())</f>
        <v>7.0819999999999999</v>
      </c>
      <c r="E18" s="328">
        <f ca="1">Tbl_KN_Charts[[#This Row],[KN sin(φ) ]]-(KG+ixꙍ/Displacement)*SIN(Tbl_KN_Charts[[#This Row],[List]]*PI()/180)-TCG*SIN(Tbl_KN_Charts[[#This Row],[List]]*PI()/180)</f>
        <v>5.0819999999999999</v>
      </c>
      <c r="F18" s="330">
        <f t="shared" ca="1" si="1"/>
        <v>0.90782597907774609</v>
      </c>
      <c r="G18" s="335" t="str">
        <f ca="1">IF(Tbl_KN_Charts[[#This Row],[N]]&lt;=$B$9,Tbl_KN_Charts[[#This Row],[Trapeze]],"")</f>
        <v/>
      </c>
      <c r="H18" s="345">
        <f>IFERROR(IF(AND(Tbl_KN_Charts[[#This Row],[List]]&gt;=30,Tbl_KN_Charts[[#This Row],[List]]&lt;=40),1,0),0)</f>
        <v>1</v>
      </c>
      <c r="J18" s="836">
        <v>560</v>
      </c>
      <c r="K18" s="837"/>
      <c r="L18" s="837">
        <v>-1.2E-2</v>
      </c>
      <c r="M18" s="837">
        <v>2.2130000000000001</v>
      </c>
      <c r="N18" s="837">
        <v>4.87</v>
      </c>
      <c r="O18" s="837">
        <v>6.4189999999999996</v>
      </c>
      <c r="P18" s="837">
        <v>7.069</v>
      </c>
      <c r="Q18" s="837">
        <v>7.3959999999999999</v>
      </c>
      <c r="R18" s="837">
        <v>7.57</v>
      </c>
      <c r="S18" s="837">
        <v>7.3490000000000002</v>
      </c>
    </row>
    <row r="19" spans="2:19" x14ac:dyDescent="0.25">
      <c r="B19" s="325">
        <f t="shared" ref="B19:B33" si="3">IF(ISNUMBER($B18),$B18+1,1)</f>
        <v>8</v>
      </c>
      <c r="C19" s="329">
        <f>IF(INDEX($L$11:$ZI$11,Tbl_KN_Charts[[#This Row],[N]])&lt;&gt;"",VALUE(INDEX($L$11:$ZI$11,Tbl_KN_Charts[[#This Row],[N]])),NA())</f>
        <v>40</v>
      </c>
      <c r="D19" s="263">
        <f ca="1">IF(INDEX($L$2:$ZP$2,Tbl_KN_Charts[[#This Row],[N]])&lt;&gt;"",VALUE(INDEX($L$2:$ZP$2,Tbl_KN_Charts[[#This Row],[N]])),NA())</f>
        <v>6.8520000000000003</v>
      </c>
      <c r="E19" s="328">
        <f ca="1">Tbl_KN_Charts[[#This Row],[KN sin(φ) ]]-(KG+ixꙍ/Displacement)*SIN(Tbl_KN_Charts[[#This Row],[List]]*PI()/180)-TCG*SIN(Tbl_KN_Charts[[#This Row],[List]]*PI()/180)</f>
        <v>4.2808495612538433</v>
      </c>
      <c r="F19" s="330">
        <f t="shared" ca="1" si="1"/>
        <v>0.81706276106393017</v>
      </c>
      <c r="G19" s="335" t="str">
        <f ca="1">IF(Tbl_KN_Charts[[#This Row],[N]]&lt;=$B$9,Tbl_KN_Charts[[#This Row],[Trapeze]],"")</f>
        <v/>
      </c>
      <c r="H19" s="345">
        <f>IFERROR(IF(AND(Tbl_KN_Charts[[#This Row],[List]]&gt;=30,Tbl_KN_Charts[[#This Row],[List]]&lt;=40),1,0),0)</f>
        <v>1</v>
      </c>
      <c r="J19" s="836">
        <v>570</v>
      </c>
      <c r="K19" s="837"/>
      <c r="L19" s="837">
        <v>-1.2E-2</v>
      </c>
      <c r="M19" s="837">
        <v>2.1760000000000002</v>
      </c>
      <c r="N19" s="837">
        <v>4.8259999999999996</v>
      </c>
      <c r="O19" s="837">
        <v>6.39</v>
      </c>
      <c r="P19" s="837">
        <v>7.0469999999999997</v>
      </c>
      <c r="Q19" s="837">
        <v>7.3789999999999996</v>
      </c>
      <c r="R19" s="837">
        <v>7.5609999999999999</v>
      </c>
      <c r="S19" s="837">
        <v>7.3449999999999998</v>
      </c>
    </row>
    <row r="20" spans="2:19" x14ac:dyDescent="0.25">
      <c r="B20" s="325">
        <f t="shared" si="3"/>
        <v>9</v>
      </c>
      <c r="C20" s="329" t="e">
        <f>IF(INDEX($L$11:$ZI$11,Tbl_KN_Charts[[#This Row],[N]])&lt;&gt;"",VALUE(INDEX($L$11:$ZI$11,Tbl_KN_Charts[[#This Row],[N]])),NA())</f>
        <v>#N/A</v>
      </c>
      <c r="D20" s="263" t="e">
        <f>IF(INDEX($L$2:$ZP$2,Tbl_KN_Charts[[#This Row],[N]])&lt;&gt;"",VALUE(INDEX($L$2:$ZP$2,Tbl_KN_Charts[[#This Row],[N]])),NA())</f>
        <v>#N/A</v>
      </c>
      <c r="E20" s="328" t="e">
        <f ca="1">Tbl_KN_Charts[[#This Row],[KN sin(φ) ]]-(KG+ixꙍ/Displacement)*SIN(Tbl_KN_Charts[[#This Row],[List]]*PI()/180)-TCG*SIN(Tbl_KN_Charts[[#This Row],[List]]*PI()/180)</f>
        <v>#N/A</v>
      </c>
      <c r="F20" s="330" t="str">
        <f t="shared" ca="1" si="1"/>
        <v/>
      </c>
      <c r="G20" s="335" t="str">
        <f ca="1">IF(Tbl_KN_Charts[[#This Row],[N]]&lt;=$B$9,Tbl_KN_Charts[[#This Row],[Trapeze]],"")</f>
        <v/>
      </c>
      <c r="H20" s="345">
        <f>IFERROR(IF(AND(Tbl_KN_Charts[[#This Row],[List]]&gt;=30,Tbl_KN_Charts[[#This Row],[List]]&lt;=40),1,0),0)</f>
        <v>0</v>
      </c>
      <c r="J20" s="836">
        <v>580</v>
      </c>
      <c r="K20" s="837"/>
      <c r="L20" s="837">
        <v>-1.2E-2</v>
      </c>
      <c r="M20" s="837">
        <v>2.14</v>
      </c>
      <c r="N20" s="837">
        <v>4.782</v>
      </c>
      <c r="O20" s="837">
        <v>6.36</v>
      </c>
      <c r="P20" s="837">
        <v>7.0250000000000004</v>
      </c>
      <c r="Q20" s="837">
        <v>7.3630000000000004</v>
      </c>
      <c r="R20" s="837">
        <v>7.5519999999999996</v>
      </c>
      <c r="S20" s="837">
        <v>7.3410000000000002</v>
      </c>
    </row>
    <row r="21" spans="2:19" x14ac:dyDescent="0.25">
      <c r="B21" s="325">
        <f t="shared" si="3"/>
        <v>10</v>
      </c>
      <c r="C21" s="329" t="e">
        <f>IF(INDEX($L$11:$ZI$11,Tbl_KN_Charts[[#This Row],[N]])&lt;&gt;"",VALUE(INDEX($L$11:$ZI$11,Tbl_KN_Charts[[#This Row],[N]])),NA())</f>
        <v>#N/A</v>
      </c>
      <c r="D21" s="263" t="e">
        <f>IF(INDEX($L$2:$ZP$2,Tbl_KN_Charts[[#This Row],[N]])&lt;&gt;"",VALUE(INDEX($L$2:$ZP$2,Tbl_KN_Charts[[#This Row],[N]])),NA())</f>
        <v>#N/A</v>
      </c>
      <c r="E21" s="328" t="e">
        <f ca="1">Tbl_KN_Charts[[#This Row],[KN sin(φ) ]]-(KG+ixꙍ/Displacement)*SIN(Tbl_KN_Charts[[#This Row],[List]]*PI()/180)-TCG*SIN(Tbl_KN_Charts[[#This Row],[List]]*PI()/180)</f>
        <v>#N/A</v>
      </c>
      <c r="F21" s="330" t="str">
        <f t="shared" ca="1" si="1"/>
        <v/>
      </c>
      <c r="G21" s="335" t="str">
        <f ca="1">IF(Tbl_KN_Charts[[#This Row],[N]]&lt;=$B$9,Tbl_KN_Charts[[#This Row],[Trapeze]],"")</f>
        <v/>
      </c>
      <c r="H21" s="345">
        <f>IFERROR(IF(AND(Tbl_KN_Charts[[#This Row],[List]]&gt;=30,Tbl_KN_Charts[[#This Row],[List]]&lt;=40),1,0),0)</f>
        <v>0</v>
      </c>
      <c r="J21" s="836">
        <v>590</v>
      </c>
      <c r="K21" s="837"/>
      <c r="L21" s="837">
        <v>-1.2E-2</v>
      </c>
      <c r="M21" s="837">
        <v>2.105</v>
      </c>
      <c r="N21" s="837">
        <v>4.7380000000000004</v>
      </c>
      <c r="O21" s="837">
        <v>6.3310000000000004</v>
      </c>
      <c r="P21" s="837">
        <v>7.0030000000000001</v>
      </c>
      <c r="Q21" s="837">
        <v>7.3460000000000001</v>
      </c>
      <c r="R21" s="837">
        <v>7.5430000000000001</v>
      </c>
      <c r="S21" s="837">
        <v>7.335</v>
      </c>
    </row>
    <row r="22" spans="2:19" x14ac:dyDescent="0.25">
      <c r="B22" s="325">
        <f t="shared" si="3"/>
        <v>11</v>
      </c>
      <c r="C22" s="329" t="e">
        <f>IF(INDEX($L$11:$ZI$11,Tbl_KN_Charts[[#This Row],[N]])&lt;&gt;"",VALUE(INDEX($L$11:$ZI$11,Tbl_KN_Charts[[#This Row],[N]])),NA())</f>
        <v>#N/A</v>
      </c>
      <c r="D22" s="263" t="e">
        <f>IF(INDEX($L$2:$ZP$2,Tbl_KN_Charts[[#This Row],[N]])&lt;&gt;"",VALUE(INDEX($L$2:$ZP$2,Tbl_KN_Charts[[#This Row],[N]])),NA())</f>
        <v>#N/A</v>
      </c>
      <c r="E22" s="328" t="e">
        <f ca="1">Tbl_KN_Charts[[#This Row],[KN sin(φ) ]]-(KG+ixꙍ/Displacement)*SIN(Tbl_KN_Charts[[#This Row],[List]]*PI()/180)-TCG*SIN(Tbl_KN_Charts[[#This Row],[List]]*PI()/180)</f>
        <v>#N/A</v>
      </c>
      <c r="F22" s="330" t="str">
        <f t="shared" ca="1" si="1"/>
        <v/>
      </c>
      <c r="G22" s="335" t="str">
        <f ca="1">IF(Tbl_KN_Charts[[#This Row],[N]]&lt;=$B$9,Tbl_KN_Charts[[#This Row],[Trapeze]],"")</f>
        <v/>
      </c>
      <c r="H22" s="345">
        <f>IFERROR(IF(AND(Tbl_KN_Charts[[#This Row],[List]]&gt;=30,Tbl_KN_Charts[[#This Row],[List]]&lt;=40),1,0),0)</f>
        <v>0</v>
      </c>
      <c r="J22" s="836">
        <v>600</v>
      </c>
      <c r="K22" s="837"/>
      <c r="L22" s="837">
        <v>-1.2E-2</v>
      </c>
      <c r="M22" s="837">
        <v>2.0720000000000001</v>
      </c>
      <c r="N22" s="837">
        <v>4.6950000000000003</v>
      </c>
      <c r="O22" s="837">
        <v>6.3029999999999999</v>
      </c>
      <c r="P22" s="837">
        <v>6.9820000000000002</v>
      </c>
      <c r="Q22" s="837">
        <v>7.33</v>
      </c>
      <c r="R22" s="837">
        <v>7.5339999999999998</v>
      </c>
      <c r="S22" s="837">
        <v>7.33</v>
      </c>
    </row>
    <row r="23" spans="2:19" x14ac:dyDescent="0.25">
      <c r="B23" s="325">
        <f t="shared" si="3"/>
        <v>12</v>
      </c>
      <c r="C23" s="329" t="e">
        <f>IF(INDEX($L$11:$ZI$11,Tbl_KN_Charts[[#This Row],[N]])&lt;&gt;"",VALUE(INDEX($L$11:$ZI$11,Tbl_KN_Charts[[#This Row],[N]])),NA())</f>
        <v>#N/A</v>
      </c>
      <c r="D23" s="263" t="e">
        <f>IF(INDEX($L$2:$ZP$2,Tbl_KN_Charts[[#This Row],[N]])&lt;&gt;"",VALUE(INDEX($L$2:$ZP$2,Tbl_KN_Charts[[#This Row],[N]])),NA())</f>
        <v>#N/A</v>
      </c>
      <c r="E23" s="328" t="e">
        <f ca="1">Tbl_KN_Charts[[#This Row],[KN sin(φ) ]]-(KG+ixꙍ/Displacement)*SIN(Tbl_KN_Charts[[#This Row],[List]]*PI()/180)-TCG*SIN(Tbl_KN_Charts[[#This Row],[List]]*PI()/180)</f>
        <v>#N/A</v>
      </c>
      <c r="F23" s="330" t="str">
        <f t="shared" ca="1" si="1"/>
        <v/>
      </c>
      <c r="G23" s="335" t="str">
        <f ca="1">IF(Tbl_KN_Charts[[#This Row],[N]]&lt;=$B$9,Tbl_KN_Charts[[#This Row],[Trapeze]],"")</f>
        <v/>
      </c>
      <c r="H23" s="345">
        <f>IFERROR(IF(AND(Tbl_KN_Charts[[#This Row],[List]]&gt;=30,Tbl_KN_Charts[[#This Row],[List]]&lt;=40),1,0),0)</f>
        <v>0</v>
      </c>
      <c r="J23" s="836">
        <v>610</v>
      </c>
      <c r="K23" s="837"/>
      <c r="L23" s="837">
        <v>-1.2E-2</v>
      </c>
      <c r="M23" s="837">
        <v>2.0390000000000001</v>
      </c>
      <c r="N23" s="837">
        <v>4.6529999999999996</v>
      </c>
      <c r="O23" s="837">
        <v>6.274</v>
      </c>
      <c r="P23" s="837">
        <v>6.9610000000000003</v>
      </c>
      <c r="Q23" s="837">
        <v>7.3129999999999997</v>
      </c>
      <c r="R23" s="837">
        <v>7.5250000000000004</v>
      </c>
      <c r="S23" s="837">
        <v>7.3239999999999998</v>
      </c>
    </row>
    <row r="24" spans="2:19" x14ac:dyDescent="0.25">
      <c r="B24" s="325">
        <f t="shared" si="3"/>
        <v>13</v>
      </c>
      <c r="C24" s="329" t="e">
        <f>IF(INDEX($L$11:$ZI$11,Tbl_KN_Charts[[#This Row],[N]])&lt;&gt;"",VALUE(INDEX($L$11:$ZI$11,Tbl_KN_Charts[[#This Row],[N]])),NA())</f>
        <v>#N/A</v>
      </c>
      <c r="D24" s="263" t="e">
        <f>IF(INDEX($L$2:$ZP$2,Tbl_KN_Charts[[#This Row],[N]])&lt;&gt;"",VALUE(INDEX($L$2:$ZP$2,Tbl_KN_Charts[[#This Row],[N]])),NA())</f>
        <v>#N/A</v>
      </c>
      <c r="E24" s="328" t="e">
        <f ca="1">Tbl_KN_Charts[[#This Row],[KN sin(φ) ]]-(KG+ixꙍ/Displacement)*SIN(Tbl_KN_Charts[[#This Row],[List]]*PI()/180)-TCG*SIN(Tbl_KN_Charts[[#This Row],[List]]*PI()/180)</f>
        <v>#N/A</v>
      </c>
      <c r="F24" s="330" t="str">
        <f t="shared" ca="1" si="1"/>
        <v/>
      </c>
      <c r="G24" s="335" t="str">
        <f ca="1">IF(Tbl_KN_Charts[[#This Row],[N]]&lt;=$B$9,Tbl_KN_Charts[[#This Row],[Trapeze]],"")</f>
        <v/>
      </c>
      <c r="H24" s="345">
        <f>IFERROR(IF(AND(Tbl_KN_Charts[[#This Row],[List]]&gt;=30,Tbl_KN_Charts[[#This Row],[List]]&lt;=40),1,0),0)</f>
        <v>0</v>
      </c>
      <c r="J24" s="836">
        <v>620</v>
      </c>
      <c r="K24" s="837"/>
      <c r="L24" s="837">
        <v>-1.2E-2</v>
      </c>
      <c r="M24" s="837">
        <v>2.008</v>
      </c>
      <c r="N24" s="837">
        <v>4.6109999999999998</v>
      </c>
      <c r="O24" s="837">
        <v>6.2460000000000004</v>
      </c>
      <c r="P24" s="837">
        <v>6.94</v>
      </c>
      <c r="Q24" s="837">
        <v>7.2969999999999997</v>
      </c>
      <c r="R24" s="837">
        <v>7.5170000000000003</v>
      </c>
      <c r="S24" s="837">
        <v>7.3179999999999996</v>
      </c>
    </row>
    <row r="25" spans="2:19" x14ac:dyDescent="0.25">
      <c r="B25" s="325">
        <f t="shared" si="3"/>
        <v>14</v>
      </c>
      <c r="C25" s="329" t="e">
        <f>IF(INDEX($L$11:$ZI$11,Tbl_KN_Charts[[#This Row],[N]])&lt;&gt;"",VALUE(INDEX($L$11:$ZI$11,Tbl_KN_Charts[[#This Row],[N]])),NA())</f>
        <v>#N/A</v>
      </c>
      <c r="D25" s="263" t="e">
        <f>IF(INDEX($L$2:$ZP$2,Tbl_KN_Charts[[#This Row],[N]])&lt;&gt;"",VALUE(INDEX($L$2:$ZP$2,Tbl_KN_Charts[[#This Row],[N]])),NA())</f>
        <v>#N/A</v>
      </c>
      <c r="E25" s="328" t="e">
        <f ca="1">Tbl_KN_Charts[[#This Row],[KN sin(φ) ]]-(KG+ixꙍ/Displacement)*SIN(Tbl_KN_Charts[[#This Row],[List]]*PI()/180)-TCG*SIN(Tbl_KN_Charts[[#This Row],[List]]*PI()/180)</f>
        <v>#N/A</v>
      </c>
      <c r="F25" s="330" t="str">
        <f t="shared" ca="1" si="1"/>
        <v/>
      </c>
      <c r="G25" s="335" t="str">
        <f ca="1">IF(Tbl_KN_Charts[[#This Row],[N]]&lt;=$B$9,Tbl_KN_Charts[[#This Row],[Trapeze]],"")</f>
        <v/>
      </c>
      <c r="H25" s="345">
        <f>IFERROR(IF(AND(Tbl_KN_Charts[[#This Row],[List]]&gt;=30,Tbl_KN_Charts[[#This Row],[List]]&lt;=40),1,0),0)</f>
        <v>0</v>
      </c>
      <c r="J25" s="836">
        <v>630</v>
      </c>
      <c r="K25" s="837"/>
      <c r="L25" s="837">
        <v>-1.2E-2</v>
      </c>
      <c r="M25" s="837">
        <v>1.9770000000000001</v>
      </c>
      <c r="N25" s="837">
        <v>4.569</v>
      </c>
      <c r="O25" s="837">
        <v>6.218</v>
      </c>
      <c r="P25" s="837">
        <v>6.9189999999999996</v>
      </c>
      <c r="Q25" s="837">
        <v>7.2809999999999997</v>
      </c>
      <c r="R25" s="837">
        <v>7.508</v>
      </c>
      <c r="S25" s="837">
        <v>7.3109999999999999</v>
      </c>
    </row>
    <row r="26" spans="2:19" x14ac:dyDescent="0.25">
      <c r="B26" s="325">
        <f t="shared" si="3"/>
        <v>15</v>
      </c>
      <c r="C26" s="329" t="e">
        <f>IF(INDEX($L$11:$ZI$11,Tbl_KN_Charts[[#This Row],[N]])&lt;&gt;"",VALUE(INDEX($L$11:$ZI$11,Tbl_KN_Charts[[#This Row],[N]])),NA())</f>
        <v>#N/A</v>
      </c>
      <c r="D26" s="263" t="e">
        <f>IF(INDEX($L$2:$ZP$2,Tbl_KN_Charts[[#This Row],[N]])&lt;&gt;"",VALUE(INDEX($L$2:$ZP$2,Tbl_KN_Charts[[#This Row],[N]])),NA())</f>
        <v>#N/A</v>
      </c>
      <c r="E26" s="328" t="e">
        <f ca="1">Tbl_KN_Charts[[#This Row],[KN sin(φ) ]]-(KG+ixꙍ/Displacement)*SIN(Tbl_KN_Charts[[#This Row],[List]]*PI()/180)-TCG*SIN(Tbl_KN_Charts[[#This Row],[List]]*PI()/180)</f>
        <v>#N/A</v>
      </c>
      <c r="F26" s="330" t="str">
        <f t="shared" ca="1" si="1"/>
        <v/>
      </c>
      <c r="G26" s="335" t="str">
        <f ca="1">IF(Tbl_KN_Charts[[#This Row],[N]]&lt;=$B$9,Tbl_KN_Charts[[#This Row],[Trapeze]],"")</f>
        <v/>
      </c>
      <c r="H26" s="345">
        <f>IFERROR(IF(AND(Tbl_KN_Charts[[#This Row],[List]]&gt;=30,Tbl_KN_Charts[[#This Row],[List]]&lt;=40),1,0),0)</f>
        <v>0</v>
      </c>
      <c r="J26" s="836">
        <v>640</v>
      </c>
      <c r="K26" s="837"/>
      <c r="L26" s="837">
        <v>-1.2E-2</v>
      </c>
      <c r="M26" s="837">
        <v>1.948</v>
      </c>
      <c r="N26" s="837">
        <v>4.5270000000000001</v>
      </c>
      <c r="O26" s="837">
        <v>6.1909999999999998</v>
      </c>
      <c r="P26" s="837">
        <v>6.8979999999999997</v>
      </c>
      <c r="Q26" s="837">
        <v>7.2649999999999997</v>
      </c>
      <c r="R26" s="837">
        <v>7.4989999999999997</v>
      </c>
      <c r="S26" s="837">
        <v>7.3049999999999997</v>
      </c>
    </row>
    <row r="27" spans="2:19" x14ac:dyDescent="0.25">
      <c r="B27" s="325">
        <f t="shared" si="3"/>
        <v>16</v>
      </c>
      <c r="C27" s="329" t="e">
        <f>IF(INDEX($L$11:$ZI$11,Tbl_KN_Charts[[#This Row],[N]])&lt;&gt;"",VALUE(INDEX($L$11:$ZI$11,Tbl_KN_Charts[[#This Row],[N]])),NA())</f>
        <v>#N/A</v>
      </c>
      <c r="D27" s="263" t="e">
        <f>IF(INDEX($L$2:$ZP$2,Tbl_KN_Charts[[#This Row],[N]])&lt;&gt;"",VALUE(INDEX($L$2:$ZP$2,Tbl_KN_Charts[[#This Row],[N]])),NA())</f>
        <v>#N/A</v>
      </c>
      <c r="E27" s="328" t="e">
        <f ca="1">Tbl_KN_Charts[[#This Row],[KN sin(φ) ]]-(KG+ixꙍ/Displacement)*SIN(Tbl_KN_Charts[[#This Row],[List]]*PI()/180)-TCG*SIN(Tbl_KN_Charts[[#This Row],[List]]*PI()/180)</f>
        <v>#N/A</v>
      </c>
      <c r="F27" s="330" t="str">
        <f t="shared" ca="1" si="1"/>
        <v/>
      </c>
      <c r="G27" s="335" t="str">
        <f ca="1">IF(Tbl_KN_Charts[[#This Row],[N]]&lt;=$B$9,Tbl_KN_Charts[[#This Row],[Trapeze]],"")</f>
        <v/>
      </c>
      <c r="H27" s="345">
        <f>IFERROR(IF(AND(Tbl_KN_Charts[[#This Row],[List]]&gt;=30,Tbl_KN_Charts[[#This Row],[List]]&lt;=40),1,0),0)</f>
        <v>0</v>
      </c>
      <c r="J27" s="836">
        <v>650</v>
      </c>
      <c r="K27" s="837"/>
      <c r="L27" s="837">
        <v>-1.2E-2</v>
      </c>
      <c r="M27" s="837">
        <v>1.919</v>
      </c>
      <c r="N27" s="837">
        <v>4.4859999999999998</v>
      </c>
      <c r="O27" s="837">
        <v>6.1630000000000003</v>
      </c>
      <c r="P27" s="837">
        <v>6.8769999999999998</v>
      </c>
      <c r="Q27" s="837">
        <v>7.25</v>
      </c>
      <c r="R27" s="837">
        <v>7.4909999999999997</v>
      </c>
      <c r="S27" s="837">
        <v>7.298</v>
      </c>
    </row>
    <row r="28" spans="2:19" x14ac:dyDescent="0.25">
      <c r="B28" s="325">
        <f t="shared" si="3"/>
        <v>17</v>
      </c>
      <c r="C28" s="329" t="e">
        <f>IF(INDEX($L$11:$ZI$11,Tbl_KN_Charts[[#This Row],[N]])&lt;&gt;"",VALUE(INDEX($L$11:$ZI$11,Tbl_KN_Charts[[#This Row],[N]])),NA())</f>
        <v>#N/A</v>
      </c>
      <c r="D28" s="263" t="e">
        <f>IF(INDEX($L$2:$ZP$2,Tbl_KN_Charts[[#This Row],[N]])&lt;&gt;"",VALUE(INDEX($L$2:$ZP$2,Tbl_KN_Charts[[#This Row],[N]])),NA())</f>
        <v>#N/A</v>
      </c>
      <c r="E28" s="328" t="e">
        <f ca="1">Tbl_KN_Charts[[#This Row],[KN sin(φ) ]]-(KG+ixꙍ/Displacement)*SIN(Tbl_KN_Charts[[#This Row],[List]]*PI()/180)-TCG*SIN(Tbl_KN_Charts[[#This Row],[List]]*PI()/180)</f>
        <v>#N/A</v>
      </c>
      <c r="F28" s="330" t="str">
        <f t="shared" ca="1" si="1"/>
        <v/>
      </c>
      <c r="G28" s="335" t="str">
        <f ca="1">IF(Tbl_KN_Charts[[#This Row],[N]]&lt;=$B$9,Tbl_KN_Charts[[#This Row],[Trapeze]],"")</f>
        <v/>
      </c>
      <c r="H28" s="345">
        <f>IFERROR(IF(AND(Tbl_KN_Charts[[#This Row],[List]]&gt;=30,Tbl_KN_Charts[[#This Row],[List]]&lt;=40),1,0),0)</f>
        <v>0</v>
      </c>
      <c r="J28" s="836">
        <v>660</v>
      </c>
      <c r="K28" s="837"/>
      <c r="L28" s="837">
        <v>-1.2E-2</v>
      </c>
      <c r="M28" s="837">
        <v>1.891</v>
      </c>
      <c r="N28" s="837">
        <v>4.4450000000000003</v>
      </c>
      <c r="O28" s="837">
        <v>6.1360000000000001</v>
      </c>
      <c r="P28" s="837">
        <v>6.8570000000000002</v>
      </c>
      <c r="Q28" s="837">
        <v>7.234</v>
      </c>
      <c r="R28" s="837">
        <v>7.4820000000000002</v>
      </c>
      <c r="S28" s="837">
        <v>7.29</v>
      </c>
    </row>
    <row r="29" spans="2:19" x14ac:dyDescent="0.25">
      <c r="B29" s="325">
        <f t="shared" si="3"/>
        <v>18</v>
      </c>
      <c r="C29" s="329" t="e">
        <f>IF(INDEX($L$11:$ZI$11,Tbl_KN_Charts[[#This Row],[N]])&lt;&gt;"",VALUE(INDEX($L$11:$ZI$11,Tbl_KN_Charts[[#This Row],[N]])),NA())</f>
        <v>#N/A</v>
      </c>
      <c r="D29" s="263" t="e">
        <f>IF(INDEX($L$2:$ZP$2,Tbl_KN_Charts[[#This Row],[N]])&lt;&gt;"",VALUE(INDEX($L$2:$ZP$2,Tbl_KN_Charts[[#This Row],[N]])),NA())</f>
        <v>#N/A</v>
      </c>
      <c r="E29" s="328" t="e">
        <f ca="1">Tbl_KN_Charts[[#This Row],[KN sin(φ) ]]-(KG+ixꙍ/Displacement)*SIN(Tbl_KN_Charts[[#This Row],[List]]*PI()/180)-TCG*SIN(Tbl_KN_Charts[[#This Row],[List]]*PI()/180)</f>
        <v>#N/A</v>
      </c>
      <c r="F29" s="330" t="str">
        <f t="shared" ca="1" si="1"/>
        <v/>
      </c>
      <c r="G29" s="335" t="str">
        <f ca="1">IF(Tbl_KN_Charts[[#This Row],[N]]&lt;=$B$9,Tbl_KN_Charts[[#This Row],[Trapeze]],"")</f>
        <v/>
      </c>
      <c r="H29" s="345">
        <f>IFERROR(IF(AND(Tbl_KN_Charts[[#This Row],[List]]&gt;=30,Tbl_KN_Charts[[#This Row],[List]]&lt;=40),1,0),0)</f>
        <v>0</v>
      </c>
      <c r="J29" s="836">
        <v>670</v>
      </c>
      <c r="K29" s="837"/>
      <c r="L29" s="837">
        <v>-1.2E-2</v>
      </c>
      <c r="M29" s="837">
        <v>1.865</v>
      </c>
      <c r="N29" s="837">
        <v>4.4050000000000002</v>
      </c>
      <c r="O29" s="837">
        <v>6.109</v>
      </c>
      <c r="P29" s="837">
        <v>6.8369999999999997</v>
      </c>
      <c r="Q29" s="837">
        <v>7.218</v>
      </c>
      <c r="R29" s="837">
        <v>7.4740000000000002</v>
      </c>
      <c r="S29" s="837">
        <v>7.282</v>
      </c>
    </row>
    <row r="30" spans="2:19" x14ac:dyDescent="0.25">
      <c r="B30" s="325">
        <f t="shared" si="3"/>
        <v>19</v>
      </c>
      <c r="C30" s="329" t="e">
        <f>IF(INDEX($L$11:$ZI$11,Tbl_KN_Charts[[#This Row],[N]])&lt;&gt;"",VALUE(INDEX($L$11:$ZI$11,Tbl_KN_Charts[[#This Row],[N]])),NA())</f>
        <v>#N/A</v>
      </c>
      <c r="D30" s="263" t="e">
        <f>IF(INDEX($L$2:$ZP$2,Tbl_KN_Charts[[#This Row],[N]])&lt;&gt;"",VALUE(INDEX($L$2:$ZP$2,Tbl_KN_Charts[[#This Row],[N]])),NA())</f>
        <v>#N/A</v>
      </c>
      <c r="E30" s="328" t="e">
        <f ca="1">Tbl_KN_Charts[[#This Row],[KN sin(φ) ]]-(KG+ixꙍ/Displacement)*SIN(Tbl_KN_Charts[[#This Row],[List]]*PI()/180)-TCG*SIN(Tbl_KN_Charts[[#This Row],[List]]*PI()/180)</f>
        <v>#N/A</v>
      </c>
      <c r="F30" s="330" t="str">
        <f t="shared" ca="1" si="1"/>
        <v/>
      </c>
      <c r="G30" s="335" t="str">
        <f ca="1">IF(Tbl_KN_Charts[[#This Row],[N]]&lt;=$B$9,Tbl_KN_Charts[[#This Row],[Trapeze]],"")</f>
        <v/>
      </c>
      <c r="H30" s="345">
        <f>IFERROR(IF(AND(Tbl_KN_Charts[[#This Row],[List]]&gt;=30,Tbl_KN_Charts[[#This Row],[List]]&lt;=40),1,0),0)</f>
        <v>0</v>
      </c>
      <c r="J30" s="836">
        <v>680</v>
      </c>
      <c r="K30" s="837"/>
      <c r="L30" s="837">
        <v>-1.2E-2</v>
      </c>
      <c r="M30" s="837">
        <v>1.8380000000000001</v>
      </c>
      <c r="N30" s="837">
        <v>4.3650000000000002</v>
      </c>
      <c r="O30" s="837">
        <v>6.0819999999999999</v>
      </c>
      <c r="P30" s="837">
        <v>6.8170000000000002</v>
      </c>
      <c r="Q30" s="837">
        <v>7.2030000000000003</v>
      </c>
      <c r="R30" s="837">
        <v>7.4660000000000002</v>
      </c>
      <c r="S30" s="837">
        <v>7.274</v>
      </c>
    </row>
    <row r="31" spans="2:19" x14ac:dyDescent="0.25">
      <c r="B31" s="325">
        <f t="shared" si="3"/>
        <v>20</v>
      </c>
      <c r="C31" s="329" t="e">
        <f>IF(INDEX($L$11:$ZI$11,Tbl_KN_Charts[[#This Row],[N]])&lt;&gt;"",VALUE(INDEX($L$11:$ZI$11,Tbl_KN_Charts[[#This Row],[N]])),NA())</f>
        <v>#N/A</v>
      </c>
      <c r="D31" s="263" t="e">
        <f>IF(INDEX($L$2:$ZP$2,Tbl_KN_Charts[[#This Row],[N]])&lt;&gt;"",VALUE(INDEX($L$2:$ZP$2,Tbl_KN_Charts[[#This Row],[N]])),NA())</f>
        <v>#N/A</v>
      </c>
      <c r="E31" s="328" t="e">
        <f ca="1">Tbl_KN_Charts[[#This Row],[KN sin(φ) ]]-(KG+ixꙍ/Displacement)*SIN(Tbl_KN_Charts[[#This Row],[List]]*PI()/180)-TCG*SIN(Tbl_KN_Charts[[#This Row],[List]]*PI()/180)</f>
        <v>#N/A</v>
      </c>
      <c r="F31" s="330" t="str">
        <f t="shared" ca="1" si="1"/>
        <v/>
      </c>
      <c r="G31" s="335" t="str">
        <f ca="1">IF(Tbl_KN_Charts[[#This Row],[N]]&lt;=$B$9,Tbl_KN_Charts[[#This Row],[Trapeze]],"")</f>
        <v/>
      </c>
      <c r="H31" s="345">
        <f>IFERROR(IF(AND(Tbl_KN_Charts[[#This Row],[List]]&gt;=30,Tbl_KN_Charts[[#This Row],[List]]&lt;=40),1,0),0)</f>
        <v>0</v>
      </c>
      <c r="J31" s="836">
        <v>690</v>
      </c>
      <c r="K31" s="837"/>
      <c r="L31" s="837">
        <v>-1.2E-2</v>
      </c>
      <c r="M31" s="837">
        <v>1.8129999999999999</v>
      </c>
      <c r="N31" s="837">
        <v>4.3250000000000002</v>
      </c>
      <c r="O31" s="837">
        <v>6.056</v>
      </c>
      <c r="P31" s="837">
        <v>6.7969999999999997</v>
      </c>
      <c r="Q31" s="837">
        <v>7.1879999999999997</v>
      </c>
      <c r="R31" s="837">
        <v>7.4569999999999999</v>
      </c>
      <c r="S31" s="837">
        <v>7.266</v>
      </c>
    </row>
    <row r="32" spans="2:19" x14ac:dyDescent="0.25">
      <c r="B32" s="325">
        <f t="shared" si="3"/>
        <v>21</v>
      </c>
      <c r="C32" s="329" t="e">
        <f>IF(INDEX($L$11:$ZI$11,Tbl_KN_Charts[[#This Row],[N]])&lt;&gt;"",VALUE(INDEX($L$11:$ZI$11,Tbl_KN_Charts[[#This Row],[N]])),NA())</f>
        <v>#N/A</v>
      </c>
      <c r="D32" s="263" t="e">
        <f>IF(INDEX($L$2:$ZP$2,Tbl_KN_Charts[[#This Row],[N]])&lt;&gt;"",VALUE(INDEX($L$2:$ZP$2,Tbl_KN_Charts[[#This Row],[N]])),NA())</f>
        <v>#N/A</v>
      </c>
      <c r="E32" s="328" t="e">
        <f ca="1">Tbl_KN_Charts[[#This Row],[KN sin(φ) ]]-(KG+ixꙍ/Displacement)*SIN(Tbl_KN_Charts[[#This Row],[List]]*PI()/180)-TCG*SIN(Tbl_KN_Charts[[#This Row],[List]]*PI()/180)</f>
        <v>#N/A</v>
      </c>
      <c r="F32" s="330" t="str">
        <f t="shared" ca="1" si="1"/>
        <v/>
      </c>
      <c r="G32" s="335" t="str">
        <f ca="1">IF(Tbl_KN_Charts[[#This Row],[N]]&lt;=$B$9,Tbl_KN_Charts[[#This Row],[Trapeze]],"")</f>
        <v/>
      </c>
      <c r="H32" s="345">
        <f>IFERROR(IF(AND(Tbl_KN_Charts[[#This Row],[List]]&gt;=30,Tbl_KN_Charts[[#This Row],[List]]&lt;=40),1,0),0)</f>
        <v>0</v>
      </c>
      <c r="J32" s="836">
        <v>700</v>
      </c>
      <c r="K32" s="837"/>
      <c r="L32" s="837">
        <v>-1.2E-2</v>
      </c>
      <c r="M32" s="837">
        <v>1.788</v>
      </c>
      <c r="N32" s="837">
        <v>4.2850000000000001</v>
      </c>
      <c r="O32" s="837">
        <v>6.0289999999999999</v>
      </c>
      <c r="P32" s="837">
        <v>6.7770000000000001</v>
      </c>
      <c r="Q32" s="837">
        <v>7.173</v>
      </c>
      <c r="R32" s="837">
        <v>7.4489999999999998</v>
      </c>
      <c r="S32" s="837">
        <v>7.258</v>
      </c>
    </row>
    <row r="33" spans="2:19" x14ac:dyDescent="0.25">
      <c r="B33" s="325">
        <f t="shared" si="3"/>
        <v>22</v>
      </c>
      <c r="C33" s="329" t="e">
        <f>IF(INDEX($L$11:$ZI$11,Tbl_KN_Charts[[#This Row],[N]])&lt;&gt;"",VALUE(INDEX($L$11:$ZI$11,Tbl_KN_Charts[[#This Row],[N]])),NA())</f>
        <v>#N/A</v>
      </c>
      <c r="D33" s="263" t="e">
        <f>IF(INDEX($L$2:$ZP$2,Tbl_KN_Charts[[#This Row],[N]])&lt;&gt;"",VALUE(INDEX($L$2:$ZP$2,Tbl_KN_Charts[[#This Row],[N]])),NA())</f>
        <v>#N/A</v>
      </c>
      <c r="E33" s="328" t="e">
        <f ca="1">Tbl_KN_Charts[[#This Row],[KN sin(φ) ]]-(KG+ixꙍ/Displacement)*SIN(Tbl_KN_Charts[[#This Row],[List]]*PI()/180)-TCG*SIN(Tbl_KN_Charts[[#This Row],[List]]*PI()/180)</f>
        <v>#N/A</v>
      </c>
      <c r="F33" s="330" t="str">
        <f t="shared" ca="1" si="1"/>
        <v/>
      </c>
      <c r="G33" s="335" t="str">
        <f ca="1">IF(Tbl_KN_Charts[[#This Row],[N]]&lt;=$B$9,Tbl_KN_Charts[[#This Row],[Trapeze]],"")</f>
        <v/>
      </c>
      <c r="H33" s="345">
        <f>IFERROR(IF(AND(Tbl_KN_Charts[[#This Row],[List]]&gt;=30,Tbl_KN_Charts[[#This Row],[List]]&lt;=40),1,0),0)</f>
        <v>0</v>
      </c>
      <c r="J33" s="836">
        <v>710</v>
      </c>
      <c r="K33" s="837"/>
      <c r="L33" s="837">
        <v>-1.2E-2</v>
      </c>
      <c r="M33" s="837">
        <v>1.764</v>
      </c>
      <c r="N33" s="837">
        <v>4.2460000000000004</v>
      </c>
      <c r="O33" s="837">
        <v>6.0030000000000001</v>
      </c>
      <c r="P33" s="837">
        <v>6.758</v>
      </c>
      <c r="Q33" s="837">
        <v>7.1580000000000004</v>
      </c>
      <c r="R33" s="837">
        <v>7.4409999999999998</v>
      </c>
      <c r="S33" s="837">
        <v>7.2489999999999997</v>
      </c>
    </row>
    <row r="34" spans="2:19" x14ac:dyDescent="0.25">
      <c r="J34" s="836">
        <v>720</v>
      </c>
      <c r="K34" s="837"/>
      <c r="L34" s="837">
        <v>-1.2E-2</v>
      </c>
      <c r="M34" s="837">
        <v>1.7410000000000001</v>
      </c>
      <c r="N34" s="837">
        <v>4.2069999999999999</v>
      </c>
      <c r="O34" s="837">
        <v>5.9770000000000003</v>
      </c>
      <c r="P34" s="837">
        <v>6.7380000000000004</v>
      </c>
      <c r="Q34" s="837">
        <v>7.1429999999999998</v>
      </c>
      <c r="R34" s="837">
        <v>7.4329999999999998</v>
      </c>
      <c r="S34" s="837">
        <v>7.24</v>
      </c>
    </row>
    <row r="35" spans="2:19" x14ac:dyDescent="0.25">
      <c r="J35" s="836">
        <v>730</v>
      </c>
      <c r="K35" s="837"/>
      <c r="L35" s="837">
        <v>-1.2E-2</v>
      </c>
      <c r="M35" s="837">
        <v>1.7190000000000001</v>
      </c>
      <c r="N35" s="837">
        <v>4.1680000000000001</v>
      </c>
      <c r="O35" s="837">
        <v>5.952</v>
      </c>
      <c r="P35" s="837">
        <v>6.7190000000000003</v>
      </c>
      <c r="Q35" s="837">
        <v>7.1280000000000001</v>
      </c>
      <c r="R35" s="837">
        <v>7.4249999999999998</v>
      </c>
      <c r="S35" s="837">
        <v>7.2309999999999999</v>
      </c>
    </row>
    <row r="36" spans="2:19" x14ac:dyDescent="0.25">
      <c r="J36" s="836">
        <v>740</v>
      </c>
      <c r="K36" s="837"/>
      <c r="L36" s="837">
        <v>-1.2E-2</v>
      </c>
      <c r="M36" s="837">
        <v>1.6970000000000001</v>
      </c>
      <c r="N36" s="837">
        <v>4.13</v>
      </c>
      <c r="O36" s="837">
        <v>5.9260000000000002</v>
      </c>
      <c r="P36" s="837">
        <v>6.7</v>
      </c>
      <c r="Q36" s="837">
        <v>7.1130000000000004</v>
      </c>
      <c r="R36" s="837">
        <v>7.4160000000000004</v>
      </c>
      <c r="S36" s="837">
        <v>7.2220000000000004</v>
      </c>
    </row>
    <row r="37" spans="2:19" x14ac:dyDescent="0.25">
      <c r="J37" s="836">
        <v>750</v>
      </c>
      <c r="K37" s="837"/>
      <c r="L37" s="837">
        <v>-1.2E-2</v>
      </c>
      <c r="M37" s="837">
        <v>1.675</v>
      </c>
      <c r="N37" s="837">
        <v>4.0919999999999996</v>
      </c>
      <c r="O37" s="837">
        <v>5.9009999999999998</v>
      </c>
      <c r="P37" s="837">
        <v>6.681</v>
      </c>
      <c r="Q37" s="837">
        <v>7.0990000000000002</v>
      </c>
      <c r="R37" s="837">
        <v>7.4089999999999998</v>
      </c>
      <c r="S37" s="837">
        <v>7.2119999999999997</v>
      </c>
    </row>
    <row r="38" spans="2:19" x14ac:dyDescent="0.25">
      <c r="J38" s="836">
        <v>760</v>
      </c>
      <c r="K38" s="837"/>
      <c r="L38" s="837">
        <v>-1.2E-2</v>
      </c>
      <c r="M38" s="837">
        <v>1.6539999999999999</v>
      </c>
      <c r="N38" s="837">
        <v>4.0540000000000003</v>
      </c>
      <c r="O38" s="837">
        <v>5.875</v>
      </c>
      <c r="P38" s="837">
        <v>6.6619999999999999</v>
      </c>
      <c r="Q38" s="837">
        <v>7.0839999999999996</v>
      </c>
      <c r="R38" s="837">
        <v>7.4009999999999998</v>
      </c>
      <c r="S38" s="837">
        <v>7.202</v>
      </c>
    </row>
    <row r="39" spans="2:19" x14ac:dyDescent="0.25">
      <c r="J39" s="836">
        <v>770</v>
      </c>
      <c r="K39" s="837"/>
      <c r="L39" s="837">
        <v>-1.2E-2</v>
      </c>
      <c r="M39" s="837">
        <v>1.6339999999999999</v>
      </c>
      <c r="N39" s="837">
        <v>4.016</v>
      </c>
      <c r="O39" s="837">
        <v>5.85</v>
      </c>
      <c r="P39" s="837">
        <v>6.6429999999999998</v>
      </c>
      <c r="Q39" s="837">
        <v>7.07</v>
      </c>
      <c r="R39" s="837">
        <v>7.3929999999999998</v>
      </c>
      <c r="S39" s="837">
        <v>7.1920000000000002</v>
      </c>
    </row>
    <row r="40" spans="2:19" x14ac:dyDescent="0.25">
      <c r="J40" s="836">
        <v>780</v>
      </c>
      <c r="K40" s="837"/>
      <c r="L40" s="837">
        <v>-1.2E-2</v>
      </c>
      <c r="M40" s="837">
        <v>1.6140000000000001</v>
      </c>
      <c r="N40" s="837">
        <v>3.9790000000000001</v>
      </c>
      <c r="O40" s="837">
        <v>5.8250000000000002</v>
      </c>
      <c r="P40" s="837">
        <v>6.625</v>
      </c>
      <c r="Q40" s="837">
        <v>7.056</v>
      </c>
      <c r="R40" s="837">
        <v>7.3849999999999998</v>
      </c>
      <c r="S40" s="837">
        <v>7.1820000000000004</v>
      </c>
    </row>
    <row r="41" spans="2:19" x14ac:dyDescent="0.25">
      <c r="J41" s="836">
        <v>790</v>
      </c>
      <c r="K41" s="837"/>
      <c r="L41" s="837">
        <v>-1.0999999999999999E-2</v>
      </c>
      <c r="M41" s="837">
        <v>1.595</v>
      </c>
      <c r="N41" s="837">
        <v>3.9420000000000002</v>
      </c>
      <c r="O41" s="837">
        <v>5.8010000000000002</v>
      </c>
      <c r="P41" s="837">
        <v>6.6059999999999999</v>
      </c>
      <c r="Q41" s="837">
        <v>7.0410000000000004</v>
      </c>
      <c r="R41" s="837">
        <v>7.3769999999999998</v>
      </c>
      <c r="S41" s="837">
        <v>7.1719999999999997</v>
      </c>
    </row>
    <row r="42" spans="2:19" x14ac:dyDescent="0.25">
      <c r="J42" s="836">
        <v>800</v>
      </c>
      <c r="K42" s="837"/>
      <c r="L42" s="837">
        <v>-1.0999999999999999E-2</v>
      </c>
      <c r="M42" s="837">
        <v>1.5760000000000001</v>
      </c>
      <c r="N42" s="837">
        <v>3.9049999999999998</v>
      </c>
      <c r="O42" s="837">
        <v>5.7759999999999998</v>
      </c>
      <c r="P42" s="837">
        <v>6.5880000000000001</v>
      </c>
      <c r="Q42" s="837">
        <v>7.0270000000000001</v>
      </c>
      <c r="R42" s="837">
        <v>7.3680000000000003</v>
      </c>
      <c r="S42" s="837">
        <v>7.1619999999999999</v>
      </c>
    </row>
    <row r="43" spans="2:19" x14ac:dyDescent="0.25">
      <c r="J43" s="836">
        <v>810</v>
      </c>
      <c r="K43" s="837"/>
      <c r="L43" s="837">
        <v>-1.0999999999999999E-2</v>
      </c>
      <c r="M43" s="837">
        <v>1.5580000000000001</v>
      </c>
      <c r="N43" s="837">
        <v>3.8679999999999999</v>
      </c>
      <c r="O43" s="837">
        <v>5.7519999999999998</v>
      </c>
      <c r="P43" s="837">
        <v>6.57</v>
      </c>
      <c r="Q43" s="837">
        <v>7.0129999999999999</v>
      </c>
      <c r="R43" s="837">
        <v>7.36</v>
      </c>
      <c r="S43" s="837">
        <v>7.1509999999999998</v>
      </c>
    </row>
    <row r="44" spans="2:19" x14ac:dyDescent="0.25">
      <c r="J44" s="836">
        <v>820</v>
      </c>
      <c r="K44" s="837"/>
      <c r="L44" s="837">
        <v>-1.0999999999999999E-2</v>
      </c>
      <c r="M44" s="837">
        <v>1.54</v>
      </c>
      <c r="N44" s="837">
        <v>3.8319999999999999</v>
      </c>
      <c r="O44" s="837">
        <v>5.7279999999999998</v>
      </c>
      <c r="P44" s="837">
        <v>6.5519999999999996</v>
      </c>
      <c r="Q44" s="837">
        <v>6.9989999999999997</v>
      </c>
      <c r="R44" s="837">
        <v>7.351</v>
      </c>
      <c r="S44" s="837">
        <v>7.14</v>
      </c>
    </row>
    <row r="45" spans="2:19" x14ac:dyDescent="0.25">
      <c r="J45" s="836">
        <v>830</v>
      </c>
      <c r="K45" s="837"/>
      <c r="L45" s="837">
        <v>-1.0999999999999999E-2</v>
      </c>
      <c r="M45" s="837">
        <v>1.5229999999999999</v>
      </c>
      <c r="N45" s="837">
        <v>3.7959999999999998</v>
      </c>
      <c r="O45" s="837">
        <v>5.7039999999999997</v>
      </c>
      <c r="P45" s="837">
        <v>6.5339999999999998</v>
      </c>
      <c r="Q45" s="837">
        <v>6.9859999999999998</v>
      </c>
      <c r="R45" s="837">
        <v>7.3419999999999996</v>
      </c>
      <c r="S45" s="837">
        <v>7.13</v>
      </c>
    </row>
    <row r="46" spans="2:19" x14ac:dyDescent="0.25">
      <c r="J46" s="836">
        <v>840</v>
      </c>
      <c r="K46" s="837"/>
      <c r="L46" s="837">
        <v>-1.0999999999999999E-2</v>
      </c>
      <c r="M46" s="837">
        <v>1.506</v>
      </c>
      <c r="N46" s="837">
        <v>3.76</v>
      </c>
      <c r="O46" s="837">
        <v>5.68</v>
      </c>
      <c r="P46" s="837">
        <v>6.516</v>
      </c>
      <c r="Q46" s="837">
        <v>6.9720000000000004</v>
      </c>
      <c r="R46" s="837">
        <v>7.3319999999999999</v>
      </c>
      <c r="S46" s="837">
        <v>7.1189999999999998</v>
      </c>
    </row>
    <row r="47" spans="2:19" x14ac:dyDescent="0.25">
      <c r="J47" s="836">
        <v>850</v>
      </c>
      <c r="K47" s="837"/>
      <c r="L47" s="837">
        <v>-1.0999999999999999E-2</v>
      </c>
      <c r="M47" s="837">
        <v>1.4890000000000001</v>
      </c>
      <c r="N47" s="837">
        <v>3.7240000000000002</v>
      </c>
      <c r="O47" s="837">
        <v>5.6559999999999997</v>
      </c>
      <c r="P47" s="837">
        <v>6.4980000000000002</v>
      </c>
      <c r="Q47" s="837">
        <v>6.9580000000000002</v>
      </c>
      <c r="R47" s="837">
        <v>7.3230000000000004</v>
      </c>
      <c r="S47" s="837">
        <v>7.1070000000000002</v>
      </c>
    </row>
    <row r="48" spans="2:19" x14ac:dyDescent="0.25">
      <c r="J48" s="836">
        <v>860</v>
      </c>
      <c r="K48" s="837"/>
      <c r="L48" s="837">
        <v>-1.0999999999999999E-2</v>
      </c>
      <c r="M48" s="837">
        <v>1.4730000000000001</v>
      </c>
      <c r="N48" s="837">
        <v>3.6890000000000001</v>
      </c>
      <c r="O48" s="837">
        <v>5.633</v>
      </c>
      <c r="P48" s="837">
        <v>6.48</v>
      </c>
      <c r="Q48" s="837">
        <v>6.9450000000000003</v>
      </c>
      <c r="R48" s="837">
        <v>7.3129999999999997</v>
      </c>
      <c r="S48" s="837">
        <v>7.0960000000000001</v>
      </c>
    </row>
    <row r="49" spans="10:19" x14ac:dyDescent="0.25">
      <c r="J49" s="836">
        <v>870</v>
      </c>
      <c r="K49" s="837"/>
      <c r="L49" s="837">
        <v>-1.0999999999999999E-2</v>
      </c>
      <c r="M49" s="837">
        <v>1.4570000000000001</v>
      </c>
      <c r="N49" s="837">
        <v>3.653</v>
      </c>
      <c r="O49" s="837">
        <v>5.609</v>
      </c>
      <c r="P49" s="837">
        <v>6.4630000000000001</v>
      </c>
      <c r="Q49" s="837">
        <v>6.931</v>
      </c>
      <c r="R49" s="837">
        <v>7.3029999999999999</v>
      </c>
      <c r="S49" s="837">
        <v>7.085</v>
      </c>
    </row>
    <row r="50" spans="10:19" x14ac:dyDescent="0.25">
      <c r="J50" s="836">
        <v>880</v>
      </c>
      <c r="K50" s="837"/>
      <c r="L50" s="837">
        <v>-1.0999999999999999E-2</v>
      </c>
      <c r="M50" s="837">
        <v>1.4419999999999999</v>
      </c>
      <c r="N50" s="837">
        <v>3.6179999999999999</v>
      </c>
      <c r="O50" s="837">
        <v>5.5860000000000003</v>
      </c>
      <c r="P50" s="837">
        <v>6.4450000000000003</v>
      </c>
      <c r="Q50" s="837">
        <v>6.9180000000000001</v>
      </c>
      <c r="R50" s="837">
        <v>7.2930000000000001</v>
      </c>
      <c r="S50" s="837">
        <v>7.0730000000000004</v>
      </c>
    </row>
    <row r="51" spans="10:19" x14ac:dyDescent="0.25">
      <c r="J51" s="836">
        <v>890</v>
      </c>
      <c r="K51" s="837"/>
      <c r="L51" s="837">
        <v>-1.0999999999999999E-2</v>
      </c>
      <c r="M51" s="837">
        <v>1.427</v>
      </c>
      <c r="N51" s="837">
        <v>3.5830000000000002</v>
      </c>
      <c r="O51" s="837">
        <v>5.5629999999999997</v>
      </c>
      <c r="P51" s="837">
        <v>6.4279999999999999</v>
      </c>
      <c r="Q51" s="837">
        <v>6.9039999999999999</v>
      </c>
      <c r="R51" s="837">
        <v>7.282</v>
      </c>
      <c r="S51" s="837">
        <v>7.0620000000000003</v>
      </c>
    </row>
    <row r="52" spans="10:19" x14ac:dyDescent="0.25">
      <c r="J52" s="836">
        <v>900</v>
      </c>
      <c r="K52" s="837"/>
      <c r="L52" s="837">
        <v>-1.0999999999999999E-2</v>
      </c>
      <c r="M52" s="837">
        <v>1.4119999999999999</v>
      </c>
      <c r="N52" s="837">
        <v>3.5489999999999999</v>
      </c>
      <c r="O52" s="837">
        <v>5.54</v>
      </c>
      <c r="P52" s="837">
        <v>6.4109999999999996</v>
      </c>
      <c r="Q52" s="837">
        <v>6.891</v>
      </c>
      <c r="R52" s="837">
        <v>7.2720000000000002</v>
      </c>
      <c r="S52" s="837">
        <v>7.05</v>
      </c>
    </row>
    <row r="53" spans="10:19" x14ac:dyDescent="0.25">
      <c r="J53" s="836">
        <v>910</v>
      </c>
      <c r="K53" s="837"/>
      <c r="L53" s="837">
        <v>-1.0999999999999999E-2</v>
      </c>
      <c r="M53" s="837">
        <v>1.397</v>
      </c>
      <c r="N53" s="837">
        <v>3.5139999999999998</v>
      </c>
      <c r="O53" s="837">
        <v>5.5170000000000003</v>
      </c>
      <c r="P53" s="837">
        <v>6.3940000000000001</v>
      </c>
      <c r="Q53" s="837">
        <v>6.8780000000000001</v>
      </c>
      <c r="R53" s="837">
        <v>7.2610000000000001</v>
      </c>
      <c r="S53" s="837">
        <v>7.0380000000000003</v>
      </c>
    </row>
    <row r="54" spans="10:19" x14ac:dyDescent="0.25">
      <c r="J54" s="836">
        <v>920</v>
      </c>
      <c r="K54" s="837"/>
      <c r="L54" s="837">
        <v>-1.0999999999999999E-2</v>
      </c>
      <c r="M54" s="837">
        <v>1.383</v>
      </c>
      <c r="N54" s="837">
        <v>3.48</v>
      </c>
      <c r="O54" s="837">
        <v>5.4939999999999998</v>
      </c>
      <c r="P54" s="837">
        <v>6.3769999999999998</v>
      </c>
      <c r="Q54" s="837">
        <v>6.8650000000000002</v>
      </c>
      <c r="R54" s="837">
        <v>7.25</v>
      </c>
      <c r="S54" s="837">
        <v>7.0259999999999998</v>
      </c>
    </row>
    <row r="55" spans="10:19" x14ac:dyDescent="0.25">
      <c r="J55" s="836">
        <v>930</v>
      </c>
      <c r="K55" s="837"/>
      <c r="L55" s="837">
        <v>-1.0999999999999999E-2</v>
      </c>
      <c r="M55" s="837">
        <v>1.369</v>
      </c>
      <c r="N55" s="837">
        <v>3.4460000000000002</v>
      </c>
      <c r="O55" s="837">
        <v>5.4720000000000004</v>
      </c>
      <c r="P55" s="837">
        <v>6.36</v>
      </c>
      <c r="Q55" s="837">
        <v>6.8520000000000003</v>
      </c>
      <c r="R55" s="837">
        <v>7.2389999999999999</v>
      </c>
      <c r="S55" s="837">
        <v>7.0140000000000002</v>
      </c>
    </row>
    <row r="56" spans="10:19" x14ac:dyDescent="0.25">
      <c r="J56" s="971">
        <v>940</v>
      </c>
      <c r="K56" s="972"/>
      <c r="L56" s="972">
        <v>-1.0999999999999999E-2</v>
      </c>
      <c r="M56" s="972">
        <v>1.3560000000000001</v>
      </c>
      <c r="N56" s="972">
        <v>3.4119999999999999</v>
      </c>
      <c r="O56" s="972">
        <v>5.4489999999999998</v>
      </c>
      <c r="P56" s="972">
        <v>6.343</v>
      </c>
      <c r="Q56" s="972">
        <v>6.8390000000000004</v>
      </c>
      <c r="R56" s="972">
        <v>7.2279999999999998</v>
      </c>
      <c r="S56" s="972">
        <v>7.0019999999999998</v>
      </c>
    </row>
    <row r="57" spans="10:19" x14ac:dyDescent="0.25">
      <c r="J57" s="971">
        <v>950</v>
      </c>
      <c r="K57" s="972"/>
      <c r="L57" s="972">
        <v>-1.0999999999999999E-2</v>
      </c>
      <c r="M57" s="972">
        <v>1.343</v>
      </c>
      <c r="N57" s="972">
        <v>3.379</v>
      </c>
      <c r="O57" s="972">
        <v>5.4269999999999996</v>
      </c>
      <c r="P57" s="972">
        <v>6.3259999999999996</v>
      </c>
      <c r="Q57" s="972">
        <v>6.8259999999999996</v>
      </c>
      <c r="R57" s="972">
        <v>7.2160000000000002</v>
      </c>
      <c r="S57" s="972">
        <v>6.99</v>
      </c>
    </row>
    <row r="58" spans="10:19" x14ac:dyDescent="0.25">
      <c r="J58" s="994">
        <v>960</v>
      </c>
      <c r="K58" s="995"/>
      <c r="L58" s="995">
        <v>-1.0999999999999999E-2</v>
      </c>
      <c r="M58" s="995">
        <v>1.33</v>
      </c>
      <c r="N58" s="995">
        <v>3.347</v>
      </c>
      <c r="O58" s="995">
        <v>5.4050000000000002</v>
      </c>
      <c r="P58" s="995">
        <v>6.31</v>
      </c>
      <c r="Q58" s="995">
        <v>6.8129999999999997</v>
      </c>
      <c r="R58" s="995">
        <v>7.2050000000000001</v>
      </c>
      <c r="S58" s="995">
        <v>6.9779999999999998</v>
      </c>
    </row>
    <row r="59" spans="10:19" x14ac:dyDescent="0.25">
      <c r="J59" s="994">
        <v>970</v>
      </c>
      <c r="K59" s="995"/>
      <c r="L59" s="995">
        <v>-1.0999999999999999E-2</v>
      </c>
      <c r="M59" s="995">
        <v>1.3169999999999999</v>
      </c>
      <c r="N59" s="995">
        <v>3.3149999999999999</v>
      </c>
      <c r="O59" s="995">
        <v>5.3819999999999997</v>
      </c>
      <c r="P59" s="995">
        <v>6.2930000000000001</v>
      </c>
      <c r="Q59" s="995">
        <v>6.8</v>
      </c>
      <c r="R59" s="995">
        <v>7.1929999999999996</v>
      </c>
      <c r="S59" s="995">
        <v>6.9660000000000002</v>
      </c>
    </row>
    <row r="60" spans="10:19" x14ac:dyDescent="0.25">
      <c r="J60" s="994">
        <v>980</v>
      </c>
      <c r="K60" s="995"/>
      <c r="L60" s="995">
        <v>-1.0999999999999999E-2</v>
      </c>
      <c r="M60" s="995">
        <v>1.304</v>
      </c>
      <c r="N60" s="995">
        <v>3.2839999999999998</v>
      </c>
      <c r="O60" s="995">
        <v>5.36</v>
      </c>
      <c r="P60" s="995">
        <v>6.2770000000000001</v>
      </c>
      <c r="Q60" s="995">
        <v>6.7880000000000003</v>
      </c>
      <c r="R60" s="995">
        <v>7.181</v>
      </c>
      <c r="S60" s="995">
        <v>6.9530000000000003</v>
      </c>
    </row>
    <row r="61" spans="10:19" x14ac:dyDescent="0.25">
      <c r="J61" s="994">
        <v>990</v>
      </c>
      <c r="K61" s="995"/>
      <c r="L61" s="995">
        <v>-1.0999999999999999E-2</v>
      </c>
      <c r="M61" s="995">
        <v>1.292</v>
      </c>
      <c r="N61" s="995">
        <v>3.2530000000000001</v>
      </c>
      <c r="O61" s="995">
        <v>5.3390000000000004</v>
      </c>
      <c r="P61" s="995">
        <v>6.2610000000000001</v>
      </c>
      <c r="Q61" s="995">
        <v>6.7750000000000004</v>
      </c>
      <c r="R61" s="995">
        <v>7.1689999999999996</v>
      </c>
      <c r="S61" s="995">
        <v>6.9409999999999998</v>
      </c>
    </row>
    <row r="62" spans="10:19" x14ac:dyDescent="0.25">
      <c r="J62" s="994">
        <v>1000</v>
      </c>
      <c r="K62" s="995"/>
      <c r="L62" s="995">
        <v>-1.0999999999999999E-2</v>
      </c>
      <c r="M62" s="995">
        <v>1.28</v>
      </c>
      <c r="N62" s="995">
        <v>3.2229999999999999</v>
      </c>
      <c r="O62" s="995">
        <v>5.3170000000000002</v>
      </c>
      <c r="P62" s="995">
        <v>6.2439999999999998</v>
      </c>
      <c r="Q62" s="995">
        <v>6.7629999999999999</v>
      </c>
      <c r="R62" s="995">
        <v>7.157</v>
      </c>
      <c r="S62" s="995">
        <v>6.9279999999999999</v>
      </c>
    </row>
    <row r="63" spans="10:19" x14ac:dyDescent="0.25">
      <c r="J63" s="994">
        <v>1010</v>
      </c>
      <c r="K63" s="995"/>
      <c r="L63" s="995">
        <v>-1.0999999999999999E-2</v>
      </c>
      <c r="M63" s="995">
        <v>1.2689999999999999</v>
      </c>
      <c r="N63" s="995">
        <v>3.194</v>
      </c>
      <c r="O63" s="995">
        <v>5.2949999999999999</v>
      </c>
      <c r="P63" s="995">
        <v>6.2279999999999998</v>
      </c>
      <c r="Q63" s="995">
        <v>6.75</v>
      </c>
      <c r="R63" s="995">
        <v>7.1449999999999996</v>
      </c>
      <c r="S63" s="995">
        <v>6.9160000000000004</v>
      </c>
    </row>
    <row r="64" spans="10:19" x14ac:dyDescent="0.25">
      <c r="J64" s="994">
        <v>1020</v>
      </c>
      <c r="K64" s="995"/>
      <c r="L64" s="995">
        <v>-1.0999999999999999E-2</v>
      </c>
      <c r="M64" s="995">
        <v>1.2569999999999999</v>
      </c>
      <c r="N64" s="995">
        <v>3.165</v>
      </c>
      <c r="O64" s="995">
        <v>5.274</v>
      </c>
      <c r="P64" s="995">
        <v>6.2119999999999997</v>
      </c>
      <c r="Q64" s="995">
        <v>6.7380000000000004</v>
      </c>
      <c r="R64" s="995">
        <v>7.133</v>
      </c>
      <c r="S64" s="995">
        <v>6.9029999999999996</v>
      </c>
    </row>
    <row r="65" spans="10:19" x14ac:dyDescent="0.25">
      <c r="J65" s="994">
        <v>1030</v>
      </c>
      <c r="K65" s="995"/>
      <c r="L65" s="995">
        <v>-1.0999999999999999E-2</v>
      </c>
      <c r="M65" s="995">
        <v>1.246</v>
      </c>
      <c r="N65" s="995">
        <v>3.137</v>
      </c>
      <c r="O65" s="995">
        <v>5.2519999999999998</v>
      </c>
      <c r="P65" s="995">
        <v>6.1959999999999997</v>
      </c>
      <c r="Q65" s="995">
        <v>6.7249999999999996</v>
      </c>
      <c r="R65" s="995">
        <v>7.12</v>
      </c>
      <c r="S65" s="995">
        <v>6.89</v>
      </c>
    </row>
    <row r="66" spans="10:19" x14ac:dyDescent="0.25">
      <c r="J66" s="994" t="s">
        <v>503</v>
      </c>
      <c r="K66" s="995"/>
      <c r="L66" s="995">
        <v>-1.0999999999999999E-2</v>
      </c>
      <c r="M66" s="995">
        <v>1.2350000000000001</v>
      </c>
      <c r="N66" s="995">
        <v>3.11</v>
      </c>
      <c r="O66" s="995">
        <v>5.2309999999999999</v>
      </c>
      <c r="P66" s="995">
        <v>6.18</v>
      </c>
      <c r="Q66" s="995">
        <v>6.7130000000000001</v>
      </c>
      <c r="R66" s="995">
        <v>7.1070000000000002</v>
      </c>
      <c r="S66" s="995">
        <v>6.8769999999999998</v>
      </c>
    </row>
    <row r="67" spans="10:19" x14ac:dyDescent="0.25">
      <c r="J67" s="994">
        <v>1050</v>
      </c>
      <c r="K67" s="995"/>
      <c r="L67" s="995">
        <v>-1.0999999999999999E-2</v>
      </c>
      <c r="M67" s="995">
        <v>1.224</v>
      </c>
      <c r="N67" s="995">
        <v>3.0830000000000002</v>
      </c>
      <c r="O67" s="995">
        <v>5.21</v>
      </c>
      <c r="P67" s="995">
        <v>6.1639999999999997</v>
      </c>
      <c r="Q67" s="995">
        <v>6.7009999999999996</v>
      </c>
      <c r="R67" s="995">
        <v>7.0949999999999998</v>
      </c>
      <c r="S67" s="995">
        <v>6.8650000000000002</v>
      </c>
    </row>
    <row r="68" spans="10:19" x14ac:dyDescent="0.25">
      <c r="J68" s="994">
        <v>1060</v>
      </c>
      <c r="K68" s="995"/>
      <c r="L68" s="995">
        <v>-1.0999999999999999E-2</v>
      </c>
      <c r="M68" s="995">
        <v>1.2130000000000001</v>
      </c>
      <c r="N68" s="995">
        <v>3.056</v>
      </c>
      <c r="O68" s="995">
        <v>5.1890000000000001</v>
      </c>
      <c r="P68" s="995">
        <v>6.1479999999999997</v>
      </c>
      <c r="Q68" s="995">
        <v>6.6890000000000001</v>
      </c>
      <c r="R68" s="995">
        <v>7.0819999999999999</v>
      </c>
      <c r="S68" s="995">
        <v>6.8520000000000003</v>
      </c>
    </row>
    <row r="69" spans="10:19" x14ac:dyDescent="0.25">
      <c r="J69" s="994">
        <v>1070</v>
      </c>
      <c r="K69" s="995"/>
      <c r="L69" s="995">
        <v>-1.0999999999999999E-2</v>
      </c>
      <c r="M69" s="995">
        <v>1.2030000000000001</v>
      </c>
      <c r="N69" s="995">
        <v>3.03</v>
      </c>
      <c r="O69" s="995">
        <v>5.1680000000000001</v>
      </c>
      <c r="P69" s="995">
        <v>6.133</v>
      </c>
      <c r="Q69" s="995">
        <v>6.6760000000000002</v>
      </c>
      <c r="R69" s="995">
        <v>7.069</v>
      </c>
      <c r="S69" s="995">
        <v>6.8390000000000004</v>
      </c>
    </row>
    <row r="70" spans="10:19" x14ac:dyDescent="0.25">
      <c r="J70" s="994">
        <v>1080</v>
      </c>
      <c r="K70" s="995"/>
      <c r="L70" s="995">
        <v>-1.0999999999999999E-2</v>
      </c>
      <c r="M70" s="995">
        <v>1.1930000000000001</v>
      </c>
      <c r="N70" s="995">
        <v>3.004</v>
      </c>
      <c r="O70" s="995">
        <v>5.1470000000000002</v>
      </c>
      <c r="P70" s="995">
        <v>6.117</v>
      </c>
      <c r="Q70" s="995">
        <v>6.6639999999999997</v>
      </c>
      <c r="R70" s="995">
        <v>7.056</v>
      </c>
      <c r="S70" s="995">
        <v>6.8250000000000002</v>
      </c>
    </row>
    <row r="71" spans="10:19" x14ac:dyDescent="0.25">
      <c r="J71" s="994">
        <v>1090</v>
      </c>
      <c r="K71" s="995"/>
      <c r="L71" s="995">
        <v>-1.0999999999999999E-2</v>
      </c>
      <c r="M71" s="995">
        <v>1.1830000000000001</v>
      </c>
      <c r="N71" s="995">
        <v>2.9790000000000001</v>
      </c>
      <c r="O71" s="995">
        <v>5.1260000000000003</v>
      </c>
      <c r="P71" s="995">
        <v>6.1020000000000003</v>
      </c>
      <c r="Q71" s="995">
        <v>6.6520000000000001</v>
      </c>
      <c r="R71" s="995">
        <v>7.0419999999999998</v>
      </c>
      <c r="S71" s="995">
        <v>6.8120000000000003</v>
      </c>
    </row>
    <row r="72" spans="10:19" x14ac:dyDescent="0.25">
      <c r="J72" s="994">
        <v>1100</v>
      </c>
      <c r="K72" s="995"/>
      <c r="L72" s="995">
        <v>-1.0999999999999999E-2</v>
      </c>
      <c r="M72" s="995">
        <v>1.173</v>
      </c>
      <c r="N72" s="995">
        <v>2.9550000000000001</v>
      </c>
      <c r="O72" s="995">
        <v>5.1059999999999999</v>
      </c>
      <c r="P72" s="995">
        <v>6.0860000000000003</v>
      </c>
      <c r="Q72" s="995">
        <v>6.64</v>
      </c>
      <c r="R72" s="995">
        <v>7.0289999999999999</v>
      </c>
      <c r="S72" s="995">
        <v>6.7990000000000004</v>
      </c>
    </row>
    <row r="73" spans="10:19" x14ac:dyDescent="0.25">
      <c r="J73" s="994">
        <v>1110</v>
      </c>
      <c r="K73" s="995"/>
      <c r="L73" s="995">
        <v>-1.0999999999999999E-2</v>
      </c>
      <c r="M73" s="995">
        <v>1.163</v>
      </c>
      <c r="N73" s="995">
        <v>2.931</v>
      </c>
      <c r="O73" s="995">
        <v>5.085</v>
      </c>
      <c r="P73" s="995">
        <v>6.0709999999999997</v>
      </c>
      <c r="Q73" s="995">
        <v>6.6280000000000001</v>
      </c>
      <c r="R73" s="995">
        <v>7.016</v>
      </c>
      <c r="S73" s="995">
        <v>6.7859999999999996</v>
      </c>
    </row>
    <row r="74" spans="10:19" x14ac:dyDescent="0.25">
      <c r="J74" s="994">
        <v>1120</v>
      </c>
      <c r="K74" s="995"/>
      <c r="L74" s="995">
        <v>-1.0999999999999999E-2</v>
      </c>
      <c r="M74" s="995">
        <v>1.1539999999999999</v>
      </c>
      <c r="N74" s="995">
        <v>2.907</v>
      </c>
      <c r="O74" s="995">
        <v>5.0650000000000004</v>
      </c>
      <c r="P74" s="995">
        <v>6.0549999999999997</v>
      </c>
      <c r="Q74" s="995">
        <v>6.6159999999999997</v>
      </c>
      <c r="R74" s="995">
        <v>7.0019999999999998</v>
      </c>
      <c r="S74" s="995">
        <v>6.7729999999999997</v>
      </c>
    </row>
    <row r="75" spans="10:19" x14ac:dyDescent="0.25">
      <c r="J75" s="994">
        <v>1130</v>
      </c>
      <c r="K75" s="995"/>
      <c r="L75" s="995">
        <v>-1.0999999999999999E-2</v>
      </c>
      <c r="M75" s="995">
        <v>1.1439999999999999</v>
      </c>
      <c r="N75" s="995">
        <v>2.883</v>
      </c>
      <c r="O75" s="995">
        <v>5.0449999999999999</v>
      </c>
      <c r="P75" s="995">
        <v>6.04</v>
      </c>
      <c r="Q75" s="995">
        <v>6.6050000000000004</v>
      </c>
      <c r="R75" s="995">
        <v>6.9889999999999999</v>
      </c>
      <c r="S75" s="995">
        <v>6.7590000000000003</v>
      </c>
    </row>
    <row r="76" spans="10:19" x14ac:dyDescent="0.25">
      <c r="J76" s="994">
        <v>1140</v>
      </c>
      <c r="K76" s="995"/>
      <c r="L76" s="995">
        <v>-1.0999999999999999E-2</v>
      </c>
      <c r="M76" s="995">
        <v>1.135</v>
      </c>
      <c r="N76" s="995">
        <v>2.8610000000000002</v>
      </c>
      <c r="O76" s="995">
        <v>5.024</v>
      </c>
      <c r="P76" s="995">
        <v>6.0250000000000004</v>
      </c>
      <c r="Q76" s="995">
        <v>6.593</v>
      </c>
      <c r="R76" s="995">
        <v>6.9749999999999996</v>
      </c>
      <c r="S76" s="995">
        <v>6.7460000000000004</v>
      </c>
    </row>
    <row r="77" spans="10:19" x14ac:dyDescent="0.25">
      <c r="J77" s="994">
        <v>1150</v>
      </c>
      <c r="K77" s="995"/>
      <c r="L77" s="995">
        <v>-1.0999999999999999E-2</v>
      </c>
      <c r="M77" s="995">
        <v>1.1259999999999999</v>
      </c>
      <c r="N77" s="995">
        <v>2.8380000000000001</v>
      </c>
      <c r="O77" s="995">
        <v>5.0039999999999996</v>
      </c>
      <c r="P77" s="995">
        <v>6.01</v>
      </c>
      <c r="Q77" s="995">
        <v>6.5810000000000004</v>
      </c>
      <c r="R77" s="995">
        <v>6.9610000000000003</v>
      </c>
      <c r="S77" s="995">
        <v>6.7320000000000002</v>
      </c>
    </row>
    <row r="78" spans="10:19" x14ac:dyDescent="0.25">
      <c r="J78" s="994">
        <v>1160</v>
      </c>
      <c r="K78" s="995"/>
      <c r="L78" s="995">
        <v>-1.0999999999999999E-2</v>
      </c>
      <c r="M78" s="995">
        <v>1.1180000000000001</v>
      </c>
      <c r="N78" s="995">
        <v>2.8159999999999998</v>
      </c>
      <c r="O78" s="995">
        <v>4.984</v>
      </c>
      <c r="P78" s="995">
        <v>5.9950000000000001</v>
      </c>
      <c r="Q78" s="995">
        <v>6.57</v>
      </c>
      <c r="R78" s="995">
        <v>6.9480000000000004</v>
      </c>
      <c r="S78" s="995">
        <v>6.7190000000000003</v>
      </c>
    </row>
    <row r="79" spans="10:19" x14ac:dyDescent="0.25">
      <c r="J79" s="994">
        <v>1170</v>
      </c>
      <c r="K79" s="995"/>
      <c r="L79" s="995">
        <v>-1.0999999999999999E-2</v>
      </c>
      <c r="M79" s="995">
        <v>1.109</v>
      </c>
      <c r="N79" s="995">
        <v>2.794</v>
      </c>
      <c r="O79" s="995">
        <v>4.9640000000000004</v>
      </c>
      <c r="P79" s="995">
        <v>5.98</v>
      </c>
      <c r="Q79" s="995">
        <v>6.5579999999999998</v>
      </c>
      <c r="R79" s="995">
        <v>6.9340000000000002</v>
      </c>
      <c r="S79" s="995">
        <v>6.7050000000000001</v>
      </c>
    </row>
    <row r="80" spans="10:19" x14ac:dyDescent="0.25">
      <c r="J80" s="994">
        <v>1180</v>
      </c>
      <c r="K80" s="995"/>
      <c r="L80" s="995">
        <v>-1.0999999999999999E-2</v>
      </c>
      <c r="M80" s="995">
        <v>1.1000000000000001</v>
      </c>
      <c r="N80" s="995">
        <v>2.7730000000000001</v>
      </c>
      <c r="O80" s="995">
        <v>4.944</v>
      </c>
      <c r="P80" s="995">
        <v>5.9649999999999999</v>
      </c>
      <c r="Q80" s="995">
        <v>6.5460000000000003</v>
      </c>
      <c r="R80" s="995">
        <v>6.92</v>
      </c>
      <c r="S80" s="995">
        <v>6.6920000000000002</v>
      </c>
    </row>
    <row r="81" spans="10:19" x14ac:dyDescent="0.25">
      <c r="J81" s="994">
        <v>1190</v>
      </c>
      <c r="K81" s="995"/>
      <c r="L81" s="995">
        <v>-1.0999999999999999E-2</v>
      </c>
      <c r="M81" s="995">
        <v>1.0920000000000001</v>
      </c>
      <c r="N81" s="995">
        <v>2.7519999999999998</v>
      </c>
      <c r="O81" s="995">
        <v>4.9249999999999998</v>
      </c>
      <c r="P81" s="995">
        <v>5.95</v>
      </c>
      <c r="Q81" s="995">
        <v>6.5350000000000001</v>
      </c>
      <c r="R81" s="995">
        <v>6.9059999999999997</v>
      </c>
      <c r="S81" s="995">
        <v>6.6779999999999999</v>
      </c>
    </row>
    <row r="82" spans="10:19" x14ac:dyDescent="0.25">
      <c r="J82" s="994">
        <v>1200</v>
      </c>
      <c r="K82" s="995"/>
      <c r="L82" s="995">
        <v>-1.0999999999999999E-2</v>
      </c>
      <c r="M82" s="995">
        <v>1.0840000000000001</v>
      </c>
      <c r="N82" s="995">
        <v>2.7309999999999999</v>
      </c>
      <c r="O82" s="995">
        <v>4.9050000000000002</v>
      </c>
      <c r="P82" s="995">
        <v>5.9349999999999996</v>
      </c>
      <c r="Q82" s="995">
        <v>6.5229999999999997</v>
      </c>
      <c r="R82" s="995">
        <v>6.8920000000000003</v>
      </c>
      <c r="S82" s="995">
        <v>6.6639999999999997</v>
      </c>
    </row>
    <row r="83" spans="10:19" x14ac:dyDescent="0.25">
      <c r="J83" s="994">
        <v>1210</v>
      </c>
      <c r="K83" s="995"/>
      <c r="L83" s="995">
        <v>-1.0999999999999999E-2</v>
      </c>
      <c r="M83" s="995">
        <v>1.0760000000000001</v>
      </c>
      <c r="N83" s="995">
        <v>2.7109999999999999</v>
      </c>
      <c r="O83" s="995">
        <v>4.8849999999999998</v>
      </c>
      <c r="P83" s="995">
        <v>5.9210000000000003</v>
      </c>
      <c r="Q83" s="995">
        <v>6.5119999999999996</v>
      </c>
      <c r="R83" s="995">
        <v>6.8769999999999998</v>
      </c>
      <c r="S83" s="995">
        <v>6.65</v>
      </c>
    </row>
    <row r="84" spans="10:19" x14ac:dyDescent="0.25">
      <c r="J84" s="994">
        <v>1220</v>
      </c>
      <c r="K84" s="995"/>
      <c r="L84" s="995">
        <v>-1.0999999999999999E-2</v>
      </c>
      <c r="M84" s="995">
        <v>1.0680000000000001</v>
      </c>
      <c r="N84" s="995">
        <v>2.6909999999999998</v>
      </c>
      <c r="O84" s="995">
        <v>4.8659999999999997</v>
      </c>
      <c r="P84" s="995">
        <v>5.9059999999999997</v>
      </c>
      <c r="Q84" s="995">
        <v>6.5010000000000003</v>
      </c>
      <c r="R84" s="995">
        <v>6.8630000000000004</v>
      </c>
      <c r="S84" s="995">
        <v>6.6369999999999996</v>
      </c>
    </row>
    <row r="85" spans="10:19" x14ac:dyDescent="0.25">
      <c r="J85" s="994">
        <v>1230</v>
      </c>
      <c r="K85" s="995"/>
      <c r="L85" s="995">
        <v>-1.0999999999999999E-2</v>
      </c>
      <c r="M85" s="995">
        <v>1.06</v>
      </c>
      <c r="N85" s="995">
        <v>2.6709999999999998</v>
      </c>
      <c r="O85" s="995">
        <v>4.8460000000000001</v>
      </c>
      <c r="P85" s="995">
        <v>5.891</v>
      </c>
      <c r="Q85" s="995">
        <v>6.4889999999999999</v>
      </c>
      <c r="R85" s="995">
        <v>6.8490000000000002</v>
      </c>
      <c r="S85" s="995">
        <v>6.6230000000000002</v>
      </c>
    </row>
    <row r="86" spans="10:19" x14ac:dyDescent="0.25">
      <c r="J86" s="994">
        <v>1240</v>
      </c>
      <c r="K86" s="995"/>
      <c r="L86" s="995">
        <v>-1.0999999999999999E-2</v>
      </c>
      <c r="M86" s="995">
        <v>1.052</v>
      </c>
      <c r="N86" s="995">
        <v>2.6520000000000001</v>
      </c>
      <c r="O86" s="995">
        <v>4.827</v>
      </c>
      <c r="P86" s="995">
        <v>5.8769999999999998</v>
      </c>
      <c r="Q86" s="995">
        <v>6.4779999999999998</v>
      </c>
      <c r="R86" s="995">
        <v>6.835</v>
      </c>
      <c r="S86" s="995">
        <v>6.609</v>
      </c>
    </row>
    <row r="87" spans="10:19" x14ac:dyDescent="0.25">
      <c r="J87" s="994">
        <v>1250</v>
      </c>
      <c r="K87" s="995"/>
      <c r="L87" s="995">
        <v>-1.0999999999999999E-2</v>
      </c>
      <c r="M87" s="995">
        <v>1.0449999999999999</v>
      </c>
      <c r="N87" s="995">
        <v>2.633</v>
      </c>
      <c r="O87" s="995">
        <v>4.8079999999999998</v>
      </c>
      <c r="P87" s="995">
        <v>5.8620000000000001</v>
      </c>
      <c r="Q87" s="995">
        <v>6.4660000000000002</v>
      </c>
      <c r="R87" s="995">
        <v>6.82</v>
      </c>
      <c r="S87" s="995">
        <v>6.5949999999999998</v>
      </c>
    </row>
    <row r="88" spans="10:19" x14ac:dyDescent="0.25">
      <c r="J88" s="994">
        <v>1260</v>
      </c>
      <c r="K88" s="995"/>
      <c r="L88" s="995">
        <v>-1.0999999999999999E-2</v>
      </c>
      <c r="M88" s="995">
        <v>1.0369999999999999</v>
      </c>
      <c r="N88" s="995">
        <v>2.6139999999999999</v>
      </c>
      <c r="O88" s="995">
        <v>4.7889999999999997</v>
      </c>
      <c r="P88" s="995">
        <v>5.8479999999999999</v>
      </c>
      <c r="Q88" s="995">
        <v>6.4550000000000001</v>
      </c>
      <c r="R88" s="995">
        <v>6.806</v>
      </c>
      <c r="S88" s="995">
        <v>6.5810000000000004</v>
      </c>
    </row>
    <row r="89" spans="10:19" x14ac:dyDescent="0.25">
      <c r="J89" s="994">
        <v>1270</v>
      </c>
      <c r="K89" s="995"/>
      <c r="L89" s="995">
        <v>-1.0999999999999999E-2</v>
      </c>
      <c r="M89" s="995">
        <v>1.03</v>
      </c>
      <c r="N89" s="995">
        <v>2.5960000000000001</v>
      </c>
      <c r="O89" s="995">
        <v>4.7699999999999996</v>
      </c>
      <c r="P89" s="995">
        <v>5.8339999999999996</v>
      </c>
      <c r="Q89" s="995">
        <v>6.4429999999999996</v>
      </c>
      <c r="R89" s="995">
        <v>6.7910000000000004</v>
      </c>
      <c r="S89" s="995">
        <v>6.5670000000000002</v>
      </c>
    </row>
    <row r="90" spans="10:19" x14ac:dyDescent="0.25">
      <c r="J90" s="994">
        <v>1280</v>
      </c>
      <c r="K90" s="995"/>
      <c r="L90" s="995">
        <v>-1.0999999999999999E-2</v>
      </c>
      <c r="M90" s="995">
        <v>1.0229999999999999</v>
      </c>
      <c r="N90" s="995">
        <v>2.5779999999999998</v>
      </c>
      <c r="O90" s="995">
        <v>4.7510000000000003</v>
      </c>
      <c r="P90" s="995">
        <v>5.819</v>
      </c>
      <c r="Q90" s="995">
        <v>6.431</v>
      </c>
      <c r="R90" s="995">
        <v>6.7759999999999998</v>
      </c>
      <c r="S90" s="995">
        <v>6.5529999999999999</v>
      </c>
    </row>
    <row r="91" spans="10:19" x14ac:dyDescent="0.25">
      <c r="J91" s="994">
        <v>1290</v>
      </c>
      <c r="K91" s="995"/>
      <c r="L91" s="995">
        <v>-1.0999999999999999E-2</v>
      </c>
      <c r="M91" s="995">
        <v>1.016</v>
      </c>
      <c r="N91" s="995">
        <v>2.56</v>
      </c>
      <c r="O91" s="995">
        <v>4.7320000000000002</v>
      </c>
      <c r="P91" s="995">
        <v>5.8049999999999997</v>
      </c>
      <c r="Q91" s="995">
        <v>6.4189999999999996</v>
      </c>
      <c r="R91" s="995">
        <v>6.7619999999999996</v>
      </c>
      <c r="S91" s="995">
        <v>6.5389999999999997</v>
      </c>
    </row>
    <row r="92" spans="10:19" x14ac:dyDescent="0.25">
      <c r="J92" s="994">
        <v>1300</v>
      </c>
      <c r="K92" s="995"/>
      <c r="L92" s="995">
        <v>-1.0999999999999999E-2</v>
      </c>
      <c r="M92" s="995">
        <v>1.0089999999999999</v>
      </c>
      <c r="N92" s="995">
        <v>2.5430000000000001</v>
      </c>
      <c r="O92" s="995">
        <v>4.7130000000000001</v>
      </c>
      <c r="P92" s="995">
        <v>5.7910000000000004</v>
      </c>
      <c r="Q92" s="995">
        <v>6.407</v>
      </c>
      <c r="R92" s="995">
        <v>6.7469999999999999</v>
      </c>
      <c r="S92" s="995">
        <v>6.5250000000000004</v>
      </c>
    </row>
    <row r="93" spans="10:19" x14ac:dyDescent="0.25">
      <c r="J93" s="994">
        <v>1310</v>
      </c>
      <c r="K93" s="995"/>
      <c r="L93" s="995">
        <v>-1.0999999999999999E-2</v>
      </c>
      <c r="M93" s="995">
        <v>1.002</v>
      </c>
      <c r="N93" s="995">
        <v>2.5259999999999998</v>
      </c>
      <c r="O93" s="995">
        <v>4.694</v>
      </c>
      <c r="P93" s="995">
        <v>5.7770000000000001</v>
      </c>
      <c r="Q93" s="995">
        <v>6.3949999999999996</v>
      </c>
      <c r="R93" s="995">
        <v>6.7320000000000002</v>
      </c>
      <c r="S93" s="995">
        <v>6.51</v>
      </c>
    </row>
    <row r="94" spans="10:19" x14ac:dyDescent="0.25">
      <c r="J94" s="994">
        <v>1320</v>
      </c>
      <c r="K94" s="995"/>
      <c r="L94" s="995">
        <v>-1.0999999999999999E-2</v>
      </c>
      <c r="M94" s="995">
        <v>0.995</v>
      </c>
      <c r="N94" s="995">
        <v>2.5089999999999999</v>
      </c>
      <c r="O94" s="995">
        <v>4.6760000000000002</v>
      </c>
      <c r="P94" s="995">
        <v>5.7629999999999999</v>
      </c>
      <c r="Q94" s="995">
        <v>6.3819999999999997</v>
      </c>
      <c r="R94" s="995">
        <v>6.7169999999999996</v>
      </c>
      <c r="S94" s="995">
        <v>6.4960000000000004</v>
      </c>
    </row>
    <row r="95" spans="10:19" x14ac:dyDescent="0.25">
      <c r="J95" s="994">
        <v>1330</v>
      </c>
      <c r="K95" s="995"/>
      <c r="L95" s="995">
        <v>-1.0999999999999999E-2</v>
      </c>
      <c r="M95" s="995">
        <v>0.98799999999999999</v>
      </c>
      <c r="N95" s="995">
        <v>2.492</v>
      </c>
      <c r="O95" s="995">
        <v>4.657</v>
      </c>
      <c r="P95" s="995">
        <v>5.7489999999999997</v>
      </c>
      <c r="Q95" s="995">
        <v>6.37</v>
      </c>
      <c r="R95" s="995">
        <v>6.7030000000000003</v>
      </c>
      <c r="S95" s="995">
        <v>6.4820000000000002</v>
      </c>
    </row>
    <row r="96" spans="10:19" x14ac:dyDescent="0.25">
      <c r="J96" s="994">
        <v>1340</v>
      </c>
      <c r="K96" s="995"/>
      <c r="L96" s="995">
        <v>-1.0999999999999999E-2</v>
      </c>
      <c r="M96" s="995">
        <v>0.98199999999999998</v>
      </c>
      <c r="N96" s="995">
        <v>2.4750000000000001</v>
      </c>
      <c r="O96" s="995">
        <v>4.6379999999999999</v>
      </c>
      <c r="P96" s="995">
        <v>5.7350000000000003</v>
      </c>
      <c r="Q96" s="995">
        <v>6.3570000000000002</v>
      </c>
      <c r="R96" s="995">
        <v>6.6879999999999997</v>
      </c>
      <c r="S96" s="995">
        <v>6.468</v>
      </c>
    </row>
    <row r="97" spans="10:19" x14ac:dyDescent="0.25">
      <c r="J97" s="994">
        <v>1350</v>
      </c>
      <c r="K97" s="995"/>
      <c r="L97" s="995">
        <v>-1.0999999999999999E-2</v>
      </c>
      <c r="M97" s="995">
        <v>0.97499999999999998</v>
      </c>
      <c r="N97" s="995">
        <v>2.4590000000000001</v>
      </c>
      <c r="O97" s="995">
        <v>4.62</v>
      </c>
      <c r="P97" s="995">
        <v>5.7210000000000001</v>
      </c>
      <c r="Q97" s="995">
        <v>6.3440000000000003</v>
      </c>
      <c r="R97" s="995">
        <v>6.673</v>
      </c>
      <c r="S97" s="995">
        <v>6.4530000000000003</v>
      </c>
    </row>
    <row r="98" spans="10:19" x14ac:dyDescent="0.25">
      <c r="J98" s="994">
        <v>1360</v>
      </c>
      <c r="K98" s="995"/>
      <c r="L98" s="995">
        <v>-1.0999999999999999E-2</v>
      </c>
      <c r="M98" s="995">
        <v>0.96899999999999997</v>
      </c>
      <c r="N98" s="995">
        <v>2.4430000000000001</v>
      </c>
      <c r="O98" s="995">
        <v>4.6020000000000003</v>
      </c>
      <c r="P98" s="995">
        <v>5.7069999999999999</v>
      </c>
      <c r="Q98" s="995">
        <v>6.3310000000000004</v>
      </c>
      <c r="R98" s="995">
        <v>6.657</v>
      </c>
      <c r="S98" s="995">
        <v>6.4390000000000001</v>
      </c>
    </row>
    <row r="99" spans="10:19" x14ac:dyDescent="0.25">
      <c r="J99" s="994">
        <v>1370</v>
      </c>
      <c r="K99" s="995"/>
      <c r="L99" s="995">
        <v>-1.0999999999999999E-2</v>
      </c>
      <c r="M99" s="995">
        <v>0.96299999999999997</v>
      </c>
      <c r="N99" s="995">
        <v>2.4279999999999999</v>
      </c>
      <c r="O99" s="995">
        <v>4.5830000000000002</v>
      </c>
      <c r="P99" s="995">
        <v>5.6929999999999996</v>
      </c>
      <c r="Q99" s="995">
        <v>6.3179999999999996</v>
      </c>
      <c r="R99" s="995">
        <v>6.6420000000000003</v>
      </c>
      <c r="S99" s="995">
        <v>6.4249999999999998</v>
      </c>
    </row>
    <row r="100" spans="10:19" x14ac:dyDescent="0.25">
      <c r="J100" s="994">
        <v>1380</v>
      </c>
      <c r="K100" s="995"/>
      <c r="L100" s="995">
        <v>-1.0999999999999999E-2</v>
      </c>
      <c r="M100" s="995">
        <v>0.95599999999999996</v>
      </c>
      <c r="N100" s="995">
        <v>2.4119999999999999</v>
      </c>
      <c r="O100" s="995">
        <v>4.5650000000000004</v>
      </c>
      <c r="P100" s="995">
        <v>5.6790000000000003</v>
      </c>
      <c r="Q100" s="995">
        <v>6.3049999999999997</v>
      </c>
      <c r="R100" s="995">
        <v>6.6269999999999998</v>
      </c>
      <c r="S100" s="995">
        <v>6.41</v>
      </c>
    </row>
    <row r="101" spans="10:19" x14ac:dyDescent="0.25">
      <c r="J101" s="994">
        <v>1390</v>
      </c>
      <c r="K101" s="995"/>
      <c r="L101" s="995">
        <v>-1.0999999999999999E-2</v>
      </c>
      <c r="M101" s="995">
        <v>0.95</v>
      </c>
      <c r="N101" s="995">
        <v>2.3969999999999998</v>
      </c>
      <c r="O101" s="995">
        <v>4.5469999999999997</v>
      </c>
      <c r="P101" s="995">
        <v>5.6660000000000004</v>
      </c>
      <c r="Q101" s="995">
        <v>6.2919999999999998</v>
      </c>
      <c r="R101" s="995">
        <v>6.6120000000000001</v>
      </c>
      <c r="S101" s="995">
        <v>6.3959999999999999</v>
      </c>
    </row>
    <row r="102" spans="10:19" x14ac:dyDescent="0.25">
      <c r="J102" s="994">
        <v>1400</v>
      </c>
      <c r="K102" s="995"/>
      <c r="L102" s="995">
        <v>-1.0999999999999999E-2</v>
      </c>
      <c r="M102" s="995">
        <v>0.94399999999999995</v>
      </c>
      <c r="N102" s="995">
        <v>2.3820000000000001</v>
      </c>
      <c r="O102" s="995">
        <v>4.5289999999999999</v>
      </c>
      <c r="P102" s="995">
        <v>5.6520000000000001</v>
      </c>
      <c r="Q102" s="995">
        <v>6.2789999999999999</v>
      </c>
      <c r="R102" s="995">
        <v>6.5970000000000004</v>
      </c>
      <c r="S102" s="995">
        <v>6.3810000000000002</v>
      </c>
    </row>
    <row r="103" spans="10:19" x14ac:dyDescent="0.25">
      <c r="J103" s="994">
        <v>1410</v>
      </c>
      <c r="K103" s="995"/>
      <c r="L103" s="995">
        <v>-1.0999999999999999E-2</v>
      </c>
      <c r="M103" s="995">
        <v>0.93799999999999994</v>
      </c>
      <c r="N103" s="995">
        <v>2.367</v>
      </c>
      <c r="O103" s="995">
        <v>4.5110000000000001</v>
      </c>
      <c r="P103" s="995">
        <v>5.6379999999999999</v>
      </c>
      <c r="Q103" s="995">
        <v>6.2649999999999997</v>
      </c>
      <c r="R103" s="995">
        <v>6.5810000000000004</v>
      </c>
      <c r="S103" s="995">
        <v>6.367</v>
      </c>
    </row>
    <row r="104" spans="10:19" x14ac:dyDescent="0.25">
      <c r="J104" s="994">
        <v>1420</v>
      </c>
      <c r="K104" s="995"/>
      <c r="L104" s="995">
        <v>-1.0999999999999999E-2</v>
      </c>
      <c r="M104" s="995">
        <v>0.93200000000000005</v>
      </c>
      <c r="N104" s="995">
        <v>2.3519999999999999</v>
      </c>
      <c r="O104" s="995">
        <v>4.4930000000000003</v>
      </c>
      <c r="P104" s="995">
        <v>5.625</v>
      </c>
      <c r="Q104" s="995">
        <v>6.2519999999999998</v>
      </c>
      <c r="R104" s="995">
        <v>6.5659999999999998</v>
      </c>
      <c r="S104" s="995">
        <v>6.3520000000000003</v>
      </c>
    </row>
    <row r="105" spans="10:19" x14ac:dyDescent="0.25">
      <c r="J105" s="994">
        <v>1430</v>
      </c>
      <c r="K105" s="995"/>
      <c r="L105" s="995">
        <v>-1.0999999999999999E-2</v>
      </c>
      <c r="M105" s="995">
        <v>0.92700000000000005</v>
      </c>
      <c r="N105" s="995">
        <v>2.3380000000000001</v>
      </c>
      <c r="O105" s="995">
        <v>4.4749999999999996</v>
      </c>
      <c r="P105" s="995">
        <v>5.6109999999999998</v>
      </c>
      <c r="Q105" s="995">
        <v>6.2380000000000004</v>
      </c>
      <c r="R105" s="995">
        <v>6.5510000000000002</v>
      </c>
      <c r="S105" s="995">
        <v>6.3380000000000001</v>
      </c>
    </row>
    <row r="106" spans="10:19" x14ac:dyDescent="0.25">
      <c r="J106" s="994">
        <v>1440</v>
      </c>
      <c r="K106" s="995"/>
      <c r="L106" s="995">
        <v>-1.0999999999999999E-2</v>
      </c>
      <c r="M106" s="995">
        <v>0.92100000000000004</v>
      </c>
      <c r="N106" s="995">
        <v>2.3239999999999998</v>
      </c>
      <c r="O106" s="995">
        <v>4.4569999999999999</v>
      </c>
      <c r="P106" s="995">
        <v>5.5979999999999999</v>
      </c>
      <c r="Q106" s="995">
        <v>6.2249999999999996</v>
      </c>
      <c r="R106" s="995">
        <v>6.5350000000000001</v>
      </c>
      <c r="S106" s="995">
        <v>6.3230000000000004</v>
      </c>
    </row>
    <row r="107" spans="10:19" x14ac:dyDescent="0.25">
      <c r="J107" s="994">
        <v>1450</v>
      </c>
      <c r="K107" s="995"/>
      <c r="L107" s="995">
        <v>-1.0999999999999999E-2</v>
      </c>
      <c r="M107" s="995">
        <v>0.91500000000000004</v>
      </c>
      <c r="N107" s="995">
        <v>2.31</v>
      </c>
      <c r="O107" s="995">
        <v>4.4390000000000001</v>
      </c>
      <c r="P107" s="995">
        <v>5.5839999999999996</v>
      </c>
      <c r="Q107" s="995">
        <v>6.2110000000000003</v>
      </c>
      <c r="R107" s="995">
        <v>6.52</v>
      </c>
      <c r="S107" s="995">
        <v>6.3090000000000002</v>
      </c>
    </row>
    <row r="108" spans="10:19" x14ac:dyDescent="0.25">
      <c r="J108" s="994">
        <v>1460</v>
      </c>
      <c r="K108" s="995"/>
      <c r="L108" s="995">
        <v>-1.0999999999999999E-2</v>
      </c>
      <c r="M108" s="995">
        <v>0.91</v>
      </c>
      <c r="N108" s="995">
        <v>2.2959999999999998</v>
      </c>
      <c r="O108" s="995">
        <v>4.4219999999999997</v>
      </c>
      <c r="P108" s="995">
        <v>5.5709999999999997</v>
      </c>
      <c r="Q108" s="995">
        <v>6.1970000000000001</v>
      </c>
      <c r="R108" s="995">
        <v>6.5039999999999996</v>
      </c>
      <c r="S108" s="995">
        <v>6.2939999999999996</v>
      </c>
    </row>
    <row r="109" spans="10:19" x14ac:dyDescent="0.25">
      <c r="J109" s="994">
        <v>1470</v>
      </c>
      <c r="K109" s="995"/>
      <c r="L109" s="995">
        <v>-1.0999999999999999E-2</v>
      </c>
      <c r="M109" s="995">
        <v>0.90500000000000003</v>
      </c>
      <c r="N109" s="995">
        <v>2.282</v>
      </c>
      <c r="O109" s="995">
        <v>4.4039999999999999</v>
      </c>
      <c r="P109" s="995">
        <v>5.5579999999999998</v>
      </c>
      <c r="Q109" s="995">
        <v>6.1829999999999998</v>
      </c>
      <c r="R109" s="995">
        <v>6.4880000000000004</v>
      </c>
      <c r="S109" s="995">
        <v>6.2789999999999999</v>
      </c>
    </row>
    <row r="110" spans="10:19" x14ac:dyDescent="0.25">
      <c r="J110" s="994">
        <v>1480</v>
      </c>
      <c r="K110" s="995"/>
      <c r="L110" s="995">
        <v>-1.0999999999999999E-2</v>
      </c>
      <c r="M110" s="995">
        <v>0.89900000000000002</v>
      </c>
      <c r="N110" s="995">
        <v>2.2690000000000001</v>
      </c>
      <c r="O110" s="995">
        <v>4.3860000000000001</v>
      </c>
      <c r="P110" s="995">
        <v>5.5439999999999996</v>
      </c>
      <c r="Q110" s="995">
        <v>6.1689999999999996</v>
      </c>
      <c r="R110" s="995">
        <v>6.4729999999999999</v>
      </c>
      <c r="S110" s="995">
        <v>6.2649999999999997</v>
      </c>
    </row>
    <row r="111" spans="10:19" x14ac:dyDescent="0.25">
      <c r="J111" s="994">
        <v>1490</v>
      </c>
      <c r="K111" s="995"/>
      <c r="L111" s="995">
        <v>-1.0999999999999999E-2</v>
      </c>
      <c r="M111" s="995">
        <v>0.89400000000000002</v>
      </c>
      <c r="N111" s="995">
        <v>2.2559999999999998</v>
      </c>
      <c r="O111" s="995">
        <v>4.3689999999999998</v>
      </c>
      <c r="P111" s="995">
        <v>5.5309999999999997</v>
      </c>
      <c r="Q111" s="995">
        <v>6.1550000000000002</v>
      </c>
      <c r="R111" s="995">
        <v>6.4569999999999999</v>
      </c>
      <c r="S111" s="995">
        <v>6.25</v>
      </c>
    </row>
    <row r="112" spans="10:19" x14ac:dyDescent="0.25">
      <c r="J112" s="994">
        <v>1500</v>
      </c>
      <c r="K112" s="995"/>
      <c r="L112" s="995">
        <v>-1.0999999999999999E-2</v>
      </c>
      <c r="M112" s="995">
        <v>0.88900000000000001</v>
      </c>
      <c r="N112" s="995">
        <v>2.2429999999999999</v>
      </c>
      <c r="O112" s="995">
        <v>4.351</v>
      </c>
      <c r="P112" s="995">
        <v>5.5179999999999998</v>
      </c>
      <c r="Q112" s="995">
        <v>6.141</v>
      </c>
      <c r="R112" s="995">
        <v>6.4409999999999998</v>
      </c>
      <c r="S112" s="995">
        <v>6.2350000000000003</v>
      </c>
    </row>
    <row r="113" spans="10:19" x14ac:dyDescent="0.25">
      <c r="J113" s="994">
        <v>1510</v>
      </c>
      <c r="K113" s="995"/>
      <c r="L113" s="995">
        <v>-1.0999999999999999E-2</v>
      </c>
      <c r="M113" s="995">
        <v>0.88400000000000001</v>
      </c>
      <c r="N113" s="995">
        <v>2.23</v>
      </c>
      <c r="O113" s="995">
        <v>4.3339999999999996</v>
      </c>
      <c r="P113" s="995">
        <v>5.5049999999999999</v>
      </c>
      <c r="Q113" s="995">
        <v>6.1269999999999998</v>
      </c>
      <c r="R113" s="995">
        <v>6.4260000000000002</v>
      </c>
      <c r="S113" s="995">
        <v>6.2210000000000001</v>
      </c>
    </row>
    <row r="114" spans="10:19" x14ac:dyDescent="0.25">
      <c r="J114" s="994">
        <v>1520</v>
      </c>
      <c r="K114" s="995"/>
      <c r="L114" s="995">
        <v>-1.0999999999999999E-2</v>
      </c>
      <c r="M114" s="995">
        <v>0.879</v>
      </c>
      <c r="N114" s="995">
        <v>2.2170000000000001</v>
      </c>
      <c r="O114" s="995">
        <v>4.3170000000000002</v>
      </c>
      <c r="P114" s="995">
        <v>5.492</v>
      </c>
      <c r="Q114" s="995">
        <v>6.1120000000000001</v>
      </c>
      <c r="R114" s="995">
        <v>6.41</v>
      </c>
      <c r="S114" s="995">
        <v>6.2060000000000004</v>
      </c>
    </row>
    <row r="115" spans="10:19" x14ac:dyDescent="0.25">
      <c r="J115" s="994">
        <v>1530</v>
      </c>
      <c r="K115" s="995"/>
      <c r="L115" s="995">
        <v>-1.0999999999999999E-2</v>
      </c>
      <c r="M115" s="995">
        <v>0.874</v>
      </c>
      <c r="N115" s="995">
        <v>2.2040000000000002</v>
      </c>
      <c r="O115" s="995">
        <v>4.2990000000000004</v>
      </c>
      <c r="P115" s="995">
        <v>5.4790000000000001</v>
      </c>
      <c r="Q115" s="995">
        <v>6.0979999999999999</v>
      </c>
      <c r="R115" s="995">
        <v>6.3940000000000001</v>
      </c>
      <c r="S115" s="995">
        <v>6.1909999999999998</v>
      </c>
    </row>
    <row r="116" spans="10:19" x14ac:dyDescent="0.25">
      <c r="J116" s="994">
        <v>1540</v>
      </c>
      <c r="K116" s="995"/>
      <c r="L116" s="995">
        <v>-1.0999999999999999E-2</v>
      </c>
      <c r="M116" s="995">
        <v>0.86899999999999999</v>
      </c>
      <c r="N116" s="995">
        <v>2.1920000000000002</v>
      </c>
      <c r="O116" s="995">
        <v>4.282</v>
      </c>
      <c r="P116" s="995">
        <v>5.4660000000000002</v>
      </c>
      <c r="Q116" s="995">
        <v>6.0830000000000002</v>
      </c>
      <c r="R116" s="995">
        <v>6.3780000000000001</v>
      </c>
      <c r="S116" s="995">
        <v>6.1760000000000002</v>
      </c>
    </row>
    <row r="117" spans="10:19" x14ac:dyDescent="0.25">
      <c r="J117" s="994">
        <v>1550</v>
      </c>
      <c r="K117" s="995"/>
      <c r="L117" s="995">
        <v>-1.0999999999999999E-2</v>
      </c>
      <c r="M117" s="995">
        <v>0.86399999999999999</v>
      </c>
      <c r="N117" s="995">
        <v>2.1800000000000002</v>
      </c>
      <c r="O117" s="995">
        <v>4.2649999999999997</v>
      </c>
      <c r="P117" s="995">
        <v>5.4530000000000003</v>
      </c>
      <c r="Q117" s="995">
        <v>6.069</v>
      </c>
      <c r="R117" s="995">
        <v>6.3620000000000001</v>
      </c>
      <c r="S117" s="995">
        <v>6.1609999999999996</v>
      </c>
    </row>
    <row r="118" spans="10:19" x14ac:dyDescent="0.25">
      <c r="J118" s="994">
        <v>1560</v>
      </c>
      <c r="K118" s="995"/>
      <c r="L118" s="995">
        <v>-1.0999999999999999E-2</v>
      </c>
      <c r="M118" s="995">
        <v>0.85899999999999999</v>
      </c>
      <c r="N118" s="995">
        <v>2.1680000000000001</v>
      </c>
      <c r="O118" s="995">
        <v>4.2480000000000002</v>
      </c>
      <c r="P118" s="995">
        <v>5.44</v>
      </c>
      <c r="Q118" s="995">
        <v>6.0540000000000003</v>
      </c>
      <c r="R118" s="995">
        <v>6.3460000000000001</v>
      </c>
      <c r="S118" s="995">
        <v>6.1459999999999999</v>
      </c>
    </row>
    <row r="119" spans="10:19" x14ac:dyDescent="0.25">
      <c r="J119" s="994">
        <v>1570</v>
      </c>
      <c r="K119" s="995"/>
      <c r="L119" s="995">
        <v>-1.0999999999999999E-2</v>
      </c>
      <c r="M119" s="995">
        <v>0.85399999999999998</v>
      </c>
      <c r="N119" s="995">
        <v>2.1560000000000001</v>
      </c>
      <c r="O119" s="995">
        <v>4.2309999999999999</v>
      </c>
      <c r="P119" s="995">
        <v>5.4269999999999996</v>
      </c>
      <c r="Q119" s="995">
        <v>6.0389999999999997</v>
      </c>
      <c r="R119" s="995">
        <v>6.3310000000000004</v>
      </c>
      <c r="S119" s="995">
        <v>6.1319999999999997</v>
      </c>
    </row>
    <row r="120" spans="10:19" x14ac:dyDescent="0.25">
      <c r="J120" s="994">
        <v>1580</v>
      </c>
      <c r="K120" s="995"/>
      <c r="L120" s="995">
        <v>-1.0999999999999999E-2</v>
      </c>
      <c r="M120" s="995">
        <v>0.85</v>
      </c>
      <c r="N120" s="995">
        <v>2.1440000000000001</v>
      </c>
      <c r="O120" s="995">
        <v>4.2140000000000004</v>
      </c>
      <c r="P120" s="995">
        <v>5.4139999999999997</v>
      </c>
      <c r="Q120" s="995">
        <v>6.0250000000000004</v>
      </c>
      <c r="R120" s="995">
        <v>6.3150000000000004</v>
      </c>
      <c r="S120" s="995">
        <v>6.117</v>
      </c>
    </row>
    <row r="121" spans="10:19" x14ac:dyDescent="0.25">
      <c r="J121" s="994">
        <v>1590</v>
      </c>
      <c r="K121" s="995"/>
      <c r="L121" s="995">
        <v>-1.0999999999999999E-2</v>
      </c>
      <c r="M121" s="995">
        <v>0.84499999999999997</v>
      </c>
      <c r="N121" s="995">
        <v>2.133</v>
      </c>
      <c r="O121" s="995">
        <v>4.1970000000000001</v>
      </c>
      <c r="P121" s="995">
        <v>5.4009999999999998</v>
      </c>
      <c r="Q121" s="995">
        <v>6.01</v>
      </c>
      <c r="R121" s="995">
        <v>6.298</v>
      </c>
      <c r="S121" s="995">
        <v>6.1020000000000003</v>
      </c>
    </row>
    <row r="122" spans="10:19" x14ac:dyDescent="0.25">
      <c r="J122" s="994">
        <v>1600</v>
      </c>
      <c r="K122" s="995"/>
      <c r="L122" s="995">
        <v>-1.0999999999999999E-2</v>
      </c>
      <c r="M122" s="995">
        <v>0.84</v>
      </c>
      <c r="N122" s="995">
        <v>2.121</v>
      </c>
      <c r="O122" s="995">
        <v>4.18</v>
      </c>
      <c r="P122" s="995">
        <v>5.3879999999999999</v>
      </c>
      <c r="Q122" s="995">
        <v>5.9950000000000001</v>
      </c>
      <c r="R122" s="995">
        <v>6.282</v>
      </c>
      <c r="S122" s="995">
        <v>6.0869999999999997</v>
      </c>
    </row>
    <row r="123" spans="10:19" x14ac:dyDescent="0.25">
      <c r="J123" s="994">
        <v>1610</v>
      </c>
      <c r="K123" s="995"/>
      <c r="L123" s="995">
        <v>-1.0999999999999999E-2</v>
      </c>
      <c r="M123" s="995">
        <v>0.83599999999999997</v>
      </c>
      <c r="N123" s="995">
        <v>2.11</v>
      </c>
      <c r="O123" s="995">
        <v>4.1630000000000003</v>
      </c>
      <c r="P123" s="995">
        <v>5.3760000000000003</v>
      </c>
      <c r="Q123" s="995">
        <v>5.98</v>
      </c>
      <c r="R123" s="995">
        <v>6.266</v>
      </c>
      <c r="S123" s="995">
        <v>6.0720000000000001</v>
      </c>
    </row>
    <row r="124" spans="10:19" x14ac:dyDescent="0.25">
      <c r="J124" s="994">
        <v>1620</v>
      </c>
      <c r="K124" s="995"/>
      <c r="L124" s="995">
        <v>-1.0999999999999999E-2</v>
      </c>
      <c r="M124" s="995">
        <v>0.83099999999999996</v>
      </c>
      <c r="N124" s="995">
        <v>2.0990000000000002</v>
      </c>
      <c r="O124" s="995">
        <v>4.1470000000000002</v>
      </c>
      <c r="P124" s="995">
        <v>5.3630000000000004</v>
      </c>
      <c r="Q124" s="995">
        <v>5.9649999999999999</v>
      </c>
      <c r="R124" s="995">
        <v>6.25</v>
      </c>
      <c r="S124" s="995">
        <v>6.0570000000000004</v>
      </c>
    </row>
    <row r="125" spans="10:19" x14ac:dyDescent="0.25">
      <c r="J125" s="994">
        <v>1630</v>
      </c>
      <c r="K125" s="995"/>
      <c r="L125" s="995">
        <v>-1.0999999999999999E-2</v>
      </c>
      <c r="M125" s="995">
        <v>0.82699999999999996</v>
      </c>
      <c r="N125" s="995">
        <v>2.0880000000000001</v>
      </c>
      <c r="O125" s="995">
        <v>4.13</v>
      </c>
      <c r="P125" s="995">
        <v>5.35</v>
      </c>
      <c r="Q125" s="995">
        <v>5.95</v>
      </c>
      <c r="R125" s="995">
        <v>6.234</v>
      </c>
      <c r="S125" s="995">
        <v>6.0419999999999998</v>
      </c>
    </row>
    <row r="126" spans="10:19" x14ac:dyDescent="0.25">
      <c r="J126" s="994">
        <v>1640</v>
      </c>
      <c r="K126" s="995"/>
      <c r="L126" s="995">
        <v>-1.0999999999999999E-2</v>
      </c>
      <c r="M126" s="995">
        <v>0.82299999999999995</v>
      </c>
      <c r="N126" s="995">
        <v>2.077</v>
      </c>
      <c r="O126" s="995">
        <v>4.1130000000000004</v>
      </c>
      <c r="P126" s="995">
        <v>5.3380000000000001</v>
      </c>
      <c r="Q126" s="995">
        <v>5.9340000000000002</v>
      </c>
      <c r="R126" s="995">
        <v>6.218</v>
      </c>
      <c r="S126" s="995">
        <v>6.0270000000000001</v>
      </c>
    </row>
    <row r="127" spans="10:19" x14ac:dyDescent="0.25">
      <c r="J127" s="994">
        <v>1650</v>
      </c>
      <c r="K127" s="995"/>
      <c r="L127" s="995">
        <v>-1.0999999999999999E-2</v>
      </c>
      <c r="M127" s="995">
        <v>0.81799999999999995</v>
      </c>
      <c r="N127" s="995">
        <v>2.0659999999999998</v>
      </c>
      <c r="O127" s="995">
        <v>4.0970000000000004</v>
      </c>
      <c r="P127" s="995">
        <v>5.3250000000000002</v>
      </c>
      <c r="Q127" s="995">
        <v>5.9189999999999996</v>
      </c>
      <c r="R127" s="995">
        <v>6.202</v>
      </c>
      <c r="S127" s="995">
        <v>6.0119999999999996</v>
      </c>
    </row>
    <row r="128" spans="10:19" x14ac:dyDescent="0.25">
      <c r="J128" s="994">
        <v>1660</v>
      </c>
      <c r="K128" s="995"/>
      <c r="L128" s="995">
        <v>-1.0999999999999999E-2</v>
      </c>
      <c r="M128" s="995">
        <v>0.81399999999999995</v>
      </c>
      <c r="N128" s="995">
        <v>2.056</v>
      </c>
      <c r="O128" s="995">
        <v>4.08</v>
      </c>
      <c r="P128" s="995">
        <v>5.3120000000000003</v>
      </c>
      <c r="Q128" s="995">
        <v>5.9039999999999999</v>
      </c>
      <c r="R128" s="995">
        <v>6.1849999999999996</v>
      </c>
      <c r="S128" s="995">
        <v>5.9969999999999999</v>
      </c>
    </row>
    <row r="129" spans="10:19" x14ac:dyDescent="0.25">
      <c r="J129" s="994">
        <v>1670</v>
      </c>
      <c r="K129" s="995"/>
      <c r="L129" s="995">
        <v>-1.0999999999999999E-2</v>
      </c>
      <c r="M129" s="995">
        <v>0.81</v>
      </c>
      <c r="N129" s="995">
        <v>2.0449999999999999</v>
      </c>
      <c r="O129" s="995">
        <v>4.0640000000000001</v>
      </c>
      <c r="P129" s="995">
        <v>5.3</v>
      </c>
      <c r="Q129" s="995">
        <v>5.8890000000000002</v>
      </c>
      <c r="R129" s="995">
        <v>6.1689999999999996</v>
      </c>
      <c r="S129" s="995">
        <v>5.9820000000000002</v>
      </c>
    </row>
    <row r="130" spans="10:19" x14ac:dyDescent="0.25">
      <c r="J130" s="994">
        <v>1680</v>
      </c>
      <c r="K130" s="995"/>
      <c r="L130" s="995">
        <v>-1.0999999999999999E-2</v>
      </c>
      <c r="M130" s="995">
        <v>0.80600000000000005</v>
      </c>
      <c r="N130" s="995">
        <v>2.0350000000000001</v>
      </c>
      <c r="O130" s="995">
        <v>4.0469999999999997</v>
      </c>
      <c r="P130" s="995">
        <v>5.2869999999999999</v>
      </c>
      <c r="Q130" s="995">
        <v>5.8730000000000002</v>
      </c>
      <c r="R130" s="995">
        <v>6.1529999999999996</v>
      </c>
      <c r="S130" s="995">
        <v>5.9669999999999996</v>
      </c>
    </row>
    <row r="131" spans="10:19" x14ac:dyDescent="0.25">
      <c r="J131" s="994">
        <v>1690</v>
      </c>
      <c r="K131" s="995"/>
      <c r="L131" s="995">
        <v>-1.0999999999999999E-2</v>
      </c>
      <c r="M131" s="995">
        <v>0.80200000000000005</v>
      </c>
      <c r="N131" s="995">
        <v>2.0249999999999999</v>
      </c>
      <c r="O131" s="995">
        <v>4.0309999999999997</v>
      </c>
      <c r="P131" s="995">
        <v>5.2750000000000004</v>
      </c>
      <c r="Q131" s="995">
        <v>5.8579999999999997</v>
      </c>
      <c r="R131" s="995">
        <v>6.1369999999999996</v>
      </c>
      <c r="S131" s="995">
        <v>5.952</v>
      </c>
    </row>
    <row r="132" spans="10:19" x14ac:dyDescent="0.25">
      <c r="J132" s="994">
        <v>1700</v>
      </c>
      <c r="K132" s="995"/>
      <c r="L132" s="995">
        <v>-1.0999999999999999E-2</v>
      </c>
      <c r="M132" s="995">
        <v>0.79800000000000004</v>
      </c>
      <c r="N132" s="995">
        <v>2.0150000000000001</v>
      </c>
      <c r="O132" s="995">
        <v>4.0140000000000002</v>
      </c>
      <c r="P132" s="995">
        <v>5.2619999999999996</v>
      </c>
      <c r="Q132" s="995">
        <v>5.8419999999999996</v>
      </c>
      <c r="R132" s="995">
        <v>6.12</v>
      </c>
      <c r="S132" s="995">
        <v>5.9370000000000003</v>
      </c>
    </row>
    <row r="133" spans="10:19" x14ac:dyDescent="0.25">
      <c r="J133" s="994">
        <v>1710</v>
      </c>
      <c r="K133" s="995"/>
      <c r="L133" s="995">
        <v>-1.0999999999999999E-2</v>
      </c>
      <c r="M133" s="995">
        <v>0.79400000000000004</v>
      </c>
      <c r="N133" s="995">
        <v>2.0049999999999999</v>
      </c>
      <c r="O133" s="995">
        <v>3.9980000000000002</v>
      </c>
      <c r="P133" s="995">
        <v>5.2489999999999997</v>
      </c>
      <c r="Q133" s="995">
        <v>5.827</v>
      </c>
      <c r="R133" s="995">
        <v>6.1040000000000001</v>
      </c>
      <c r="S133" s="995">
        <v>5.9210000000000003</v>
      </c>
    </row>
    <row r="134" spans="10:19" x14ac:dyDescent="0.25">
      <c r="J134" s="994">
        <v>1720</v>
      </c>
      <c r="K134" s="995"/>
      <c r="L134" s="995">
        <v>-1.0999999999999999E-2</v>
      </c>
      <c r="M134" s="995">
        <v>0.79</v>
      </c>
      <c r="N134" s="995">
        <v>1.9950000000000001</v>
      </c>
      <c r="O134" s="995">
        <v>3.9820000000000002</v>
      </c>
      <c r="P134" s="995">
        <v>5.2370000000000001</v>
      </c>
      <c r="Q134" s="995">
        <v>5.8109999999999999</v>
      </c>
      <c r="R134" s="995">
        <v>6.0869999999999997</v>
      </c>
      <c r="S134" s="995">
        <v>5.9059999999999997</v>
      </c>
    </row>
    <row r="135" spans="10:19" x14ac:dyDescent="0.25">
      <c r="J135" s="994">
        <v>1730</v>
      </c>
      <c r="K135" s="995"/>
      <c r="L135" s="995">
        <v>-1.0999999999999999E-2</v>
      </c>
      <c r="M135" s="995">
        <v>0.78600000000000003</v>
      </c>
      <c r="N135" s="995">
        <v>1.9850000000000001</v>
      </c>
      <c r="O135" s="995">
        <v>3.9660000000000002</v>
      </c>
      <c r="P135" s="995">
        <v>5.2240000000000002</v>
      </c>
      <c r="Q135" s="995">
        <v>5.7960000000000003</v>
      </c>
      <c r="R135" s="995">
        <v>6.0709999999999997</v>
      </c>
      <c r="S135" s="995">
        <v>5.891</v>
      </c>
    </row>
    <row r="136" spans="10:19" x14ac:dyDescent="0.25">
      <c r="J136" s="994">
        <v>1740</v>
      </c>
      <c r="K136" s="995"/>
      <c r="L136" s="995">
        <v>-1.0999999999999999E-2</v>
      </c>
      <c r="M136" s="995">
        <v>0.78200000000000003</v>
      </c>
      <c r="N136" s="995">
        <v>1.976</v>
      </c>
      <c r="O136" s="995">
        <v>3.95</v>
      </c>
      <c r="P136" s="995">
        <v>5.2110000000000003</v>
      </c>
      <c r="Q136" s="995">
        <v>5.78</v>
      </c>
      <c r="R136" s="995">
        <v>6.0540000000000003</v>
      </c>
      <c r="S136" s="995">
        <v>5.8760000000000003</v>
      </c>
    </row>
    <row r="137" spans="10:19" x14ac:dyDescent="0.25">
      <c r="J137" s="994">
        <v>1750</v>
      </c>
      <c r="K137" s="995"/>
      <c r="L137" s="995">
        <v>-1.0999999999999999E-2</v>
      </c>
      <c r="M137" s="995">
        <v>0.77800000000000002</v>
      </c>
      <c r="N137" s="995">
        <v>1.966</v>
      </c>
      <c r="O137" s="995">
        <v>3.9329999999999998</v>
      </c>
      <c r="P137" s="995">
        <v>5.1970000000000001</v>
      </c>
      <c r="Q137" s="995">
        <v>5.7640000000000002</v>
      </c>
      <c r="R137" s="995">
        <v>6.0380000000000003</v>
      </c>
      <c r="S137" s="995">
        <v>5.8609999999999998</v>
      </c>
    </row>
    <row r="138" spans="10:19" x14ac:dyDescent="0.25">
      <c r="J138" s="994">
        <v>1760</v>
      </c>
      <c r="K138" s="995"/>
      <c r="L138" s="995">
        <v>-1.0999999999999999E-2</v>
      </c>
      <c r="M138" s="995">
        <v>0.77500000000000002</v>
      </c>
      <c r="N138" s="995">
        <v>1.9570000000000001</v>
      </c>
      <c r="O138" s="995">
        <v>3.9169999999999998</v>
      </c>
      <c r="P138" s="995">
        <v>5.1840000000000002</v>
      </c>
      <c r="Q138" s="995">
        <v>5.7480000000000002</v>
      </c>
      <c r="R138" s="995">
        <v>6.0209999999999999</v>
      </c>
      <c r="S138" s="995">
        <v>5.8460000000000001</v>
      </c>
    </row>
    <row r="139" spans="10:19" x14ac:dyDescent="0.25">
      <c r="J139" s="994">
        <v>1770</v>
      </c>
      <c r="K139" s="995"/>
      <c r="L139" s="995">
        <v>-1.0999999999999999E-2</v>
      </c>
      <c r="M139" s="995">
        <v>0.77100000000000002</v>
      </c>
      <c r="N139" s="995">
        <v>1.9470000000000001</v>
      </c>
      <c r="O139" s="995">
        <v>3.9009999999999998</v>
      </c>
      <c r="P139" s="995">
        <v>5.1710000000000003</v>
      </c>
      <c r="Q139" s="995">
        <v>5.7329999999999997</v>
      </c>
      <c r="R139" s="995">
        <v>6.0049999999999999</v>
      </c>
      <c r="S139" s="995">
        <v>5.83</v>
      </c>
    </row>
    <row r="140" spans="10:19" x14ac:dyDescent="0.25">
      <c r="J140" s="994">
        <v>1780</v>
      </c>
      <c r="K140" s="995"/>
      <c r="L140" s="995">
        <v>-1.0999999999999999E-2</v>
      </c>
      <c r="M140" s="995">
        <v>0.76700000000000002</v>
      </c>
      <c r="N140" s="995">
        <v>1.9379999999999999</v>
      </c>
      <c r="O140" s="995">
        <v>3.8849999999999998</v>
      </c>
      <c r="P140" s="995">
        <v>5.157</v>
      </c>
      <c r="Q140" s="995">
        <v>5.7169999999999996</v>
      </c>
      <c r="R140" s="995">
        <v>5.9880000000000004</v>
      </c>
      <c r="S140" s="995">
        <v>5.8150000000000004</v>
      </c>
    </row>
    <row r="141" spans="10:19" x14ac:dyDescent="0.25">
      <c r="J141" s="994">
        <v>1790</v>
      </c>
      <c r="K141" s="995"/>
      <c r="L141" s="995">
        <v>-1.0999999999999999E-2</v>
      </c>
      <c r="M141" s="995">
        <v>0.76400000000000001</v>
      </c>
      <c r="N141" s="995">
        <v>1.929</v>
      </c>
      <c r="O141" s="995">
        <v>3.87</v>
      </c>
      <c r="P141" s="995">
        <v>5.1440000000000001</v>
      </c>
      <c r="Q141" s="995">
        <v>5.7009999999999996</v>
      </c>
      <c r="R141" s="995">
        <v>5.9720000000000004</v>
      </c>
      <c r="S141" s="995">
        <v>5.8</v>
      </c>
    </row>
    <row r="142" spans="10:19" x14ac:dyDescent="0.25">
      <c r="J142" s="994">
        <v>1800</v>
      </c>
      <c r="K142" s="995"/>
      <c r="L142" s="995">
        <v>-1.0999999999999999E-2</v>
      </c>
      <c r="M142" s="995">
        <v>0.76</v>
      </c>
      <c r="N142" s="995">
        <v>1.92</v>
      </c>
      <c r="O142" s="995">
        <v>3.8540000000000001</v>
      </c>
      <c r="P142" s="995">
        <v>5.13</v>
      </c>
      <c r="Q142" s="995">
        <v>5.6849999999999996</v>
      </c>
      <c r="R142" s="995">
        <v>5.9550000000000001</v>
      </c>
      <c r="S142" s="995">
        <v>5.7850000000000001</v>
      </c>
    </row>
    <row r="143" spans="10:19" x14ac:dyDescent="0.25">
      <c r="J143" s="994">
        <v>1810</v>
      </c>
      <c r="K143" s="995"/>
      <c r="L143" s="995">
        <v>-1.0999999999999999E-2</v>
      </c>
      <c r="M143" s="995">
        <v>0.75600000000000001</v>
      </c>
      <c r="N143" s="995">
        <v>1.911</v>
      </c>
      <c r="O143" s="995">
        <v>3.8380000000000001</v>
      </c>
      <c r="P143" s="995">
        <v>5.117</v>
      </c>
      <c r="Q143" s="995">
        <v>5.6689999999999996</v>
      </c>
      <c r="R143" s="995">
        <v>5.9390000000000001</v>
      </c>
      <c r="S143" s="995">
        <v>5.7690000000000001</v>
      </c>
    </row>
    <row r="144" spans="10:19" x14ac:dyDescent="0.25">
      <c r="J144" s="994">
        <v>1820</v>
      </c>
      <c r="K144" s="995"/>
      <c r="L144" s="995">
        <v>-1.0999999999999999E-2</v>
      </c>
      <c r="M144" s="995">
        <v>0.753</v>
      </c>
      <c r="N144" s="995">
        <v>1.903</v>
      </c>
      <c r="O144" s="995">
        <v>3.8220000000000001</v>
      </c>
      <c r="P144" s="995">
        <v>5.1029999999999998</v>
      </c>
      <c r="Q144" s="995">
        <v>5.6529999999999996</v>
      </c>
      <c r="R144" s="995">
        <v>5.9219999999999997</v>
      </c>
      <c r="S144" s="995">
        <v>5.7539999999999996</v>
      </c>
    </row>
    <row r="145" spans="10:19" x14ac:dyDescent="0.25">
      <c r="J145" s="994">
        <v>1830</v>
      </c>
      <c r="K145" s="995"/>
      <c r="L145" s="995">
        <v>-1.0999999999999999E-2</v>
      </c>
      <c r="M145" s="995">
        <v>0.75</v>
      </c>
      <c r="N145" s="995">
        <v>1.8939999999999999</v>
      </c>
      <c r="O145" s="995">
        <v>3.806</v>
      </c>
      <c r="P145" s="995">
        <v>5.0890000000000004</v>
      </c>
      <c r="Q145" s="995">
        <v>5.6369999999999996</v>
      </c>
      <c r="R145" s="995">
        <v>5.9050000000000002</v>
      </c>
      <c r="S145" s="995">
        <v>5.7389999999999999</v>
      </c>
    </row>
    <row r="146" spans="10:19" x14ac:dyDescent="0.25">
      <c r="J146" s="994">
        <v>1840</v>
      </c>
      <c r="K146" s="995"/>
      <c r="L146" s="995">
        <v>-1.0999999999999999E-2</v>
      </c>
      <c r="M146" s="995">
        <v>0.746</v>
      </c>
      <c r="N146" s="995">
        <v>1.885</v>
      </c>
      <c r="O146" s="995">
        <v>3.7909999999999999</v>
      </c>
      <c r="P146" s="995">
        <v>5.0750000000000002</v>
      </c>
      <c r="Q146" s="995">
        <v>5.62</v>
      </c>
      <c r="R146" s="995">
        <v>5.8890000000000002</v>
      </c>
      <c r="S146" s="995">
        <v>5.7229999999999999</v>
      </c>
    </row>
    <row r="147" spans="10:19" x14ac:dyDescent="0.25">
      <c r="J147" s="994">
        <v>1850</v>
      </c>
      <c r="K147" s="995"/>
      <c r="L147" s="995">
        <v>-1.0999999999999999E-2</v>
      </c>
      <c r="M147" s="995">
        <v>0.74299999999999999</v>
      </c>
      <c r="N147" s="995">
        <v>1.877</v>
      </c>
      <c r="O147" s="995">
        <v>3.7749999999999999</v>
      </c>
      <c r="P147" s="995">
        <v>5.0609999999999999</v>
      </c>
      <c r="Q147" s="995">
        <v>5.6040000000000001</v>
      </c>
      <c r="R147" s="995">
        <v>5.8719999999999999</v>
      </c>
      <c r="S147" s="995">
        <v>5.7080000000000002</v>
      </c>
    </row>
    <row r="148" spans="10:19" x14ac:dyDescent="0.25">
      <c r="J148" s="994">
        <v>1860</v>
      </c>
      <c r="K148" s="995"/>
      <c r="L148" s="995">
        <v>-1.0999999999999999E-2</v>
      </c>
      <c r="M148" s="995">
        <v>0.74</v>
      </c>
      <c r="N148" s="995">
        <v>1.8680000000000001</v>
      </c>
      <c r="O148" s="995">
        <v>3.7589999999999999</v>
      </c>
      <c r="P148" s="995">
        <v>5.0469999999999997</v>
      </c>
      <c r="Q148" s="995">
        <v>5.5880000000000001</v>
      </c>
      <c r="R148" s="995">
        <v>5.8550000000000004</v>
      </c>
      <c r="S148" s="995">
        <v>5.6929999999999996</v>
      </c>
    </row>
    <row r="149" spans="10:19" x14ac:dyDescent="0.25">
      <c r="J149" s="994">
        <v>1870</v>
      </c>
      <c r="K149" s="995"/>
      <c r="L149" s="995">
        <v>-1.0999999999999999E-2</v>
      </c>
      <c r="M149" s="995">
        <v>0.73599999999999999</v>
      </c>
      <c r="N149" s="995">
        <v>1.86</v>
      </c>
      <c r="O149" s="995">
        <v>3.7440000000000002</v>
      </c>
      <c r="P149" s="995">
        <v>5.0330000000000004</v>
      </c>
      <c r="Q149" s="995">
        <v>5.5720000000000001</v>
      </c>
      <c r="R149" s="995">
        <v>5.8380000000000001</v>
      </c>
      <c r="S149" s="995">
        <v>5.6769999999999996</v>
      </c>
    </row>
    <row r="150" spans="10:19" x14ac:dyDescent="0.25">
      <c r="J150" s="994">
        <v>1880</v>
      </c>
      <c r="K150" s="995"/>
      <c r="L150" s="995">
        <v>-1.0999999999999999E-2</v>
      </c>
      <c r="M150" s="995">
        <v>0.73299999999999998</v>
      </c>
      <c r="N150" s="995">
        <v>1.8520000000000001</v>
      </c>
      <c r="O150" s="995">
        <v>3.7280000000000002</v>
      </c>
      <c r="P150" s="995">
        <v>5.0190000000000001</v>
      </c>
      <c r="Q150" s="995">
        <v>5.5549999999999997</v>
      </c>
      <c r="R150" s="995">
        <v>5.8220000000000001</v>
      </c>
      <c r="S150" s="995">
        <v>5.6619999999999999</v>
      </c>
    </row>
    <row r="151" spans="10:19" x14ac:dyDescent="0.25">
      <c r="J151" s="994">
        <v>1890</v>
      </c>
      <c r="K151" s="995"/>
      <c r="L151" s="995">
        <v>-1.0999999999999999E-2</v>
      </c>
      <c r="M151" s="995">
        <v>0.73</v>
      </c>
      <c r="N151" s="995">
        <v>1.8440000000000001</v>
      </c>
      <c r="O151" s="995">
        <v>3.7130000000000001</v>
      </c>
      <c r="P151" s="995">
        <v>5.0049999999999999</v>
      </c>
      <c r="Q151" s="995">
        <v>5.5389999999999997</v>
      </c>
      <c r="R151" s="995">
        <v>5.8049999999999997</v>
      </c>
      <c r="S151" s="995">
        <v>5.6470000000000002</v>
      </c>
    </row>
    <row r="152" spans="10:19" x14ac:dyDescent="0.25">
      <c r="J152" s="994">
        <v>1900</v>
      </c>
      <c r="K152" s="995"/>
      <c r="L152" s="995">
        <v>-1.0999999999999999E-2</v>
      </c>
      <c r="M152" s="995">
        <v>0.72699999999999998</v>
      </c>
      <c r="N152" s="995">
        <v>1.8360000000000001</v>
      </c>
      <c r="O152" s="995">
        <v>3.6970000000000001</v>
      </c>
      <c r="P152" s="995">
        <v>4.9909999999999997</v>
      </c>
      <c r="Q152" s="995">
        <v>5.5220000000000002</v>
      </c>
      <c r="R152" s="995">
        <v>5.7880000000000003</v>
      </c>
      <c r="S152" s="995">
        <v>5.6310000000000002</v>
      </c>
    </row>
    <row r="153" spans="10:19" x14ac:dyDescent="0.25">
      <c r="J153" s="994">
        <v>1910</v>
      </c>
      <c r="K153" s="995"/>
      <c r="L153" s="995">
        <v>-1.0999999999999999E-2</v>
      </c>
      <c r="M153" s="995">
        <v>0.72299999999999998</v>
      </c>
      <c r="N153" s="995">
        <v>1.8280000000000001</v>
      </c>
      <c r="O153" s="995">
        <v>3.6819999999999999</v>
      </c>
      <c r="P153" s="995">
        <v>4.976</v>
      </c>
      <c r="Q153" s="995">
        <v>5.5060000000000002</v>
      </c>
      <c r="R153" s="995">
        <v>5.7709999999999999</v>
      </c>
      <c r="S153" s="995">
        <v>5.6159999999999997</v>
      </c>
    </row>
    <row r="154" spans="10:19" x14ac:dyDescent="0.25">
      <c r="J154" s="994">
        <v>1920</v>
      </c>
      <c r="K154" s="995"/>
      <c r="L154" s="995">
        <v>-1.0999999999999999E-2</v>
      </c>
      <c r="M154" s="995">
        <v>0.72</v>
      </c>
      <c r="N154" s="995">
        <v>1.82</v>
      </c>
      <c r="O154" s="995">
        <v>3.6669999999999998</v>
      </c>
      <c r="P154" s="995">
        <v>4.9619999999999997</v>
      </c>
      <c r="Q154" s="995">
        <v>5.49</v>
      </c>
      <c r="R154" s="995">
        <v>5.7539999999999996</v>
      </c>
      <c r="S154" s="995">
        <v>5.601</v>
      </c>
    </row>
    <row r="155" spans="10:19" x14ac:dyDescent="0.25">
      <c r="J155" s="994">
        <v>1930</v>
      </c>
      <c r="K155" s="995"/>
      <c r="L155" s="995">
        <v>-1.0999999999999999E-2</v>
      </c>
      <c r="M155" s="995">
        <v>0.71699999999999997</v>
      </c>
      <c r="N155" s="995">
        <v>1.8120000000000001</v>
      </c>
      <c r="O155" s="995">
        <v>3.6509999999999998</v>
      </c>
      <c r="P155" s="995">
        <v>4.9470000000000001</v>
      </c>
      <c r="Q155" s="995">
        <v>5.4729999999999999</v>
      </c>
      <c r="R155" s="995">
        <v>5.7380000000000004</v>
      </c>
      <c r="S155" s="995">
        <v>5.585</v>
      </c>
    </row>
    <row r="156" spans="10:19" x14ac:dyDescent="0.25">
      <c r="J156" s="994">
        <v>1940</v>
      </c>
      <c r="K156" s="995"/>
      <c r="L156" s="995">
        <v>-1.0999999999999999E-2</v>
      </c>
      <c r="M156" s="995">
        <v>0.71399999999999997</v>
      </c>
      <c r="N156" s="995">
        <v>1.8049999999999999</v>
      </c>
      <c r="O156" s="995">
        <v>3.6360000000000001</v>
      </c>
      <c r="P156" s="995">
        <v>4.9329999999999998</v>
      </c>
      <c r="Q156" s="995">
        <v>5.4560000000000004</v>
      </c>
      <c r="R156" s="995">
        <v>5.7210000000000001</v>
      </c>
      <c r="S156" s="995">
        <v>5.57</v>
      </c>
    </row>
    <row r="157" spans="10:19" x14ac:dyDescent="0.25">
      <c r="J157" s="994">
        <v>1950</v>
      </c>
      <c r="K157" s="995"/>
      <c r="L157" s="995">
        <v>-1.0999999999999999E-2</v>
      </c>
      <c r="M157" s="995">
        <v>0.71099999999999997</v>
      </c>
      <c r="N157" s="995">
        <v>1.7969999999999999</v>
      </c>
      <c r="O157" s="995">
        <v>3.621</v>
      </c>
      <c r="P157" s="995">
        <v>4.9180000000000001</v>
      </c>
      <c r="Q157" s="995">
        <v>5.44</v>
      </c>
      <c r="R157" s="995">
        <v>5.7039999999999997</v>
      </c>
      <c r="S157" s="995">
        <v>5.5540000000000003</v>
      </c>
    </row>
    <row r="158" spans="10:19" x14ac:dyDescent="0.25">
      <c r="J158" s="994">
        <v>1960</v>
      </c>
      <c r="K158" s="995"/>
      <c r="L158" s="995">
        <v>-1.0999999999999999E-2</v>
      </c>
      <c r="M158" s="995">
        <v>0.70799999999999996</v>
      </c>
      <c r="N158" s="995">
        <v>1.79</v>
      </c>
      <c r="O158" s="995">
        <v>3.6059999999999999</v>
      </c>
      <c r="P158" s="995">
        <v>4.9029999999999996</v>
      </c>
      <c r="Q158" s="995">
        <v>5.423</v>
      </c>
      <c r="R158" s="995">
        <v>5.6870000000000003</v>
      </c>
      <c r="S158" s="995">
        <v>5.5389999999999997</v>
      </c>
    </row>
    <row r="159" spans="10:19" x14ac:dyDescent="0.25">
      <c r="J159" s="994">
        <v>1970</v>
      </c>
      <c r="K159" s="995"/>
      <c r="L159" s="995">
        <v>-1.0999999999999999E-2</v>
      </c>
      <c r="M159" s="995">
        <v>0.70499999999999996</v>
      </c>
      <c r="N159" s="995">
        <v>1.782</v>
      </c>
      <c r="O159" s="995">
        <v>3.59</v>
      </c>
      <c r="P159" s="995">
        <v>4.8879999999999999</v>
      </c>
      <c r="Q159" s="995">
        <v>5.4059999999999997</v>
      </c>
      <c r="R159" s="995">
        <v>5.67</v>
      </c>
      <c r="S159" s="995">
        <v>5.5229999999999997</v>
      </c>
    </row>
    <row r="160" spans="10:19" x14ac:dyDescent="0.25">
      <c r="J160" s="994">
        <v>1980</v>
      </c>
      <c r="K160" s="995"/>
      <c r="L160" s="995">
        <v>-1.0999999999999999E-2</v>
      </c>
      <c r="M160" s="995">
        <v>0.70199999999999996</v>
      </c>
      <c r="N160" s="995">
        <v>1.7749999999999999</v>
      </c>
      <c r="O160" s="995">
        <v>3.5760000000000001</v>
      </c>
      <c r="P160" s="995">
        <v>4.8739999999999997</v>
      </c>
      <c r="Q160" s="995">
        <v>5.39</v>
      </c>
      <c r="R160" s="995">
        <v>5.6529999999999996</v>
      </c>
      <c r="S160" s="995">
        <v>5.508</v>
      </c>
    </row>
    <row r="161" spans="10:19" x14ac:dyDescent="0.25">
      <c r="J161" s="994">
        <v>1990</v>
      </c>
      <c r="K161" s="995"/>
      <c r="L161" s="995">
        <v>-1.0999999999999999E-2</v>
      </c>
      <c r="M161" s="995">
        <v>0.69899999999999995</v>
      </c>
      <c r="N161" s="995">
        <v>1.768</v>
      </c>
      <c r="O161" s="995">
        <v>3.5609999999999999</v>
      </c>
      <c r="P161" s="995">
        <v>4.859</v>
      </c>
      <c r="Q161" s="995">
        <v>5.3730000000000002</v>
      </c>
      <c r="R161" s="995">
        <v>5.6360000000000001</v>
      </c>
      <c r="S161" s="995">
        <v>5.492</v>
      </c>
    </row>
    <row r="162" spans="10:19" x14ac:dyDescent="0.25">
      <c r="J162" s="994">
        <v>2000</v>
      </c>
      <c r="K162" s="995"/>
      <c r="L162" s="995">
        <v>-1.0999999999999999E-2</v>
      </c>
      <c r="M162" s="995">
        <v>0.69599999999999995</v>
      </c>
      <c r="N162" s="995">
        <v>1.76</v>
      </c>
      <c r="O162" s="995">
        <v>3.5459999999999998</v>
      </c>
      <c r="P162" s="995">
        <v>4.8440000000000003</v>
      </c>
      <c r="Q162" s="995">
        <v>5.3559999999999999</v>
      </c>
      <c r="R162" s="995">
        <v>5.6189999999999998</v>
      </c>
      <c r="S162" s="995">
        <v>5.4770000000000003</v>
      </c>
    </row>
    <row r="163" spans="10:19" x14ac:dyDescent="0.25">
      <c r="J163" s="994">
        <v>2010</v>
      </c>
      <c r="K163" s="995"/>
      <c r="L163" s="995">
        <v>-1.0999999999999999E-2</v>
      </c>
      <c r="M163" s="995">
        <v>0.69399999999999995</v>
      </c>
      <c r="N163" s="995">
        <v>1.7529999999999999</v>
      </c>
      <c r="O163" s="995">
        <v>3.532</v>
      </c>
      <c r="P163" s="995">
        <v>4.8289999999999997</v>
      </c>
      <c r="Q163" s="995">
        <v>5.3390000000000004</v>
      </c>
      <c r="R163" s="995">
        <v>5.6020000000000003</v>
      </c>
      <c r="S163" s="995">
        <v>5.4610000000000003</v>
      </c>
    </row>
    <row r="164" spans="10:19" x14ac:dyDescent="0.25">
      <c r="J164" s="994">
        <v>2020</v>
      </c>
      <c r="K164" s="995"/>
      <c r="L164" s="995">
        <v>-1.0999999999999999E-2</v>
      </c>
      <c r="M164" s="995">
        <v>0.69099999999999995</v>
      </c>
      <c r="N164" s="995">
        <v>1.746</v>
      </c>
      <c r="O164" s="995">
        <v>3.5169999999999999</v>
      </c>
      <c r="P164" s="995">
        <v>4.8140000000000001</v>
      </c>
      <c r="Q164" s="995">
        <v>5.3230000000000004</v>
      </c>
      <c r="R164" s="995">
        <v>5.585</v>
      </c>
      <c r="S164" s="995">
        <v>5.4459999999999997</v>
      </c>
    </row>
    <row r="165" spans="10:19" x14ac:dyDescent="0.25">
      <c r="J165" s="994">
        <v>2030</v>
      </c>
      <c r="K165" s="995"/>
      <c r="L165" s="995">
        <v>-1.0999999999999999E-2</v>
      </c>
      <c r="M165" s="995">
        <v>0.68799999999999994</v>
      </c>
      <c r="N165" s="995">
        <v>1.7390000000000001</v>
      </c>
      <c r="O165" s="995">
        <v>3.5030000000000001</v>
      </c>
      <c r="P165" s="995">
        <v>4.7990000000000004</v>
      </c>
      <c r="Q165" s="995">
        <v>5.306</v>
      </c>
      <c r="R165" s="995">
        <v>5.5679999999999996</v>
      </c>
      <c r="S165" s="995">
        <v>5.43</v>
      </c>
    </row>
    <row r="166" spans="10:19" x14ac:dyDescent="0.25">
      <c r="J166" s="994">
        <v>2040</v>
      </c>
      <c r="K166" s="995"/>
      <c r="L166" s="995">
        <v>-1.0999999999999999E-2</v>
      </c>
      <c r="M166" s="995">
        <v>0.68500000000000005</v>
      </c>
      <c r="N166" s="995">
        <v>1.732</v>
      </c>
      <c r="O166" s="995">
        <v>3.4889999999999999</v>
      </c>
      <c r="P166" s="995">
        <v>4.7830000000000004</v>
      </c>
      <c r="Q166" s="995">
        <v>5.2889999999999997</v>
      </c>
      <c r="R166" s="995">
        <v>5.5510000000000002</v>
      </c>
      <c r="S166" s="995">
        <v>5.415</v>
      </c>
    </row>
    <row r="167" spans="10:19" x14ac:dyDescent="0.25">
      <c r="J167" s="994">
        <v>2050</v>
      </c>
      <c r="K167" s="995"/>
      <c r="L167" s="995">
        <v>-1.0999999999999999E-2</v>
      </c>
      <c r="M167" s="995">
        <v>0.68200000000000005</v>
      </c>
      <c r="N167" s="995">
        <v>1.726</v>
      </c>
      <c r="O167" s="995">
        <v>3.4750000000000001</v>
      </c>
      <c r="P167" s="995">
        <v>4.7679999999999998</v>
      </c>
      <c r="Q167" s="995">
        <v>5.2720000000000002</v>
      </c>
      <c r="R167" s="995">
        <v>5.5339999999999998</v>
      </c>
      <c r="S167" s="995">
        <v>5.399</v>
      </c>
    </row>
    <row r="168" spans="10:19" x14ac:dyDescent="0.25">
      <c r="J168" s="994">
        <v>2060</v>
      </c>
      <c r="K168" s="995"/>
      <c r="L168" s="995">
        <v>-1.0999999999999999E-2</v>
      </c>
      <c r="M168" s="995">
        <v>0.68</v>
      </c>
      <c r="N168" s="995">
        <v>1.7190000000000001</v>
      </c>
      <c r="O168" s="995">
        <v>3.4609999999999999</v>
      </c>
      <c r="P168" s="995">
        <v>4.7530000000000001</v>
      </c>
      <c r="Q168" s="995">
        <v>5.2549999999999999</v>
      </c>
      <c r="R168" s="995">
        <v>5.5170000000000003</v>
      </c>
      <c r="S168" s="995">
        <v>5.3840000000000003</v>
      </c>
    </row>
    <row r="169" spans="10:19" x14ac:dyDescent="0.25">
      <c r="J169" s="994">
        <v>2070</v>
      </c>
      <c r="K169" s="995"/>
      <c r="L169" s="995">
        <v>-1.0999999999999999E-2</v>
      </c>
      <c r="M169" s="995">
        <v>0.67700000000000005</v>
      </c>
      <c r="N169" s="995">
        <v>1.712</v>
      </c>
      <c r="O169" s="995">
        <v>3.448</v>
      </c>
      <c r="P169" s="995">
        <v>4.7380000000000004</v>
      </c>
      <c r="Q169" s="995">
        <v>5.2380000000000004</v>
      </c>
      <c r="R169" s="995">
        <v>5.5</v>
      </c>
      <c r="S169" s="995">
        <v>5.3680000000000003</v>
      </c>
    </row>
    <row r="170" spans="10:19" x14ac:dyDescent="0.25">
      <c r="J170" s="994">
        <v>2080</v>
      </c>
      <c r="K170" s="995"/>
      <c r="L170" s="995">
        <v>-1.0999999999999999E-2</v>
      </c>
      <c r="M170" s="995">
        <v>0.67400000000000004</v>
      </c>
      <c r="N170" s="995">
        <v>1.706</v>
      </c>
      <c r="O170" s="995">
        <v>3.4340000000000002</v>
      </c>
      <c r="P170" s="995">
        <v>4.7220000000000004</v>
      </c>
      <c r="Q170" s="995">
        <v>5.2210000000000001</v>
      </c>
      <c r="R170" s="995">
        <v>5.4829999999999997</v>
      </c>
      <c r="S170" s="995">
        <v>5.3529999999999998</v>
      </c>
    </row>
    <row r="171" spans="10:19" x14ac:dyDescent="0.25">
      <c r="J171" s="994">
        <v>2090</v>
      </c>
      <c r="K171" s="995"/>
      <c r="L171" s="995">
        <v>-1.0999999999999999E-2</v>
      </c>
      <c r="M171" s="995">
        <v>0.67200000000000004</v>
      </c>
      <c r="N171" s="995">
        <v>1.6990000000000001</v>
      </c>
      <c r="O171" s="995">
        <v>3.4209999999999998</v>
      </c>
      <c r="P171" s="995">
        <v>4.7069999999999999</v>
      </c>
      <c r="Q171" s="995">
        <v>5.2039999999999997</v>
      </c>
      <c r="R171" s="995">
        <v>5.4649999999999999</v>
      </c>
      <c r="S171" s="995">
        <v>5.3369999999999997</v>
      </c>
    </row>
    <row r="172" spans="10:19" x14ac:dyDescent="0.25">
      <c r="J172" s="994">
        <v>2100</v>
      </c>
      <c r="K172" s="995"/>
      <c r="L172" s="995">
        <v>-1.0999999999999999E-2</v>
      </c>
      <c r="M172" s="995">
        <v>0.66900000000000004</v>
      </c>
      <c r="N172" s="995">
        <v>1.6930000000000001</v>
      </c>
      <c r="O172" s="995">
        <v>3.407</v>
      </c>
      <c r="P172" s="995">
        <v>4.6909999999999998</v>
      </c>
      <c r="Q172" s="995">
        <v>5.1870000000000003</v>
      </c>
      <c r="R172" s="995">
        <v>5.4480000000000004</v>
      </c>
      <c r="S172" s="995">
        <v>5.3209999999999997</v>
      </c>
    </row>
    <row r="173" spans="10:19" x14ac:dyDescent="0.25">
      <c r="J173" s="994">
        <v>2110</v>
      </c>
      <c r="K173" s="995"/>
      <c r="L173" s="995">
        <v>-1.0999999999999999E-2</v>
      </c>
      <c r="M173" s="995">
        <v>0.66700000000000004</v>
      </c>
      <c r="N173" s="995">
        <v>1.6859999999999999</v>
      </c>
      <c r="O173" s="995">
        <v>3.3940000000000001</v>
      </c>
      <c r="P173" s="995">
        <v>4.6760000000000002</v>
      </c>
      <c r="Q173" s="995">
        <v>5.1689999999999996</v>
      </c>
      <c r="R173" s="995">
        <v>5.431</v>
      </c>
      <c r="S173" s="995">
        <v>5.306</v>
      </c>
    </row>
    <row r="174" spans="10:19" x14ac:dyDescent="0.25">
      <c r="J174" s="994">
        <v>2120</v>
      </c>
      <c r="K174" s="995"/>
      <c r="L174" s="995">
        <v>-1.0999999999999999E-2</v>
      </c>
      <c r="M174" s="995">
        <v>0.66400000000000003</v>
      </c>
      <c r="N174" s="995">
        <v>1.68</v>
      </c>
      <c r="O174" s="995">
        <v>3.3809999999999998</v>
      </c>
      <c r="P174" s="995">
        <v>4.66</v>
      </c>
      <c r="Q174" s="995">
        <v>5.1520000000000001</v>
      </c>
      <c r="R174" s="995">
        <v>5.4139999999999997</v>
      </c>
      <c r="S174" s="995">
        <v>5.29</v>
      </c>
    </row>
    <row r="175" spans="10:19" x14ac:dyDescent="0.25">
      <c r="J175" s="994">
        <v>2130</v>
      </c>
      <c r="K175" s="995"/>
      <c r="L175" s="995">
        <v>-1.0999999999999999E-2</v>
      </c>
      <c r="M175" s="995">
        <v>0.66200000000000003</v>
      </c>
      <c r="N175" s="995">
        <v>1.673</v>
      </c>
      <c r="O175" s="995">
        <v>3.3679999999999999</v>
      </c>
      <c r="P175" s="995">
        <v>4.6449999999999996</v>
      </c>
      <c r="Q175" s="995">
        <v>5.1349999999999998</v>
      </c>
      <c r="R175" s="995">
        <v>5.3970000000000002</v>
      </c>
      <c r="S175" s="995">
        <v>5.2750000000000004</v>
      </c>
    </row>
    <row r="176" spans="10:19" x14ac:dyDescent="0.25">
      <c r="J176" s="994">
        <v>2140</v>
      </c>
      <c r="K176" s="995"/>
      <c r="L176" s="995">
        <v>-1.0999999999999999E-2</v>
      </c>
      <c r="M176" s="995">
        <v>0.65900000000000003</v>
      </c>
      <c r="N176" s="995">
        <v>1.667</v>
      </c>
      <c r="O176" s="995">
        <v>3.3559999999999999</v>
      </c>
      <c r="P176" s="995">
        <v>4.6289999999999996</v>
      </c>
      <c r="Q176" s="995">
        <v>5.1180000000000003</v>
      </c>
      <c r="R176" s="995">
        <v>5.38</v>
      </c>
      <c r="S176" s="995">
        <v>5.2590000000000003</v>
      </c>
    </row>
    <row r="177" spans="10:19" x14ac:dyDescent="0.25">
      <c r="J177" s="994">
        <v>2150</v>
      </c>
      <c r="K177" s="995"/>
      <c r="L177" s="995">
        <v>-1.0999999999999999E-2</v>
      </c>
      <c r="M177" s="995">
        <v>0.65700000000000003</v>
      </c>
      <c r="N177" s="995">
        <v>1.661</v>
      </c>
      <c r="O177" s="995">
        <v>3.343</v>
      </c>
      <c r="P177" s="995">
        <v>4.6130000000000004</v>
      </c>
      <c r="Q177" s="995">
        <v>5.101</v>
      </c>
      <c r="R177" s="995">
        <v>5.3620000000000001</v>
      </c>
      <c r="S177" s="995">
        <v>5.2430000000000003</v>
      </c>
    </row>
    <row r="178" spans="10:19" x14ac:dyDescent="0.25">
      <c r="J178" s="994">
        <v>2160</v>
      </c>
      <c r="K178" s="995"/>
      <c r="L178" s="995">
        <v>-1.0999999999999999E-2</v>
      </c>
      <c r="M178" s="995">
        <v>0.65400000000000003</v>
      </c>
      <c r="N178" s="995">
        <v>1.655</v>
      </c>
      <c r="O178" s="995">
        <v>3.331</v>
      </c>
      <c r="P178" s="995">
        <v>4.5979999999999999</v>
      </c>
      <c r="Q178" s="995">
        <v>5.0830000000000002</v>
      </c>
      <c r="R178" s="995">
        <v>5.3449999999999998</v>
      </c>
      <c r="S178" s="995">
        <v>5.2279999999999998</v>
      </c>
    </row>
    <row r="179" spans="10:19" x14ac:dyDescent="0.25">
      <c r="J179" s="994">
        <v>2170</v>
      </c>
      <c r="K179" s="995"/>
      <c r="L179" s="995">
        <v>-1.0999999999999999E-2</v>
      </c>
      <c r="M179" s="995">
        <v>0.65200000000000002</v>
      </c>
      <c r="N179" s="995">
        <v>1.649</v>
      </c>
      <c r="O179" s="995">
        <v>3.3180000000000001</v>
      </c>
      <c r="P179" s="995">
        <v>4.5819999999999999</v>
      </c>
      <c r="Q179" s="995">
        <v>5.0659999999999998</v>
      </c>
      <c r="R179" s="995">
        <v>5.3280000000000003</v>
      </c>
      <c r="S179" s="995">
        <v>5.2119999999999997</v>
      </c>
    </row>
    <row r="180" spans="10:19" x14ac:dyDescent="0.25">
      <c r="J180" s="994">
        <v>2180</v>
      </c>
      <c r="K180" s="995"/>
      <c r="L180" s="995">
        <v>-1.0999999999999999E-2</v>
      </c>
      <c r="M180" s="995">
        <v>0.65</v>
      </c>
      <c r="N180" s="995">
        <v>1.643</v>
      </c>
      <c r="O180" s="995">
        <v>3.306</v>
      </c>
      <c r="P180" s="995">
        <v>4.5659999999999998</v>
      </c>
      <c r="Q180" s="995">
        <v>5.0490000000000004</v>
      </c>
      <c r="R180" s="995">
        <v>5.3109999999999999</v>
      </c>
      <c r="S180" s="995">
        <v>5.1970000000000001</v>
      </c>
    </row>
    <row r="181" spans="10:19" x14ac:dyDescent="0.25">
      <c r="J181" s="994">
        <v>2190</v>
      </c>
      <c r="K181" s="995"/>
      <c r="L181" s="995">
        <v>-1.0999999999999999E-2</v>
      </c>
      <c r="M181" s="995">
        <v>0.64700000000000002</v>
      </c>
      <c r="N181" s="995">
        <v>1.637</v>
      </c>
      <c r="O181" s="995">
        <v>3.294</v>
      </c>
      <c r="P181" s="995">
        <v>4.55</v>
      </c>
      <c r="Q181" s="995">
        <v>5.0309999999999997</v>
      </c>
      <c r="R181" s="995">
        <v>5.2930000000000001</v>
      </c>
      <c r="S181" s="995">
        <v>5.181</v>
      </c>
    </row>
    <row r="182" spans="10:19" x14ac:dyDescent="0.25">
      <c r="J182" s="994">
        <v>2200</v>
      </c>
      <c r="K182" s="995"/>
      <c r="L182" s="995">
        <v>-1.0999999999999999E-2</v>
      </c>
      <c r="M182" s="995">
        <v>0.64500000000000002</v>
      </c>
      <c r="N182" s="995">
        <v>1.631</v>
      </c>
      <c r="O182" s="995">
        <v>3.282</v>
      </c>
      <c r="P182" s="995">
        <v>4.5339999999999998</v>
      </c>
      <c r="Q182" s="995">
        <v>5.0140000000000002</v>
      </c>
      <c r="R182" s="995">
        <v>5.2759999999999998</v>
      </c>
      <c r="S182" s="995">
        <v>5.165</v>
      </c>
    </row>
    <row r="183" spans="10:19" x14ac:dyDescent="0.25">
      <c r="J183" s="994">
        <v>2210</v>
      </c>
      <c r="K183" s="995"/>
      <c r="L183" s="995">
        <v>-1.0999999999999999E-2</v>
      </c>
      <c r="M183" s="995">
        <v>0.64300000000000002</v>
      </c>
      <c r="N183" s="995">
        <v>1.625</v>
      </c>
      <c r="O183" s="995">
        <v>3.27</v>
      </c>
      <c r="P183" s="995">
        <v>4.5179999999999998</v>
      </c>
      <c r="Q183" s="995">
        <v>4.9960000000000004</v>
      </c>
      <c r="R183" s="995">
        <v>5.2590000000000003</v>
      </c>
      <c r="S183" s="995">
        <v>5.15</v>
      </c>
    </row>
    <row r="184" spans="10:19" x14ac:dyDescent="0.25">
      <c r="J184" s="994">
        <v>2220</v>
      </c>
      <c r="K184" s="995"/>
      <c r="L184" s="995">
        <v>-1.0999999999999999E-2</v>
      </c>
      <c r="M184" s="995">
        <v>0.64</v>
      </c>
      <c r="N184" s="995">
        <v>1.619</v>
      </c>
      <c r="O184" s="995">
        <v>3.258</v>
      </c>
      <c r="P184" s="995">
        <v>4.5019999999999998</v>
      </c>
      <c r="Q184" s="995">
        <v>4.9790000000000001</v>
      </c>
      <c r="R184" s="995">
        <v>5.242</v>
      </c>
      <c r="S184" s="995">
        <v>5.1340000000000003</v>
      </c>
    </row>
    <row r="185" spans="10:19" x14ac:dyDescent="0.25">
      <c r="J185" s="994">
        <v>2230</v>
      </c>
      <c r="K185" s="995"/>
      <c r="L185" s="995">
        <v>-1.0999999999999999E-2</v>
      </c>
      <c r="M185" s="995">
        <v>0.63800000000000001</v>
      </c>
      <c r="N185" s="995">
        <v>1.6140000000000001</v>
      </c>
      <c r="O185" s="995">
        <v>3.246</v>
      </c>
      <c r="P185" s="995">
        <v>4.4859999999999998</v>
      </c>
      <c r="Q185" s="995">
        <v>4.9619999999999997</v>
      </c>
      <c r="R185" s="995">
        <v>5.2240000000000002</v>
      </c>
      <c r="S185" s="995">
        <v>5.1180000000000003</v>
      </c>
    </row>
    <row r="186" spans="10:19" x14ac:dyDescent="0.25">
      <c r="J186" s="994">
        <v>2240</v>
      </c>
      <c r="K186" s="995"/>
      <c r="L186" s="995">
        <v>-1.0999999999999999E-2</v>
      </c>
      <c r="M186" s="995">
        <v>0.63600000000000001</v>
      </c>
      <c r="N186" s="995">
        <v>1.6080000000000001</v>
      </c>
      <c r="O186" s="995">
        <v>3.234</v>
      </c>
      <c r="P186" s="995">
        <v>4.47</v>
      </c>
      <c r="Q186" s="995">
        <v>4.944</v>
      </c>
      <c r="R186" s="995">
        <v>5.2069999999999999</v>
      </c>
      <c r="S186" s="995">
        <v>5.1020000000000003</v>
      </c>
    </row>
    <row r="187" spans="10:19" x14ac:dyDescent="0.25">
      <c r="J187" s="994">
        <v>2250</v>
      </c>
      <c r="K187" s="995"/>
      <c r="L187" s="995">
        <v>-1.0999999999999999E-2</v>
      </c>
      <c r="M187" s="995">
        <v>0.63300000000000001</v>
      </c>
      <c r="N187" s="995">
        <v>1.6020000000000001</v>
      </c>
      <c r="O187" s="995">
        <v>3.2229999999999999</v>
      </c>
      <c r="P187" s="995">
        <v>4.4539999999999997</v>
      </c>
      <c r="Q187" s="995">
        <v>4.9269999999999996</v>
      </c>
      <c r="R187" s="995">
        <v>5.19</v>
      </c>
      <c r="S187" s="995">
        <v>5.0869999999999997</v>
      </c>
    </row>
    <row r="188" spans="10:19" x14ac:dyDescent="0.25">
      <c r="J188" s="994">
        <v>2260</v>
      </c>
      <c r="K188" s="995"/>
      <c r="L188" s="995">
        <v>-1.0999999999999999E-2</v>
      </c>
      <c r="M188" s="995">
        <v>0.63100000000000001</v>
      </c>
      <c r="N188" s="995">
        <v>1.597</v>
      </c>
      <c r="O188" s="995">
        <v>3.2109999999999999</v>
      </c>
      <c r="P188" s="995">
        <v>4.4379999999999997</v>
      </c>
      <c r="Q188" s="995">
        <v>4.9089999999999998</v>
      </c>
      <c r="R188" s="995">
        <v>5.1719999999999997</v>
      </c>
      <c r="S188" s="995">
        <v>5.0709999999999997</v>
      </c>
    </row>
    <row r="189" spans="10:19" x14ac:dyDescent="0.25">
      <c r="J189" s="994">
        <v>2270</v>
      </c>
      <c r="K189" s="995"/>
      <c r="L189" s="995">
        <v>-1.0999999999999999E-2</v>
      </c>
      <c r="M189" s="995">
        <v>0.629</v>
      </c>
      <c r="N189" s="995">
        <v>1.591</v>
      </c>
      <c r="O189" s="995">
        <v>3.2</v>
      </c>
      <c r="P189" s="995">
        <v>4.4219999999999997</v>
      </c>
      <c r="Q189" s="995">
        <v>4.8920000000000003</v>
      </c>
      <c r="R189" s="995">
        <v>5.1550000000000002</v>
      </c>
      <c r="S189" s="995">
        <v>5.0549999999999997</v>
      </c>
    </row>
    <row r="190" spans="10:19" x14ac:dyDescent="0.25">
      <c r="J190" s="994">
        <v>2280</v>
      </c>
      <c r="K190" s="995"/>
      <c r="L190" s="995">
        <v>-1.0999999999999999E-2</v>
      </c>
      <c r="M190" s="995">
        <v>0.627</v>
      </c>
      <c r="N190" s="995">
        <v>1.5860000000000001</v>
      </c>
      <c r="O190" s="995">
        <v>3.1890000000000001</v>
      </c>
      <c r="P190" s="995">
        <v>4.4050000000000002</v>
      </c>
      <c r="Q190" s="995">
        <v>4.8739999999999997</v>
      </c>
      <c r="R190" s="995">
        <v>5.1379999999999999</v>
      </c>
      <c r="S190" s="995">
        <v>5.04</v>
      </c>
    </row>
    <row r="191" spans="10:19" x14ac:dyDescent="0.25">
      <c r="J191" s="994">
        <v>2290</v>
      </c>
      <c r="K191" s="995"/>
      <c r="L191" s="995">
        <v>-1.0999999999999999E-2</v>
      </c>
      <c r="M191" s="995">
        <v>0.625</v>
      </c>
      <c r="N191" s="995">
        <v>1.58</v>
      </c>
      <c r="O191" s="995">
        <v>3.1779999999999999</v>
      </c>
      <c r="P191" s="995">
        <v>4.3890000000000002</v>
      </c>
      <c r="Q191" s="995">
        <v>4.8559999999999999</v>
      </c>
      <c r="R191" s="995">
        <v>5.12</v>
      </c>
      <c r="S191" s="995">
        <v>5.024</v>
      </c>
    </row>
    <row r="192" spans="10:19" x14ac:dyDescent="0.25">
      <c r="J192" s="994">
        <v>2300</v>
      </c>
      <c r="K192" s="995"/>
      <c r="L192" s="995">
        <v>-1.0999999999999999E-2</v>
      </c>
      <c r="M192" s="995">
        <v>0.623</v>
      </c>
      <c r="N192" s="995">
        <v>1.575</v>
      </c>
      <c r="O192" s="995">
        <v>3.1669999999999998</v>
      </c>
      <c r="P192" s="995">
        <v>4.3730000000000002</v>
      </c>
      <c r="Q192" s="995">
        <v>4.8390000000000004</v>
      </c>
      <c r="R192" s="995">
        <v>5.1029999999999998</v>
      </c>
      <c r="S192" s="995">
        <v>5.008</v>
      </c>
    </row>
    <row r="193" spans="10:19" x14ac:dyDescent="0.25">
      <c r="J193" s="994">
        <v>2310</v>
      </c>
      <c r="K193" s="995"/>
      <c r="L193" s="995">
        <v>-1.0999999999999999E-2</v>
      </c>
      <c r="M193" s="995">
        <v>0.62</v>
      </c>
      <c r="N193" s="995">
        <v>1.57</v>
      </c>
      <c r="O193" s="995">
        <v>3.1560000000000001</v>
      </c>
      <c r="P193" s="995">
        <v>4.3559999999999999</v>
      </c>
      <c r="Q193" s="995">
        <v>4.8209999999999997</v>
      </c>
      <c r="R193" s="995">
        <v>5.085</v>
      </c>
      <c r="S193" s="995">
        <v>4.992</v>
      </c>
    </row>
    <row r="194" spans="10:19" x14ac:dyDescent="0.25">
      <c r="J194" s="994">
        <v>2320</v>
      </c>
      <c r="K194" s="995"/>
      <c r="L194" s="995">
        <v>-1.0999999999999999E-2</v>
      </c>
      <c r="M194" s="995">
        <v>0.61799999999999999</v>
      </c>
      <c r="N194" s="995">
        <v>1.5640000000000001</v>
      </c>
      <c r="O194" s="995">
        <v>3.145</v>
      </c>
      <c r="P194" s="995">
        <v>4.34</v>
      </c>
      <c r="Q194" s="995">
        <v>4.8029999999999999</v>
      </c>
      <c r="R194" s="995">
        <v>5.0679999999999996</v>
      </c>
      <c r="S194" s="995">
        <v>4.9770000000000003</v>
      </c>
    </row>
    <row r="195" spans="10:19" x14ac:dyDescent="0.25">
      <c r="J195" s="994">
        <v>2330</v>
      </c>
      <c r="K195" s="995"/>
      <c r="L195" s="995">
        <v>-1.0999999999999999E-2</v>
      </c>
      <c r="M195" s="995">
        <v>0.61599999999999999</v>
      </c>
      <c r="N195" s="995">
        <v>1.5589999999999999</v>
      </c>
      <c r="O195" s="995">
        <v>3.1339999999999999</v>
      </c>
      <c r="P195" s="995">
        <v>4.3239999999999998</v>
      </c>
      <c r="Q195" s="995">
        <v>4.7859999999999996</v>
      </c>
      <c r="R195" s="995">
        <v>5.0510000000000002</v>
      </c>
      <c r="S195" s="995">
        <v>4.9610000000000003</v>
      </c>
    </row>
    <row r="196" spans="10:19" x14ac:dyDescent="0.25">
      <c r="J196" s="994">
        <v>2340</v>
      </c>
      <c r="K196" s="995"/>
      <c r="L196" s="995">
        <v>-1.0999999999999999E-2</v>
      </c>
      <c r="M196" s="995">
        <v>0.61399999999999999</v>
      </c>
      <c r="N196" s="995">
        <v>1.554</v>
      </c>
      <c r="O196" s="995">
        <v>3.1240000000000001</v>
      </c>
      <c r="P196" s="995">
        <v>4.3070000000000004</v>
      </c>
      <c r="Q196" s="995">
        <v>4.7679999999999998</v>
      </c>
      <c r="R196" s="995">
        <v>5.0330000000000004</v>
      </c>
      <c r="S196" s="995">
        <v>4.9450000000000003</v>
      </c>
    </row>
    <row r="197" spans="10:19" x14ac:dyDescent="0.25">
      <c r="J197" s="994">
        <v>2350</v>
      </c>
      <c r="K197" s="995"/>
      <c r="L197" s="995">
        <v>-1.0999999999999999E-2</v>
      </c>
      <c r="M197" s="995">
        <v>0.61199999999999999</v>
      </c>
      <c r="N197" s="995">
        <v>1.5489999999999999</v>
      </c>
      <c r="O197" s="995">
        <v>3.113</v>
      </c>
      <c r="P197" s="995">
        <v>4.2910000000000004</v>
      </c>
      <c r="Q197" s="995">
        <v>4.75</v>
      </c>
      <c r="R197" s="995">
        <v>5.016</v>
      </c>
      <c r="S197" s="995">
        <v>4.9290000000000003</v>
      </c>
    </row>
    <row r="198" spans="10:19" x14ac:dyDescent="0.25">
      <c r="J198" s="994">
        <v>2360</v>
      </c>
      <c r="K198" s="995"/>
      <c r="L198" s="995">
        <v>-1.0999999999999999E-2</v>
      </c>
      <c r="M198" s="995">
        <v>0.61</v>
      </c>
      <c r="N198" s="995">
        <v>1.544</v>
      </c>
      <c r="O198" s="995">
        <v>3.1030000000000002</v>
      </c>
      <c r="P198" s="995">
        <v>4.274</v>
      </c>
      <c r="Q198" s="995">
        <v>4.7329999999999997</v>
      </c>
      <c r="R198" s="995">
        <v>4.9980000000000002</v>
      </c>
      <c r="S198" s="995">
        <v>4.9139999999999997</v>
      </c>
    </row>
    <row r="199" spans="10:19" x14ac:dyDescent="0.25">
      <c r="J199" s="994">
        <v>2370</v>
      </c>
      <c r="K199" s="995"/>
      <c r="L199" s="995">
        <v>-1.0999999999999999E-2</v>
      </c>
      <c r="M199" s="995">
        <v>0.60799999999999998</v>
      </c>
      <c r="N199" s="995">
        <v>1.5389999999999999</v>
      </c>
      <c r="O199" s="995">
        <v>3.0920000000000001</v>
      </c>
      <c r="P199" s="995">
        <v>4.2569999999999997</v>
      </c>
      <c r="Q199" s="995">
        <v>4.7149999999999999</v>
      </c>
      <c r="R199" s="995">
        <v>4.9809999999999999</v>
      </c>
      <c r="S199" s="995">
        <v>4.8979999999999997</v>
      </c>
    </row>
    <row r="200" spans="10:19" x14ac:dyDescent="0.25">
      <c r="J200" s="994">
        <v>2380</v>
      </c>
      <c r="K200" s="995"/>
      <c r="L200" s="995">
        <v>-1.0999999999999999E-2</v>
      </c>
      <c r="M200" s="995">
        <v>0.60599999999999998</v>
      </c>
      <c r="N200" s="995">
        <v>1.534</v>
      </c>
      <c r="O200" s="995">
        <v>3.0819999999999999</v>
      </c>
      <c r="P200" s="995">
        <v>4.2409999999999997</v>
      </c>
      <c r="Q200" s="995">
        <v>4.6970000000000001</v>
      </c>
      <c r="R200" s="995">
        <v>4.9630000000000001</v>
      </c>
      <c r="S200" s="995">
        <v>4.8819999999999997</v>
      </c>
    </row>
    <row r="201" spans="10:19" x14ac:dyDescent="0.25">
      <c r="J201" s="994">
        <v>2390</v>
      </c>
      <c r="K201" s="995"/>
      <c r="L201" s="995">
        <v>-1.0999999999999999E-2</v>
      </c>
      <c r="M201" s="995">
        <v>0.60399999999999998</v>
      </c>
      <c r="N201" s="995">
        <v>1.5289999999999999</v>
      </c>
      <c r="O201" s="995">
        <v>3.0720000000000001</v>
      </c>
      <c r="P201" s="995">
        <v>4.2240000000000002</v>
      </c>
      <c r="Q201" s="995">
        <v>4.6790000000000003</v>
      </c>
      <c r="R201" s="995">
        <v>4.9459999999999997</v>
      </c>
      <c r="S201" s="995">
        <v>4.8659999999999997</v>
      </c>
    </row>
    <row r="202" spans="10:19" x14ac:dyDescent="0.25">
      <c r="J202" s="994">
        <v>2400</v>
      </c>
      <c r="K202" s="995"/>
      <c r="L202" s="995">
        <v>-1.0999999999999999E-2</v>
      </c>
      <c r="M202" s="995">
        <v>0.60199999999999998</v>
      </c>
      <c r="N202" s="995">
        <v>1.524</v>
      </c>
      <c r="O202" s="995">
        <v>3.0619999999999998</v>
      </c>
      <c r="P202" s="995">
        <v>4.2080000000000002</v>
      </c>
      <c r="Q202" s="995">
        <v>4.6609999999999996</v>
      </c>
      <c r="R202" s="995">
        <v>4.9279999999999999</v>
      </c>
      <c r="S202" s="995">
        <v>4.851</v>
      </c>
    </row>
    <row r="203" spans="10:19" x14ac:dyDescent="0.25">
      <c r="J203" s="994">
        <v>2410</v>
      </c>
      <c r="K203" s="995"/>
      <c r="L203" s="995">
        <v>-1.0999999999999999E-2</v>
      </c>
      <c r="M203" s="995">
        <v>0.6</v>
      </c>
      <c r="N203" s="995">
        <v>1.5189999999999999</v>
      </c>
      <c r="O203" s="995">
        <v>3.052</v>
      </c>
      <c r="P203" s="995">
        <v>4.1909999999999998</v>
      </c>
      <c r="Q203" s="995">
        <v>4.6429999999999998</v>
      </c>
      <c r="R203" s="995">
        <v>4.9109999999999996</v>
      </c>
      <c r="S203" s="995">
        <v>4.835</v>
      </c>
    </row>
    <row r="204" spans="10:19" x14ac:dyDescent="0.25">
      <c r="J204" s="994">
        <v>2420</v>
      </c>
      <c r="K204" s="995"/>
      <c r="L204" s="995">
        <v>-1.0999999999999999E-2</v>
      </c>
      <c r="M204" s="995">
        <v>0.59799999999999998</v>
      </c>
      <c r="N204" s="995">
        <v>1.514</v>
      </c>
      <c r="O204" s="995">
        <v>3.0419999999999998</v>
      </c>
      <c r="P204" s="995">
        <v>4.1740000000000004</v>
      </c>
      <c r="Q204" s="995">
        <v>4.6260000000000003</v>
      </c>
      <c r="R204" s="995">
        <v>4.8929999999999998</v>
      </c>
      <c r="S204" s="995">
        <v>4.819</v>
      </c>
    </row>
    <row r="205" spans="10:19" x14ac:dyDescent="0.25">
      <c r="J205" s="994">
        <v>2430</v>
      </c>
      <c r="K205" s="995"/>
      <c r="L205" s="995">
        <v>-1.0999999999999999E-2</v>
      </c>
      <c r="M205" s="995">
        <v>0.59599999999999997</v>
      </c>
      <c r="N205" s="995">
        <v>1.5089999999999999</v>
      </c>
      <c r="O205" s="995">
        <v>3.032</v>
      </c>
      <c r="P205" s="995">
        <v>4.157</v>
      </c>
      <c r="Q205" s="995">
        <v>4.6079999999999997</v>
      </c>
      <c r="R205" s="995">
        <v>4.8760000000000003</v>
      </c>
      <c r="S205" s="995">
        <v>4.8029999999999999</v>
      </c>
    </row>
    <row r="206" spans="10:19" x14ac:dyDescent="0.25">
      <c r="J206" s="994">
        <v>2440</v>
      </c>
      <c r="K206" s="995"/>
      <c r="L206" s="995">
        <v>-1.0999999999999999E-2</v>
      </c>
      <c r="M206" s="995">
        <v>0.59499999999999997</v>
      </c>
      <c r="N206" s="995">
        <v>1.5049999999999999</v>
      </c>
      <c r="O206" s="995">
        <v>3.0219999999999998</v>
      </c>
      <c r="P206" s="995">
        <v>4.1399999999999997</v>
      </c>
      <c r="Q206" s="995">
        <v>4.59</v>
      </c>
      <c r="R206" s="995">
        <v>4.8579999999999997</v>
      </c>
      <c r="S206" s="995">
        <v>4.7869999999999999</v>
      </c>
    </row>
    <row r="207" spans="10:19" x14ac:dyDescent="0.25">
      <c r="J207" s="994">
        <v>2450</v>
      </c>
      <c r="K207" s="995"/>
      <c r="L207" s="995">
        <v>-1.0999999999999999E-2</v>
      </c>
      <c r="M207" s="995">
        <v>0.59299999999999997</v>
      </c>
      <c r="N207" s="995">
        <v>1.5</v>
      </c>
      <c r="O207" s="995">
        <v>3.012</v>
      </c>
      <c r="P207" s="995">
        <v>4.1239999999999997</v>
      </c>
      <c r="Q207" s="995">
        <v>4.5720000000000001</v>
      </c>
      <c r="R207" s="995">
        <v>4.8410000000000002</v>
      </c>
      <c r="S207" s="995">
        <v>4.7720000000000002</v>
      </c>
    </row>
    <row r="208" spans="10:19" x14ac:dyDescent="0.25">
      <c r="J208" s="994">
        <v>2460</v>
      </c>
      <c r="K208" s="995"/>
      <c r="L208" s="995">
        <v>-1.0999999999999999E-2</v>
      </c>
      <c r="M208" s="995">
        <v>0.59099999999999997</v>
      </c>
      <c r="N208" s="995">
        <v>1.4950000000000001</v>
      </c>
      <c r="O208" s="995">
        <v>3.0030000000000001</v>
      </c>
      <c r="P208" s="995">
        <v>4.1070000000000002</v>
      </c>
      <c r="Q208" s="995">
        <v>4.5540000000000003</v>
      </c>
      <c r="R208" s="995">
        <v>4.8230000000000004</v>
      </c>
      <c r="S208" s="995">
        <v>4.7560000000000002</v>
      </c>
    </row>
    <row r="209" spans="10:19" x14ac:dyDescent="0.25">
      <c r="J209" s="994">
        <v>2470</v>
      </c>
      <c r="K209" s="995"/>
      <c r="L209" s="995">
        <v>-1.0999999999999999E-2</v>
      </c>
      <c r="M209" s="995">
        <v>0.58899999999999997</v>
      </c>
      <c r="N209" s="995">
        <v>1.4910000000000001</v>
      </c>
      <c r="O209" s="995">
        <v>2.9929999999999999</v>
      </c>
      <c r="P209" s="995">
        <v>4.09</v>
      </c>
      <c r="Q209" s="995">
        <v>4.5359999999999996</v>
      </c>
      <c r="R209" s="995">
        <v>4.806</v>
      </c>
      <c r="S209" s="995">
        <v>4.74</v>
      </c>
    </row>
    <row r="210" spans="10:19" x14ac:dyDescent="0.25">
      <c r="J210" s="994">
        <v>2480</v>
      </c>
      <c r="K210" s="995"/>
      <c r="L210" s="995">
        <v>-1.0999999999999999E-2</v>
      </c>
      <c r="M210" s="995">
        <v>0.58699999999999997</v>
      </c>
      <c r="N210" s="995">
        <v>1.486</v>
      </c>
      <c r="O210" s="995">
        <v>2.984</v>
      </c>
      <c r="P210" s="995">
        <v>4.0730000000000004</v>
      </c>
      <c r="Q210" s="995">
        <v>4.5179999999999998</v>
      </c>
      <c r="R210" s="995">
        <v>4.7880000000000003</v>
      </c>
      <c r="S210" s="995">
        <v>4.7240000000000002</v>
      </c>
    </row>
    <row r="211" spans="10:19" x14ac:dyDescent="0.25">
      <c r="J211" s="994">
        <v>2490</v>
      </c>
      <c r="K211" s="995"/>
      <c r="L211" s="995">
        <v>-1.0999999999999999E-2</v>
      </c>
      <c r="M211" s="995">
        <v>0.58499999999999996</v>
      </c>
      <c r="N211" s="995">
        <v>1.4810000000000001</v>
      </c>
      <c r="O211" s="995">
        <v>2.9740000000000002</v>
      </c>
      <c r="P211" s="995">
        <v>4.056</v>
      </c>
      <c r="Q211" s="995">
        <v>4.5</v>
      </c>
      <c r="R211" s="995">
        <v>4.7709999999999999</v>
      </c>
      <c r="S211" s="995">
        <v>4.7080000000000002</v>
      </c>
    </row>
    <row r="212" spans="10:19" x14ac:dyDescent="0.25">
      <c r="J212" s="994">
        <v>2500</v>
      </c>
      <c r="K212" s="995"/>
      <c r="L212" s="995">
        <v>-1.0999999999999999E-2</v>
      </c>
      <c r="M212" s="995">
        <v>0.58399999999999996</v>
      </c>
      <c r="N212" s="995">
        <v>1.4770000000000001</v>
      </c>
      <c r="O212" s="995">
        <v>2.9649999999999999</v>
      </c>
      <c r="P212" s="995">
        <v>4.0389999999999997</v>
      </c>
      <c r="Q212" s="995">
        <v>4.4820000000000002</v>
      </c>
      <c r="R212" s="995">
        <v>4.7530000000000001</v>
      </c>
      <c r="S212" s="995">
        <v>4.6920000000000002</v>
      </c>
    </row>
    <row r="213" spans="10:19" x14ac:dyDescent="0.25">
      <c r="J213" s="994">
        <v>2510</v>
      </c>
      <c r="K213" s="995"/>
      <c r="L213" s="995">
        <v>-1.0999999999999999E-2</v>
      </c>
      <c r="M213" s="995">
        <v>0.58199999999999996</v>
      </c>
      <c r="N213" s="995">
        <v>1.472</v>
      </c>
      <c r="O213" s="995">
        <v>2.956</v>
      </c>
      <c r="P213" s="995">
        <v>4.0220000000000002</v>
      </c>
      <c r="Q213" s="995">
        <v>4.4640000000000004</v>
      </c>
      <c r="R213" s="995">
        <v>4.7350000000000003</v>
      </c>
      <c r="S213" s="995">
        <v>4.6769999999999996</v>
      </c>
    </row>
    <row r="214" spans="10:19" x14ac:dyDescent="0.25">
      <c r="J214" s="994">
        <v>2520</v>
      </c>
      <c r="K214" s="995"/>
      <c r="L214" s="995">
        <v>-1.0999999999999999E-2</v>
      </c>
      <c r="M214" s="995">
        <v>0.57999999999999996</v>
      </c>
      <c r="N214" s="995">
        <v>1.468</v>
      </c>
      <c r="O214" s="995">
        <v>2.9470000000000001</v>
      </c>
      <c r="P214" s="995">
        <v>4.0049999999999999</v>
      </c>
      <c r="Q214" s="995">
        <v>4.4459999999999997</v>
      </c>
      <c r="R214" s="995">
        <v>4.718</v>
      </c>
      <c r="S214" s="995">
        <v>4.6609999999999996</v>
      </c>
    </row>
    <row r="215" spans="10:19" x14ac:dyDescent="0.25">
      <c r="J215" s="994">
        <v>2530</v>
      </c>
      <c r="K215" s="995"/>
      <c r="L215" s="995">
        <v>-1.0999999999999999E-2</v>
      </c>
      <c r="M215" s="995">
        <v>0.57799999999999996</v>
      </c>
      <c r="N215" s="995">
        <v>1.4630000000000001</v>
      </c>
      <c r="O215" s="995">
        <v>2.9369999999999998</v>
      </c>
      <c r="P215" s="995">
        <v>3.988</v>
      </c>
      <c r="Q215" s="995">
        <v>4.4279999999999999</v>
      </c>
      <c r="R215" s="995">
        <v>4.7</v>
      </c>
      <c r="S215" s="995">
        <v>4.6449999999999996</v>
      </c>
    </row>
    <row r="216" spans="10:19" x14ac:dyDescent="0.25">
      <c r="J216" s="994">
        <v>2540</v>
      </c>
      <c r="K216" s="995"/>
      <c r="L216" s="995">
        <v>-1.0999999999999999E-2</v>
      </c>
      <c r="M216" s="995">
        <v>0.57699999999999996</v>
      </c>
      <c r="N216" s="995">
        <v>1.4590000000000001</v>
      </c>
      <c r="O216" s="995">
        <v>2.9279999999999999</v>
      </c>
      <c r="P216" s="995">
        <v>3.97</v>
      </c>
      <c r="Q216" s="995">
        <v>4.41</v>
      </c>
      <c r="R216" s="995">
        <v>4.6829999999999998</v>
      </c>
      <c r="S216" s="995">
        <v>4.6289999999999996</v>
      </c>
    </row>
    <row r="217" spans="10:19" x14ac:dyDescent="0.25">
      <c r="J217" s="994">
        <v>2550</v>
      </c>
      <c r="K217" s="995"/>
      <c r="L217" s="995">
        <v>-1.0999999999999999E-2</v>
      </c>
      <c r="M217" s="995">
        <v>0.57499999999999996</v>
      </c>
      <c r="N217" s="995">
        <v>1.4550000000000001</v>
      </c>
      <c r="O217" s="995">
        <v>2.919</v>
      </c>
      <c r="P217" s="995">
        <v>3.9529999999999998</v>
      </c>
      <c r="Q217" s="995">
        <v>4.3920000000000003</v>
      </c>
      <c r="R217" s="995">
        <v>4.665</v>
      </c>
      <c r="S217" s="995">
        <v>4.6130000000000004</v>
      </c>
    </row>
    <row r="218" spans="10:19" x14ac:dyDescent="0.25">
      <c r="J218" s="994">
        <v>2560</v>
      </c>
      <c r="K218" s="995"/>
      <c r="L218" s="995">
        <v>-1.0999999999999999E-2</v>
      </c>
      <c r="M218" s="995">
        <v>0.57299999999999995</v>
      </c>
      <c r="N218" s="995">
        <v>1.45</v>
      </c>
      <c r="O218" s="995">
        <v>2.9089999999999998</v>
      </c>
      <c r="P218" s="995">
        <v>3.9359999999999999</v>
      </c>
      <c r="Q218" s="995">
        <v>4.3730000000000002</v>
      </c>
      <c r="R218" s="995">
        <v>4.6470000000000002</v>
      </c>
      <c r="S218" s="995">
        <v>4.5970000000000004</v>
      </c>
    </row>
    <row r="219" spans="10:19" x14ac:dyDescent="0.25">
      <c r="J219" s="994">
        <v>2570</v>
      </c>
      <c r="K219" s="995"/>
      <c r="L219" s="995">
        <v>-1.0999999999999999E-2</v>
      </c>
      <c r="M219" s="995">
        <v>0.57099999999999995</v>
      </c>
      <c r="N219" s="995">
        <v>1.446</v>
      </c>
      <c r="O219" s="995">
        <v>2.9</v>
      </c>
      <c r="P219" s="995">
        <v>3.919</v>
      </c>
      <c r="Q219" s="995">
        <v>4.3550000000000004</v>
      </c>
      <c r="R219" s="995">
        <v>4.63</v>
      </c>
      <c r="S219" s="995">
        <v>4.5810000000000004</v>
      </c>
    </row>
    <row r="220" spans="10:19" x14ac:dyDescent="0.25">
      <c r="J220" s="994">
        <v>2580</v>
      </c>
      <c r="K220" s="995"/>
      <c r="L220" s="995">
        <v>-1.0999999999999999E-2</v>
      </c>
      <c r="M220" s="995">
        <v>0.56999999999999995</v>
      </c>
      <c r="N220" s="995">
        <v>1.4419999999999999</v>
      </c>
      <c r="O220" s="995">
        <v>2.891</v>
      </c>
      <c r="P220" s="995">
        <v>3.9020000000000001</v>
      </c>
      <c r="Q220" s="995">
        <v>4.3369999999999997</v>
      </c>
      <c r="R220" s="995">
        <v>4.6120000000000001</v>
      </c>
      <c r="S220" s="995">
        <v>4.5650000000000004</v>
      </c>
    </row>
    <row r="221" spans="10:19" x14ac:dyDescent="0.25">
      <c r="J221" s="994">
        <v>2590</v>
      </c>
      <c r="K221" s="995"/>
      <c r="L221" s="995">
        <v>-1.0999999999999999E-2</v>
      </c>
      <c r="M221" s="995">
        <v>0.56799999999999995</v>
      </c>
      <c r="N221" s="995">
        <v>1.4370000000000001</v>
      </c>
      <c r="O221" s="995">
        <v>2.8809999999999998</v>
      </c>
      <c r="P221" s="995">
        <v>3.8839999999999999</v>
      </c>
      <c r="Q221" s="995">
        <v>4.319</v>
      </c>
      <c r="R221" s="995">
        <v>4.5940000000000003</v>
      </c>
      <c r="S221" s="995">
        <v>4.55</v>
      </c>
    </row>
    <row r="222" spans="10:19" x14ac:dyDescent="0.25">
      <c r="J222" s="994">
        <v>2600</v>
      </c>
      <c r="K222" s="995"/>
      <c r="L222" s="995">
        <v>-1.0999999999999999E-2</v>
      </c>
      <c r="M222" s="995">
        <v>0.56599999999999995</v>
      </c>
      <c r="N222" s="995">
        <v>1.4330000000000001</v>
      </c>
      <c r="O222" s="995">
        <v>2.8719999999999999</v>
      </c>
      <c r="P222" s="995">
        <v>3.867</v>
      </c>
      <c r="Q222" s="995">
        <v>4.3010000000000002</v>
      </c>
      <c r="R222" s="995">
        <v>4.577</v>
      </c>
      <c r="S222" s="995">
        <v>4.5339999999999998</v>
      </c>
    </row>
    <row r="223" spans="10:19" x14ac:dyDescent="0.25">
      <c r="J223" s="994">
        <v>2610</v>
      </c>
      <c r="K223" s="995"/>
      <c r="L223" s="995">
        <v>-1.0999999999999999E-2</v>
      </c>
      <c r="M223" s="995">
        <v>0.56499999999999995</v>
      </c>
      <c r="N223" s="995">
        <v>1.429</v>
      </c>
      <c r="O223" s="995">
        <v>2.863</v>
      </c>
      <c r="P223" s="995">
        <v>3.85</v>
      </c>
      <c r="Q223" s="995">
        <v>4.2830000000000004</v>
      </c>
      <c r="R223" s="995">
        <v>4.5590000000000002</v>
      </c>
      <c r="S223" s="995">
        <v>4.5179999999999998</v>
      </c>
    </row>
    <row r="224" spans="10:19" x14ac:dyDescent="0.25">
      <c r="J224" s="994">
        <v>2620</v>
      </c>
      <c r="K224" s="995"/>
      <c r="L224" s="995">
        <v>-1.0999999999999999E-2</v>
      </c>
      <c r="M224" s="995">
        <v>0.56299999999999994</v>
      </c>
      <c r="N224" s="995">
        <v>1.425</v>
      </c>
      <c r="O224" s="995">
        <v>2.8530000000000002</v>
      </c>
      <c r="P224" s="995">
        <v>3.8319999999999999</v>
      </c>
      <c r="Q224" s="995">
        <v>4.2640000000000002</v>
      </c>
      <c r="R224" s="995">
        <v>4.5410000000000004</v>
      </c>
      <c r="S224" s="995">
        <v>4.5019999999999998</v>
      </c>
    </row>
    <row r="225" spans="10:19" x14ac:dyDescent="0.25">
      <c r="J225" s="994">
        <v>2630</v>
      </c>
      <c r="K225" s="995"/>
      <c r="L225" s="995">
        <v>-1.0999999999999999E-2</v>
      </c>
      <c r="M225" s="995">
        <v>0.56100000000000005</v>
      </c>
      <c r="N225" s="995">
        <v>1.421</v>
      </c>
      <c r="O225" s="995">
        <v>2.8439999999999999</v>
      </c>
      <c r="P225" s="995">
        <v>3.8149999999999999</v>
      </c>
      <c r="Q225" s="995">
        <v>4.2460000000000004</v>
      </c>
      <c r="R225" s="995">
        <v>4.524</v>
      </c>
      <c r="S225" s="995">
        <v>4.4859999999999998</v>
      </c>
    </row>
    <row r="226" spans="10:19" x14ac:dyDescent="0.25">
      <c r="J226" s="994">
        <v>2640</v>
      </c>
      <c r="K226" s="995"/>
      <c r="L226" s="995">
        <v>-1.0999999999999999E-2</v>
      </c>
      <c r="M226" s="995">
        <v>0.56000000000000005</v>
      </c>
      <c r="N226" s="995">
        <v>1.417</v>
      </c>
      <c r="O226" s="995">
        <v>2.8340000000000001</v>
      </c>
      <c r="P226" s="995">
        <v>3.798</v>
      </c>
      <c r="Q226" s="995">
        <v>4.2279999999999998</v>
      </c>
      <c r="R226" s="995">
        <v>4.5060000000000002</v>
      </c>
      <c r="S226" s="995">
        <v>4.47</v>
      </c>
    </row>
    <row r="227" spans="10:19" x14ac:dyDescent="0.25">
      <c r="J227" s="994">
        <v>2650</v>
      </c>
      <c r="K227" s="995"/>
      <c r="L227" s="995">
        <v>-1.0999999999999999E-2</v>
      </c>
      <c r="M227" s="995">
        <v>0.55800000000000005</v>
      </c>
      <c r="N227" s="995">
        <v>1.413</v>
      </c>
      <c r="O227" s="995">
        <v>2.8250000000000002</v>
      </c>
      <c r="P227" s="995">
        <v>3.78</v>
      </c>
      <c r="Q227" s="995">
        <v>4.21</v>
      </c>
      <c r="R227" s="995">
        <v>4.4880000000000004</v>
      </c>
      <c r="S227" s="995">
        <v>4.4539999999999997</v>
      </c>
    </row>
    <row r="228" spans="10:19" x14ac:dyDescent="0.25">
      <c r="J228" s="994">
        <v>2660</v>
      </c>
      <c r="K228" s="995"/>
      <c r="L228" s="995">
        <v>-1.0999999999999999E-2</v>
      </c>
      <c r="M228" s="995">
        <v>0.55700000000000005</v>
      </c>
      <c r="N228" s="995">
        <v>1.409</v>
      </c>
      <c r="O228" s="995">
        <v>2.8149999999999999</v>
      </c>
      <c r="P228" s="995">
        <v>3.7629999999999999</v>
      </c>
      <c r="Q228" s="995">
        <v>4.1909999999999998</v>
      </c>
      <c r="R228" s="995">
        <v>4.4710000000000001</v>
      </c>
      <c r="S228" s="995">
        <v>4.4379999999999997</v>
      </c>
    </row>
    <row r="229" spans="10:19" x14ac:dyDescent="0.25">
      <c r="J229" s="994">
        <v>2670</v>
      </c>
      <c r="K229" s="995"/>
      <c r="L229" s="995">
        <v>-1.0999999999999999E-2</v>
      </c>
      <c r="M229" s="995">
        <v>0.55500000000000005</v>
      </c>
      <c r="N229" s="995">
        <v>1.405</v>
      </c>
      <c r="O229" s="995">
        <v>2.806</v>
      </c>
      <c r="P229" s="995">
        <v>3.7450000000000001</v>
      </c>
      <c r="Q229" s="995">
        <v>4.173</v>
      </c>
      <c r="R229" s="995">
        <v>4.4530000000000003</v>
      </c>
      <c r="S229" s="995">
        <v>4.4219999999999997</v>
      </c>
    </row>
    <row r="230" spans="10:19" x14ac:dyDescent="0.25">
      <c r="J230" s="994">
        <v>2680</v>
      </c>
      <c r="K230" s="995"/>
      <c r="L230" s="995">
        <v>-1.0999999999999999E-2</v>
      </c>
      <c r="M230" s="995">
        <v>0.55400000000000005</v>
      </c>
      <c r="N230" s="995">
        <v>1.401</v>
      </c>
      <c r="O230" s="995">
        <v>2.7959999999999998</v>
      </c>
      <c r="P230" s="995">
        <v>3.7280000000000002</v>
      </c>
      <c r="Q230" s="995">
        <v>4.1550000000000002</v>
      </c>
      <c r="R230" s="995">
        <v>4.4349999999999996</v>
      </c>
      <c r="S230" s="995">
        <v>4.4059999999999997</v>
      </c>
    </row>
    <row r="231" spans="10:19" x14ac:dyDescent="0.25">
      <c r="J231" s="994">
        <v>2690</v>
      </c>
      <c r="K231" s="995"/>
      <c r="L231" s="995">
        <v>-1.0999999999999999E-2</v>
      </c>
      <c r="M231" s="995">
        <v>0.55200000000000005</v>
      </c>
      <c r="N231" s="995">
        <v>1.397</v>
      </c>
      <c r="O231" s="995">
        <v>2.786</v>
      </c>
      <c r="P231" s="995">
        <v>3.71</v>
      </c>
      <c r="Q231" s="995">
        <v>4.1360000000000001</v>
      </c>
      <c r="R231" s="995">
        <v>4.4180000000000001</v>
      </c>
      <c r="S231" s="995">
        <v>4.3899999999999997</v>
      </c>
    </row>
    <row r="232" spans="10:19" x14ac:dyDescent="0.25">
      <c r="J232" s="994">
        <v>2700</v>
      </c>
      <c r="K232" s="995"/>
      <c r="L232" s="995">
        <v>-1.0999999999999999E-2</v>
      </c>
      <c r="M232" s="995">
        <v>0.55100000000000005</v>
      </c>
      <c r="N232" s="995">
        <v>1.393</v>
      </c>
      <c r="O232" s="995">
        <v>2.7770000000000001</v>
      </c>
      <c r="P232" s="995">
        <v>3.6930000000000001</v>
      </c>
      <c r="Q232" s="995">
        <v>4.1180000000000003</v>
      </c>
      <c r="R232" s="995">
        <v>4.4000000000000004</v>
      </c>
      <c r="S232" s="995">
        <v>4.3739999999999997</v>
      </c>
    </row>
    <row r="233" spans="10:19" x14ac:dyDescent="0.25">
      <c r="J233" s="994">
        <v>2710</v>
      </c>
      <c r="K233" s="995"/>
      <c r="L233" s="995">
        <v>-1.0999999999999999E-2</v>
      </c>
      <c r="M233" s="995">
        <v>0.54900000000000004</v>
      </c>
      <c r="N233" s="995">
        <v>1.389</v>
      </c>
      <c r="O233" s="995">
        <v>2.7669999999999999</v>
      </c>
      <c r="P233" s="995">
        <v>3.6749999999999998</v>
      </c>
      <c r="Q233" s="995">
        <v>4.0999999999999996</v>
      </c>
      <c r="R233" s="995">
        <v>4.3819999999999997</v>
      </c>
      <c r="S233" s="995">
        <v>4.359</v>
      </c>
    </row>
    <row r="234" spans="10:19" x14ac:dyDescent="0.25">
      <c r="J234" s="994">
        <v>2720</v>
      </c>
      <c r="K234" s="995"/>
      <c r="L234" s="995">
        <v>-1.0999999999999999E-2</v>
      </c>
      <c r="M234" s="995">
        <v>0.54800000000000004</v>
      </c>
      <c r="N234" s="995">
        <v>1.385</v>
      </c>
      <c r="O234" s="995">
        <v>2.7570000000000001</v>
      </c>
      <c r="P234" s="995">
        <v>3.6579999999999999</v>
      </c>
      <c r="Q234" s="995">
        <v>4.0810000000000004</v>
      </c>
      <c r="R234" s="995">
        <v>4.3639999999999999</v>
      </c>
      <c r="S234" s="995">
        <v>4.343</v>
      </c>
    </row>
    <row r="235" spans="10:19" x14ac:dyDescent="0.25">
      <c r="J235" s="994">
        <v>2730</v>
      </c>
      <c r="K235" s="995"/>
      <c r="L235" s="995">
        <v>-1.0999999999999999E-2</v>
      </c>
      <c r="M235" s="995">
        <v>0.54600000000000004</v>
      </c>
      <c r="N235" s="995">
        <v>1.381</v>
      </c>
      <c r="O235" s="995">
        <v>2.7480000000000002</v>
      </c>
      <c r="P235" s="995">
        <v>3.64</v>
      </c>
      <c r="Q235" s="995">
        <v>4.0629999999999997</v>
      </c>
      <c r="R235" s="995">
        <v>4.3470000000000004</v>
      </c>
      <c r="S235" s="995">
        <v>4.327</v>
      </c>
    </row>
    <row r="236" spans="10:19" x14ac:dyDescent="0.25">
      <c r="J236" s="994">
        <v>2740</v>
      </c>
      <c r="K236" s="995"/>
      <c r="L236" s="995">
        <v>-1.0999999999999999E-2</v>
      </c>
      <c r="M236" s="995">
        <v>0.54500000000000004</v>
      </c>
      <c r="N236" s="995">
        <v>1.3779999999999999</v>
      </c>
      <c r="O236" s="995">
        <v>2.738</v>
      </c>
      <c r="P236" s="995">
        <v>3.6219999999999999</v>
      </c>
      <c r="Q236" s="995">
        <v>4.0449999999999999</v>
      </c>
      <c r="R236" s="995">
        <v>4.3289999999999997</v>
      </c>
      <c r="S236" s="995">
        <v>4.3109999999999999</v>
      </c>
    </row>
    <row r="237" spans="10:19" x14ac:dyDescent="0.25">
      <c r="J237" s="994">
        <v>2750</v>
      </c>
      <c r="K237" s="995"/>
      <c r="L237" s="995">
        <v>-1.0999999999999999E-2</v>
      </c>
      <c r="M237" s="995">
        <v>0.54300000000000004</v>
      </c>
      <c r="N237" s="995">
        <v>1.3740000000000001</v>
      </c>
      <c r="O237" s="995">
        <v>2.7280000000000002</v>
      </c>
      <c r="P237" s="995">
        <v>3.605</v>
      </c>
      <c r="Q237" s="995">
        <v>4.0259999999999998</v>
      </c>
      <c r="R237" s="995">
        <v>4.3109999999999999</v>
      </c>
      <c r="S237" s="995">
        <v>4.2949999999999999</v>
      </c>
    </row>
    <row r="238" spans="10:19" x14ac:dyDescent="0.25">
      <c r="J238" s="994">
        <v>2760</v>
      </c>
      <c r="K238" s="995"/>
      <c r="L238" s="995">
        <v>-1.0999999999999999E-2</v>
      </c>
      <c r="M238" s="995">
        <v>0.54200000000000004</v>
      </c>
      <c r="N238" s="995">
        <v>1.37</v>
      </c>
      <c r="O238" s="995">
        <v>2.7189999999999999</v>
      </c>
      <c r="P238" s="995">
        <v>3.5870000000000002</v>
      </c>
      <c r="Q238" s="995">
        <v>4.008</v>
      </c>
      <c r="R238" s="995">
        <v>4.2930000000000001</v>
      </c>
      <c r="S238" s="995">
        <v>4.2789999999999999</v>
      </c>
    </row>
    <row r="239" spans="10:19" x14ac:dyDescent="0.25">
      <c r="J239" s="994">
        <v>2770</v>
      </c>
      <c r="K239" s="995"/>
      <c r="L239" s="995">
        <v>-1.0999999999999999E-2</v>
      </c>
      <c r="M239" s="995">
        <v>0.54</v>
      </c>
      <c r="N239" s="995">
        <v>1.3660000000000001</v>
      </c>
      <c r="O239" s="995">
        <v>2.7090000000000001</v>
      </c>
      <c r="P239" s="995">
        <v>3.569</v>
      </c>
      <c r="Q239" s="995">
        <v>3.9889999999999999</v>
      </c>
      <c r="R239" s="995">
        <v>4.2759999999999998</v>
      </c>
      <c r="S239" s="995">
        <v>4.2629999999999999</v>
      </c>
    </row>
    <row r="240" spans="10:19" x14ac:dyDescent="0.25">
      <c r="J240" s="994">
        <v>2780</v>
      </c>
      <c r="K240" s="995"/>
      <c r="L240" s="995">
        <v>-1.0999999999999999E-2</v>
      </c>
      <c r="M240" s="995">
        <v>0.53900000000000003</v>
      </c>
      <c r="N240" s="995">
        <v>1.363</v>
      </c>
      <c r="O240" s="995">
        <v>2.6989999999999998</v>
      </c>
      <c r="P240" s="995">
        <v>3.5510000000000002</v>
      </c>
      <c r="Q240" s="995">
        <v>3.9710000000000001</v>
      </c>
      <c r="R240" s="995">
        <v>4.258</v>
      </c>
      <c r="S240" s="995">
        <v>4.2469999999999999</v>
      </c>
    </row>
    <row r="241" spans="10:19" x14ac:dyDescent="0.25">
      <c r="J241" s="994">
        <v>2790</v>
      </c>
      <c r="K241" s="995"/>
      <c r="L241" s="995">
        <v>-1.0999999999999999E-2</v>
      </c>
      <c r="M241" s="995">
        <v>0.53800000000000003</v>
      </c>
      <c r="N241" s="995">
        <v>1.359</v>
      </c>
      <c r="O241" s="995">
        <v>2.6890000000000001</v>
      </c>
      <c r="P241" s="995">
        <v>3.5339999999999998</v>
      </c>
      <c r="Q241" s="995">
        <v>3.952</v>
      </c>
      <c r="R241" s="995">
        <v>4.24</v>
      </c>
      <c r="S241" s="995">
        <v>4.2309999999999999</v>
      </c>
    </row>
    <row r="242" spans="10:19" x14ac:dyDescent="0.25">
      <c r="J242" s="994">
        <v>2800</v>
      </c>
      <c r="K242" s="995"/>
      <c r="L242" s="995">
        <v>-1.0999999999999999E-2</v>
      </c>
      <c r="M242" s="995">
        <v>0.53600000000000003</v>
      </c>
      <c r="N242" s="995">
        <v>1.355</v>
      </c>
      <c r="O242" s="995">
        <v>2.6789999999999998</v>
      </c>
      <c r="P242" s="995">
        <v>3.516</v>
      </c>
      <c r="Q242" s="995">
        <v>3.9340000000000002</v>
      </c>
      <c r="R242" s="995">
        <v>4.2220000000000004</v>
      </c>
      <c r="S242" s="995">
        <v>4.2149999999999999</v>
      </c>
    </row>
    <row r="243" spans="10:19" x14ac:dyDescent="0.25">
      <c r="J243" s="994">
        <v>2810</v>
      </c>
      <c r="K243" s="995"/>
      <c r="L243" s="995">
        <v>-1.0999999999999999E-2</v>
      </c>
      <c r="M243" s="995">
        <v>0.53500000000000003</v>
      </c>
      <c r="N243" s="995">
        <v>1.3520000000000001</v>
      </c>
      <c r="O243" s="995">
        <v>2.669</v>
      </c>
      <c r="P243" s="995">
        <v>3.4980000000000002</v>
      </c>
      <c r="Q243" s="995">
        <v>3.915</v>
      </c>
      <c r="R243" s="995">
        <v>4.2039999999999997</v>
      </c>
      <c r="S243" s="995">
        <v>4.1989999999999998</v>
      </c>
    </row>
    <row r="244" spans="10:19" x14ac:dyDescent="0.25">
      <c r="J244" s="994">
        <v>2820</v>
      </c>
      <c r="K244" s="995"/>
      <c r="L244" s="995">
        <v>-1.0999999999999999E-2</v>
      </c>
      <c r="M244" s="995">
        <v>0.53300000000000003</v>
      </c>
      <c r="N244" s="995">
        <v>1.3480000000000001</v>
      </c>
      <c r="O244" s="995">
        <v>2.6589999999999998</v>
      </c>
      <c r="P244" s="995">
        <v>3.48</v>
      </c>
      <c r="Q244" s="995">
        <v>3.8969999999999998</v>
      </c>
      <c r="R244" s="995">
        <v>4.1870000000000003</v>
      </c>
      <c r="S244" s="995">
        <v>4.1829999999999998</v>
      </c>
    </row>
    <row r="245" spans="10:19" x14ac:dyDescent="0.25">
      <c r="J245" s="994">
        <v>2830</v>
      </c>
      <c r="K245" s="995"/>
      <c r="L245" s="995">
        <v>-1.0999999999999999E-2</v>
      </c>
      <c r="M245" s="995">
        <v>0.53200000000000003</v>
      </c>
      <c r="N245" s="995">
        <v>1.345</v>
      </c>
      <c r="O245" s="995">
        <v>2.649</v>
      </c>
      <c r="P245" s="995">
        <v>3.4620000000000002</v>
      </c>
      <c r="Q245" s="995">
        <v>3.8780000000000001</v>
      </c>
      <c r="R245" s="995">
        <v>4.1689999999999996</v>
      </c>
      <c r="S245" s="995">
        <v>4.1669999999999998</v>
      </c>
    </row>
    <row r="246" spans="10:19" x14ac:dyDescent="0.25">
      <c r="J246" s="994">
        <v>2840</v>
      </c>
      <c r="K246" s="995"/>
      <c r="L246" s="995">
        <v>-1.0999999999999999E-2</v>
      </c>
      <c r="M246" s="995">
        <v>0.53100000000000003</v>
      </c>
      <c r="N246" s="995">
        <v>1.341</v>
      </c>
      <c r="O246" s="995">
        <v>2.6389999999999998</v>
      </c>
      <c r="P246" s="995">
        <v>3.4449999999999998</v>
      </c>
      <c r="Q246" s="995">
        <v>3.86</v>
      </c>
      <c r="R246" s="995">
        <v>4.1509999999999998</v>
      </c>
      <c r="S246" s="995">
        <v>4.1509999999999998</v>
      </c>
    </row>
    <row r="247" spans="10:19" x14ac:dyDescent="0.25">
      <c r="J247" s="994">
        <v>2850</v>
      </c>
      <c r="K247" s="995"/>
      <c r="L247" s="995">
        <v>-1.0999999999999999E-2</v>
      </c>
      <c r="M247" s="995">
        <v>0.52900000000000003</v>
      </c>
      <c r="N247" s="995">
        <v>1.3380000000000001</v>
      </c>
      <c r="O247" s="995">
        <v>2.63</v>
      </c>
      <c r="P247" s="995">
        <v>3.427</v>
      </c>
      <c r="Q247" s="995">
        <v>3.8410000000000002</v>
      </c>
      <c r="R247" s="995">
        <v>4.133</v>
      </c>
      <c r="S247" s="995">
        <v>4.1349999999999998</v>
      </c>
    </row>
    <row r="248" spans="10:19" x14ac:dyDescent="0.25">
      <c r="J248" s="994">
        <v>2860</v>
      </c>
      <c r="K248" s="995"/>
      <c r="L248" s="995">
        <v>-1.0999999999999999E-2</v>
      </c>
      <c r="M248" s="995">
        <v>0.52800000000000002</v>
      </c>
      <c r="N248" s="995">
        <v>1.3340000000000001</v>
      </c>
      <c r="O248" s="995">
        <v>2.62</v>
      </c>
      <c r="P248" s="995">
        <v>3.4089999999999998</v>
      </c>
      <c r="Q248" s="995">
        <v>3.823</v>
      </c>
      <c r="R248" s="995">
        <v>4.1150000000000002</v>
      </c>
      <c r="S248" s="995">
        <v>4.1189999999999998</v>
      </c>
    </row>
    <row r="249" spans="10:19" x14ac:dyDescent="0.25">
      <c r="J249" s="994">
        <v>2870</v>
      </c>
      <c r="K249" s="995"/>
      <c r="L249" s="995">
        <v>-1.0999999999999999E-2</v>
      </c>
      <c r="M249" s="995">
        <v>0.52700000000000002</v>
      </c>
      <c r="N249" s="995">
        <v>1.331</v>
      </c>
      <c r="O249" s="995">
        <v>2.61</v>
      </c>
      <c r="P249" s="995">
        <v>3.391</v>
      </c>
      <c r="Q249" s="995">
        <v>3.8039999999999998</v>
      </c>
      <c r="R249" s="995">
        <v>4.0970000000000004</v>
      </c>
      <c r="S249" s="995">
        <v>4.1029999999999998</v>
      </c>
    </row>
    <row r="250" spans="10:19" x14ac:dyDescent="0.25">
      <c r="J250" s="994">
        <v>2880</v>
      </c>
      <c r="K250" s="995"/>
      <c r="L250" s="995">
        <v>-1.0999999999999999E-2</v>
      </c>
      <c r="M250" s="995">
        <v>0.52500000000000002</v>
      </c>
      <c r="N250" s="995">
        <v>1.327</v>
      </c>
      <c r="O250" s="995">
        <v>2.5990000000000002</v>
      </c>
      <c r="P250" s="995">
        <v>3.3730000000000002</v>
      </c>
      <c r="Q250" s="995">
        <v>3.786</v>
      </c>
      <c r="R250" s="995">
        <v>4.08</v>
      </c>
      <c r="S250" s="995">
        <v>4.0869999999999997</v>
      </c>
    </row>
    <row r="251" spans="10:19" x14ac:dyDescent="0.25">
      <c r="J251" s="994">
        <v>2890</v>
      </c>
      <c r="K251" s="995"/>
      <c r="L251" s="995">
        <v>-1.0999999999999999E-2</v>
      </c>
      <c r="M251" s="995">
        <v>0.52400000000000002</v>
      </c>
      <c r="N251" s="995">
        <v>1.3240000000000001</v>
      </c>
      <c r="O251" s="995">
        <v>2.589</v>
      </c>
      <c r="P251" s="995">
        <v>3.355</v>
      </c>
      <c r="Q251" s="995">
        <v>3.7669999999999999</v>
      </c>
      <c r="R251" s="995">
        <v>4.0620000000000003</v>
      </c>
      <c r="S251" s="995">
        <v>4.0709999999999997</v>
      </c>
    </row>
    <row r="252" spans="10:19" x14ac:dyDescent="0.25">
      <c r="J252" s="994">
        <v>2900</v>
      </c>
      <c r="K252" s="995"/>
      <c r="L252" s="995">
        <v>-1.0999999999999999E-2</v>
      </c>
      <c r="M252" s="995">
        <v>0.52300000000000002</v>
      </c>
      <c r="N252" s="995">
        <v>1.32</v>
      </c>
      <c r="O252" s="995">
        <v>2.5790000000000002</v>
      </c>
      <c r="P252" s="995">
        <v>3.3380000000000001</v>
      </c>
      <c r="Q252" s="995">
        <v>3.7490000000000001</v>
      </c>
      <c r="R252" s="995">
        <v>4.0439999999999996</v>
      </c>
      <c r="S252" s="995">
        <v>4.0549999999999997</v>
      </c>
    </row>
    <row r="253" spans="10:19" x14ac:dyDescent="0.25">
      <c r="J253" s="994">
        <v>2910</v>
      </c>
      <c r="K253" s="995"/>
      <c r="L253" s="995">
        <v>-1.0999999999999999E-2</v>
      </c>
      <c r="M253" s="995">
        <v>0.52100000000000002</v>
      </c>
      <c r="N253" s="995">
        <v>1.3169999999999999</v>
      </c>
      <c r="O253" s="995">
        <v>2.569</v>
      </c>
      <c r="P253" s="995">
        <v>3.32</v>
      </c>
      <c r="Q253" s="995">
        <v>3.73</v>
      </c>
      <c r="R253" s="995">
        <v>4.0259999999999998</v>
      </c>
      <c r="S253" s="995">
        <v>4.0389999999999997</v>
      </c>
    </row>
    <row r="254" spans="10:19" x14ac:dyDescent="0.25">
      <c r="J254" s="994">
        <v>2920</v>
      </c>
      <c r="K254" s="995"/>
      <c r="L254" s="995">
        <v>-1.0999999999999999E-2</v>
      </c>
      <c r="M254" s="995">
        <v>0.52</v>
      </c>
      <c r="N254" s="995">
        <v>1.3140000000000001</v>
      </c>
      <c r="O254" s="995">
        <v>2.5590000000000002</v>
      </c>
      <c r="P254" s="995">
        <v>3.3029999999999999</v>
      </c>
      <c r="Q254" s="995">
        <v>3.7109999999999999</v>
      </c>
      <c r="R254" s="995">
        <v>4.008</v>
      </c>
      <c r="S254" s="995">
        <v>4.0229999999999997</v>
      </c>
    </row>
    <row r="255" spans="10:19" x14ac:dyDescent="0.25">
      <c r="J255" s="994">
        <v>2930</v>
      </c>
      <c r="K255" s="995"/>
      <c r="L255" s="995">
        <v>-1.0999999999999999E-2</v>
      </c>
      <c r="M255" s="995">
        <v>0.51900000000000002</v>
      </c>
      <c r="N255" s="995">
        <v>1.31</v>
      </c>
      <c r="O255" s="995">
        <v>2.5489999999999999</v>
      </c>
      <c r="P255" s="995">
        <v>3.2850000000000001</v>
      </c>
      <c r="Q255" s="995">
        <v>3.6930000000000001</v>
      </c>
      <c r="R255" s="995">
        <v>3.99</v>
      </c>
      <c r="S255" s="995">
        <v>4.0069999999999997</v>
      </c>
    </row>
    <row r="256" spans="10:19" x14ac:dyDescent="0.25">
      <c r="J256" s="994">
        <v>2940</v>
      </c>
      <c r="K256" s="995"/>
      <c r="L256" s="995">
        <v>-1.0999999999999999E-2</v>
      </c>
      <c r="M256" s="995">
        <v>0.51700000000000002</v>
      </c>
      <c r="N256" s="995">
        <v>1.3069999999999999</v>
      </c>
      <c r="O256" s="995">
        <v>2.5390000000000001</v>
      </c>
      <c r="P256" s="995">
        <v>3.2679999999999998</v>
      </c>
      <c r="Q256" s="995">
        <v>3.6739999999999999</v>
      </c>
      <c r="R256" s="995">
        <v>3.9729999999999999</v>
      </c>
      <c r="S256" s="995">
        <v>3.9910000000000001</v>
      </c>
    </row>
    <row r="257" spans="10:19" x14ac:dyDescent="0.25">
      <c r="J257" s="994">
        <v>2950</v>
      </c>
      <c r="K257" s="995"/>
      <c r="L257" s="995">
        <v>-1.0999999999999999E-2</v>
      </c>
      <c r="M257" s="995">
        <v>0.51600000000000001</v>
      </c>
      <c r="N257" s="995">
        <v>1.304</v>
      </c>
      <c r="O257" s="995">
        <v>2.5289999999999999</v>
      </c>
      <c r="P257" s="995">
        <v>3.25</v>
      </c>
      <c r="Q257" s="995">
        <v>3.6560000000000001</v>
      </c>
      <c r="R257" s="995">
        <v>3.9550000000000001</v>
      </c>
      <c r="S257" s="995">
        <v>3.9750000000000001</v>
      </c>
    </row>
    <row r="258" spans="10:19" x14ac:dyDescent="0.25">
      <c r="J258" s="994">
        <v>2960</v>
      </c>
      <c r="K258" s="995"/>
      <c r="L258" s="995">
        <v>-1.0999999999999999E-2</v>
      </c>
      <c r="M258" s="995">
        <v>0.51500000000000001</v>
      </c>
      <c r="N258" s="995">
        <v>1.3</v>
      </c>
      <c r="O258" s="995">
        <v>2.5179999999999998</v>
      </c>
      <c r="P258" s="995">
        <v>3.2330000000000001</v>
      </c>
      <c r="Q258" s="995">
        <v>3.637</v>
      </c>
      <c r="R258" s="995">
        <v>3.9369999999999998</v>
      </c>
      <c r="S258" s="995">
        <v>3.9590000000000001</v>
      </c>
    </row>
    <row r="259" spans="10:19" x14ac:dyDescent="0.25">
      <c r="J259" s="994">
        <v>2970</v>
      </c>
      <c r="K259" s="995"/>
      <c r="L259" s="995">
        <v>-1.0999999999999999E-2</v>
      </c>
      <c r="M259" s="995">
        <v>0.51400000000000001</v>
      </c>
      <c r="N259" s="995">
        <v>1.2969999999999999</v>
      </c>
      <c r="O259" s="995">
        <v>2.508</v>
      </c>
      <c r="P259" s="995">
        <v>3.2149999999999999</v>
      </c>
      <c r="Q259" s="995">
        <v>3.6179999999999999</v>
      </c>
      <c r="R259" s="995">
        <v>3.919</v>
      </c>
      <c r="S259" s="995">
        <v>3.9430000000000001</v>
      </c>
    </row>
    <row r="260" spans="10:19" x14ac:dyDescent="0.25">
      <c r="J260" s="994">
        <v>2980</v>
      </c>
      <c r="K260" s="995"/>
      <c r="L260" s="995">
        <v>-1.0999999999999999E-2</v>
      </c>
      <c r="M260" s="995">
        <v>0.51200000000000001</v>
      </c>
      <c r="N260" s="995">
        <v>1.294</v>
      </c>
      <c r="O260" s="995">
        <v>2.4980000000000002</v>
      </c>
      <c r="P260" s="995">
        <v>3.198</v>
      </c>
      <c r="Q260" s="995">
        <v>3.6</v>
      </c>
      <c r="R260" s="995">
        <v>3.9009999999999998</v>
      </c>
      <c r="S260" s="995">
        <v>3.927</v>
      </c>
    </row>
    <row r="261" spans="10:19" x14ac:dyDescent="0.25">
      <c r="J261" s="994">
        <v>2990</v>
      </c>
      <c r="K261" s="995"/>
      <c r="L261" s="995">
        <v>-1.0999999999999999E-2</v>
      </c>
      <c r="M261" s="995">
        <v>0.51100000000000001</v>
      </c>
      <c r="N261" s="995">
        <v>1.2909999999999999</v>
      </c>
      <c r="O261" s="995">
        <v>2.488</v>
      </c>
      <c r="P261" s="995">
        <v>3.181</v>
      </c>
      <c r="Q261" s="995">
        <v>3.581</v>
      </c>
      <c r="R261" s="995">
        <v>3.883</v>
      </c>
      <c r="S261" s="995">
        <v>3.911</v>
      </c>
    </row>
    <row r="262" spans="10:19" x14ac:dyDescent="0.25">
      <c r="J262" s="994">
        <v>3000</v>
      </c>
      <c r="K262" s="995"/>
      <c r="L262" s="995">
        <v>-1.0999999999999999E-2</v>
      </c>
      <c r="M262" s="995">
        <v>0.51</v>
      </c>
      <c r="N262" s="995">
        <v>1.2869999999999999</v>
      </c>
      <c r="O262" s="995">
        <v>2.4769999999999999</v>
      </c>
      <c r="P262" s="995">
        <v>3.1640000000000001</v>
      </c>
      <c r="Q262" s="995">
        <v>3.5619999999999998</v>
      </c>
      <c r="R262" s="995">
        <v>3.8650000000000002</v>
      </c>
      <c r="S262" s="995">
        <v>3.895</v>
      </c>
    </row>
    <row r="263" spans="10:19" x14ac:dyDescent="0.25">
      <c r="J263" s="994">
        <v>3010</v>
      </c>
      <c r="K263" s="995"/>
      <c r="L263" s="995">
        <v>-1.0999999999999999E-2</v>
      </c>
      <c r="M263" s="995">
        <v>0.50900000000000001</v>
      </c>
      <c r="N263" s="995">
        <v>1.284</v>
      </c>
      <c r="O263" s="995">
        <v>2.4670000000000001</v>
      </c>
      <c r="P263" s="995">
        <v>3.1459999999999999</v>
      </c>
      <c r="Q263" s="995">
        <v>3.5430000000000001</v>
      </c>
      <c r="R263" s="995">
        <v>3.847</v>
      </c>
      <c r="S263" s="995">
        <v>3.879</v>
      </c>
    </row>
    <row r="264" spans="10:19" x14ac:dyDescent="0.25">
      <c r="J264" s="994">
        <v>3020</v>
      </c>
      <c r="K264" s="995"/>
      <c r="L264" s="995">
        <v>-1.0999999999999999E-2</v>
      </c>
      <c r="M264" s="995">
        <v>0.50700000000000001</v>
      </c>
      <c r="N264" s="995">
        <v>1.2809999999999999</v>
      </c>
      <c r="O264" s="995">
        <v>2.4569999999999999</v>
      </c>
      <c r="P264" s="995">
        <v>3.129</v>
      </c>
      <c r="Q264" s="995">
        <v>3.5249999999999999</v>
      </c>
      <c r="R264" s="995">
        <v>3.8290000000000002</v>
      </c>
      <c r="S264" s="995">
        <v>3.863</v>
      </c>
    </row>
    <row r="265" spans="10:19" x14ac:dyDescent="0.25">
      <c r="J265" s="994">
        <v>3030</v>
      </c>
      <c r="K265" s="995"/>
      <c r="L265" s="995">
        <v>-1.0999999999999999E-2</v>
      </c>
      <c r="M265" s="995">
        <v>0.50600000000000001</v>
      </c>
      <c r="N265" s="995">
        <v>1.278</v>
      </c>
      <c r="O265" s="995">
        <v>2.4460000000000002</v>
      </c>
      <c r="P265" s="995">
        <v>3.1120000000000001</v>
      </c>
      <c r="Q265" s="995">
        <v>3.5059999999999998</v>
      </c>
      <c r="R265" s="995">
        <v>3.8109999999999999</v>
      </c>
      <c r="S265" s="995">
        <v>3.847</v>
      </c>
    </row>
    <row r="266" spans="10:19" x14ac:dyDescent="0.25">
      <c r="J266" s="994">
        <v>3040</v>
      </c>
      <c r="K266" s="995"/>
      <c r="L266" s="995">
        <v>-1.0999999999999999E-2</v>
      </c>
      <c r="M266" s="995">
        <v>0.505</v>
      </c>
      <c r="N266" s="995">
        <v>1.2749999999999999</v>
      </c>
      <c r="O266" s="995">
        <v>2.4359999999999999</v>
      </c>
      <c r="P266" s="995">
        <v>3.0950000000000002</v>
      </c>
      <c r="Q266" s="995">
        <v>3.4870000000000001</v>
      </c>
      <c r="R266" s="995">
        <v>3.794</v>
      </c>
      <c r="S266" s="995">
        <v>3.831</v>
      </c>
    </row>
    <row r="267" spans="10:19" x14ac:dyDescent="0.25">
      <c r="J267" s="994">
        <v>3050</v>
      </c>
      <c r="K267" s="995"/>
      <c r="L267" s="995">
        <v>-1.0999999999999999E-2</v>
      </c>
      <c r="M267" s="995">
        <v>0.504</v>
      </c>
      <c r="N267" s="995">
        <v>1.272</v>
      </c>
      <c r="O267" s="995">
        <v>2.4260000000000002</v>
      </c>
      <c r="P267" s="995">
        <v>3.0779999999999998</v>
      </c>
      <c r="Q267" s="995">
        <v>3.4689999999999999</v>
      </c>
      <c r="R267" s="995">
        <v>3.7759999999999998</v>
      </c>
      <c r="S267" s="995">
        <v>3.8149999999999999</v>
      </c>
    </row>
    <row r="268" spans="10:19" x14ac:dyDescent="0.25">
      <c r="J268" s="994">
        <v>3060</v>
      </c>
      <c r="K268" s="995"/>
      <c r="L268" s="995">
        <v>-1.0999999999999999E-2</v>
      </c>
      <c r="M268" s="995">
        <v>0.503</v>
      </c>
      <c r="N268" s="995">
        <v>1.2689999999999999</v>
      </c>
      <c r="O268" s="995">
        <v>2.415</v>
      </c>
      <c r="P268" s="995">
        <v>3.0609999999999999</v>
      </c>
      <c r="Q268" s="995">
        <v>3.45</v>
      </c>
      <c r="R268" s="995">
        <v>3.758</v>
      </c>
      <c r="S268" s="995">
        <v>3.798</v>
      </c>
    </row>
    <row r="269" spans="10:19" x14ac:dyDescent="0.25">
      <c r="J269" s="994">
        <v>3070</v>
      </c>
      <c r="K269" s="995"/>
      <c r="L269" s="995">
        <v>-1.0999999999999999E-2</v>
      </c>
      <c r="M269" s="995">
        <v>0.501</v>
      </c>
      <c r="N269" s="995">
        <v>1.266</v>
      </c>
      <c r="O269" s="995">
        <v>2.4049999999999998</v>
      </c>
      <c r="P269" s="995">
        <v>3.044</v>
      </c>
      <c r="Q269" s="995">
        <v>3.431</v>
      </c>
      <c r="R269" s="995">
        <v>3.74</v>
      </c>
      <c r="S269" s="995">
        <v>3.782</v>
      </c>
    </row>
    <row r="270" spans="10:19" x14ac:dyDescent="0.25">
      <c r="J270" s="994">
        <v>3080</v>
      </c>
      <c r="K270" s="995"/>
      <c r="L270" s="995">
        <v>-1.0999999999999999E-2</v>
      </c>
      <c r="M270" s="995">
        <v>0.5</v>
      </c>
      <c r="N270" s="995">
        <v>1.262</v>
      </c>
      <c r="O270" s="995">
        <v>2.3940000000000001</v>
      </c>
      <c r="P270" s="995">
        <v>3.0270000000000001</v>
      </c>
      <c r="Q270" s="995">
        <v>3.4119999999999999</v>
      </c>
      <c r="R270" s="995">
        <v>3.722</v>
      </c>
      <c r="S270" s="995">
        <v>3.766</v>
      </c>
    </row>
    <row r="271" spans="10:19" x14ac:dyDescent="0.25">
      <c r="J271" s="994">
        <v>3090</v>
      </c>
      <c r="K271" s="995"/>
      <c r="L271" s="995">
        <v>-1.0999999999999999E-2</v>
      </c>
      <c r="M271" s="995">
        <v>0.499</v>
      </c>
      <c r="N271" s="995">
        <v>1.2589999999999999</v>
      </c>
      <c r="O271" s="995">
        <v>2.3839999999999999</v>
      </c>
      <c r="P271" s="995">
        <v>3.01</v>
      </c>
      <c r="Q271" s="995">
        <v>3.3929999999999998</v>
      </c>
      <c r="R271" s="995">
        <v>3.7040000000000002</v>
      </c>
      <c r="S271" s="995">
        <v>3.75</v>
      </c>
    </row>
    <row r="272" spans="10:19" x14ac:dyDescent="0.25">
      <c r="J272" s="994">
        <v>3100</v>
      </c>
      <c r="K272" s="995"/>
      <c r="L272" s="995">
        <v>-1.0999999999999999E-2</v>
      </c>
      <c r="M272" s="995">
        <v>0.498</v>
      </c>
      <c r="N272" s="995">
        <v>1.256</v>
      </c>
      <c r="O272" s="995">
        <v>2.3730000000000002</v>
      </c>
      <c r="P272" s="995">
        <v>2.9929999999999999</v>
      </c>
      <c r="Q272" s="995">
        <v>3.375</v>
      </c>
      <c r="R272" s="995">
        <v>3.6859999999999999</v>
      </c>
      <c r="S272" s="995">
        <v>3.734</v>
      </c>
    </row>
    <row r="273" spans="10:19" x14ac:dyDescent="0.25">
      <c r="J273" s="994">
        <v>3110</v>
      </c>
      <c r="K273" s="995"/>
      <c r="L273" s="995">
        <v>-1.0999999999999999E-2</v>
      </c>
      <c r="M273" s="995">
        <v>0.497</v>
      </c>
      <c r="N273" s="995">
        <v>1.2529999999999999</v>
      </c>
      <c r="O273" s="995">
        <v>2.363</v>
      </c>
      <c r="P273" s="995">
        <v>2.9769999999999999</v>
      </c>
      <c r="Q273" s="995">
        <v>3.3559999999999999</v>
      </c>
      <c r="R273" s="995">
        <v>3.6680000000000001</v>
      </c>
      <c r="S273" s="995">
        <v>3.718</v>
      </c>
    </row>
    <row r="274" spans="10:19" x14ac:dyDescent="0.25">
      <c r="J274" s="994">
        <v>3120</v>
      </c>
      <c r="K274" s="995"/>
      <c r="L274" s="995">
        <v>-1.0999999999999999E-2</v>
      </c>
      <c r="M274" s="995">
        <v>0.495</v>
      </c>
      <c r="N274" s="995">
        <v>1.25</v>
      </c>
      <c r="O274" s="995">
        <v>2.3519999999999999</v>
      </c>
      <c r="P274" s="995">
        <v>2.96</v>
      </c>
      <c r="Q274" s="995">
        <v>3.3370000000000002</v>
      </c>
      <c r="R274" s="995">
        <v>3.65</v>
      </c>
      <c r="S274" s="995">
        <v>3.702</v>
      </c>
    </row>
    <row r="275" spans="10:19" x14ac:dyDescent="0.25">
      <c r="J275" s="994">
        <v>3130</v>
      </c>
      <c r="K275" s="995"/>
      <c r="L275" s="995">
        <v>-1.0999999999999999E-2</v>
      </c>
      <c r="M275" s="995">
        <v>0.49399999999999999</v>
      </c>
      <c r="N275" s="995">
        <v>1.2470000000000001</v>
      </c>
      <c r="O275" s="995">
        <v>2.3410000000000002</v>
      </c>
      <c r="P275" s="995">
        <v>2.9430000000000001</v>
      </c>
      <c r="Q275" s="995">
        <v>3.3180000000000001</v>
      </c>
      <c r="R275" s="995">
        <v>3.6320000000000001</v>
      </c>
      <c r="S275" s="995">
        <v>3.6859999999999999</v>
      </c>
    </row>
    <row r="276" spans="10:19" x14ac:dyDescent="0.25">
      <c r="J276" s="994">
        <v>3140</v>
      </c>
      <c r="K276" s="995"/>
      <c r="L276" s="995">
        <v>-1.0999999999999999E-2</v>
      </c>
      <c r="M276" s="995">
        <v>0.49299999999999999</v>
      </c>
      <c r="N276" s="995">
        <v>1.2450000000000001</v>
      </c>
      <c r="O276" s="995">
        <v>2.331</v>
      </c>
      <c r="P276" s="995">
        <v>2.9260000000000002</v>
      </c>
      <c r="Q276" s="995">
        <v>3.2989999999999999</v>
      </c>
      <c r="R276" s="995">
        <v>3.6139999999999999</v>
      </c>
      <c r="S276" s="995">
        <v>3.67</v>
      </c>
    </row>
    <row r="277" spans="10:19" x14ac:dyDescent="0.25">
      <c r="J277" s="994">
        <v>3150</v>
      </c>
      <c r="K277" s="995"/>
      <c r="L277" s="995">
        <v>-1.0999999999999999E-2</v>
      </c>
      <c r="M277" s="995">
        <v>0.49199999999999999</v>
      </c>
      <c r="N277" s="995">
        <v>1.242</v>
      </c>
      <c r="O277" s="995">
        <v>2.3199999999999998</v>
      </c>
      <c r="P277" s="995">
        <v>2.91</v>
      </c>
      <c r="Q277" s="995">
        <v>3.2810000000000001</v>
      </c>
      <c r="R277" s="995">
        <v>3.5960000000000001</v>
      </c>
      <c r="S277" s="995">
        <v>3.6539999999999999</v>
      </c>
    </row>
    <row r="278" spans="10:19" x14ac:dyDescent="0.25">
      <c r="J278" s="994">
        <v>3160</v>
      </c>
      <c r="K278" s="995"/>
      <c r="L278" s="995">
        <v>-1.0999999999999999E-2</v>
      </c>
      <c r="M278" s="995">
        <v>0.49099999999999999</v>
      </c>
      <c r="N278" s="995">
        <v>1.2390000000000001</v>
      </c>
      <c r="O278" s="995">
        <v>2.3090000000000002</v>
      </c>
      <c r="P278" s="995">
        <v>2.8929999999999998</v>
      </c>
      <c r="Q278" s="995">
        <v>3.262</v>
      </c>
      <c r="R278" s="995">
        <v>3.5779999999999998</v>
      </c>
      <c r="S278" s="995">
        <v>3.6379999999999999</v>
      </c>
    </row>
    <row r="279" spans="10:19" x14ac:dyDescent="0.25">
      <c r="J279" s="994">
        <v>3170</v>
      </c>
      <c r="K279" s="995"/>
      <c r="L279" s="995">
        <v>-1.0999999999999999E-2</v>
      </c>
      <c r="M279" s="995">
        <v>0.49</v>
      </c>
      <c r="N279" s="995">
        <v>1.236</v>
      </c>
      <c r="O279" s="995">
        <v>2.2989999999999999</v>
      </c>
      <c r="P279" s="995">
        <v>2.8769999999999998</v>
      </c>
      <c r="Q279" s="995">
        <v>3.2429999999999999</v>
      </c>
      <c r="R279" s="995">
        <v>3.56</v>
      </c>
      <c r="S279" s="995">
        <v>3.6219999999999999</v>
      </c>
    </row>
    <row r="280" spans="10:19" x14ac:dyDescent="0.25">
      <c r="J280" s="994">
        <v>3180</v>
      </c>
      <c r="K280" s="995"/>
      <c r="L280" s="995">
        <v>-1.0999999999999999E-2</v>
      </c>
      <c r="M280" s="995">
        <v>0.48799999999999999</v>
      </c>
      <c r="N280" s="995">
        <v>1.2330000000000001</v>
      </c>
      <c r="O280" s="995">
        <v>2.2879999999999998</v>
      </c>
      <c r="P280" s="995">
        <v>2.86</v>
      </c>
      <c r="Q280" s="995">
        <v>3.2240000000000002</v>
      </c>
      <c r="R280" s="995">
        <v>3.5419999999999998</v>
      </c>
      <c r="S280" s="995">
        <v>3.6059999999999999</v>
      </c>
    </row>
    <row r="281" spans="10:19" x14ac:dyDescent="0.25">
      <c r="J281" s="994">
        <v>3190</v>
      </c>
      <c r="K281" s="995"/>
      <c r="L281" s="995">
        <v>-1.0999999999999999E-2</v>
      </c>
      <c r="M281" s="995">
        <v>0.48699999999999999</v>
      </c>
      <c r="N281" s="995">
        <v>1.23</v>
      </c>
      <c r="O281" s="995">
        <v>2.2770000000000001</v>
      </c>
      <c r="P281" s="995">
        <v>2.8439999999999999</v>
      </c>
      <c r="Q281" s="995">
        <v>3.2050000000000001</v>
      </c>
      <c r="R281" s="995">
        <v>3.524</v>
      </c>
      <c r="S281" s="995">
        <v>3.59</v>
      </c>
    </row>
    <row r="282" spans="10:19" x14ac:dyDescent="0.25">
      <c r="J282" s="994">
        <v>3200</v>
      </c>
      <c r="K282" s="995"/>
      <c r="L282" s="995">
        <v>-1.0999999999999999E-2</v>
      </c>
      <c r="M282" s="995">
        <v>0.48599999999999999</v>
      </c>
      <c r="N282" s="995">
        <v>1.2270000000000001</v>
      </c>
      <c r="O282" s="995">
        <v>2.266</v>
      </c>
      <c r="P282" s="995">
        <v>2.827</v>
      </c>
      <c r="Q282" s="995">
        <v>3.1859999999999999</v>
      </c>
      <c r="R282" s="995">
        <v>3.5059999999999998</v>
      </c>
      <c r="S282" s="995">
        <v>3.573</v>
      </c>
    </row>
    <row r="283" spans="10:19" x14ac:dyDescent="0.25">
      <c r="J283" s="994">
        <v>3210</v>
      </c>
      <c r="K283" s="995"/>
      <c r="L283" s="995">
        <v>-1.0999999999999999E-2</v>
      </c>
      <c r="M283" s="995">
        <v>0.48499999999999999</v>
      </c>
      <c r="N283" s="995">
        <v>1.224</v>
      </c>
      <c r="O283" s="995">
        <v>2.2559999999999998</v>
      </c>
      <c r="P283" s="995">
        <v>2.8109999999999999</v>
      </c>
      <c r="Q283" s="995">
        <v>3.1669999999999998</v>
      </c>
      <c r="R283" s="995">
        <v>3.488</v>
      </c>
      <c r="S283" s="995">
        <v>3.5569999999999999</v>
      </c>
    </row>
    <row r="284" spans="10:19" x14ac:dyDescent="0.25">
      <c r="J284" s="994">
        <v>3220</v>
      </c>
      <c r="K284" s="995"/>
      <c r="L284" s="995">
        <v>-1.0999999999999999E-2</v>
      </c>
      <c r="M284" s="995">
        <v>0.48399999999999999</v>
      </c>
      <c r="N284" s="995">
        <v>1.222</v>
      </c>
      <c r="O284" s="995">
        <v>2.2450000000000001</v>
      </c>
      <c r="P284" s="995">
        <v>2.794</v>
      </c>
      <c r="Q284" s="995">
        <v>3.149</v>
      </c>
      <c r="R284" s="995">
        <v>3.47</v>
      </c>
      <c r="S284" s="995">
        <v>3.5409999999999999</v>
      </c>
    </row>
    <row r="285" spans="10:19" x14ac:dyDescent="0.25">
      <c r="J285" s="994">
        <v>3230</v>
      </c>
      <c r="K285" s="995"/>
      <c r="L285" s="995">
        <v>-1.0999999999999999E-2</v>
      </c>
      <c r="M285" s="995">
        <v>0.48299999999999998</v>
      </c>
      <c r="N285" s="995">
        <v>1.2190000000000001</v>
      </c>
      <c r="O285" s="995">
        <v>2.234</v>
      </c>
      <c r="P285" s="995">
        <v>2.778</v>
      </c>
      <c r="Q285" s="995">
        <v>3.13</v>
      </c>
      <c r="R285" s="995">
        <v>3.452</v>
      </c>
      <c r="S285" s="995">
        <v>3.5249999999999999</v>
      </c>
    </row>
    <row r="286" spans="10:19" x14ac:dyDescent="0.25">
      <c r="J286" s="994">
        <v>3240</v>
      </c>
      <c r="K286" s="995"/>
      <c r="L286" s="995">
        <v>-1.0999999999999999E-2</v>
      </c>
      <c r="M286" s="995">
        <v>0.48199999999999998</v>
      </c>
      <c r="N286" s="995">
        <v>1.216</v>
      </c>
      <c r="O286" s="995">
        <v>2.2229999999999999</v>
      </c>
      <c r="P286" s="995">
        <v>2.7610000000000001</v>
      </c>
      <c r="Q286" s="995">
        <v>3.1110000000000002</v>
      </c>
      <c r="R286" s="995">
        <v>3.4340000000000002</v>
      </c>
      <c r="S286" s="995">
        <v>3.5089999999999999</v>
      </c>
    </row>
    <row r="287" spans="10:19" x14ac:dyDescent="0.25">
      <c r="J287" s="994">
        <v>3250</v>
      </c>
      <c r="K287" s="995"/>
      <c r="L287" s="995">
        <v>-1.0999999999999999E-2</v>
      </c>
      <c r="M287" s="995">
        <v>0.48099999999999998</v>
      </c>
      <c r="N287" s="995">
        <v>1.2130000000000001</v>
      </c>
      <c r="O287" s="995">
        <v>2.2120000000000002</v>
      </c>
      <c r="P287" s="995">
        <v>2.7450000000000001</v>
      </c>
      <c r="Q287" s="995">
        <v>3.0920000000000001</v>
      </c>
      <c r="R287" s="995">
        <v>3.4159999999999999</v>
      </c>
      <c r="S287" s="995">
        <v>3.4929999999999999</v>
      </c>
    </row>
    <row r="288" spans="10:19" x14ac:dyDescent="0.25">
      <c r="J288" s="994">
        <v>3260</v>
      </c>
      <c r="K288" s="995"/>
      <c r="L288" s="995">
        <v>-1.0999999999999999E-2</v>
      </c>
      <c r="M288" s="995">
        <v>0.47899999999999998</v>
      </c>
      <c r="N288" s="995">
        <v>1.21</v>
      </c>
      <c r="O288" s="995">
        <v>2.2010000000000001</v>
      </c>
      <c r="P288" s="995">
        <v>2.7290000000000001</v>
      </c>
      <c r="Q288" s="995">
        <v>3.073</v>
      </c>
      <c r="R288" s="995">
        <v>3.3980000000000001</v>
      </c>
      <c r="S288" s="995">
        <v>3.4769999999999999</v>
      </c>
    </row>
    <row r="289" spans="10:19" x14ac:dyDescent="0.25">
      <c r="J289" s="994">
        <v>3270</v>
      </c>
      <c r="K289" s="995"/>
      <c r="L289" s="995">
        <v>-1.0999999999999999E-2</v>
      </c>
      <c r="M289" s="995">
        <v>0.47799999999999998</v>
      </c>
      <c r="N289" s="995">
        <v>1.208</v>
      </c>
      <c r="O289" s="995">
        <v>2.19</v>
      </c>
      <c r="P289" s="995">
        <v>2.7120000000000002</v>
      </c>
      <c r="Q289" s="995">
        <v>3.0539999999999998</v>
      </c>
      <c r="R289" s="995">
        <v>3.38</v>
      </c>
      <c r="S289" s="995">
        <v>3.4609999999999999</v>
      </c>
    </row>
    <row r="290" spans="10:19" x14ac:dyDescent="0.25">
      <c r="J290" s="994">
        <v>3280</v>
      </c>
      <c r="K290" s="995"/>
      <c r="L290" s="995">
        <v>-1.0999999999999999E-2</v>
      </c>
      <c r="M290" s="995">
        <v>0.47699999999999998</v>
      </c>
      <c r="N290" s="995">
        <v>1.2050000000000001</v>
      </c>
      <c r="O290" s="995">
        <v>2.1789999999999998</v>
      </c>
      <c r="P290" s="995">
        <v>2.6960000000000002</v>
      </c>
      <c r="Q290" s="995">
        <v>3.0350000000000001</v>
      </c>
      <c r="R290" s="995">
        <v>3.3620000000000001</v>
      </c>
      <c r="S290" s="995">
        <v>3.4449999999999998</v>
      </c>
    </row>
    <row r="291" spans="10:19" x14ac:dyDescent="0.25">
      <c r="J291" s="994">
        <v>3290</v>
      </c>
      <c r="K291" s="995"/>
      <c r="L291" s="995">
        <v>-1.0999999999999999E-2</v>
      </c>
      <c r="M291" s="995">
        <v>0.47599999999999998</v>
      </c>
      <c r="N291" s="995">
        <v>1.202</v>
      </c>
      <c r="O291" s="995">
        <v>2.1680000000000001</v>
      </c>
      <c r="P291" s="995">
        <v>2.68</v>
      </c>
      <c r="Q291" s="995">
        <v>3.016</v>
      </c>
      <c r="R291" s="995">
        <v>3.3439999999999999</v>
      </c>
      <c r="S291" s="995">
        <v>3.4289999999999998</v>
      </c>
    </row>
    <row r="292" spans="10:19" x14ac:dyDescent="0.25">
      <c r="J292" s="994">
        <v>3300</v>
      </c>
      <c r="K292" s="995"/>
      <c r="L292" s="995">
        <v>-1.0999999999999999E-2</v>
      </c>
      <c r="M292" s="995">
        <v>0.47499999999999998</v>
      </c>
      <c r="N292" s="995">
        <v>1.2</v>
      </c>
      <c r="O292" s="995">
        <v>2.157</v>
      </c>
      <c r="P292" s="995">
        <v>2.6640000000000001</v>
      </c>
      <c r="Q292" s="995">
        <v>2.9969999999999999</v>
      </c>
      <c r="R292" s="995">
        <v>3.3260000000000001</v>
      </c>
      <c r="S292" s="995">
        <v>3.4119999999999999</v>
      </c>
    </row>
    <row r="293" spans="10:19" x14ac:dyDescent="0.25">
      <c r="J293" s="994">
        <v>3310</v>
      </c>
      <c r="K293" s="995"/>
      <c r="L293" s="995">
        <v>-1.0999999999999999E-2</v>
      </c>
      <c r="M293" s="995">
        <v>0.47399999999999998</v>
      </c>
      <c r="N293" s="995">
        <v>1.1970000000000001</v>
      </c>
      <c r="O293" s="995">
        <v>2.1459999999999999</v>
      </c>
      <c r="P293" s="995">
        <v>2.6469999999999998</v>
      </c>
      <c r="Q293" s="995">
        <v>2.9780000000000002</v>
      </c>
      <c r="R293" s="995">
        <v>3.3079999999999998</v>
      </c>
      <c r="S293" s="995">
        <v>3.3959999999999999</v>
      </c>
    </row>
    <row r="294" spans="10:19" x14ac:dyDescent="0.25">
      <c r="J294" s="994">
        <v>3320</v>
      </c>
      <c r="K294" s="995"/>
      <c r="L294" s="995">
        <v>-1.0999999999999999E-2</v>
      </c>
      <c r="M294" s="995">
        <v>0.47299999999999998</v>
      </c>
      <c r="N294" s="995">
        <v>1.194</v>
      </c>
      <c r="O294" s="995">
        <v>2.1349999999999998</v>
      </c>
      <c r="P294" s="995">
        <v>2.6309999999999998</v>
      </c>
      <c r="Q294" s="995">
        <v>2.9590000000000001</v>
      </c>
      <c r="R294" s="995">
        <v>3.29</v>
      </c>
      <c r="S294" s="995">
        <v>3.38</v>
      </c>
    </row>
    <row r="295" spans="10:19" x14ac:dyDescent="0.25">
      <c r="J295" s="994">
        <v>3330</v>
      </c>
      <c r="K295" s="995"/>
      <c r="L295" s="995">
        <v>-1.0999999999999999E-2</v>
      </c>
      <c r="M295" s="995">
        <v>0.47199999999999998</v>
      </c>
      <c r="N295" s="995">
        <v>1.1919999999999999</v>
      </c>
      <c r="O295" s="995">
        <v>2.1240000000000001</v>
      </c>
      <c r="P295" s="995">
        <v>2.6150000000000002</v>
      </c>
      <c r="Q295" s="995">
        <v>2.94</v>
      </c>
      <c r="R295" s="995">
        <v>3.2719999999999998</v>
      </c>
      <c r="S295" s="995">
        <v>3.3639999999999999</v>
      </c>
    </row>
    <row r="296" spans="10:19" x14ac:dyDescent="0.25">
      <c r="J296" s="994">
        <v>3340</v>
      </c>
      <c r="K296" s="995"/>
      <c r="L296" s="995">
        <v>-1.0999999999999999E-2</v>
      </c>
      <c r="M296" s="995">
        <v>0.47099999999999997</v>
      </c>
      <c r="N296" s="995">
        <v>1.1890000000000001</v>
      </c>
      <c r="O296" s="995">
        <v>2.113</v>
      </c>
      <c r="P296" s="995">
        <v>2.5990000000000002</v>
      </c>
      <c r="Q296" s="995">
        <v>2.9209999999999998</v>
      </c>
      <c r="R296" s="995">
        <v>3.254</v>
      </c>
      <c r="S296" s="995">
        <v>3.3479999999999999</v>
      </c>
    </row>
    <row r="297" spans="10:19" x14ac:dyDescent="0.25">
      <c r="J297" s="994">
        <v>3350</v>
      </c>
      <c r="K297" s="995"/>
      <c r="L297" s="995">
        <v>-1.0999999999999999E-2</v>
      </c>
      <c r="M297" s="995">
        <v>0.46899999999999997</v>
      </c>
      <c r="N297" s="995">
        <v>1.1859999999999999</v>
      </c>
      <c r="O297" s="995">
        <v>2.1019999999999999</v>
      </c>
      <c r="P297" s="995">
        <v>2.5830000000000002</v>
      </c>
      <c r="Q297" s="995">
        <v>2.9020000000000001</v>
      </c>
      <c r="R297" s="995">
        <v>3.2360000000000002</v>
      </c>
      <c r="S297" s="995">
        <v>3.3319999999999999</v>
      </c>
    </row>
    <row r="298" spans="10:19" x14ac:dyDescent="0.25">
      <c r="J298" s="994">
        <v>3360</v>
      </c>
      <c r="K298" s="995"/>
      <c r="L298" s="995">
        <v>-1.0999999999999999E-2</v>
      </c>
      <c r="M298" s="995">
        <v>0.46800000000000003</v>
      </c>
      <c r="N298" s="995">
        <v>1.1839999999999999</v>
      </c>
      <c r="O298" s="995">
        <v>2.0910000000000002</v>
      </c>
      <c r="P298" s="995">
        <v>2.5670000000000002</v>
      </c>
      <c r="Q298" s="995">
        <v>2.8839999999999999</v>
      </c>
      <c r="R298" s="995">
        <v>3.218</v>
      </c>
      <c r="S298" s="995">
        <v>3.3159999999999998</v>
      </c>
    </row>
    <row r="299" spans="10:19" x14ac:dyDescent="0.25">
      <c r="J299" s="994">
        <v>3370</v>
      </c>
      <c r="K299" s="995"/>
      <c r="L299" s="995">
        <v>-1.0999999999999999E-2</v>
      </c>
      <c r="M299" s="995">
        <v>0.46700000000000003</v>
      </c>
      <c r="N299" s="995">
        <v>1.181</v>
      </c>
      <c r="O299" s="995">
        <v>2.08</v>
      </c>
      <c r="P299" s="995">
        <v>2.5510000000000002</v>
      </c>
      <c r="Q299" s="995">
        <v>2.8650000000000002</v>
      </c>
      <c r="R299" s="995">
        <v>3.2</v>
      </c>
      <c r="S299" s="995">
        <v>3.3</v>
      </c>
    </row>
    <row r="300" spans="10:19" x14ac:dyDescent="0.25">
      <c r="J300" s="994">
        <v>3380</v>
      </c>
      <c r="K300" s="995"/>
      <c r="L300" s="995">
        <v>-1.0999999999999999E-2</v>
      </c>
      <c r="M300" s="995">
        <v>0.46600000000000003</v>
      </c>
      <c r="N300" s="995">
        <v>1.179</v>
      </c>
      <c r="O300" s="995">
        <v>2.069</v>
      </c>
      <c r="P300" s="995">
        <v>2.5350000000000001</v>
      </c>
      <c r="Q300" s="995">
        <v>2.8460000000000001</v>
      </c>
      <c r="R300" s="995">
        <v>3.1819999999999999</v>
      </c>
      <c r="S300" s="995">
        <v>3.2829999999999999</v>
      </c>
    </row>
    <row r="301" spans="10:19" x14ac:dyDescent="0.25">
      <c r="J301" s="994">
        <v>3390</v>
      </c>
      <c r="K301" s="995"/>
      <c r="L301" s="995">
        <v>-1.0999999999999999E-2</v>
      </c>
      <c r="M301" s="995">
        <v>0.46500000000000002</v>
      </c>
      <c r="N301" s="995">
        <v>1.1759999999999999</v>
      </c>
      <c r="O301" s="995">
        <v>2.0569999999999999</v>
      </c>
      <c r="P301" s="995">
        <v>2.5190000000000001</v>
      </c>
      <c r="Q301" s="995">
        <v>2.8279999999999998</v>
      </c>
      <c r="R301" s="995">
        <v>3.1640000000000001</v>
      </c>
      <c r="S301" s="995">
        <v>3.2669999999999999</v>
      </c>
    </row>
    <row r="302" spans="10:19" x14ac:dyDescent="0.25">
      <c r="J302" s="994">
        <v>3400</v>
      </c>
      <c r="K302" s="995"/>
      <c r="L302" s="995">
        <v>-1.0999999999999999E-2</v>
      </c>
      <c r="M302" s="995">
        <v>0.46400000000000002</v>
      </c>
      <c r="N302" s="995">
        <v>1.1739999999999999</v>
      </c>
      <c r="O302" s="995">
        <v>2.0459999999999998</v>
      </c>
      <c r="P302" s="995">
        <v>2.5030000000000001</v>
      </c>
      <c r="Q302" s="995">
        <v>2.8090000000000002</v>
      </c>
      <c r="R302" s="995">
        <v>3.1459999999999999</v>
      </c>
      <c r="S302" s="995">
        <v>3.2509999999999999</v>
      </c>
    </row>
    <row r="303" spans="10:19" x14ac:dyDescent="0.25">
      <c r="J303" s="994">
        <v>3410</v>
      </c>
      <c r="K303" s="995"/>
      <c r="L303" s="995">
        <v>-1.0999999999999999E-2</v>
      </c>
      <c r="M303" s="995">
        <v>0.46300000000000002</v>
      </c>
      <c r="N303" s="995">
        <v>1.171</v>
      </c>
      <c r="O303" s="995">
        <v>2.0350000000000001</v>
      </c>
      <c r="P303" s="995">
        <v>2.4870000000000001</v>
      </c>
      <c r="Q303" s="995">
        <v>2.79</v>
      </c>
      <c r="R303" s="995">
        <v>3.1280000000000001</v>
      </c>
      <c r="S303" s="995">
        <v>3.2349999999999999</v>
      </c>
    </row>
    <row r="304" spans="10:19" x14ac:dyDescent="0.25">
      <c r="J304" s="994">
        <v>3420</v>
      </c>
      <c r="K304" s="995"/>
      <c r="L304" s="995">
        <v>-1.0999999999999999E-2</v>
      </c>
      <c r="M304" s="995">
        <v>0.46200000000000002</v>
      </c>
      <c r="N304" s="995">
        <v>1.1679999999999999</v>
      </c>
      <c r="O304" s="995">
        <v>2.0230000000000001</v>
      </c>
      <c r="P304" s="995">
        <v>2.4710000000000001</v>
      </c>
      <c r="Q304" s="995">
        <v>2.7719999999999998</v>
      </c>
      <c r="R304" s="995">
        <v>3.11</v>
      </c>
      <c r="S304" s="995">
        <v>3.2189999999999999</v>
      </c>
    </row>
    <row r="305" spans="10:19" x14ac:dyDescent="0.25">
      <c r="J305" s="994">
        <v>3430</v>
      </c>
      <c r="K305" s="995"/>
      <c r="L305" s="995">
        <v>-1.0999999999999999E-2</v>
      </c>
      <c r="M305" s="995">
        <v>0.46100000000000002</v>
      </c>
      <c r="N305" s="995">
        <v>1.1659999999999999</v>
      </c>
      <c r="O305" s="995">
        <v>2.012</v>
      </c>
      <c r="P305" s="995">
        <v>2.4550000000000001</v>
      </c>
      <c r="Q305" s="995">
        <v>2.7530000000000001</v>
      </c>
      <c r="R305" s="995">
        <v>3.0920000000000001</v>
      </c>
      <c r="S305" s="995">
        <v>3.2029999999999998</v>
      </c>
    </row>
    <row r="306" spans="10:19" x14ac:dyDescent="0.25">
      <c r="J306" s="994">
        <v>3440</v>
      </c>
      <c r="K306" s="995"/>
      <c r="L306" s="995">
        <v>-1.0999999999999999E-2</v>
      </c>
      <c r="M306" s="995">
        <v>0.46</v>
      </c>
      <c r="N306" s="995">
        <v>1.163</v>
      </c>
      <c r="O306" s="995">
        <v>2.0009999999999999</v>
      </c>
      <c r="P306" s="995">
        <v>2.4390000000000001</v>
      </c>
      <c r="Q306" s="995">
        <v>2.7349999999999999</v>
      </c>
      <c r="R306" s="995">
        <v>3.0739999999999998</v>
      </c>
      <c r="S306" s="995">
        <v>3.1869999999999998</v>
      </c>
    </row>
    <row r="307" spans="10:19" x14ac:dyDescent="0.25">
      <c r="J307" s="994">
        <v>3450</v>
      </c>
      <c r="K307" s="995"/>
      <c r="L307" s="995">
        <v>-1.0999999999999999E-2</v>
      </c>
      <c r="M307" s="995">
        <v>0.45900000000000002</v>
      </c>
      <c r="N307" s="995">
        <v>1.161</v>
      </c>
      <c r="O307" s="995">
        <v>1.9890000000000001</v>
      </c>
      <c r="P307" s="995">
        <v>2.423</v>
      </c>
      <c r="Q307" s="995">
        <v>2.7170000000000001</v>
      </c>
      <c r="R307" s="995">
        <v>3.0550000000000002</v>
      </c>
      <c r="S307" s="995">
        <v>3.17</v>
      </c>
    </row>
    <row r="308" spans="10:19" x14ac:dyDescent="0.25">
      <c r="J308" s="994">
        <v>3460</v>
      </c>
      <c r="K308" s="995"/>
      <c r="L308" s="995">
        <v>-1.0999999999999999E-2</v>
      </c>
      <c r="M308" s="995">
        <v>0.45800000000000002</v>
      </c>
      <c r="N308" s="995">
        <v>1.159</v>
      </c>
      <c r="O308" s="995">
        <v>1.978</v>
      </c>
      <c r="P308" s="995">
        <v>2.407</v>
      </c>
      <c r="Q308" s="995">
        <v>2.698</v>
      </c>
      <c r="R308" s="995">
        <v>3.0369999999999999</v>
      </c>
      <c r="S308" s="995">
        <v>3.1539999999999999</v>
      </c>
    </row>
    <row r="309" spans="10:19" x14ac:dyDescent="0.25">
      <c r="J309" s="994">
        <v>3470</v>
      </c>
      <c r="K309" s="995"/>
      <c r="L309" s="995">
        <v>-1.0999999999999999E-2</v>
      </c>
      <c r="M309" s="995">
        <v>0.45700000000000002</v>
      </c>
      <c r="N309" s="995">
        <v>1.1559999999999999</v>
      </c>
      <c r="O309" s="995">
        <v>1.966</v>
      </c>
      <c r="P309" s="995">
        <v>2.3919999999999999</v>
      </c>
      <c r="Q309" s="995">
        <v>2.68</v>
      </c>
      <c r="R309" s="995">
        <v>3.0190000000000001</v>
      </c>
      <c r="S309" s="995">
        <v>3.1379999999999999</v>
      </c>
    </row>
    <row r="310" spans="10:19" x14ac:dyDescent="0.25">
      <c r="J310" s="994">
        <v>3480</v>
      </c>
      <c r="K310" s="995"/>
      <c r="L310" s="995">
        <v>-1.0999999999999999E-2</v>
      </c>
      <c r="M310" s="995">
        <v>0.45600000000000002</v>
      </c>
      <c r="N310" s="995">
        <v>1.1539999999999999</v>
      </c>
      <c r="O310" s="995">
        <v>1.9550000000000001</v>
      </c>
      <c r="P310" s="995">
        <v>2.3759999999999999</v>
      </c>
      <c r="Q310" s="995">
        <v>2.6619999999999999</v>
      </c>
      <c r="R310" s="995">
        <v>3.0009999999999999</v>
      </c>
      <c r="S310" s="995">
        <v>3.1219999999999999</v>
      </c>
    </row>
    <row r="311" spans="10:19" x14ac:dyDescent="0.25">
      <c r="J311" s="994">
        <v>3490</v>
      </c>
      <c r="K311" s="995"/>
      <c r="L311" s="995">
        <v>-1.0999999999999999E-2</v>
      </c>
      <c r="M311" s="995">
        <v>0.45500000000000002</v>
      </c>
      <c r="N311" s="995">
        <v>1.151</v>
      </c>
      <c r="O311" s="995">
        <v>1.944</v>
      </c>
      <c r="P311" s="995">
        <v>2.36</v>
      </c>
      <c r="Q311" s="995">
        <v>2.6440000000000001</v>
      </c>
      <c r="R311" s="995">
        <v>2.9830000000000001</v>
      </c>
      <c r="S311" s="995">
        <v>3.1059999999999999</v>
      </c>
    </row>
    <row r="312" spans="10:19" x14ac:dyDescent="0.25">
      <c r="J312" s="994">
        <v>3500</v>
      </c>
      <c r="K312" s="995"/>
      <c r="L312" s="995">
        <v>-1.0999999999999999E-2</v>
      </c>
      <c r="M312" s="995">
        <v>0.45400000000000001</v>
      </c>
      <c r="N312" s="995">
        <v>1.149</v>
      </c>
      <c r="O312" s="995">
        <v>1.9319999999999999</v>
      </c>
      <c r="P312" s="995">
        <v>2.3439999999999999</v>
      </c>
      <c r="Q312" s="995">
        <v>2.6259999999999999</v>
      </c>
      <c r="R312" s="995">
        <v>2.9649999999999999</v>
      </c>
      <c r="S312" s="995">
        <v>3.09</v>
      </c>
    </row>
    <row r="313" spans="10:19" x14ac:dyDescent="0.25">
      <c r="J313" s="994">
        <v>3510</v>
      </c>
      <c r="K313" s="995"/>
      <c r="L313" s="995">
        <v>-1.0999999999999999E-2</v>
      </c>
      <c r="M313" s="995">
        <v>0.45300000000000001</v>
      </c>
      <c r="N313" s="995">
        <v>1.1459999999999999</v>
      </c>
      <c r="O313" s="995">
        <v>1.92</v>
      </c>
      <c r="P313" s="995">
        <v>2.3279999999999998</v>
      </c>
      <c r="Q313" s="995">
        <v>2.6080000000000001</v>
      </c>
      <c r="R313" s="995">
        <v>2.9470000000000001</v>
      </c>
      <c r="S313" s="995">
        <v>3.0739999999999998</v>
      </c>
    </row>
    <row r="314" spans="10:19" x14ac:dyDescent="0.25">
      <c r="J314" s="994">
        <v>3520</v>
      </c>
      <c r="K314" s="995"/>
      <c r="L314" s="995">
        <v>-1.0999999999999999E-2</v>
      </c>
      <c r="M314" s="995">
        <v>0.45200000000000001</v>
      </c>
      <c r="N314" s="995">
        <v>1.1439999999999999</v>
      </c>
      <c r="O314" s="995">
        <v>1.909</v>
      </c>
      <c r="P314" s="995">
        <v>2.3130000000000002</v>
      </c>
      <c r="Q314" s="995">
        <v>2.589</v>
      </c>
      <c r="R314" s="995">
        <v>2.9289999999999998</v>
      </c>
      <c r="S314" s="995">
        <v>3.0569999999999999</v>
      </c>
    </row>
    <row r="315" spans="10:19" x14ac:dyDescent="0.25">
      <c r="J315" s="994">
        <v>3530</v>
      </c>
      <c r="K315" s="995"/>
      <c r="L315" s="995">
        <v>-1.0999999999999999E-2</v>
      </c>
      <c r="M315" s="995">
        <v>0.45100000000000001</v>
      </c>
      <c r="N315" s="995">
        <v>1.1419999999999999</v>
      </c>
      <c r="O315" s="995">
        <v>1.897</v>
      </c>
      <c r="P315" s="995">
        <v>2.2970000000000002</v>
      </c>
      <c r="Q315" s="995">
        <v>2.5710000000000002</v>
      </c>
      <c r="R315" s="995">
        <v>2.911</v>
      </c>
      <c r="S315" s="995">
        <v>3.0409999999999999</v>
      </c>
    </row>
    <row r="316" spans="10:19" x14ac:dyDescent="0.25">
      <c r="J316" s="994">
        <v>3540</v>
      </c>
      <c r="K316" s="995"/>
      <c r="L316" s="995">
        <v>-1.0999999999999999E-2</v>
      </c>
      <c r="M316" s="995">
        <v>0.45</v>
      </c>
      <c r="N316" s="995">
        <v>1.139</v>
      </c>
      <c r="O316" s="995">
        <v>1.8859999999999999</v>
      </c>
      <c r="P316" s="995">
        <v>2.2810000000000001</v>
      </c>
      <c r="Q316" s="995">
        <v>2.5539999999999998</v>
      </c>
      <c r="R316" s="995">
        <v>2.8929999999999998</v>
      </c>
      <c r="S316" s="995">
        <v>3.0249999999999999</v>
      </c>
    </row>
    <row r="317" spans="10:19" x14ac:dyDescent="0.25">
      <c r="J317" s="994">
        <v>3550</v>
      </c>
      <c r="K317" s="995"/>
      <c r="L317" s="995">
        <v>-1.0999999999999999E-2</v>
      </c>
      <c r="M317" s="995">
        <v>0.44900000000000001</v>
      </c>
      <c r="N317" s="995">
        <v>1.137</v>
      </c>
      <c r="O317" s="995">
        <v>1.8740000000000001</v>
      </c>
      <c r="P317" s="995">
        <v>2.266</v>
      </c>
      <c r="Q317" s="995">
        <v>2.536</v>
      </c>
      <c r="R317" s="995">
        <v>2.875</v>
      </c>
      <c r="S317" s="995">
        <v>3.0089999999999999</v>
      </c>
    </row>
    <row r="318" spans="10:19" x14ac:dyDescent="0.25">
      <c r="J318" s="994">
        <v>3560</v>
      </c>
      <c r="K318" s="995"/>
      <c r="L318" s="995">
        <v>-1.0999999999999999E-2</v>
      </c>
      <c r="M318" s="995">
        <v>0.44800000000000001</v>
      </c>
      <c r="N318" s="995">
        <v>1.135</v>
      </c>
      <c r="O318" s="995">
        <v>1.8620000000000001</v>
      </c>
      <c r="P318" s="995">
        <v>2.25</v>
      </c>
      <c r="Q318" s="995">
        <v>2.5179999999999998</v>
      </c>
      <c r="R318" s="995">
        <v>2.8559999999999999</v>
      </c>
      <c r="S318" s="995">
        <v>2.9929999999999999</v>
      </c>
    </row>
    <row r="319" spans="10:19" x14ac:dyDescent="0.25">
      <c r="J319" s="994">
        <v>3570</v>
      </c>
      <c r="K319" s="995"/>
      <c r="L319" s="995">
        <v>-1.0999999999999999E-2</v>
      </c>
      <c r="M319" s="995">
        <v>0.44700000000000001</v>
      </c>
      <c r="N319" s="995">
        <v>1.1319999999999999</v>
      </c>
      <c r="O319" s="995">
        <v>1.851</v>
      </c>
      <c r="P319" s="995">
        <v>2.234</v>
      </c>
      <c r="Q319" s="995">
        <v>2.5</v>
      </c>
      <c r="R319" s="995">
        <v>2.8380000000000001</v>
      </c>
      <c r="S319" s="995">
        <v>2.9769999999999999</v>
      </c>
    </row>
    <row r="320" spans="10:19" x14ac:dyDescent="0.25">
      <c r="J320" s="994">
        <v>3580</v>
      </c>
      <c r="K320" s="995"/>
      <c r="L320" s="995">
        <v>-1.0999999999999999E-2</v>
      </c>
      <c r="M320" s="995">
        <v>0.44600000000000001</v>
      </c>
      <c r="N320" s="995">
        <v>1.1299999999999999</v>
      </c>
      <c r="O320" s="995">
        <v>1.839</v>
      </c>
      <c r="P320" s="995">
        <v>2.2189999999999999</v>
      </c>
      <c r="Q320" s="995">
        <v>2.4820000000000002</v>
      </c>
      <c r="R320" s="995">
        <v>2.82</v>
      </c>
      <c r="S320" s="995">
        <v>2.96</v>
      </c>
    </row>
    <row r="321" spans="10:19" x14ac:dyDescent="0.25">
      <c r="J321" s="994">
        <v>3590</v>
      </c>
      <c r="K321" s="995"/>
      <c r="L321" s="995">
        <v>-1.0999999999999999E-2</v>
      </c>
      <c r="M321" s="995">
        <v>0.44500000000000001</v>
      </c>
      <c r="N321" s="995">
        <v>1.127</v>
      </c>
      <c r="O321" s="995">
        <v>1.827</v>
      </c>
      <c r="P321" s="995">
        <v>2.2029999999999998</v>
      </c>
      <c r="Q321" s="995">
        <v>2.464</v>
      </c>
      <c r="R321" s="995">
        <v>2.802</v>
      </c>
      <c r="S321" s="995">
        <v>2.944</v>
      </c>
    </row>
    <row r="322" spans="10:19" x14ac:dyDescent="0.25">
      <c r="J322" s="994">
        <v>3600</v>
      </c>
      <c r="K322" s="995"/>
      <c r="L322" s="995">
        <v>-1.0999999999999999E-2</v>
      </c>
      <c r="M322" s="995">
        <v>0.44400000000000001</v>
      </c>
      <c r="N322" s="995">
        <v>1.125</v>
      </c>
      <c r="O322" s="995">
        <v>1.8149999999999999</v>
      </c>
      <c r="P322" s="995">
        <v>2.1869999999999998</v>
      </c>
      <c r="Q322" s="995">
        <v>2.4470000000000001</v>
      </c>
      <c r="R322" s="995">
        <v>2.7839999999999998</v>
      </c>
      <c r="S322" s="995">
        <v>2.9279999999999999</v>
      </c>
    </row>
    <row r="323" spans="10:19" x14ac:dyDescent="0.25">
      <c r="J323" s="994">
        <v>3610</v>
      </c>
      <c r="K323" s="995"/>
      <c r="L323" s="995">
        <v>-1.0999999999999999E-2</v>
      </c>
      <c r="M323" s="995">
        <v>0.443</v>
      </c>
      <c r="N323" s="995">
        <v>1.1220000000000001</v>
      </c>
      <c r="O323" s="995">
        <v>1.804</v>
      </c>
      <c r="P323" s="995">
        <v>2.1720000000000002</v>
      </c>
      <c r="Q323" s="995">
        <v>2.4289999999999998</v>
      </c>
      <c r="R323" s="995">
        <v>2.766</v>
      </c>
      <c r="S323" s="995">
        <v>2.9119999999999999</v>
      </c>
    </row>
    <row r="324" spans="10:19" x14ac:dyDescent="0.25">
      <c r="J324" s="994">
        <v>3620</v>
      </c>
      <c r="K324" s="995"/>
      <c r="L324" s="995">
        <v>-1.0999999999999999E-2</v>
      </c>
      <c r="M324" s="995">
        <v>0.442</v>
      </c>
      <c r="N324" s="995">
        <v>1.119</v>
      </c>
      <c r="O324" s="995">
        <v>1.792</v>
      </c>
      <c r="P324" s="995">
        <v>2.1560000000000001</v>
      </c>
      <c r="Q324" s="995">
        <v>2.411</v>
      </c>
      <c r="R324" s="995">
        <v>2.7480000000000002</v>
      </c>
      <c r="S324" s="995">
        <v>2.8959999999999999</v>
      </c>
    </row>
    <row r="325" spans="10:19" x14ac:dyDescent="0.25">
      <c r="J325" s="994">
        <v>3630</v>
      </c>
      <c r="K325" s="995"/>
      <c r="L325" s="995">
        <v>-1.0999999999999999E-2</v>
      </c>
      <c r="M325" s="995">
        <v>0.441</v>
      </c>
      <c r="N325" s="995">
        <v>1.1160000000000001</v>
      </c>
      <c r="O325" s="995">
        <v>1.78</v>
      </c>
      <c r="P325" s="995">
        <v>2.14</v>
      </c>
      <c r="Q325" s="995">
        <v>2.3940000000000001</v>
      </c>
      <c r="R325" s="995">
        <v>2.73</v>
      </c>
      <c r="S325" s="995">
        <v>2.88</v>
      </c>
    </row>
    <row r="326" spans="10:19" x14ac:dyDescent="0.25">
      <c r="J326" s="994">
        <v>3640</v>
      </c>
      <c r="K326" s="995"/>
      <c r="L326" s="995">
        <v>-1.0999999999999999E-2</v>
      </c>
      <c r="M326" s="995">
        <v>0.44</v>
      </c>
      <c r="N326" s="995">
        <v>1.113</v>
      </c>
      <c r="O326" s="995">
        <v>1.768</v>
      </c>
      <c r="P326" s="995">
        <v>2.125</v>
      </c>
      <c r="Q326" s="995">
        <v>2.3759999999999999</v>
      </c>
      <c r="R326" s="995">
        <v>2.7109999999999999</v>
      </c>
      <c r="S326" s="995">
        <v>2.863</v>
      </c>
    </row>
    <row r="327" spans="10:19" x14ac:dyDescent="0.25">
      <c r="J327" s="994">
        <v>3650</v>
      </c>
      <c r="K327" s="995"/>
      <c r="L327" s="995">
        <v>-1.0999999999999999E-2</v>
      </c>
      <c r="M327" s="995">
        <v>0.439</v>
      </c>
      <c r="N327" s="995">
        <v>1.109</v>
      </c>
      <c r="O327" s="995">
        <v>1.756</v>
      </c>
      <c r="P327" s="995">
        <v>2.109</v>
      </c>
      <c r="Q327" s="995">
        <v>2.359</v>
      </c>
      <c r="R327" s="995">
        <v>2.6930000000000001</v>
      </c>
      <c r="S327" s="995">
        <v>2.847</v>
      </c>
    </row>
    <row r="328" spans="10:19" x14ac:dyDescent="0.25">
      <c r="J328" s="994">
        <v>3660</v>
      </c>
      <c r="K328" s="995"/>
      <c r="L328" s="995">
        <v>-1.0999999999999999E-2</v>
      </c>
      <c r="M328" s="995">
        <v>0.438</v>
      </c>
      <c r="N328" s="995">
        <v>1.1060000000000001</v>
      </c>
      <c r="O328" s="995">
        <v>1.744</v>
      </c>
      <c r="P328" s="995">
        <v>2.0939999999999999</v>
      </c>
      <c r="Q328" s="995">
        <v>2.3410000000000002</v>
      </c>
      <c r="R328" s="995">
        <v>2.6749999999999998</v>
      </c>
      <c r="S328" s="995">
        <v>2.831</v>
      </c>
    </row>
    <row r="329" spans="10:19" x14ac:dyDescent="0.25">
      <c r="J329" s="994">
        <v>3670</v>
      </c>
      <c r="K329" s="995"/>
      <c r="L329" s="995">
        <v>-1.0999999999999999E-2</v>
      </c>
      <c r="M329" s="995">
        <v>0.437</v>
      </c>
      <c r="N329" s="995">
        <v>1.103</v>
      </c>
      <c r="O329" s="995">
        <v>1.732</v>
      </c>
      <c r="P329" s="995">
        <v>2.0779999999999998</v>
      </c>
      <c r="Q329" s="995">
        <v>2.3239999999999998</v>
      </c>
      <c r="R329" s="995">
        <v>2.657</v>
      </c>
      <c r="S329" s="995">
        <v>2.8149999999999999</v>
      </c>
    </row>
    <row r="330" spans="10:19" x14ac:dyDescent="0.25">
      <c r="J330" s="994">
        <v>3680</v>
      </c>
      <c r="K330" s="995"/>
      <c r="L330" s="995">
        <v>-1.0999999999999999E-2</v>
      </c>
      <c r="M330" s="995">
        <v>0.436</v>
      </c>
      <c r="N330" s="995">
        <v>1.099</v>
      </c>
      <c r="O330" s="995">
        <v>1.72</v>
      </c>
      <c r="P330" s="995">
        <v>2.0630000000000002</v>
      </c>
      <c r="Q330" s="995">
        <v>2.306</v>
      </c>
      <c r="R330" s="995">
        <v>2.6389999999999998</v>
      </c>
      <c r="S330" s="995">
        <v>2.7989999999999999</v>
      </c>
    </row>
    <row r="331" spans="10:19" x14ac:dyDescent="0.25">
      <c r="J331" s="994">
        <v>3690</v>
      </c>
      <c r="K331" s="995"/>
      <c r="L331" s="995">
        <v>-1.0999999999999999E-2</v>
      </c>
      <c r="M331" s="995">
        <v>0.435</v>
      </c>
      <c r="N331" s="995">
        <v>1.095</v>
      </c>
      <c r="O331" s="995">
        <v>1.708</v>
      </c>
      <c r="P331" s="995">
        <v>2.0470000000000002</v>
      </c>
      <c r="Q331" s="995">
        <v>2.2890000000000001</v>
      </c>
      <c r="R331" s="995">
        <v>2.621</v>
      </c>
      <c r="S331" s="995">
        <v>2.782</v>
      </c>
    </row>
    <row r="332" spans="10:19" x14ac:dyDescent="0.25">
      <c r="J332" s="994">
        <v>3700</v>
      </c>
      <c r="K332" s="995"/>
      <c r="L332" s="995">
        <v>-1.0999999999999999E-2</v>
      </c>
      <c r="M332" s="995">
        <v>0.435</v>
      </c>
      <c r="N332" s="995">
        <v>1.091</v>
      </c>
      <c r="O332" s="995">
        <v>1.696</v>
      </c>
      <c r="P332" s="995">
        <v>2.032</v>
      </c>
      <c r="Q332" s="995">
        <v>2.2719999999999998</v>
      </c>
      <c r="R332" s="995">
        <v>2.6030000000000002</v>
      </c>
      <c r="S332" s="995">
        <v>2.766</v>
      </c>
    </row>
    <row r="333" spans="10:19" x14ac:dyDescent="0.25">
      <c r="J333" s="994">
        <v>3710</v>
      </c>
      <c r="K333" s="995"/>
      <c r="L333" s="995">
        <v>-1.0999999999999999E-2</v>
      </c>
      <c r="M333" s="995">
        <v>0.434</v>
      </c>
      <c r="N333" s="995">
        <v>1.087</v>
      </c>
      <c r="O333" s="995">
        <v>1.6839999999999999</v>
      </c>
      <c r="P333" s="995">
        <v>2.016</v>
      </c>
      <c r="Q333" s="995">
        <v>2.254</v>
      </c>
      <c r="R333" s="995">
        <v>2.5840000000000001</v>
      </c>
      <c r="S333" s="995">
        <v>2.75</v>
      </c>
    </row>
    <row r="334" spans="10:19" x14ac:dyDescent="0.25">
      <c r="J334" s="994">
        <v>3720</v>
      </c>
      <c r="K334" s="995"/>
      <c r="L334" s="995">
        <v>-1.0999999999999999E-2</v>
      </c>
      <c r="M334" s="995">
        <v>0.433</v>
      </c>
      <c r="N334" s="995">
        <v>1.083</v>
      </c>
      <c r="O334" s="995">
        <v>1.6719999999999999</v>
      </c>
      <c r="P334" s="995">
        <v>2.0009999999999999</v>
      </c>
      <c r="Q334" s="995">
        <v>2.2370000000000001</v>
      </c>
      <c r="R334" s="995">
        <v>2.5659999999999998</v>
      </c>
      <c r="S334" s="995">
        <v>2.734</v>
      </c>
    </row>
    <row r="335" spans="10:19" x14ac:dyDescent="0.25">
      <c r="J335" s="994">
        <v>3730</v>
      </c>
      <c r="K335" s="995"/>
      <c r="L335" s="995">
        <v>-1.0999999999999999E-2</v>
      </c>
      <c r="M335" s="995">
        <v>0.432</v>
      </c>
      <c r="N335" s="995">
        <v>1.079</v>
      </c>
      <c r="O335" s="995">
        <v>1.659</v>
      </c>
      <c r="P335" s="995">
        <v>1.9850000000000001</v>
      </c>
      <c r="Q335" s="995">
        <v>2.2200000000000002</v>
      </c>
      <c r="R335" s="995">
        <v>2.548</v>
      </c>
      <c r="S335" s="995">
        <v>2.718</v>
      </c>
    </row>
    <row r="336" spans="10:19" x14ac:dyDescent="0.25">
      <c r="J336" s="994">
        <v>3740</v>
      </c>
      <c r="K336" s="995"/>
      <c r="L336" s="995">
        <v>-1.0999999999999999E-2</v>
      </c>
      <c r="M336" s="995">
        <v>0.43099999999999999</v>
      </c>
      <c r="N336" s="995">
        <v>1.075</v>
      </c>
      <c r="O336" s="995">
        <v>1.647</v>
      </c>
      <c r="P336" s="995">
        <v>1.97</v>
      </c>
      <c r="Q336" s="995">
        <v>2.2029999999999998</v>
      </c>
      <c r="R336" s="995">
        <v>2.5299999999999998</v>
      </c>
      <c r="S336" s="995">
        <v>2.7010000000000001</v>
      </c>
    </row>
    <row r="337" spans="10:19" x14ac:dyDescent="0.25">
      <c r="J337" s="994">
        <v>3750</v>
      </c>
      <c r="K337" s="995"/>
      <c r="L337" s="995">
        <v>-1.0999999999999999E-2</v>
      </c>
      <c r="M337" s="995">
        <v>0.43</v>
      </c>
      <c r="N337" s="995">
        <v>1.07</v>
      </c>
      <c r="O337" s="995">
        <v>1.635</v>
      </c>
      <c r="P337" s="995">
        <v>1.954</v>
      </c>
      <c r="Q337" s="995">
        <v>2.1859999999999999</v>
      </c>
      <c r="R337" s="995">
        <v>2.512</v>
      </c>
      <c r="S337" s="995">
        <v>2.6850000000000001</v>
      </c>
    </row>
    <row r="338" spans="10:19" x14ac:dyDescent="0.25">
      <c r="J338" s="994">
        <v>3760</v>
      </c>
      <c r="K338" s="995"/>
      <c r="L338" s="995">
        <v>-1.0999999999999999E-2</v>
      </c>
      <c r="M338" s="995">
        <v>0.42899999999999999</v>
      </c>
      <c r="N338" s="995">
        <v>1.0660000000000001</v>
      </c>
      <c r="O338" s="995">
        <v>1.623</v>
      </c>
      <c r="P338" s="995">
        <v>1.9390000000000001</v>
      </c>
      <c r="Q338" s="995">
        <v>2.1680000000000001</v>
      </c>
      <c r="R338" s="995">
        <v>2.4940000000000002</v>
      </c>
      <c r="S338" s="995">
        <v>2.669</v>
      </c>
    </row>
    <row r="339" spans="10:19" x14ac:dyDescent="0.25">
      <c r="J339" s="994">
        <v>3770</v>
      </c>
      <c r="K339" s="995"/>
      <c r="L339" s="995">
        <v>-1.0999999999999999E-2</v>
      </c>
      <c r="M339" s="995">
        <v>0.42799999999999999</v>
      </c>
      <c r="N339" s="995">
        <v>1.0609999999999999</v>
      </c>
      <c r="O339" s="995">
        <v>1.611</v>
      </c>
      <c r="P339" s="995">
        <v>1.923</v>
      </c>
      <c r="Q339" s="995">
        <v>2.1509999999999998</v>
      </c>
      <c r="R339" s="995">
        <v>2.4750000000000001</v>
      </c>
      <c r="S339" s="995">
        <v>2.653</v>
      </c>
    </row>
    <row r="340" spans="10:19" x14ac:dyDescent="0.25">
      <c r="J340" s="994">
        <v>3780</v>
      </c>
      <c r="K340" s="995"/>
      <c r="L340" s="995">
        <v>-1.0999999999999999E-2</v>
      </c>
      <c r="M340" s="995">
        <v>0.42799999999999999</v>
      </c>
      <c r="N340" s="995">
        <v>1.0569999999999999</v>
      </c>
      <c r="O340" s="995">
        <v>1.5980000000000001</v>
      </c>
      <c r="P340" s="995">
        <v>1.9079999999999999</v>
      </c>
      <c r="Q340" s="995">
        <v>2.1339999999999999</v>
      </c>
      <c r="R340" s="995">
        <v>2.4569999999999999</v>
      </c>
      <c r="S340" s="995">
        <v>2.637</v>
      </c>
    </row>
    <row r="341" spans="10:19" x14ac:dyDescent="0.25">
      <c r="J341" s="994">
        <v>3790</v>
      </c>
      <c r="K341" s="995"/>
      <c r="L341" s="995">
        <v>-1.0999999999999999E-2</v>
      </c>
      <c r="M341" s="995">
        <v>0.42699999999999999</v>
      </c>
      <c r="N341" s="995">
        <v>1.052</v>
      </c>
      <c r="O341" s="995">
        <v>1.5860000000000001</v>
      </c>
      <c r="P341" s="995">
        <v>1.8919999999999999</v>
      </c>
      <c r="Q341" s="995">
        <v>2.117</v>
      </c>
      <c r="R341" s="995">
        <v>2.4390000000000001</v>
      </c>
      <c r="S341" s="995">
        <v>2.62</v>
      </c>
    </row>
    <row r="342" spans="10:19" x14ac:dyDescent="0.25">
      <c r="J342" s="994">
        <v>3800</v>
      </c>
      <c r="K342" s="995"/>
      <c r="L342" s="995">
        <v>-1.0999999999999999E-2</v>
      </c>
      <c r="M342" s="995">
        <v>0.42599999999999999</v>
      </c>
      <c r="N342" s="995">
        <v>1.0469999999999999</v>
      </c>
      <c r="O342" s="995">
        <v>1.573</v>
      </c>
      <c r="P342" s="995">
        <v>1.877</v>
      </c>
      <c r="Q342" s="995">
        <v>2.1</v>
      </c>
      <c r="R342" s="995">
        <v>2.4209999999999998</v>
      </c>
      <c r="S342" s="995">
        <v>2.6040000000000001</v>
      </c>
    </row>
  </sheetData>
  <mergeCells count="7">
    <mergeCell ref="L10:S10"/>
    <mergeCell ref="B7:C7"/>
    <mergeCell ref="B2:F2"/>
    <mergeCell ref="B3:C3"/>
    <mergeCell ref="B4:C4"/>
    <mergeCell ref="B5:C5"/>
    <mergeCell ref="B6:C6"/>
  </mergeCells>
  <conditionalFormatting sqref="F4:F7">
    <cfRule type="cellIs" dxfId="310" priority="1" operator="equal">
      <formula>"OK"</formula>
    </cfRule>
  </conditionalFormatting>
  <pageMargins left="0.7" right="0.7" top="0.75" bottom="0.75" header="0.3" footer="0.3"/>
  <pageSetup paperSize="9" orientation="portrait"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euil8"/>
  <dimension ref="A1:BH300"/>
  <sheetViews>
    <sheetView topLeftCell="F1" zoomScale="85" zoomScaleNormal="85" workbookViewId="0">
      <selection activeCell="D10" sqref="D10"/>
    </sheetView>
  </sheetViews>
  <sheetFormatPr baseColWidth="10" defaultRowHeight="15" x14ac:dyDescent="0.25"/>
  <cols>
    <col min="1" max="1" width="4.28515625" style="33" customWidth="1"/>
    <col min="2" max="2" width="6" style="33" customWidth="1"/>
    <col min="3" max="3" width="10.28515625" style="55" customWidth="1"/>
    <col min="4" max="4" width="13.28515625" style="55" customWidth="1"/>
    <col min="5" max="6" width="10.42578125" style="33" customWidth="1"/>
    <col min="7" max="7" width="3.7109375" style="33" customWidth="1"/>
    <col min="8" max="8" width="11.42578125" style="33"/>
    <col min="9" max="9" width="12.140625" style="33" customWidth="1"/>
    <col min="10" max="10" width="4" style="33" customWidth="1"/>
    <col min="11" max="11" width="7" style="33" customWidth="1"/>
    <col min="12" max="12" width="11.42578125" style="33"/>
    <col min="13" max="13" width="9.42578125" style="33" customWidth="1"/>
    <col min="14" max="14" width="8.85546875" style="33" customWidth="1"/>
    <col min="15" max="15" width="9.5703125" style="33" customWidth="1"/>
    <col min="16" max="18" width="11.42578125" style="33"/>
    <col min="19" max="19" width="14.28515625" style="33" bestFit="1" customWidth="1"/>
    <col min="20" max="21" width="5.7109375" style="33" customWidth="1"/>
    <col min="22" max="22" width="11.42578125" style="33"/>
    <col min="23" max="23" width="9.140625" style="33" customWidth="1"/>
    <col min="24" max="24" width="10.28515625" style="33" hidden="1" customWidth="1"/>
    <col min="25" max="26" width="11.42578125" style="33" hidden="1" customWidth="1"/>
    <col min="27" max="27" width="9.5703125" style="33" hidden="1" customWidth="1"/>
    <col min="28" max="28" width="9.7109375" style="33" hidden="1" customWidth="1"/>
    <col min="29" max="34" width="11.42578125" style="33" hidden="1" customWidth="1"/>
    <col min="35" max="36" width="11.42578125" style="33" customWidth="1"/>
    <col min="37" max="37" width="12.140625" style="33" customWidth="1"/>
    <col min="38" max="38" width="12.7109375" style="33" bestFit="1" customWidth="1"/>
    <col min="39" max="39" width="13" style="33" customWidth="1"/>
    <col min="40" max="40" width="12.85546875" style="33" bestFit="1" customWidth="1"/>
    <col min="41" max="41" width="11.42578125" style="33"/>
    <col min="42" max="42" width="13.28515625" style="33" customWidth="1"/>
    <col min="43" max="44" width="11.42578125" style="33"/>
    <col min="45" max="45" width="12.7109375" style="33" customWidth="1"/>
    <col min="46" max="46" width="12.140625" style="33" bestFit="1" customWidth="1"/>
    <col min="47" max="50" width="11.42578125" style="33"/>
    <col min="51" max="51" width="12.5703125" style="33" customWidth="1"/>
    <col min="52" max="52" width="11.42578125" style="33"/>
    <col min="53" max="53" width="12.42578125" style="33" bestFit="1" customWidth="1"/>
    <col min="54" max="55" width="11.42578125" style="33"/>
    <col min="56" max="56" width="12.85546875" style="33" bestFit="1" customWidth="1"/>
    <col min="57" max="16384" width="11.42578125" style="33"/>
  </cols>
  <sheetData>
    <row r="1" spans="1:60" x14ac:dyDescent="0.25">
      <c r="A1" s="729" t="str">
        <f>IF(COUNTIF(D2:L2,"OK")=COUNTA(D2:L2),"OK","KO")</f>
        <v>OK</v>
      </c>
      <c r="C1" s="859">
        <f>MIN(Tbl_Long_Definition[X])</f>
        <v>0</v>
      </c>
      <c r="T1" s="55"/>
      <c r="U1" s="874"/>
      <c r="V1" s="916">
        <f ca="1">($AQ$3-$AQ$1)/($AQ$3-$AQ$2)*V$2+($AQ$1-$AQ$2)/($AQ$3-$AQ$2)*V$3</f>
        <v>0.99853169100252859</v>
      </c>
      <c r="W1" s="309" t="s">
        <v>291</v>
      </c>
      <c r="X1" s="55"/>
      <c r="Y1" s="55"/>
      <c r="Z1" s="55"/>
      <c r="AJ1" s="1046" t="s">
        <v>483</v>
      </c>
      <c r="AK1" s="1047"/>
      <c r="AL1" s="1048"/>
      <c r="AP1" s="916">
        <f ca="1">($AQ$3-$AQ$1)/($AQ$3-$AQ$2)*AP$2+($AQ$1-$AQ$2)/($AQ$3-$AQ$2)*AP$3</f>
        <v>1034.1463414634145</v>
      </c>
      <c r="AQ1" s="317">
        <f ca="1">Displacement</f>
        <v>1060</v>
      </c>
      <c r="AR1" s="316">
        <f ca="1">($AQ$3-$AQ$1)/($AQ$3-$AQ$2)*AR$2+($AQ$1-$AQ$2)/($AQ$3-$AQ$2)*AR$3</f>
        <v>34.537198833732312</v>
      </c>
      <c r="AS1" s="316">
        <f t="shared" ref="AS1:AY1" ca="1" si="0">($AQ$3-$AQ$1)/($AQ$3-$AQ$2)*AS$2+($AQ$1-$AQ$2)/($AQ$3-$AQ$2)*AS$3</f>
        <v>247.74212640769261</v>
      </c>
      <c r="AT1" s="316">
        <f t="shared" ca="1" si="0"/>
        <v>30</v>
      </c>
      <c r="AU1" s="316">
        <f t="shared" ca="1" si="0"/>
        <v>29.999999999999993</v>
      </c>
      <c r="AV1" s="316">
        <f t="shared" ca="1" si="0"/>
        <v>0</v>
      </c>
      <c r="AW1" s="316">
        <f t="shared" ca="1" si="0"/>
        <v>0.50499717519208009</v>
      </c>
      <c r="AX1" s="316">
        <f t="shared" ca="1" si="0"/>
        <v>35.042196008924392</v>
      </c>
      <c r="AY1" s="304">
        <f t="shared" ca="1" si="0"/>
        <v>42.694356931970191</v>
      </c>
    </row>
    <row r="2" spans="1:60" ht="15.75" thickBot="1" x14ac:dyDescent="0.3">
      <c r="C2" s="860">
        <f>MAX(Tbl_Long_Definition[X])</f>
        <v>60</v>
      </c>
      <c r="D2" s="158" t="str">
        <f>IF(AND(C1=0,C2=Lpp),"OK","KO")</f>
        <v>OK</v>
      </c>
      <c r="K2" s="155"/>
      <c r="L2" s="158" t="str">
        <f>IF(L3=C2,"OK","KO")</f>
        <v>OK</v>
      </c>
      <c r="T2" s="55"/>
      <c r="U2" s="955"/>
      <c r="V2" s="305">
        <f ca="1">INDEX(Tbl_Long_Hydro[Draught],$W2)</f>
        <v>0.89999999999999991</v>
      </c>
      <c r="W2" s="310">
        <f ca="1">MATCH($AQ$1,Tbl_Long_Hydro[Displac. SW],1)</f>
        <v>10</v>
      </c>
      <c r="Y2" s="874"/>
      <c r="Z2" s="874"/>
      <c r="AJ2" s="938" t="s">
        <v>482</v>
      </c>
      <c r="AK2" s="939" t="s">
        <v>466</v>
      </c>
      <c r="AL2" s="940" t="s">
        <v>467</v>
      </c>
      <c r="AP2" s="305">
        <f ca="1">INDEX(Tbl_Long_Hydro[Displacement],$W2)</f>
        <v>928.92857142857144</v>
      </c>
      <c r="AQ2" s="300">
        <f ca="1">INDEX(Tbl_Long_Hydro[Displac. SW],$W2)</f>
        <v>952.15178571428567</v>
      </c>
      <c r="AR2" s="300">
        <f ca="1">INDEX(Tbl_Long_Hydro[RMT],$W2)</f>
        <v>38.190439574522621</v>
      </c>
      <c r="AS2" s="300">
        <f ca="1">INDEX(Tbl_Long_Hydro[RML],$W2)</f>
        <v>270.36541740880091</v>
      </c>
      <c r="AT2" s="300">
        <f ca="1">INDEX(Tbl_Long_Hydro[LCF],$W2)</f>
        <v>30</v>
      </c>
      <c r="AU2" s="300">
        <f ca="1">INDEX(Tbl_Long_Hydro[LCB],$W2)</f>
        <v>29.999999999999993</v>
      </c>
      <c r="AV2" s="300">
        <f ca="1">INDEX(Tbl_Long_Hydro[TCB],$W2)</f>
        <v>0</v>
      </c>
      <c r="AW2" s="300">
        <f ca="1">INDEX(Tbl_Long_Hydro[VCB],$W2)</f>
        <v>0.45467128027681647</v>
      </c>
      <c r="AX2" s="300">
        <f ca="1">INDEX(Tbl_Long_Hydro[KMT],$W2)</f>
        <v>38.645110854799441</v>
      </c>
      <c r="AY2" s="301">
        <f ca="1">INDEX(Tbl_Long_Hydro[MCT],$W2)</f>
        <v>41.858360159541142</v>
      </c>
    </row>
    <row r="3" spans="1:60" ht="15.75" thickBot="1" x14ac:dyDescent="0.3">
      <c r="C3" s="1052" t="s">
        <v>170</v>
      </c>
      <c r="D3" s="1053"/>
      <c r="E3" s="1054"/>
      <c r="F3" s="185"/>
      <c r="H3" s="1055" t="s">
        <v>265</v>
      </c>
      <c r="I3" s="1056"/>
      <c r="K3" s="265"/>
      <c r="L3" s="877">
        <f t="array" ref="L3">MAX(IF(ISNA(Tbl_Long_Section[X]),,Tbl_Long_Section[X]))</f>
        <v>60</v>
      </c>
      <c r="V3" s="306">
        <f ca="1">INDEX(Tbl_Long_Hydro[Draught],$W3)</f>
        <v>0.99999999999999989</v>
      </c>
      <c r="W3" s="311">
        <f ca="1">W2+1</f>
        <v>11</v>
      </c>
      <c r="Y3" s="875"/>
      <c r="Z3" s="875"/>
      <c r="AJ3" s="935">
        <f ca="1">Lpp*(LongSection_LCB-LoadDistrib_LCG_corr)/(LongSection_RML+LongSection_VCB-KG)</f>
        <v>1.1308575519474021E-3</v>
      </c>
      <c r="AK3" s="936">
        <f ca="1">LongSection_Draft+LongSection_ΔT/Lpp*LongSection_LCB</f>
        <v>0.99909711977850224</v>
      </c>
      <c r="AL3" s="937">
        <f ca="1">AK3-AJ3</f>
        <v>0.99796626222655482</v>
      </c>
      <c r="AP3" s="306">
        <f ca="1">INDEX(Tbl_Long_Hydro[Displacement],$W3)</f>
        <v>1035.7142857142858</v>
      </c>
      <c r="AQ3" s="307">
        <f ca="1">INDEX(Tbl_Long_Hydro[Displac. SW],$W3)</f>
        <v>1061.6071428571429</v>
      </c>
      <c r="AR3" s="307">
        <f ca="1">INDEX(Tbl_Long_Hydro[RMT],$W3)</f>
        <v>34.482758620689658</v>
      </c>
      <c r="AS3" s="307">
        <f ca="1">INDEX(Tbl_Long_Hydro[RML],$W3)</f>
        <v>247.4049964813577</v>
      </c>
      <c r="AT3" s="307">
        <f ca="1">INDEX(Tbl_Long_Hydro[LCF],$W3)</f>
        <v>30</v>
      </c>
      <c r="AU3" s="307">
        <f ca="1">INDEX(Tbl_Long_Hydro[LCB],$W3)</f>
        <v>29.999999999999993</v>
      </c>
      <c r="AV3" s="307">
        <f ca="1">INDEX(Tbl_Long_Hydro[TCB],$W3)</f>
        <v>0</v>
      </c>
      <c r="AW3" s="307">
        <f ca="1">INDEX(Tbl_Long_Hydro[VCB],$W3)</f>
        <v>0.50574712643678144</v>
      </c>
      <c r="AX3" s="307">
        <f ca="1">INDEX(Tbl_Long_Hydro[KMT],$W3)</f>
        <v>34.988505747126439</v>
      </c>
      <c r="AY3" s="308">
        <f ca="1">INDEX(Tbl_Long_Hydro[MCT],$W3)</f>
        <v>42.706814868805793</v>
      </c>
    </row>
    <row r="4" spans="1:60" ht="32.25" customHeight="1" x14ac:dyDescent="0.25">
      <c r="K4" s="1057" t="s">
        <v>266</v>
      </c>
      <c r="L4" s="1058"/>
      <c r="M4" s="1058"/>
      <c r="N4" s="1058"/>
      <c r="O4" s="1058"/>
      <c r="P4" s="1058"/>
      <c r="Q4" s="1058"/>
      <c r="R4" s="1058"/>
      <c r="S4" s="1059"/>
      <c r="T4" s="265"/>
      <c r="AO4" s="891"/>
      <c r="AQ4" s="906">
        <v>1.0249999999999999</v>
      </c>
      <c r="AZ4" s="1049" t="s">
        <v>492</v>
      </c>
      <c r="BA4" s="1050"/>
      <c r="BB4" s="1050"/>
      <c r="BC4" s="1050"/>
      <c r="BD4" s="1050"/>
      <c r="BE4" s="1050"/>
      <c r="BF4" s="1050"/>
      <c r="BG4" s="1050"/>
      <c r="BH4" s="1051"/>
    </row>
    <row r="5" spans="1:60" ht="31.5" x14ac:dyDescent="0.25">
      <c r="C5" s="266" t="s">
        <v>17</v>
      </c>
      <c r="D5" s="68" t="s">
        <v>427</v>
      </c>
      <c r="E5" s="497" t="s">
        <v>18</v>
      </c>
      <c r="F5" s="883" t="s">
        <v>441</v>
      </c>
      <c r="H5" s="867" t="s">
        <v>17</v>
      </c>
      <c r="I5" s="868" t="s">
        <v>18</v>
      </c>
      <c r="K5" s="878" t="s">
        <v>226</v>
      </c>
      <c r="L5" s="879" t="s">
        <v>17</v>
      </c>
      <c r="M5" s="880" t="s">
        <v>227</v>
      </c>
      <c r="N5" s="879" t="s">
        <v>228</v>
      </c>
      <c r="O5" s="881" t="s">
        <v>229</v>
      </c>
      <c r="P5" s="879" t="s">
        <v>230</v>
      </c>
      <c r="Q5" s="881" t="s">
        <v>231</v>
      </c>
      <c r="R5" s="879" t="s">
        <v>232</v>
      </c>
      <c r="S5" s="880" t="s">
        <v>432</v>
      </c>
      <c r="T5" s="905"/>
      <c r="V5" s="907" t="s">
        <v>283</v>
      </c>
      <c r="W5" s="264" t="s">
        <v>442</v>
      </c>
      <c r="X5" s="908" t="s">
        <v>443</v>
      </c>
      <c r="Y5" s="264" t="s">
        <v>444</v>
      </c>
      <c r="Z5" s="909" t="s">
        <v>445</v>
      </c>
      <c r="AA5" s="908" t="s">
        <v>446</v>
      </c>
      <c r="AB5" s="910" t="s">
        <v>447</v>
      </c>
      <c r="AC5" s="910" t="s">
        <v>448</v>
      </c>
      <c r="AD5" s="910" t="s">
        <v>449</v>
      </c>
      <c r="AE5" s="907" t="s">
        <v>451</v>
      </c>
      <c r="AF5" s="910" t="s">
        <v>452</v>
      </c>
      <c r="AG5" s="910" t="s">
        <v>453</v>
      </c>
      <c r="AH5" s="910" t="s">
        <v>454</v>
      </c>
      <c r="AI5" s="911" t="s">
        <v>450</v>
      </c>
      <c r="AJ5" s="909" t="s">
        <v>455</v>
      </c>
      <c r="AK5" s="912" t="s">
        <v>457</v>
      </c>
      <c r="AL5" s="908" t="s">
        <v>440</v>
      </c>
      <c r="AM5" s="909" t="s">
        <v>456</v>
      </c>
      <c r="AN5" s="907" t="s">
        <v>459</v>
      </c>
      <c r="AO5" s="913" t="s">
        <v>460</v>
      </c>
      <c r="AP5" s="914" t="s">
        <v>400</v>
      </c>
      <c r="AQ5" s="910" t="s">
        <v>465</v>
      </c>
      <c r="AR5" s="907" t="s">
        <v>461</v>
      </c>
      <c r="AS5" s="909" t="s">
        <v>462</v>
      </c>
      <c r="AT5" s="914" t="s">
        <v>289</v>
      </c>
      <c r="AU5" s="264" t="s">
        <v>288</v>
      </c>
      <c r="AV5" s="264" t="s">
        <v>35</v>
      </c>
      <c r="AW5" s="264" t="s">
        <v>458</v>
      </c>
      <c r="AX5" s="264" t="s">
        <v>463</v>
      </c>
      <c r="AY5" s="910" t="s">
        <v>464</v>
      </c>
      <c r="AZ5" s="957" t="s">
        <v>493</v>
      </c>
      <c r="BA5" s="296" t="s">
        <v>285</v>
      </c>
      <c r="BB5" s="296" t="s">
        <v>284</v>
      </c>
      <c r="BC5" s="296" t="s">
        <v>286</v>
      </c>
      <c r="BD5" s="296" t="s">
        <v>287</v>
      </c>
      <c r="BE5" s="296" t="s">
        <v>489</v>
      </c>
      <c r="BF5" s="296" t="s">
        <v>490</v>
      </c>
      <c r="BG5" s="296" t="s">
        <v>491</v>
      </c>
      <c r="BH5" s="958" t="s">
        <v>290</v>
      </c>
    </row>
    <row r="6" spans="1:60" x14ac:dyDescent="0.25">
      <c r="B6" s="64" t="s">
        <v>171</v>
      </c>
      <c r="C6" s="882">
        <v>0</v>
      </c>
      <c r="D6" s="69">
        <v>1.2</v>
      </c>
      <c r="E6" s="267">
        <f>-Tbl_Long_Definition[[#This Row],[H Deck-Bott.]]</f>
        <v>-1.2</v>
      </c>
      <c r="F6" s="267">
        <f>M_depth-Tbl_Long_Definition[[#This Row],[H Deck-Bott.]]</f>
        <v>2.8</v>
      </c>
      <c r="H6" s="869">
        <f>Tbl_Long_Definition[[#This Row],[X]]</f>
        <v>0</v>
      </c>
      <c r="I6" s="870">
        <f>Tbl_Long_Definition[[#This Row],[Y]]</f>
        <v>-1.2</v>
      </c>
      <c r="K6" s="156">
        <f t="shared" ref="K6:K69" si="1">IF(ISTEXT($K5),0,IF($K5+1&gt;Last_Frame,NA(),$K5+1))</f>
        <v>0</v>
      </c>
      <c r="L6" s="164">
        <f t="shared" ref="L6:L69" si="2">IF(ISTEXT($L5),0,IF($L5+FE_size&gt;Lpp,IF($L5&lt;&gt;Lpp,Lpp,NA()),$L5+FE_size))</f>
        <v>0</v>
      </c>
      <c r="M6" s="163">
        <f>MATCH(Tbl_Long_Section[[#This Row],[X]],Tbl_Long_Definition[X],1)</f>
        <v>1</v>
      </c>
      <c r="N6" s="157">
        <f>IF(Tbl_Long_Section[[#This Row],[Nline Prev]]&lt;COUNT(Tbl_Long_Definition[X]),Tbl_Long_Section[[#This Row],[Nline Prev]]+1,Tbl_Long_Section[[#This Row],[Nline Prev]])</f>
        <v>2</v>
      </c>
      <c r="O6" s="162">
        <f>INDEX(Tbl_Long_Definition[X],Tbl_Long_Section[[#This Row],[Nline Prev]])</f>
        <v>0</v>
      </c>
      <c r="P6" s="159">
        <f>INDEX(Tbl_Long_Definition[X],Tbl_Long_Section[[#This Row],[Nline Next]])</f>
        <v>5</v>
      </c>
      <c r="Q6" s="160">
        <f>INDEX(Tbl_Long_Definition[H Deck-Bott.],Tbl_Long_Section[[#This Row],[Nline Prev]])</f>
        <v>1.2</v>
      </c>
      <c r="R6" s="161">
        <f>INDEX(Tbl_Long_Definition[H Deck-Bott.],Tbl_Long_Section[[#This Row],[Nline Next]])</f>
        <v>4</v>
      </c>
      <c r="S6"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1.2</v>
      </c>
      <c r="T6" s="8"/>
      <c r="V6" s="873">
        <f t="shared" ref="V6:V37" si="3">IF(ISTEXT(V5),0,IF(V5+Δhydro&gt;M_depth,NA(),V5+Δhydro))</f>
        <v>0</v>
      </c>
      <c r="W6" s="885">
        <f>MATCH(Tbl_Long_Hydro[[#This Row],[Draught]],Tbl_Long_Definition[H k-bott],-1)</f>
        <v>2</v>
      </c>
      <c r="X6"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6" s="886">
        <f>MATCH(Tbl_Long_Hydro[[#This Row],[Draught]],Tbl_Long_Definition[H k-bott],1)</f>
        <v>3</v>
      </c>
      <c r="Z6"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3</v>
      </c>
      <c r="AA6" s="888">
        <f>IF(ISNA(Tbl_Long_Hydro[[#This Row],[Draught]]),NA(),IFERROR(INDEX(Tbl_Long_Definition[X],Tbl_Long_Hydro[[#This Row],[Aft Nline prev]]),0))</f>
        <v>5</v>
      </c>
      <c r="AB6" s="889">
        <f>IF(ISNA(Tbl_Long_Hydro[[#This Row],[Draught]]),NA(),IFERROR(INDEX(Tbl_Long_Definition[X],Tbl_Long_Hydro[[#This Row],[Aft Nline next]]),0))</f>
        <v>5</v>
      </c>
      <c r="AC6" s="889">
        <f>IF(ISNA(Tbl_Long_Hydro[[#This Row],[Draught]]),NA(),INDEX(Tbl_Long_Definition[H k-bott],Tbl_Long_Hydro[[#This Row],[Aft Nline prev]]))</f>
        <v>0</v>
      </c>
      <c r="AD6" s="889">
        <f>IF(ISNA(Tbl_Long_Hydro[[#This Row],[Draught]]),NA(),INDEX(Tbl_Long_Definition[H k-bott],Tbl_Long_Hydro[[#This Row],[Aft Nline next]]))</f>
        <v>0</v>
      </c>
      <c r="AE6" s="888">
        <f>IF(ISNA(Tbl_Long_Hydro[[#This Row],[Draught]]),NA(),IFERROR(INDEX(Tbl_Long_Definition[X],Tbl_Long_Hydro[[#This Row],[Fore Nline prev]]),0))</f>
        <v>55</v>
      </c>
      <c r="AF6" s="889">
        <f>IF(ISNA(Tbl_Long_Hydro[[#This Row],[Draught]]),NA(),IFERROR(INDEX(Tbl_Long_Definition[X],Tbl_Long_Hydro[[#This Row],[Fore Nline next]]),0))</f>
        <v>55</v>
      </c>
      <c r="AG6" s="889">
        <f>IF(ISNA(Tbl_Long_Hydro[[#This Row],[Draught]]),NA(),INDEX(Tbl_Long_Definition[H k-bott],Tbl_Long_Hydro[[#This Row],[Fore Nline prev]]))</f>
        <v>0</v>
      </c>
      <c r="AH6" s="890">
        <f>IF(ISNA(Tbl_Long_Hydro[[#This Row],[Draught]]),NA(),INDEX(Tbl_Long_Definition[H k-bott],Tbl_Long_Hydro[[#This Row],[Fore Nline next]]))</f>
        <v>0</v>
      </c>
      <c r="AI6"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5</v>
      </c>
      <c r="AJ6"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55</v>
      </c>
      <c r="AK6" s="894">
        <f>Tbl_Long_Hydro[[#This Row],[Fore X]]-Tbl_Long_Hydro[[#This Row],[Aft X]]</f>
        <v>50</v>
      </c>
      <c r="AL6" s="884">
        <f>Tbl_Long_Hydro[[#This Row],[LX]]*B</f>
        <v>1000</v>
      </c>
      <c r="AM6" s="892">
        <f>IF(ISNUMBER(AM5),(AK5+Tbl_Long_Hydro[[#This Row],[LX]])*(Tbl_Long_Hydro[[#This Row],[Draught]]-V5)/2*B,(Tbl_Long_Hydro[[#This Row],[LX]])*Tbl_Long_Hydro[[#This Row],[Draught]]*B)</f>
        <v>0</v>
      </c>
      <c r="AN6" s="899">
        <f>Tbl_Long_Hydro[[#This Row],[Aft X]]+Tbl_Long_Hydro[[#This Row],[LX]]/2</f>
        <v>30</v>
      </c>
      <c r="AO6" s="876">
        <f>IF(ISNUMBER(AO5),(2*Tbl_Long_Hydro[[#This Row],[LX]]+AK5)/(Tbl_Long_Hydro[[#This Row],[LX]]+AK5)*(Tbl_Long_Hydro[[#This Row],[Draught]]-V5)/3+V5,Tbl_Long_Hydro[[#This Row],[Draught]]/2)</f>
        <v>0</v>
      </c>
      <c r="AP6" s="898">
        <f>IF(ISNUMBER(AP5),Tbl_Long_Hydro[[#This Row],[Volume elt]]+AP5,Tbl_Long_Hydro[[#This Row],[Volume elt]]*AO$4)</f>
        <v>0</v>
      </c>
      <c r="AQ6" s="893">
        <f>IF(ISNUMBER(AQ5),Tbl_Long_Hydro[[#This Row],[Displacement]]*AQ$4,IF(ISNA(AQ5),NA(),0))</f>
        <v>0</v>
      </c>
      <c r="AR6" s="900">
        <f>IF(ISNA(Tbl_Long_Hydro[[#This Row],[Draught]]),NA(),IFERROR(Tbl_Long_Hydro[[#This Row],[LX]]*B^3/12/Tbl_Long_Hydro[[#This Row],[Displacement]],0))</f>
        <v>0</v>
      </c>
      <c r="AS6" s="903">
        <f>IF(ISNA(Tbl_Long_Hydro[[#This Row],[Draught]]),NA(),IFERROR((B*Tbl_Long_Hydro[[#This Row],[LX]]^3/12+(Tbl_Long_Hydro[[#This Row],[LCF]]-Tbl_Long_Hydro[[#This Row],[LCB]])*Tbl_Long_Hydro[[#This Row],[Waterplane area]]*Tbl_Long_Hydro[[#This Row],[LCF]]^2)/Tbl_Long_Hydro[[#This Row],[Displacement]],0))</f>
        <v>0</v>
      </c>
      <c r="AT6" s="900">
        <f>Tbl_Long_Hydro[[#This Row],[Aft X]]+Tbl_Long_Hydro[[#This Row],[LX]]/2</f>
        <v>30</v>
      </c>
      <c r="AU6" s="901">
        <f>IF(ISNUMBER(AU5),(AU5*AP5+Tbl_Long_Hydro[[#This Row],[X CoG elt]]*Tbl_Long_Hydro[[#This Row],[Volume elt]])/Tbl_Long_Hydro[[#This Row],[Displacement]],Tbl_Long_Hydro[[#This Row],[X CoG elt]])</f>
        <v>30</v>
      </c>
      <c r="AV6" s="902">
        <f>IF(ISNA(Tbl_Long_Hydro[[#This Row],[Draught]]),NA(),0)</f>
        <v>0</v>
      </c>
      <c r="AW6" s="876">
        <f>IF(ISNUMBER(AW5),(AW5*AP5+Tbl_Long_Hydro[[#This Row],[Z CoG elt]]*Tbl_Long_Hydro[[#This Row],[Volume elt]])/Tbl_Long_Hydro[[#This Row],[Displacement]],Tbl_Long_Hydro[[#This Row],[Z CoG elt]])</f>
        <v>0</v>
      </c>
      <c r="AX6" s="899">
        <f>Tbl_Long_Hydro[[#This Row],[RMT]]+Tbl_Long_Hydro[[#This Row],[VCB]]</f>
        <v>0</v>
      </c>
      <c r="AY6" s="915">
        <f>Tbl_Long_Hydro[[#This Row],[Displacement]]*Tbl_Long_Hydro[[#This Row],[RML]]/(100*Lpp)</f>
        <v>0</v>
      </c>
      <c r="AZ6" s="956">
        <f>Tbl_Long_Hydro[[#This Row],[Draught]]</f>
        <v>0</v>
      </c>
      <c r="BA6" s="959">
        <f>Tbl_Long_Hydro[[#This Row],[Displacement]]</f>
        <v>0</v>
      </c>
      <c r="BB6" s="960">
        <f>Tbl_Long_Hydro[[#This Row],[Displac. SW]]</f>
        <v>0</v>
      </c>
      <c r="BC6" s="964">
        <f>Tbl_Long_Hydro[[#This Row],[Waterplane area]]/100*$AQ$4</f>
        <v>10.25</v>
      </c>
      <c r="BD6" s="961">
        <f>Tbl_Long_Hydro[[#This Row],[MCT]]</f>
        <v>0</v>
      </c>
      <c r="BE6" s="962">
        <f>Tbl_Long_Hydro[[#This Row],[LCB]]</f>
        <v>30</v>
      </c>
      <c r="BF6" s="962">
        <f>Tbl_Long_Hydro[[#This Row],[TCB]]</f>
        <v>0</v>
      </c>
      <c r="BG6" s="962">
        <f>Tbl_Long_Hydro[[#This Row],[LCF]]</f>
        <v>30</v>
      </c>
      <c r="BH6" s="963">
        <f>Tbl_Long_Hydro[[#This Row],[KMT]]</f>
        <v>0</v>
      </c>
    </row>
    <row r="7" spans="1:60" x14ac:dyDescent="0.25">
      <c r="B7" s="70" t="s">
        <v>172</v>
      </c>
      <c r="C7" s="882">
        <v>5</v>
      </c>
      <c r="D7" s="69">
        <v>4</v>
      </c>
      <c r="E7" s="267">
        <f>-Tbl_Long_Definition[[#This Row],[H Deck-Bott.]]</f>
        <v>-4</v>
      </c>
      <c r="F7" s="267">
        <f>M_depth-Tbl_Long_Definition[[#This Row],[H Deck-Bott.]]</f>
        <v>0</v>
      </c>
      <c r="H7" s="869">
        <f>H6</f>
        <v>0</v>
      </c>
      <c r="I7" s="870">
        <v>0</v>
      </c>
      <c r="K7" s="156">
        <f t="shared" si="1"/>
        <v>1</v>
      </c>
      <c r="L7" s="164">
        <f t="shared" si="2"/>
        <v>0.5</v>
      </c>
      <c r="M7" s="163">
        <f>MATCH(Tbl_Long_Section[[#This Row],[X]],Tbl_Long_Definition[X],1)</f>
        <v>1</v>
      </c>
      <c r="N7" s="157">
        <f>IF(Tbl_Long_Section[[#This Row],[Nline Prev]]&lt;COUNT(Tbl_Long_Definition[X]),Tbl_Long_Section[[#This Row],[Nline Prev]]+1,Tbl_Long_Section[[#This Row],[Nline Prev]])</f>
        <v>2</v>
      </c>
      <c r="O7" s="162">
        <f>INDEX(Tbl_Long_Definition[X],Tbl_Long_Section[[#This Row],[Nline Prev]])</f>
        <v>0</v>
      </c>
      <c r="P7" s="159">
        <f>INDEX(Tbl_Long_Definition[X],Tbl_Long_Section[[#This Row],[Nline Next]])</f>
        <v>5</v>
      </c>
      <c r="Q7" s="160">
        <f>INDEX(Tbl_Long_Definition[H Deck-Bott.],Tbl_Long_Section[[#This Row],[Nline Prev]])</f>
        <v>1.2</v>
      </c>
      <c r="R7" s="161">
        <f>INDEX(Tbl_Long_Definition[H Deck-Bott.],Tbl_Long_Section[[#This Row],[Nline Next]])</f>
        <v>4</v>
      </c>
      <c r="S7"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1.48</v>
      </c>
      <c r="T7" s="8"/>
      <c r="V7" s="873">
        <f t="shared" si="3"/>
        <v>0.1</v>
      </c>
      <c r="W7" s="885">
        <f>MATCH(Tbl_Long_Hydro[[#This Row],[Draught]],Tbl_Long_Definition[H k-bott],-1)</f>
        <v>1</v>
      </c>
      <c r="X7"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7" s="886">
        <f>MATCH(Tbl_Long_Hydro[[#This Row],[Draught]],Tbl_Long_Definition[H k-bott],1)</f>
        <v>3</v>
      </c>
      <c r="Z7"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7" s="888">
        <f>IF(ISNA(Tbl_Long_Hydro[[#This Row],[Draught]]),NA(),IFERROR(INDEX(Tbl_Long_Definition[X],Tbl_Long_Hydro[[#This Row],[Aft Nline prev]]),0))</f>
        <v>0</v>
      </c>
      <c r="AB7" s="889">
        <f>IF(ISNA(Tbl_Long_Hydro[[#This Row],[Draught]]),NA(),IFERROR(INDEX(Tbl_Long_Definition[X],Tbl_Long_Hydro[[#This Row],[Aft Nline next]]),0))</f>
        <v>5</v>
      </c>
      <c r="AC7" s="889">
        <f>IF(ISNA(Tbl_Long_Hydro[[#This Row],[Draught]]),NA(),INDEX(Tbl_Long_Definition[H k-bott],Tbl_Long_Hydro[[#This Row],[Aft Nline prev]]))</f>
        <v>2.8</v>
      </c>
      <c r="AD7" s="889">
        <f>IF(ISNA(Tbl_Long_Hydro[[#This Row],[Draught]]),NA(),INDEX(Tbl_Long_Definition[H k-bott],Tbl_Long_Hydro[[#This Row],[Aft Nline next]]))</f>
        <v>0</v>
      </c>
      <c r="AE7" s="888">
        <f>IF(ISNA(Tbl_Long_Hydro[[#This Row],[Draught]]),NA(),IFERROR(INDEX(Tbl_Long_Definition[X],Tbl_Long_Hydro[[#This Row],[Fore Nline prev]]),0))</f>
        <v>55</v>
      </c>
      <c r="AF7" s="889">
        <f>IF(ISNA(Tbl_Long_Hydro[[#This Row],[Draught]]),NA(),IFERROR(INDEX(Tbl_Long_Definition[X],Tbl_Long_Hydro[[#This Row],[Fore Nline next]]),0))</f>
        <v>60</v>
      </c>
      <c r="AG7" s="889">
        <f>IF(ISNA(Tbl_Long_Hydro[[#This Row],[Draught]]),NA(),INDEX(Tbl_Long_Definition[H k-bott],Tbl_Long_Hydro[[#This Row],[Fore Nline prev]]))</f>
        <v>0</v>
      </c>
      <c r="AH7" s="890">
        <f>IF(ISNA(Tbl_Long_Hydro[[#This Row],[Draught]]),NA(),INDEX(Tbl_Long_Definition[H k-bott],Tbl_Long_Hydro[[#This Row],[Fore Nline next]]))</f>
        <v>2.8</v>
      </c>
      <c r="AI7"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4.8214285714285712</v>
      </c>
      <c r="AJ7"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55.178571428571431</v>
      </c>
      <c r="AK7" s="894">
        <f>Tbl_Long_Hydro[[#This Row],[Fore X]]-Tbl_Long_Hydro[[#This Row],[Aft X]]</f>
        <v>50.357142857142861</v>
      </c>
      <c r="AL7" s="884">
        <f>Tbl_Long_Hydro[[#This Row],[LX]]*B</f>
        <v>1007.1428571428572</v>
      </c>
      <c r="AM7" s="892">
        <f>IF(ISNUMBER(AM6),(AK6+Tbl_Long_Hydro[[#This Row],[LX]])*(Tbl_Long_Hydro[[#This Row],[Draught]]-V6)/2*B,(Tbl_Long_Hydro[[#This Row],[LX]])*Tbl_Long_Hydro[[#This Row],[Draught]]*B)</f>
        <v>100.35714285714286</v>
      </c>
      <c r="AN7" s="899">
        <f>Tbl_Long_Hydro[[#This Row],[Aft X]]+Tbl_Long_Hydro[[#This Row],[LX]]/2</f>
        <v>30</v>
      </c>
      <c r="AO7" s="876">
        <f>IF(ISNUMBER(AO6),(2*Tbl_Long_Hydro[[#This Row],[LX]]+AK6)/(Tbl_Long_Hydro[[#This Row],[LX]]+AK6)*(Tbl_Long_Hydro[[#This Row],[Draught]]-V6)/3+V6,Tbl_Long_Hydro[[#This Row],[Draught]]/2)</f>
        <v>5.005931198102017E-2</v>
      </c>
      <c r="AP7" s="898">
        <f>IF(ISNUMBER(AP6),Tbl_Long_Hydro[[#This Row],[Volume elt]]+AP6,Tbl_Long_Hydro[[#This Row],[Volume elt]]*AO$4)</f>
        <v>100.35714285714286</v>
      </c>
      <c r="AQ7" s="893">
        <f>IF(ISNUMBER(AQ6),Tbl_Long_Hydro[[#This Row],[Displacement]]*AQ$4,IF(ISNA(AQ6),NA(),0))</f>
        <v>102.86607142857143</v>
      </c>
      <c r="AR7" s="900">
        <f>IF(ISNA(Tbl_Long_Hydro[[#This Row],[Draught]]),NA(),IFERROR(Tbl_Long_Hydro[[#This Row],[LX]]*B^3/12/Tbl_Long_Hydro[[#This Row],[Displacement]],0))</f>
        <v>334.51957295373666</v>
      </c>
      <c r="AS7" s="903">
        <f>IF(ISNA(Tbl_Long_Hydro[[#This Row],[Draught]]),NA(),IFERROR((B*Tbl_Long_Hydro[[#This Row],[LX]]^3/12+(Tbl_Long_Hydro[[#This Row],[LCF]]-Tbl_Long_Hydro[[#This Row],[LCB]])*Tbl_Long_Hydro[[#This Row],[Waterplane area]]*Tbl_Long_Hydro[[#This Row],[LCF]]^2)/Tbl_Long_Hydro[[#This Row],[Displacement]],0))</f>
        <v>2120.721820756773</v>
      </c>
      <c r="AT7" s="900">
        <f>Tbl_Long_Hydro[[#This Row],[Aft X]]+Tbl_Long_Hydro[[#This Row],[LX]]/2</f>
        <v>30</v>
      </c>
      <c r="AU7" s="901">
        <f>IF(ISNUMBER(AU6),(AU6*AP6+Tbl_Long_Hydro[[#This Row],[X CoG elt]]*Tbl_Long_Hydro[[#This Row],[Volume elt]])/Tbl_Long_Hydro[[#This Row],[Displacement]],Tbl_Long_Hydro[[#This Row],[X CoG elt]])</f>
        <v>30</v>
      </c>
      <c r="AV7" s="902">
        <f>IF(ISNA(Tbl_Long_Hydro[[#This Row],[Draught]]),NA(),0)</f>
        <v>0</v>
      </c>
      <c r="AW7" s="876">
        <f>IF(ISNUMBER(AW6),(AW6*AP6+Tbl_Long_Hydro[[#This Row],[Z CoG elt]]*Tbl_Long_Hydro[[#This Row],[Volume elt]])/Tbl_Long_Hydro[[#This Row],[Displacement]],Tbl_Long_Hydro[[#This Row],[Z CoG elt]])</f>
        <v>5.005931198102017E-2</v>
      </c>
      <c r="AX7" s="899">
        <f>Tbl_Long_Hydro[[#This Row],[RMT]]+Tbl_Long_Hydro[[#This Row],[VCB]]</f>
        <v>334.5696322657177</v>
      </c>
      <c r="AY7" s="904">
        <f>Tbl_Long_Hydro[[#This Row],[Displacement]]*Tbl_Long_Hydro[[#This Row],[RML]]/(100*Lpp)</f>
        <v>35.471597120991262</v>
      </c>
      <c r="AZ7" s="956">
        <f>Tbl_Long_Hydro[[#This Row],[Draught]]</f>
        <v>0.1</v>
      </c>
      <c r="BA7" s="959">
        <f>Tbl_Long_Hydro[[#This Row],[Displacement]]</f>
        <v>100.35714285714286</v>
      </c>
      <c r="BB7" s="960">
        <f>Tbl_Long_Hydro[[#This Row],[Displac. SW]]</f>
        <v>102.86607142857143</v>
      </c>
      <c r="BC7" s="964">
        <f>Tbl_Long_Hydro[[#This Row],[Waterplane area]]/100*$AQ$4</f>
        <v>10.323214285714286</v>
      </c>
      <c r="BD7" s="961">
        <f>Tbl_Long_Hydro[[#This Row],[MCT]]</f>
        <v>35.471597120991262</v>
      </c>
      <c r="BE7" s="962">
        <f>Tbl_Long_Hydro[[#This Row],[LCB]]</f>
        <v>30</v>
      </c>
      <c r="BF7" s="962">
        <f>Tbl_Long_Hydro[[#This Row],[TCB]]</f>
        <v>0</v>
      </c>
      <c r="BG7" s="962">
        <f>Tbl_Long_Hydro[[#This Row],[LCF]]</f>
        <v>30</v>
      </c>
      <c r="BH7" s="963">
        <f>Tbl_Long_Hydro[[#This Row],[KMT]]</f>
        <v>334.5696322657177</v>
      </c>
    </row>
    <row r="8" spans="1:60" x14ac:dyDescent="0.25">
      <c r="B8" s="64" t="s">
        <v>173</v>
      </c>
      <c r="C8" s="882">
        <v>55</v>
      </c>
      <c r="D8" s="69">
        <v>4</v>
      </c>
      <c r="E8" s="267">
        <f>-Tbl_Long_Definition[[#This Row],[H Deck-Bott.]]</f>
        <v>-4</v>
      </c>
      <c r="F8" s="267">
        <f>M_depth-Tbl_Long_Definition[[#This Row],[H Deck-Bott.]]</f>
        <v>0</v>
      </c>
      <c r="H8" s="869">
        <f>MAX(Tbl_Long_Definition[X])</f>
        <v>60</v>
      </c>
      <c r="I8" s="870">
        <v>0</v>
      </c>
      <c r="K8" s="156">
        <f t="shared" si="1"/>
        <v>2</v>
      </c>
      <c r="L8" s="164">
        <f t="shared" si="2"/>
        <v>1</v>
      </c>
      <c r="M8" s="163">
        <f>MATCH(Tbl_Long_Section[[#This Row],[X]],Tbl_Long_Definition[X],1)</f>
        <v>1</v>
      </c>
      <c r="N8" s="157">
        <f>IF(Tbl_Long_Section[[#This Row],[Nline Prev]]&lt;COUNT(Tbl_Long_Definition[X]),Tbl_Long_Section[[#This Row],[Nline Prev]]+1,Tbl_Long_Section[[#This Row],[Nline Prev]])</f>
        <v>2</v>
      </c>
      <c r="O8" s="162">
        <f>INDEX(Tbl_Long_Definition[X],Tbl_Long_Section[[#This Row],[Nline Prev]])</f>
        <v>0</v>
      </c>
      <c r="P8" s="159">
        <f>INDEX(Tbl_Long_Definition[X],Tbl_Long_Section[[#This Row],[Nline Next]])</f>
        <v>5</v>
      </c>
      <c r="Q8" s="160">
        <f>INDEX(Tbl_Long_Definition[H Deck-Bott.],Tbl_Long_Section[[#This Row],[Nline Prev]])</f>
        <v>1.2</v>
      </c>
      <c r="R8" s="161">
        <f>INDEX(Tbl_Long_Definition[H Deck-Bott.],Tbl_Long_Section[[#This Row],[Nline Next]])</f>
        <v>4</v>
      </c>
      <c r="S8"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1.76</v>
      </c>
      <c r="T8" s="8"/>
      <c r="V8" s="873">
        <f t="shared" si="3"/>
        <v>0.2</v>
      </c>
      <c r="W8" s="885">
        <f>MATCH(Tbl_Long_Hydro[[#This Row],[Draught]],Tbl_Long_Definition[H k-bott],-1)</f>
        <v>1</v>
      </c>
      <c r="X8"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8" s="886">
        <f>MATCH(Tbl_Long_Hydro[[#This Row],[Draught]],Tbl_Long_Definition[H k-bott],1)</f>
        <v>3</v>
      </c>
      <c r="Z8"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8" s="888">
        <f>IF(ISNA(Tbl_Long_Hydro[[#This Row],[Draught]]),NA(),IFERROR(INDEX(Tbl_Long_Definition[X],Tbl_Long_Hydro[[#This Row],[Aft Nline prev]]),0))</f>
        <v>0</v>
      </c>
      <c r="AB8" s="889">
        <f>IF(ISNA(Tbl_Long_Hydro[[#This Row],[Draught]]),NA(),IFERROR(INDEX(Tbl_Long_Definition[X],Tbl_Long_Hydro[[#This Row],[Aft Nline next]]),0))</f>
        <v>5</v>
      </c>
      <c r="AC8" s="889">
        <f>IF(ISNA(Tbl_Long_Hydro[[#This Row],[Draught]]),NA(),INDEX(Tbl_Long_Definition[H k-bott],Tbl_Long_Hydro[[#This Row],[Aft Nline prev]]))</f>
        <v>2.8</v>
      </c>
      <c r="AD8" s="889">
        <f>IF(ISNA(Tbl_Long_Hydro[[#This Row],[Draught]]),NA(),INDEX(Tbl_Long_Definition[H k-bott],Tbl_Long_Hydro[[#This Row],[Aft Nline next]]))</f>
        <v>0</v>
      </c>
      <c r="AE8" s="888">
        <f>IF(ISNA(Tbl_Long_Hydro[[#This Row],[Draught]]),NA(),IFERROR(INDEX(Tbl_Long_Definition[X],Tbl_Long_Hydro[[#This Row],[Fore Nline prev]]),0))</f>
        <v>55</v>
      </c>
      <c r="AF8" s="889">
        <f>IF(ISNA(Tbl_Long_Hydro[[#This Row],[Draught]]),NA(),IFERROR(INDEX(Tbl_Long_Definition[X],Tbl_Long_Hydro[[#This Row],[Fore Nline next]]),0))</f>
        <v>60</v>
      </c>
      <c r="AG8" s="889">
        <f>IF(ISNA(Tbl_Long_Hydro[[#This Row],[Draught]]),NA(),INDEX(Tbl_Long_Definition[H k-bott],Tbl_Long_Hydro[[#This Row],[Fore Nline prev]]))</f>
        <v>0</v>
      </c>
      <c r="AH8" s="890">
        <f>IF(ISNA(Tbl_Long_Hydro[[#This Row],[Draught]]),NA(),INDEX(Tbl_Long_Definition[H k-bott],Tbl_Long_Hydro[[#This Row],[Fore Nline next]]))</f>
        <v>2.8</v>
      </c>
      <c r="AI8"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4.6428571428571423</v>
      </c>
      <c r="AJ8"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55.357142857142854</v>
      </c>
      <c r="AK8" s="894">
        <f>Tbl_Long_Hydro[[#This Row],[Fore X]]-Tbl_Long_Hydro[[#This Row],[Aft X]]</f>
        <v>50.714285714285708</v>
      </c>
      <c r="AL8" s="884">
        <f>Tbl_Long_Hydro[[#This Row],[LX]]*B</f>
        <v>1014.2857142857142</v>
      </c>
      <c r="AM8" s="892">
        <f>IF(ISNUMBER(AM7),(AK7+Tbl_Long_Hydro[[#This Row],[LX]])*(Tbl_Long_Hydro[[#This Row],[Draught]]-V7)/2*B,(Tbl_Long_Hydro[[#This Row],[LX]])*Tbl_Long_Hydro[[#This Row],[Draught]]*B)</f>
        <v>101.07142857142858</v>
      </c>
      <c r="AN8" s="899">
        <f>Tbl_Long_Hydro[[#This Row],[Aft X]]+Tbl_Long_Hydro[[#This Row],[LX]]/2</f>
        <v>29.999999999999996</v>
      </c>
      <c r="AO8" s="876">
        <f>IF(ISNUMBER(AO7),(2*Tbl_Long_Hydro[[#This Row],[LX]]+AK7)/(Tbl_Long_Hydro[[#This Row],[LX]]+AK7)*(Tbl_Long_Hydro[[#This Row],[Draught]]-V7)/3+V7,Tbl_Long_Hydro[[#This Row],[Draught]]/2)</f>
        <v>0.15005889281507656</v>
      </c>
      <c r="AP8" s="898">
        <f>IF(ISNUMBER(AP7),Tbl_Long_Hydro[[#This Row],[Volume elt]]+AP7,Tbl_Long_Hydro[[#This Row],[Volume elt]]*AO$4)</f>
        <v>201.42857142857144</v>
      </c>
      <c r="AQ8" s="893">
        <f>IF(ISNUMBER(AQ7),Tbl_Long_Hydro[[#This Row],[Displacement]]*AQ$4,IF(ISNA(AQ7),NA(),0))</f>
        <v>206.46428571428572</v>
      </c>
      <c r="AR8" s="900">
        <f>IF(ISNA(Tbl_Long_Hydro[[#This Row],[Draught]]),NA(),IFERROR(Tbl_Long_Hydro[[#This Row],[LX]]*B^3/12/Tbl_Long_Hydro[[#This Row],[Displacement]],0))</f>
        <v>167.84869976359337</v>
      </c>
      <c r="AS8" s="903">
        <f>IF(ISNA(Tbl_Long_Hydro[[#This Row],[Draught]]),NA(),IFERROR((B*Tbl_Long_Hydro[[#This Row],[LX]]^3/12+(Tbl_Long_Hydro[[#This Row],[LCF]]-Tbl_Long_Hydro[[#This Row],[LCB]])*Tbl_Long_Hydro[[#This Row],[Waterplane area]]*Tbl_Long_Hydro[[#This Row],[LCF]]^2)/Tbl_Long_Hydro[[#This Row],[Displacement]],0))</f>
        <v>1079.2414483523739</v>
      </c>
      <c r="AT8" s="900">
        <f>Tbl_Long_Hydro[[#This Row],[Aft X]]+Tbl_Long_Hydro[[#This Row],[LX]]/2</f>
        <v>29.999999999999996</v>
      </c>
      <c r="AU8" s="901">
        <f>IF(ISNUMBER(AU7),(AU7*AP7+Tbl_Long_Hydro[[#This Row],[X CoG elt]]*Tbl_Long_Hydro[[#This Row],[Volume elt]])/Tbl_Long_Hydro[[#This Row],[Displacement]],Tbl_Long_Hydro[[#This Row],[X CoG elt]])</f>
        <v>30</v>
      </c>
      <c r="AV8" s="902">
        <f>IF(ISNA(Tbl_Long_Hydro[[#This Row],[Draught]]),NA(),0)</f>
        <v>0</v>
      </c>
      <c r="AW8" s="876">
        <f>IF(ISNUMBER(AW7),(AW7*AP7+Tbl_Long_Hydro[[#This Row],[Z CoG elt]]*Tbl_Long_Hydro[[#This Row],[Volume elt]])/Tbl_Long_Hydro[[#This Row],[Displacement]],Tbl_Long_Hydro[[#This Row],[Z CoG elt]])</f>
        <v>0.10023640661938535</v>
      </c>
      <c r="AX8" s="899">
        <f>Tbl_Long_Hydro[[#This Row],[RMT]]+Tbl_Long_Hydro[[#This Row],[VCB]]</f>
        <v>167.94893617021276</v>
      </c>
      <c r="AY8" s="904">
        <f>Tbl_Long_Hydro[[#This Row],[Displacement]]*Tbl_Long_Hydro[[#This Row],[RML]]/(100*Lpp)</f>
        <v>36.231677194686846</v>
      </c>
      <c r="AZ8" s="956">
        <f>Tbl_Long_Hydro[[#This Row],[Draught]]</f>
        <v>0.2</v>
      </c>
      <c r="BA8" s="959">
        <f>Tbl_Long_Hydro[[#This Row],[Displacement]]</f>
        <v>201.42857142857144</v>
      </c>
      <c r="BB8" s="960">
        <f>Tbl_Long_Hydro[[#This Row],[Displac. SW]]</f>
        <v>206.46428571428572</v>
      </c>
      <c r="BC8" s="964">
        <f>Tbl_Long_Hydro[[#This Row],[Waterplane area]]/100*$AQ$4</f>
        <v>10.39642857142857</v>
      </c>
      <c r="BD8" s="961">
        <f>Tbl_Long_Hydro[[#This Row],[MCT]]</f>
        <v>36.231677194686846</v>
      </c>
      <c r="BE8" s="962">
        <f>Tbl_Long_Hydro[[#This Row],[LCB]]</f>
        <v>30</v>
      </c>
      <c r="BF8" s="962">
        <f>Tbl_Long_Hydro[[#This Row],[TCB]]</f>
        <v>0</v>
      </c>
      <c r="BG8" s="962">
        <f>Tbl_Long_Hydro[[#This Row],[LCF]]</f>
        <v>29.999999999999996</v>
      </c>
      <c r="BH8" s="963">
        <f>Tbl_Long_Hydro[[#This Row],[KMT]]</f>
        <v>167.94893617021276</v>
      </c>
    </row>
    <row r="9" spans="1:60" x14ac:dyDescent="0.25">
      <c r="C9" s="882">
        <v>60</v>
      </c>
      <c r="D9" s="69">
        <v>1.2</v>
      </c>
      <c r="E9" s="267">
        <f>-Tbl_Long_Definition[[#This Row],[H Deck-Bott.]]</f>
        <v>-1.2</v>
      </c>
      <c r="F9" s="267">
        <f>M_depth-Tbl_Long_Definition[[#This Row],[H Deck-Bott.]]</f>
        <v>2.8</v>
      </c>
      <c r="H9" s="871">
        <f>H8</f>
        <v>60</v>
      </c>
      <c r="I9" s="872">
        <f>INDEX(Tbl_Long_Definition[Y],MATCH(H8,Tbl_Long_Definition[X],0))</f>
        <v>-1.2</v>
      </c>
      <c r="K9" s="156">
        <f t="shared" si="1"/>
        <v>3</v>
      </c>
      <c r="L9" s="164">
        <f t="shared" si="2"/>
        <v>1.5</v>
      </c>
      <c r="M9" s="163">
        <f>MATCH(Tbl_Long_Section[[#This Row],[X]],Tbl_Long_Definition[X],1)</f>
        <v>1</v>
      </c>
      <c r="N9" s="157">
        <f>IF(Tbl_Long_Section[[#This Row],[Nline Prev]]&lt;COUNT(Tbl_Long_Definition[X]),Tbl_Long_Section[[#This Row],[Nline Prev]]+1,Tbl_Long_Section[[#This Row],[Nline Prev]])</f>
        <v>2</v>
      </c>
      <c r="O9" s="162">
        <f>INDEX(Tbl_Long_Definition[X],Tbl_Long_Section[[#This Row],[Nline Prev]])</f>
        <v>0</v>
      </c>
      <c r="P9" s="159">
        <f>INDEX(Tbl_Long_Definition[X],Tbl_Long_Section[[#This Row],[Nline Next]])</f>
        <v>5</v>
      </c>
      <c r="Q9" s="160">
        <f>INDEX(Tbl_Long_Definition[H Deck-Bott.],Tbl_Long_Section[[#This Row],[Nline Prev]])</f>
        <v>1.2</v>
      </c>
      <c r="R9" s="161">
        <f>INDEX(Tbl_Long_Definition[H Deck-Bott.],Tbl_Long_Section[[#This Row],[Nline Next]])</f>
        <v>4</v>
      </c>
      <c r="S9"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2.04</v>
      </c>
      <c r="T9" s="8"/>
      <c r="V9" s="873">
        <f t="shared" si="3"/>
        <v>0.30000000000000004</v>
      </c>
      <c r="W9" s="885">
        <f>MATCH(Tbl_Long_Hydro[[#This Row],[Draught]],Tbl_Long_Definition[H k-bott],-1)</f>
        <v>1</v>
      </c>
      <c r="X9"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9" s="886">
        <f>MATCH(Tbl_Long_Hydro[[#This Row],[Draught]],Tbl_Long_Definition[H k-bott],1)</f>
        <v>3</v>
      </c>
      <c r="Z9"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9" s="888">
        <f>IF(ISNA(Tbl_Long_Hydro[[#This Row],[Draught]]),NA(),IFERROR(INDEX(Tbl_Long_Definition[X],Tbl_Long_Hydro[[#This Row],[Aft Nline prev]]),0))</f>
        <v>0</v>
      </c>
      <c r="AB9" s="889">
        <f>IF(ISNA(Tbl_Long_Hydro[[#This Row],[Draught]]),NA(),IFERROR(INDEX(Tbl_Long_Definition[X],Tbl_Long_Hydro[[#This Row],[Aft Nline next]]),0))</f>
        <v>5</v>
      </c>
      <c r="AC9" s="889">
        <f>IF(ISNA(Tbl_Long_Hydro[[#This Row],[Draught]]),NA(),INDEX(Tbl_Long_Definition[H k-bott],Tbl_Long_Hydro[[#This Row],[Aft Nline prev]]))</f>
        <v>2.8</v>
      </c>
      <c r="AD9" s="889">
        <f>IF(ISNA(Tbl_Long_Hydro[[#This Row],[Draught]]),NA(),INDEX(Tbl_Long_Definition[H k-bott],Tbl_Long_Hydro[[#This Row],[Aft Nline next]]))</f>
        <v>0</v>
      </c>
      <c r="AE9" s="888">
        <f>IF(ISNA(Tbl_Long_Hydro[[#This Row],[Draught]]),NA(),IFERROR(INDEX(Tbl_Long_Definition[X],Tbl_Long_Hydro[[#This Row],[Fore Nline prev]]),0))</f>
        <v>55</v>
      </c>
      <c r="AF9" s="889">
        <f>IF(ISNA(Tbl_Long_Hydro[[#This Row],[Draught]]),NA(),IFERROR(INDEX(Tbl_Long_Definition[X],Tbl_Long_Hydro[[#This Row],[Fore Nline next]]),0))</f>
        <v>60</v>
      </c>
      <c r="AG9" s="889">
        <f>IF(ISNA(Tbl_Long_Hydro[[#This Row],[Draught]]),NA(),INDEX(Tbl_Long_Definition[H k-bott],Tbl_Long_Hydro[[#This Row],[Fore Nline prev]]))</f>
        <v>0</v>
      </c>
      <c r="AH9" s="890">
        <f>IF(ISNA(Tbl_Long_Hydro[[#This Row],[Draught]]),NA(),INDEX(Tbl_Long_Definition[H k-bott],Tbl_Long_Hydro[[#This Row],[Fore Nline next]]))</f>
        <v>2.8</v>
      </c>
      <c r="AI9"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4.4642857142857144</v>
      </c>
      <c r="AJ9"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55.535714285714292</v>
      </c>
      <c r="AK9" s="894">
        <f>Tbl_Long_Hydro[[#This Row],[Fore X]]-Tbl_Long_Hydro[[#This Row],[Aft X]]</f>
        <v>51.071428571428577</v>
      </c>
      <c r="AL9" s="884">
        <f>Tbl_Long_Hydro[[#This Row],[LX]]*B</f>
        <v>1021.4285714285716</v>
      </c>
      <c r="AM9" s="892">
        <f>IF(ISNUMBER(AM8),(AK8+Tbl_Long_Hydro[[#This Row],[LX]])*(Tbl_Long_Hydro[[#This Row],[Draught]]-V8)/2*B,(Tbl_Long_Hydro[[#This Row],[LX]])*Tbl_Long_Hydro[[#This Row],[Draught]]*B)</f>
        <v>101.78571428571431</v>
      </c>
      <c r="AN9" s="899">
        <f>Tbl_Long_Hydro[[#This Row],[Aft X]]+Tbl_Long_Hydro[[#This Row],[LX]]/2</f>
        <v>30.000000000000004</v>
      </c>
      <c r="AO9" s="876">
        <f>IF(ISNUMBER(AO8),(2*Tbl_Long_Hydro[[#This Row],[LX]]+AK8)/(Tbl_Long_Hydro[[#This Row],[LX]]+AK8)*(Tbl_Long_Hydro[[#This Row],[Draught]]-V8)/3+V8,Tbl_Long_Hydro[[#This Row],[Draught]]/2)</f>
        <v>0.25005847953216376</v>
      </c>
      <c r="AP9" s="898">
        <f>IF(ISNUMBER(AP8),Tbl_Long_Hydro[[#This Row],[Volume elt]]+AP8,Tbl_Long_Hydro[[#This Row],[Volume elt]]*AO$4)</f>
        <v>303.21428571428578</v>
      </c>
      <c r="AQ9" s="893">
        <f>IF(ISNUMBER(AQ8),Tbl_Long_Hydro[[#This Row],[Displacement]]*AQ$4,IF(ISNA(AQ8),NA(),0))</f>
        <v>310.79464285714289</v>
      </c>
      <c r="AR9" s="900">
        <f>IF(ISNA(Tbl_Long_Hydro[[#This Row],[Draught]]),NA(),IFERROR(Tbl_Long_Hydro[[#This Row],[LX]]*B^3/12/Tbl_Long_Hydro[[#This Row],[Displacement]],0))</f>
        <v>112.28896741264232</v>
      </c>
      <c r="AS9" s="903">
        <f>IF(ISNA(Tbl_Long_Hydro[[#This Row],[Draught]]),NA(),IFERROR((B*Tbl_Long_Hydro[[#This Row],[LX]]^3/12+(Tbl_Long_Hydro[[#This Row],[LCF]]-Tbl_Long_Hydro[[#This Row],[LCB]])*Tbl_Long_Hydro[[#This Row],[Waterplane area]]*Tbl_Long_Hydro[[#This Row],[LCF]]^2)/Tbl_Long_Hydro[[#This Row],[Displacement]],0))</f>
        <v>732.20570619298167</v>
      </c>
      <c r="AT9" s="900">
        <f>Tbl_Long_Hydro[[#This Row],[Aft X]]+Tbl_Long_Hydro[[#This Row],[LX]]/2</f>
        <v>30.000000000000004</v>
      </c>
      <c r="AU9" s="901">
        <f>IF(ISNUMBER(AU8),(AU8*AP8+Tbl_Long_Hydro[[#This Row],[X CoG elt]]*Tbl_Long_Hydro[[#This Row],[Volume elt]])/Tbl_Long_Hydro[[#This Row],[Displacement]],Tbl_Long_Hydro[[#This Row],[X CoG elt]])</f>
        <v>29.999999999999996</v>
      </c>
      <c r="AV9" s="902">
        <f>IF(ISNA(Tbl_Long_Hydro[[#This Row],[Draught]]),NA(),0)</f>
        <v>0</v>
      </c>
      <c r="AW9" s="876">
        <f>IF(ISNUMBER(AW8),(AW8*AP8+Tbl_Long_Hydro[[#This Row],[Z CoG elt]]*Tbl_Long_Hydro[[#This Row],[Volume elt]])/Tbl_Long_Hydro[[#This Row],[Displacement]],Tbl_Long_Hydro[[#This Row],[Z CoG elt]])</f>
        <v>0.15053003533568904</v>
      </c>
      <c r="AX9" s="899">
        <f>Tbl_Long_Hydro[[#This Row],[RMT]]+Tbl_Long_Hydro[[#This Row],[VCB]]</f>
        <v>112.43949744797801</v>
      </c>
      <c r="AY9" s="904">
        <f>Tbl_Long_Hydro[[#This Row],[Displacement]]*Tbl_Long_Hydro[[#This Row],[RML]]/(100*Lpp)</f>
        <v>37.00253836653819</v>
      </c>
      <c r="AZ9" s="956">
        <f>Tbl_Long_Hydro[[#This Row],[Draught]]</f>
        <v>0.30000000000000004</v>
      </c>
      <c r="BA9" s="959">
        <f>Tbl_Long_Hydro[[#This Row],[Displacement]]</f>
        <v>303.21428571428578</v>
      </c>
      <c r="BB9" s="960">
        <f>Tbl_Long_Hydro[[#This Row],[Displac. SW]]</f>
        <v>310.79464285714289</v>
      </c>
      <c r="BC9" s="964">
        <f>Tbl_Long_Hydro[[#This Row],[Waterplane area]]/100*$AQ$4</f>
        <v>10.469642857142857</v>
      </c>
      <c r="BD9" s="961">
        <f>Tbl_Long_Hydro[[#This Row],[MCT]]</f>
        <v>37.00253836653819</v>
      </c>
      <c r="BE9" s="962">
        <f>Tbl_Long_Hydro[[#This Row],[LCB]]</f>
        <v>29.999999999999996</v>
      </c>
      <c r="BF9" s="962">
        <f>Tbl_Long_Hydro[[#This Row],[TCB]]</f>
        <v>0</v>
      </c>
      <c r="BG9" s="962">
        <f>Tbl_Long_Hydro[[#This Row],[LCF]]</f>
        <v>30.000000000000004</v>
      </c>
      <c r="BH9" s="963">
        <f>Tbl_Long_Hydro[[#This Row],[KMT]]</f>
        <v>112.43949744797801</v>
      </c>
    </row>
    <row r="10" spans="1:60" x14ac:dyDescent="0.25">
      <c r="H10" s="55"/>
      <c r="I10" s="55"/>
      <c r="K10" s="156">
        <f t="shared" si="1"/>
        <v>4</v>
      </c>
      <c r="L10" s="164">
        <f t="shared" si="2"/>
        <v>2</v>
      </c>
      <c r="M10" s="163">
        <f>MATCH(Tbl_Long_Section[[#This Row],[X]],Tbl_Long_Definition[X],1)</f>
        <v>1</v>
      </c>
      <c r="N10" s="157">
        <f>IF(Tbl_Long_Section[[#This Row],[Nline Prev]]&lt;COUNT(Tbl_Long_Definition[X]),Tbl_Long_Section[[#This Row],[Nline Prev]]+1,Tbl_Long_Section[[#This Row],[Nline Prev]])</f>
        <v>2</v>
      </c>
      <c r="O10" s="162">
        <f>INDEX(Tbl_Long_Definition[X],Tbl_Long_Section[[#This Row],[Nline Prev]])</f>
        <v>0</v>
      </c>
      <c r="P10" s="159">
        <f>INDEX(Tbl_Long_Definition[X],Tbl_Long_Section[[#This Row],[Nline Next]])</f>
        <v>5</v>
      </c>
      <c r="Q10" s="160">
        <f>INDEX(Tbl_Long_Definition[H Deck-Bott.],Tbl_Long_Section[[#This Row],[Nline Prev]])</f>
        <v>1.2</v>
      </c>
      <c r="R10" s="161">
        <f>INDEX(Tbl_Long_Definition[H Deck-Bott.],Tbl_Long_Section[[#This Row],[Nline Next]])</f>
        <v>4</v>
      </c>
      <c r="S10"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2.3200000000000003</v>
      </c>
      <c r="T10" s="8"/>
      <c r="V10" s="873">
        <f t="shared" si="3"/>
        <v>0.4</v>
      </c>
      <c r="W10" s="885">
        <f>MATCH(Tbl_Long_Hydro[[#This Row],[Draught]],Tbl_Long_Definition[H k-bott],-1)</f>
        <v>1</v>
      </c>
      <c r="X10"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10" s="886">
        <f>MATCH(Tbl_Long_Hydro[[#This Row],[Draught]],Tbl_Long_Definition[H k-bott],1)</f>
        <v>3</v>
      </c>
      <c r="Z10"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10" s="888">
        <f>IF(ISNA(Tbl_Long_Hydro[[#This Row],[Draught]]),NA(),IFERROR(INDEX(Tbl_Long_Definition[X],Tbl_Long_Hydro[[#This Row],[Aft Nline prev]]),0))</f>
        <v>0</v>
      </c>
      <c r="AB10" s="889">
        <f>IF(ISNA(Tbl_Long_Hydro[[#This Row],[Draught]]),NA(),IFERROR(INDEX(Tbl_Long_Definition[X],Tbl_Long_Hydro[[#This Row],[Aft Nline next]]),0))</f>
        <v>5</v>
      </c>
      <c r="AC10" s="889">
        <f>IF(ISNA(Tbl_Long_Hydro[[#This Row],[Draught]]),NA(),INDEX(Tbl_Long_Definition[H k-bott],Tbl_Long_Hydro[[#This Row],[Aft Nline prev]]))</f>
        <v>2.8</v>
      </c>
      <c r="AD10" s="889">
        <f>IF(ISNA(Tbl_Long_Hydro[[#This Row],[Draught]]),NA(),INDEX(Tbl_Long_Definition[H k-bott],Tbl_Long_Hydro[[#This Row],[Aft Nline next]]))</f>
        <v>0</v>
      </c>
      <c r="AE10" s="888">
        <f>IF(ISNA(Tbl_Long_Hydro[[#This Row],[Draught]]),NA(),IFERROR(INDEX(Tbl_Long_Definition[X],Tbl_Long_Hydro[[#This Row],[Fore Nline prev]]),0))</f>
        <v>55</v>
      </c>
      <c r="AF10" s="889">
        <f>IF(ISNA(Tbl_Long_Hydro[[#This Row],[Draught]]),NA(),IFERROR(INDEX(Tbl_Long_Definition[X],Tbl_Long_Hydro[[#This Row],[Fore Nline next]]),0))</f>
        <v>60</v>
      </c>
      <c r="AG10" s="889">
        <f>IF(ISNA(Tbl_Long_Hydro[[#This Row],[Draught]]),NA(),INDEX(Tbl_Long_Definition[H k-bott],Tbl_Long_Hydro[[#This Row],[Fore Nline prev]]))</f>
        <v>0</v>
      </c>
      <c r="AH10" s="890">
        <f>IF(ISNA(Tbl_Long_Hydro[[#This Row],[Draught]]),NA(),INDEX(Tbl_Long_Definition[H k-bott],Tbl_Long_Hydro[[#This Row],[Fore Nline next]]))</f>
        <v>2.8</v>
      </c>
      <c r="AI10"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4.2857142857142865</v>
      </c>
      <c r="AJ10"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55.714285714285722</v>
      </c>
      <c r="AK10" s="894">
        <f>Tbl_Long_Hydro[[#This Row],[Fore X]]-Tbl_Long_Hydro[[#This Row],[Aft X]]</f>
        <v>51.428571428571438</v>
      </c>
      <c r="AL10" s="884">
        <f>Tbl_Long_Hydro[[#This Row],[LX]]*B</f>
        <v>1028.5714285714287</v>
      </c>
      <c r="AM10" s="892">
        <f>IF(ISNUMBER(AM9),(AK9+Tbl_Long_Hydro[[#This Row],[LX]])*(Tbl_Long_Hydro[[#This Row],[Draught]]-V9)/2*B,(Tbl_Long_Hydro[[#This Row],[LX]])*Tbl_Long_Hydro[[#This Row],[Draught]]*B)</f>
        <v>102.5</v>
      </c>
      <c r="AN10" s="899">
        <f>Tbl_Long_Hydro[[#This Row],[Aft X]]+Tbl_Long_Hydro[[#This Row],[LX]]/2</f>
        <v>30.000000000000007</v>
      </c>
      <c r="AO10" s="876">
        <f>IF(ISNUMBER(AO9),(2*Tbl_Long_Hydro[[#This Row],[LX]]+AK9)/(Tbl_Long_Hydro[[#This Row],[LX]]+AK9)*(Tbl_Long_Hydro[[#This Row],[Draught]]-V9)/3+V9,Tbl_Long_Hydro[[#This Row],[Draught]]/2)</f>
        <v>0.35005807200929157</v>
      </c>
      <c r="AP10" s="898">
        <f>IF(ISNUMBER(AP9),Tbl_Long_Hydro[[#This Row],[Volume elt]]+AP9,Tbl_Long_Hydro[[#This Row],[Volume elt]]*AO$4)</f>
        <v>405.71428571428578</v>
      </c>
      <c r="AQ10" s="893">
        <f>IF(ISNUMBER(AQ9),Tbl_Long_Hydro[[#This Row],[Displacement]]*AQ$4,IF(ISNA(AQ9),NA(),0))</f>
        <v>415.85714285714289</v>
      </c>
      <c r="AR10" s="900">
        <f>IF(ISNA(Tbl_Long_Hydro[[#This Row],[Draught]]),NA(),IFERROR(Tbl_Long_Hydro[[#This Row],[LX]]*B^3/12/Tbl_Long_Hydro[[#This Row],[Displacement]],0))</f>
        <v>84.507042253521121</v>
      </c>
      <c r="AS10" s="903">
        <f>IF(ISNA(Tbl_Long_Hydro[[#This Row],[Draught]]),NA(),IFERROR((B*Tbl_Long_Hydro[[#This Row],[LX]]^3/12+(Tbl_Long_Hydro[[#This Row],[LCF]]-Tbl_Long_Hydro[[#This Row],[LCB]])*Tbl_Long_Hydro[[#This Row],[Waterplane area]]*Tbl_Long_Hydro[[#This Row],[LCF]]^2)/Tbl_Long_Hydro[[#This Row],[Displacement]],0))</f>
        <v>558.78125898249073</v>
      </c>
      <c r="AT10" s="900">
        <f>Tbl_Long_Hydro[[#This Row],[Aft X]]+Tbl_Long_Hydro[[#This Row],[LX]]/2</f>
        <v>30.000000000000007</v>
      </c>
      <c r="AU10" s="901">
        <f>IF(ISNUMBER(AU9),(AU9*AP9+Tbl_Long_Hydro[[#This Row],[X CoG elt]]*Tbl_Long_Hydro[[#This Row],[Volume elt]])/Tbl_Long_Hydro[[#This Row],[Displacement]],Tbl_Long_Hydro[[#This Row],[X CoG elt]])</f>
        <v>29.999999999999996</v>
      </c>
      <c r="AV10" s="902">
        <f>IF(ISNA(Tbl_Long_Hydro[[#This Row],[Draught]]),NA(),0)</f>
        <v>0</v>
      </c>
      <c r="AW10" s="876">
        <f>IF(ISNUMBER(AW9),(AW9*AP9+Tbl_Long_Hydro[[#This Row],[Z CoG elt]]*Tbl_Long_Hydro[[#This Row],[Volume elt]])/Tbl_Long_Hydro[[#This Row],[Displacement]],Tbl_Long_Hydro[[#This Row],[Z CoG elt]])</f>
        <v>0.20093896713615025</v>
      </c>
      <c r="AX10" s="899">
        <f>Tbl_Long_Hydro[[#This Row],[RMT]]+Tbl_Long_Hydro[[#This Row],[VCB]]</f>
        <v>84.707981220657274</v>
      </c>
      <c r="AY10" s="904">
        <f>Tbl_Long_Hydro[[#This Row],[Displacement]]*Tbl_Long_Hydro[[#This Row],[RML]]/(100*Lpp)</f>
        <v>37.784256559768423</v>
      </c>
      <c r="AZ10" s="956">
        <f>Tbl_Long_Hydro[[#This Row],[Draught]]</f>
        <v>0.4</v>
      </c>
      <c r="BA10" s="959">
        <f>Tbl_Long_Hydro[[#This Row],[Displacement]]</f>
        <v>405.71428571428578</v>
      </c>
      <c r="BB10" s="960">
        <f>Tbl_Long_Hydro[[#This Row],[Displac. SW]]</f>
        <v>415.85714285714289</v>
      </c>
      <c r="BC10" s="964">
        <f>Tbl_Long_Hydro[[#This Row],[Waterplane area]]/100*$AQ$4</f>
        <v>10.542857142857143</v>
      </c>
      <c r="BD10" s="961">
        <f>Tbl_Long_Hydro[[#This Row],[MCT]]</f>
        <v>37.784256559768423</v>
      </c>
      <c r="BE10" s="962">
        <f>Tbl_Long_Hydro[[#This Row],[LCB]]</f>
        <v>29.999999999999996</v>
      </c>
      <c r="BF10" s="962">
        <f>Tbl_Long_Hydro[[#This Row],[TCB]]</f>
        <v>0</v>
      </c>
      <c r="BG10" s="962">
        <f>Tbl_Long_Hydro[[#This Row],[LCF]]</f>
        <v>30.000000000000007</v>
      </c>
      <c r="BH10" s="963">
        <f>Tbl_Long_Hydro[[#This Row],[KMT]]</f>
        <v>84.707981220657274</v>
      </c>
    </row>
    <row r="11" spans="1:60" x14ac:dyDescent="0.25">
      <c r="H11" s="1055" t="s">
        <v>439</v>
      </c>
      <c r="I11" s="1056"/>
      <c r="K11" s="156">
        <f t="shared" si="1"/>
        <v>5</v>
      </c>
      <c r="L11" s="164">
        <f t="shared" si="2"/>
        <v>2.5</v>
      </c>
      <c r="M11" s="163">
        <f>MATCH(Tbl_Long_Section[[#This Row],[X]],Tbl_Long_Definition[X],1)</f>
        <v>1</v>
      </c>
      <c r="N11" s="157">
        <f>IF(Tbl_Long_Section[[#This Row],[Nline Prev]]&lt;COUNT(Tbl_Long_Definition[X]),Tbl_Long_Section[[#This Row],[Nline Prev]]+1,Tbl_Long_Section[[#This Row],[Nline Prev]])</f>
        <v>2</v>
      </c>
      <c r="O11" s="162">
        <f>INDEX(Tbl_Long_Definition[X],Tbl_Long_Section[[#This Row],[Nline Prev]])</f>
        <v>0</v>
      </c>
      <c r="P11" s="159">
        <f>INDEX(Tbl_Long_Definition[X],Tbl_Long_Section[[#This Row],[Nline Next]])</f>
        <v>5</v>
      </c>
      <c r="Q11" s="160">
        <f>INDEX(Tbl_Long_Definition[H Deck-Bott.],Tbl_Long_Section[[#This Row],[Nline Prev]])</f>
        <v>1.2</v>
      </c>
      <c r="R11" s="161">
        <f>INDEX(Tbl_Long_Definition[H Deck-Bott.],Tbl_Long_Section[[#This Row],[Nline Next]])</f>
        <v>4</v>
      </c>
      <c r="S11"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2.6</v>
      </c>
      <c r="T11" s="8"/>
      <c r="V11" s="873">
        <f t="shared" si="3"/>
        <v>0.5</v>
      </c>
      <c r="W11" s="885">
        <f>MATCH(Tbl_Long_Hydro[[#This Row],[Draught]],Tbl_Long_Definition[H k-bott],-1)</f>
        <v>1</v>
      </c>
      <c r="X11"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11" s="886">
        <f>MATCH(Tbl_Long_Hydro[[#This Row],[Draught]],Tbl_Long_Definition[H k-bott],1)</f>
        <v>3</v>
      </c>
      <c r="Z11"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11" s="888">
        <f>IF(ISNA(Tbl_Long_Hydro[[#This Row],[Draught]]),NA(),IFERROR(INDEX(Tbl_Long_Definition[X],Tbl_Long_Hydro[[#This Row],[Aft Nline prev]]),0))</f>
        <v>0</v>
      </c>
      <c r="AB11" s="889">
        <f>IF(ISNA(Tbl_Long_Hydro[[#This Row],[Draught]]),NA(),IFERROR(INDEX(Tbl_Long_Definition[X],Tbl_Long_Hydro[[#This Row],[Aft Nline next]]),0))</f>
        <v>5</v>
      </c>
      <c r="AC11" s="889">
        <f>IF(ISNA(Tbl_Long_Hydro[[#This Row],[Draught]]),NA(),INDEX(Tbl_Long_Definition[H k-bott],Tbl_Long_Hydro[[#This Row],[Aft Nline prev]]))</f>
        <v>2.8</v>
      </c>
      <c r="AD11" s="889">
        <f>IF(ISNA(Tbl_Long_Hydro[[#This Row],[Draught]]),NA(),INDEX(Tbl_Long_Definition[H k-bott],Tbl_Long_Hydro[[#This Row],[Aft Nline next]]))</f>
        <v>0</v>
      </c>
      <c r="AE11" s="888">
        <f>IF(ISNA(Tbl_Long_Hydro[[#This Row],[Draught]]),NA(),IFERROR(INDEX(Tbl_Long_Definition[X],Tbl_Long_Hydro[[#This Row],[Fore Nline prev]]),0))</f>
        <v>55</v>
      </c>
      <c r="AF11" s="889">
        <f>IF(ISNA(Tbl_Long_Hydro[[#This Row],[Draught]]),NA(),IFERROR(INDEX(Tbl_Long_Definition[X],Tbl_Long_Hydro[[#This Row],[Fore Nline next]]),0))</f>
        <v>60</v>
      </c>
      <c r="AG11" s="889">
        <f>IF(ISNA(Tbl_Long_Hydro[[#This Row],[Draught]]),NA(),INDEX(Tbl_Long_Definition[H k-bott],Tbl_Long_Hydro[[#This Row],[Fore Nline prev]]))</f>
        <v>0</v>
      </c>
      <c r="AH11" s="890">
        <f>IF(ISNA(Tbl_Long_Hydro[[#This Row],[Draught]]),NA(),INDEX(Tbl_Long_Definition[H k-bott],Tbl_Long_Hydro[[#This Row],[Fore Nline next]]))</f>
        <v>2.8</v>
      </c>
      <c r="AI11"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4.1071428571428568</v>
      </c>
      <c r="AJ11"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55.892857142857139</v>
      </c>
      <c r="AK11" s="894">
        <f>Tbl_Long_Hydro[[#This Row],[Fore X]]-Tbl_Long_Hydro[[#This Row],[Aft X]]</f>
        <v>51.785714285714285</v>
      </c>
      <c r="AL11" s="884">
        <f>Tbl_Long_Hydro[[#This Row],[LX]]*B</f>
        <v>1035.7142857142858</v>
      </c>
      <c r="AM11" s="892">
        <f>IF(ISNUMBER(AM10),(AK10+Tbl_Long_Hydro[[#This Row],[LX]])*(Tbl_Long_Hydro[[#This Row],[Draught]]-V10)/2*B,(Tbl_Long_Hydro[[#This Row],[LX]])*Tbl_Long_Hydro[[#This Row],[Draught]]*B)</f>
        <v>103.21428571428569</v>
      </c>
      <c r="AN11" s="899">
        <f>Tbl_Long_Hydro[[#This Row],[Aft X]]+Tbl_Long_Hydro[[#This Row],[LX]]/2</f>
        <v>30</v>
      </c>
      <c r="AO11" s="876">
        <f>IF(ISNUMBER(AO10),(2*Tbl_Long_Hydro[[#This Row],[LX]]+AK10)/(Tbl_Long_Hydro[[#This Row],[LX]]+AK10)*(Tbl_Long_Hydro[[#This Row],[Draught]]-V10)/3+V10,Tbl_Long_Hydro[[#This Row],[Draught]]/2)</f>
        <v>0.45005767012687431</v>
      </c>
      <c r="AP11" s="898">
        <f>IF(ISNUMBER(AP10),Tbl_Long_Hydro[[#This Row],[Volume elt]]+AP10,Tbl_Long_Hydro[[#This Row],[Volume elt]]*AO$4)</f>
        <v>508.92857142857144</v>
      </c>
      <c r="AQ11" s="893">
        <f>IF(ISNUMBER(AQ10),Tbl_Long_Hydro[[#This Row],[Displacement]]*AQ$4,IF(ISNA(AQ10),NA(),0))</f>
        <v>521.65178571428567</v>
      </c>
      <c r="AR11" s="900">
        <f>IF(ISNA(Tbl_Long_Hydro[[#This Row],[Draught]]),NA(),IFERROR(Tbl_Long_Hydro[[#This Row],[LX]]*B^3/12/Tbl_Long_Hydro[[#This Row],[Displacement]],0))</f>
        <v>67.836257309941516</v>
      </c>
      <c r="AS11" s="903">
        <f>IF(ISNA(Tbl_Long_Hydro[[#This Row],[Draught]]),NA(),IFERROR((B*Tbl_Long_Hydro[[#This Row],[LX]]^3/12+(Tbl_Long_Hydro[[#This Row],[LCF]]-Tbl_Long_Hydro[[#This Row],[LCB]])*Tbl_Long_Hydro[[#This Row],[Waterplane area]]*Tbl_Long_Hydro[[#This Row],[LCF]]^2)/Tbl_Long_Hydro[[#This Row],[Displacement]],0))</f>
        <v>454.80143811910727</v>
      </c>
      <c r="AT11" s="900">
        <f>Tbl_Long_Hydro[[#This Row],[Aft X]]+Tbl_Long_Hydro[[#This Row],[LX]]/2</f>
        <v>30</v>
      </c>
      <c r="AU11" s="901">
        <f>IF(ISNUMBER(AU10),(AU10*AP10+Tbl_Long_Hydro[[#This Row],[X CoG elt]]*Tbl_Long_Hydro[[#This Row],[Volume elt]])/Tbl_Long_Hydro[[#This Row],[Displacement]],Tbl_Long_Hydro[[#This Row],[X CoG elt]])</f>
        <v>30</v>
      </c>
      <c r="AV11" s="902">
        <f>IF(ISNA(Tbl_Long_Hydro[[#This Row],[Draught]]),NA(),0)</f>
        <v>0</v>
      </c>
      <c r="AW11" s="876">
        <f>IF(ISNUMBER(AW10),(AW10*AP10+Tbl_Long_Hydro[[#This Row],[Z CoG elt]]*Tbl_Long_Hydro[[#This Row],[Volume elt]])/Tbl_Long_Hydro[[#This Row],[Displacement]],Tbl_Long_Hydro[[#This Row],[Z CoG elt]])</f>
        <v>0.25146198830409361</v>
      </c>
      <c r="AX11" s="899">
        <f>Tbl_Long_Hydro[[#This Row],[RMT]]+Tbl_Long_Hydro[[#This Row],[VCB]]</f>
        <v>68.087719298245617</v>
      </c>
      <c r="AY11" s="904">
        <f>Tbl_Long_Hydro[[#This Row],[Displacement]]*Tbl_Long_Hydro[[#This Row],[RML]]/(100*Lpp)</f>
        <v>38.576907697602849</v>
      </c>
      <c r="AZ11" s="956">
        <f>Tbl_Long_Hydro[[#This Row],[Draught]]</f>
        <v>0.5</v>
      </c>
      <c r="BA11" s="959">
        <f>Tbl_Long_Hydro[[#This Row],[Displacement]]</f>
        <v>508.92857142857144</v>
      </c>
      <c r="BB11" s="960">
        <f>Tbl_Long_Hydro[[#This Row],[Displac. SW]]</f>
        <v>521.65178571428567</v>
      </c>
      <c r="BC11" s="964">
        <f>Tbl_Long_Hydro[[#This Row],[Waterplane area]]/100*$AQ$4</f>
        <v>10.616071428571429</v>
      </c>
      <c r="BD11" s="961">
        <f>Tbl_Long_Hydro[[#This Row],[MCT]]</f>
        <v>38.576907697602849</v>
      </c>
      <c r="BE11" s="962">
        <f>Tbl_Long_Hydro[[#This Row],[LCB]]</f>
        <v>30</v>
      </c>
      <c r="BF11" s="962">
        <f>Tbl_Long_Hydro[[#This Row],[TCB]]</f>
        <v>0</v>
      </c>
      <c r="BG11" s="962">
        <f>Tbl_Long_Hydro[[#This Row],[LCF]]</f>
        <v>30</v>
      </c>
      <c r="BH11" s="963">
        <f>Tbl_Long_Hydro[[#This Row],[KMT]]</f>
        <v>68.087719298245617</v>
      </c>
    </row>
    <row r="12" spans="1:60" x14ac:dyDescent="0.25">
      <c r="K12" s="156">
        <f t="shared" si="1"/>
        <v>6</v>
      </c>
      <c r="L12" s="164">
        <f t="shared" si="2"/>
        <v>3</v>
      </c>
      <c r="M12" s="163">
        <f>MATCH(Tbl_Long_Section[[#This Row],[X]],Tbl_Long_Definition[X],1)</f>
        <v>1</v>
      </c>
      <c r="N12" s="157">
        <f>IF(Tbl_Long_Section[[#This Row],[Nline Prev]]&lt;COUNT(Tbl_Long_Definition[X]),Tbl_Long_Section[[#This Row],[Nline Prev]]+1,Tbl_Long_Section[[#This Row],[Nline Prev]])</f>
        <v>2</v>
      </c>
      <c r="O12" s="162">
        <f>INDEX(Tbl_Long_Definition[X],Tbl_Long_Section[[#This Row],[Nline Prev]])</f>
        <v>0</v>
      </c>
      <c r="P12" s="159">
        <f>INDEX(Tbl_Long_Definition[X],Tbl_Long_Section[[#This Row],[Nline Next]])</f>
        <v>5</v>
      </c>
      <c r="Q12" s="160">
        <f>INDEX(Tbl_Long_Definition[H Deck-Bott.],Tbl_Long_Section[[#This Row],[Nline Prev]])</f>
        <v>1.2</v>
      </c>
      <c r="R12" s="161">
        <f>INDEX(Tbl_Long_Definition[H Deck-Bott.],Tbl_Long_Section[[#This Row],[Nline Next]])</f>
        <v>4</v>
      </c>
      <c r="S12"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2.88</v>
      </c>
      <c r="T12" s="8"/>
      <c r="V12" s="873">
        <f t="shared" si="3"/>
        <v>0.6</v>
      </c>
      <c r="W12" s="885">
        <f>MATCH(Tbl_Long_Hydro[[#This Row],[Draught]],Tbl_Long_Definition[H k-bott],-1)</f>
        <v>1</v>
      </c>
      <c r="X12"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12" s="886">
        <f>MATCH(Tbl_Long_Hydro[[#This Row],[Draught]],Tbl_Long_Definition[H k-bott],1)</f>
        <v>3</v>
      </c>
      <c r="Z12"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12" s="888">
        <f>IF(ISNA(Tbl_Long_Hydro[[#This Row],[Draught]]),NA(),IFERROR(INDEX(Tbl_Long_Definition[X],Tbl_Long_Hydro[[#This Row],[Aft Nline prev]]),0))</f>
        <v>0</v>
      </c>
      <c r="AB12" s="889">
        <f>IF(ISNA(Tbl_Long_Hydro[[#This Row],[Draught]]),NA(),IFERROR(INDEX(Tbl_Long_Definition[X],Tbl_Long_Hydro[[#This Row],[Aft Nline next]]),0))</f>
        <v>5</v>
      </c>
      <c r="AC12" s="889">
        <f>IF(ISNA(Tbl_Long_Hydro[[#This Row],[Draught]]),NA(),INDEX(Tbl_Long_Definition[H k-bott],Tbl_Long_Hydro[[#This Row],[Aft Nline prev]]))</f>
        <v>2.8</v>
      </c>
      <c r="AD12" s="889">
        <f>IF(ISNA(Tbl_Long_Hydro[[#This Row],[Draught]]),NA(),INDEX(Tbl_Long_Definition[H k-bott],Tbl_Long_Hydro[[#This Row],[Aft Nline next]]))</f>
        <v>0</v>
      </c>
      <c r="AE12" s="888">
        <f>IF(ISNA(Tbl_Long_Hydro[[#This Row],[Draught]]),NA(),IFERROR(INDEX(Tbl_Long_Definition[X],Tbl_Long_Hydro[[#This Row],[Fore Nline prev]]),0))</f>
        <v>55</v>
      </c>
      <c r="AF12" s="889">
        <f>IF(ISNA(Tbl_Long_Hydro[[#This Row],[Draught]]),NA(),IFERROR(INDEX(Tbl_Long_Definition[X],Tbl_Long_Hydro[[#This Row],[Fore Nline next]]),0))</f>
        <v>60</v>
      </c>
      <c r="AG12" s="889">
        <f>IF(ISNA(Tbl_Long_Hydro[[#This Row],[Draught]]),NA(),INDEX(Tbl_Long_Definition[H k-bott],Tbl_Long_Hydro[[#This Row],[Fore Nline prev]]))</f>
        <v>0</v>
      </c>
      <c r="AH12" s="890">
        <f>IF(ISNA(Tbl_Long_Hydro[[#This Row],[Draught]]),NA(),INDEX(Tbl_Long_Definition[H k-bott],Tbl_Long_Hydro[[#This Row],[Fore Nline next]]))</f>
        <v>2.8</v>
      </c>
      <c r="AI12"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3.9285714285714284</v>
      </c>
      <c r="AJ12"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56.071428571428569</v>
      </c>
      <c r="AK12" s="894">
        <f>Tbl_Long_Hydro[[#This Row],[Fore X]]-Tbl_Long_Hydro[[#This Row],[Aft X]]</f>
        <v>52.142857142857139</v>
      </c>
      <c r="AL12" s="884">
        <f>Tbl_Long_Hydro[[#This Row],[LX]]*B</f>
        <v>1042.8571428571427</v>
      </c>
      <c r="AM12" s="892">
        <f>IF(ISNUMBER(AM11),(AK11+Tbl_Long_Hydro[[#This Row],[LX]])*(Tbl_Long_Hydro[[#This Row],[Draught]]-V11)/2*B,(Tbl_Long_Hydro[[#This Row],[LX]])*Tbl_Long_Hydro[[#This Row],[Draught]]*B)</f>
        <v>103.92857142857139</v>
      </c>
      <c r="AN12" s="899">
        <f>Tbl_Long_Hydro[[#This Row],[Aft X]]+Tbl_Long_Hydro[[#This Row],[LX]]/2</f>
        <v>29.999999999999996</v>
      </c>
      <c r="AO12" s="876">
        <f>IF(ISNUMBER(AO11),(2*Tbl_Long_Hydro[[#This Row],[LX]]+AK11)/(Tbl_Long_Hydro[[#This Row],[LX]]+AK11)*(Tbl_Long_Hydro[[#This Row],[Draught]]-V11)/3+V11,Tbl_Long_Hydro[[#This Row],[Draught]]/2)</f>
        <v>0.55005727376861402</v>
      </c>
      <c r="AP12" s="898">
        <f>IF(ISNUMBER(AP11),Tbl_Long_Hydro[[#This Row],[Volume elt]]+AP11,Tbl_Long_Hydro[[#This Row],[Volume elt]]*AO$4)</f>
        <v>612.85714285714289</v>
      </c>
      <c r="AQ12" s="893">
        <f>IF(ISNUMBER(AQ11),Tbl_Long_Hydro[[#This Row],[Displacement]]*AQ$4,IF(ISNA(AQ11),NA(),0))</f>
        <v>628.17857142857144</v>
      </c>
      <c r="AR12" s="900">
        <f>IF(ISNA(Tbl_Long_Hydro[[#This Row],[Draught]]),NA(),IFERROR(Tbl_Long_Hydro[[#This Row],[LX]]*B^3/12/Tbl_Long_Hydro[[#This Row],[Displacement]],0))</f>
        <v>56.721056721056705</v>
      </c>
      <c r="AS12" s="903">
        <f>IF(ISNA(Tbl_Long_Hydro[[#This Row],[Draught]]),NA(),IFERROR((B*Tbl_Long_Hydro[[#This Row],[LX]]^3/12+(Tbl_Long_Hydro[[#This Row],[LCF]]-Tbl_Long_Hydro[[#This Row],[LCB]])*Tbl_Long_Hydro[[#This Row],[Waterplane area]]*Tbl_Long_Hydro[[#This Row],[LCF]]^2)/Tbl_Long_Hydro[[#This Row],[Displacement]],0))</f>
        <v>385.54401947259623</v>
      </c>
      <c r="AT12" s="900">
        <f>Tbl_Long_Hydro[[#This Row],[Aft X]]+Tbl_Long_Hydro[[#This Row],[LX]]/2</f>
        <v>29.999999999999996</v>
      </c>
      <c r="AU12" s="901">
        <f>IF(ISNUMBER(AU11),(AU11*AP11+Tbl_Long_Hydro[[#This Row],[X CoG elt]]*Tbl_Long_Hydro[[#This Row],[Volume elt]])/Tbl_Long_Hydro[[#This Row],[Displacement]],Tbl_Long_Hydro[[#This Row],[X CoG elt]])</f>
        <v>29.999999999999993</v>
      </c>
      <c r="AV12" s="902">
        <f>IF(ISNA(Tbl_Long_Hydro[[#This Row],[Draught]]),NA(),0)</f>
        <v>0</v>
      </c>
      <c r="AW12" s="876">
        <f>IF(ISNUMBER(AW11),(AW11*AP11+Tbl_Long_Hydro[[#This Row],[Z CoG elt]]*Tbl_Long_Hydro[[#This Row],[Volume elt]])/Tbl_Long_Hydro[[#This Row],[Displacement]],Tbl_Long_Hydro[[#This Row],[Z CoG elt]])</f>
        <v>0.30209790209790205</v>
      </c>
      <c r="AX12" s="899">
        <f>Tbl_Long_Hydro[[#This Row],[RMT]]+Tbl_Long_Hydro[[#This Row],[VCB]]</f>
        <v>57.02315462315461</v>
      </c>
      <c r="AY12" s="904">
        <f>Tbl_Long_Hydro[[#This Row],[Displacement]]*Tbl_Long_Hydro[[#This Row],[RML]]/(100*Lpp)</f>
        <v>39.380567703272334</v>
      </c>
      <c r="AZ12" s="956">
        <f>Tbl_Long_Hydro[[#This Row],[Draught]]</f>
        <v>0.6</v>
      </c>
      <c r="BA12" s="959">
        <f>Tbl_Long_Hydro[[#This Row],[Displacement]]</f>
        <v>612.85714285714289</v>
      </c>
      <c r="BB12" s="960">
        <f>Tbl_Long_Hydro[[#This Row],[Displac. SW]]</f>
        <v>628.17857142857144</v>
      </c>
      <c r="BC12" s="964">
        <f>Tbl_Long_Hydro[[#This Row],[Waterplane area]]/100*$AQ$4</f>
        <v>10.689285714285711</v>
      </c>
      <c r="BD12" s="961">
        <f>Tbl_Long_Hydro[[#This Row],[MCT]]</f>
        <v>39.380567703272334</v>
      </c>
      <c r="BE12" s="962">
        <f>Tbl_Long_Hydro[[#This Row],[LCB]]</f>
        <v>29.999999999999993</v>
      </c>
      <c r="BF12" s="962">
        <f>Tbl_Long_Hydro[[#This Row],[TCB]]</f>
        <v>0</v>
      </c>
      <c r="BG12" s="962">
        <f>Tbl_Long_Hydro[[#This Row],[LCF]]</f>
        <v>29.999999999999996</v>
      </c>
      <c r="BH12" s="963">
        <f>Tbl_Long_Hydro[[#This Row],[KMT]]</f>
        <v>57.02315462315461</v>
      </c>
    </row>
    <row r="13" spans="1:60" x14ac:dyDescent="0.25">
      <c r="H13" s="867" t="s">
        <v>17</v>
      </c>
      <c r="I13" s="868" t="s">
        <v>18</v>
      </c>
      <c r="K13" s="156">
        <f t="shared" si="1"/>
        <v>7</v>
      </c>
      <c r="L13" s="164">
        <f t="shared" si="2"/>
        <v>3.5</v>
      </c>
      <c r="M13" s="163">
        <f>MATCH(Tbl_Long_Section[[#This Row],[X]],Tbl_Long_Definition[X],1)</f>
        <v>1</v>
      </c>
      <c r="N13" s="157">
        <f>IF(Tbl_Long_Section[[#This Row],[Nline Prev]]&lt;COUNT(Tbl_Long_Definition[X]),Tbl_Long_Section[[#This Row],[Nline Prev]]+1,Tbl_Long_Section[[#This Row],[Nline Prev]])</f>
        <v>2</v>
      </c>
      <c r="O13" s="162">
        <f>INDEX(Tbl_Long_Definition[X],Tbl_Long_Section[[#This Row],[Nline Prev]])</f>
        <v>0</v>
      </c>
      <c r="P13" s="159">
        <f>INDEX(Tbl_Long_Definition[X],Tbl_Long_Section[[#This Row],[Nline Next]])</f>
        <v>5</v>
      </c>
      <c r="Q13" s="160">
        <f>INDEX(Tbl_Long_Definition[H Deck-Bott.],Tbl_Long_Section[[#This Row],[Nline Prev]])</f>
        <v>1.2</v>
      </c>
      <c r="R13" s="161">
        <f>INDEX(Tbl_Long_Definition[H Deck-Bott.],Tbl_Long_Section[[#This Row],[Nline Next]])</f>
        <v>4</v>
      </c>
      <c r="S13"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3.1599999999999997</v>
      </c>
      <c r="T13" s="8"/>
      <c r="V13" s="873">
        <f t="shared" si="3"/>
        <v>0.7</v>
      </c>
      <c r="W13" s="885">
        <f>MATCH(Tbl_Long_Hydro[[#This Row],[Draught]],Tbl_Long_Definition[H k-bott],-1)</f>
        <v>1</v>
      </c>
      <c r="X13"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13" s="886">
        <f>MATCH(Tbl_Long_Hydro[[#This Row],[Draught]],Tbl_Long_Definition[H k-bott],1)</f>
        <v>3</v>
      </c>
      <c r="Z13"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13" s="888">
        <f>IF(ISNA(Tbl_Long_Hydro[[#This Row],[Draught]]),NA(),IFERROR(INDEX(Tbl_Long_Definition[X],Tbl_Long_Hydro[[#This Row],[Aft Nline prev]]),0))</f>
        <v>0</v>
      </c>
      <c r="AB13" s="889">
        <f>IF(ISNA(Tbl_Long_Hydro[[#This Row],[Draught]]),NA(),IFERROR(INDEX(Tbl_Long_Definition[X],Tbl_Long_Hydro[[#This Row],[Aft Nline next]]),0))</f>
        <v>5</v>
      </c>
      <c r="AC13" s="889">
        <f>IF(ISNA(Tbl_Long_Hydro[[#This Row],[Draught]]),NA(),INDEX(Tbl_Long_Definition[H k-bott],Tbl_Long_Hydro[[#This Row],[Aft Nline prev]]))</f>
        <v>2.8</v>
      </c>
      <c r="AD13" s="889">
        <f>IF(ISNA(Tbl_Long_Hydro[[#This Row],[Draught]]),NA(),INDEX(Tbl_Long_Definition[H k-bott],Tbl_Long_Hydro[[#This Row],[Aft Nline next]]))</f>
        <v>0</v>
      </c>
      <c r="AE13" s="888">
        <f>IF(ISNA(Tbl_Long_Hydro[[#This Row],[Draught]]),NA(),IFERROR(INDEX(Tbl_Long_Definition[X],Tbl_Long_Hydro[[#This Row],[Fore Nline prev]]),0))</f>
        <v>55</v>
      </c>
      <c r="AF13" s="889">
        <f>IF(ISNA(Tbl_Long_Hydro[[#This Row],[Draught]]),NA(),IFERROR(INDEX(Tbl_Long_Definition[X],Tbl_Long_Hydro[[#This Row],[Fore Nline next]]),0))</f>
        <v>60</v>
      </c>
      <c r="AG13" s="889">
        <f>IF(ISNA(Tbl_Long_Hydro[[#This Row],[Draught]]),NA(),INDEX(Tbl_Long_Definition[H k-bott],Tbl_Long_Hydro[[#This Row],[Fore Nline prev]]))</f>
        <v>0</v>
      </c>
      <c r="AH13" s="890">
        <f>IF(ISNA(Tbl_Long_Hydro[[#This Row],[Draught]]),NA(),INDEX(Tbl_Long_Definition[H k-bott],Tbl_Long_Hydro[[#This Row],[Fore Nline next]]))</f>
        <v>2.8</v>
      </c>
      <c r="AI13"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3.7499999999999996</v>
      </c>
      <c r="AJ13"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56.249999999999993</v>
      </c>
      <c r="AK13" s="894">
        <f>Tbl_Long_Hydro[[#This Row],[Fore X]]-Tbl_Long_Hydro[[#This Row],[Aft X]]</f>
        <v>52.499999999999993</v>
      </c>
      <c r="AL13" s="884">
        <f>Tbl_Long_Hydro[[#This Row],[LX]]*B</f>
        <v>1049.9999999999998</v>
      </c>
      <c r="AM13" s="892">
        <f>IF(ISNUMBER(AM12),(AK12+Tbl_Long_Hydro[[#This Row],[LX]])*(Tbl_Long_Hydro[[#This Row],[Draught]]-V12)/2*B,(Tbl_Long_Hydro[[#This Row],[LX]])*Tbl_Long_Hydro[[#This Row],[Draught]]*B)</f>
        <v>104.64285714285711</v>
      </c>
      <c r="AN13" s="899">
        <f>Tbl_Long_Hydro[[#This Row],[Aft X]]+Tbl_Long_Hydro[[#This Row],[LX]]/2</f>
        <v>29.999999999999996</v>
      </c>
      <c r="AO13" s="876">
        <f>IF(ISNUMBER(AO12),(2*Tbl_Long_Hydro[[#This Row],[LX]]+AK12)/(Tbl_Long_Hydro[[#This Row],[LX]]+AK12)*(Tbl_Long_Hydro[[#This Row],[Draught]]-V12)/3+V12,Tbl_Long_Hydro[[#This Row],[Draught]]/2)</f>
        <v>0.65005688282138785</v>
      </c>
      <c r="AP13" s="898">
        <f>IF(ISNUMBER(AP12),Tbl_Long_Hydro[[#This Row],[Volume elt]]+AP12,Tbl_Long_Hydro[[#This Row],[Volume elt]]*AO$4)</f>
        <v>717.5</v>
      </c>
      <c r="AQ13" s="893">
        <f>IF(ISNUMBER(AQ12),Tbl_Long_Hydro[[#This Row],[Displacement]]*AQ$4,IF(ISNA(AQ12),NA(),0))</f>
        <v>735.43749999999989</v>
      </c>
      <c r="AR13" s="900">
        <f>IF(ISNA(Tbl_Long_Hydro[[#This Row],[Draught]]),NA(),IFERROR(Tbl_Long_Hydro[[#This Row],[LX]]*B^3/12/Tbl_Long_Hydro[[#This Row],[Displacement]],0))</f>
        <v>48.780487804878035</v>
      </c>
      <c r="AS13" s="903">
        <f>IF(ISNA(Tbl_Long_Hydro[[#This Row],[Draught]]),NA(),IFERROR((B*Tbl_Long_Hydro[[#This Row],[LX]]^3/12+(Tbl_Long_Hydro[[#This Row],[LCF]]-Tbl_Long_Hydro[[#This Row],[LCB]])*Tbl_Long_Hydro[[#This Row],[Waterplane area]]*Tbl_Long_Hydro[[#This Row],[LCF]]^2)/Tbl_Long_Hydro[[#This Row],[Displacement]],0))</f>
        <v>336.12804878048769</v>
      </c>
      <c r="AT13" s="900">
        <f>Tbl_Long_Hydro[[#This Row],[Aft X]]+Tbl_Long_Hydro[[#This Row],[LX]]/2</f>
        <v>29.999999999999996</v>
      </c>
      <c r="AU13" s="901">
        <f>IF(ISNUMBER(AU12),(AU12*AP12+Tbl_Long_Hydro[[#This Row],[X CoG elt]]*Tbl_Long_Hydro[[#This Row],[Volume elt]])/Tbl_Long_Hydro[[#This Row],[Displacement]],Tbl_Long_Hydro[[#This Row],[X CoG elt]])</f>
        <v>29.999999999999996</v>
      </c>
      <c r="AV13" s="902">
        <f>IF(ISNA(Tbl_Long_Hydro[[#This Row],[Draught]]),NA(),0)</f>
        <v>0</v>
      </c>
      <c r="AW13" s="876">
        <f>IF(ISNUMBER(AW12),(AW12*AP12+Tbl_Long_Hydro[[#This Row],[Z CoG elt]]*Tbl_Long_Hydro[[#This Row],[Volume elt]])/Tbl_Long_Hydro[[#This Row],[Displacement]],Tbl_Long_Hydro[[#This Row],[Z CoG elt]])</f>
        <v>0.35284552845528444</v>
      </c>
      <c r="AX13" s="899">
        <f>Tbl_Long_Hydro[[#This Row],[RMT]]+Tbl_Long_Hydro[[#This Row],[VCB]]</f>
        <v>49.133333333333319</v>
      </c>
      <c r="AY13" s="904">
        <f>Tbl_Long_Hydro[[#This Row],[Displacement]]*Tbl_Long_Hydro[[#This Row],[RML]]/(100*Lpp)</f>
        <v>40.195312499999986</v>
      </c>
      <c r="AZ13" s="956">
        <f>Tbl_Long_Hydro[[#This Row],[Draught]]</f>
        <v>0.7</v>
      </c>
      <c r="BA13" s="959">
        <f>Tbl_Long_Hydro[[#This Row],[Displacement]]</f>
        <v>717.5</v>
      </c>
      <c r="BB13" s="960">
        <f>Tbl_Long_Hydro[[#This Row],[Displac. SW]]</f>
        <v>735.43749999999989</v>
      </c>
      <c r="BC13" s="964">
        <f>Tbl_Long_Hydro[[#This Row],[Waterplane area]]/100*$AQ$4</f>
        <v>10.762499999999998</v>
      </c>
      <c r="BD13" s="961">
        <f>Tbl_Long_Hydro[[#This Row],[MCT]]</f>
        <v>40.195312499999986</v>
      </c>
      <c r="BE13" s="962">
        <f>Tbl_Long_Hydro[[#This Row],[LCB]]</f>
        <v>29.999999999999996</v>
      </c>
      <c r="BF13" s="962">
        <f>Tbl_Long_Hydro[[#This Row],[TCB]]</f>
        <v>0</v>
      </c>
      <c r="BG13" s="962">
        <f>Tbl_Long_Hydro[[#This Row],[LCF]]</f>
        <v>29.999999999999996</v>
      </c>
      <c r="BH13" s="963">
        <f>Tbl_Long_Hydro[[#This Row],[KMT]]</f>
        <v>49.133333333333319</v>
      </c>
    </row>
    <row r="14" spans="1:60" x14ac:dyDescent="0.25">
      <c r="H14" s="869">
        <v>0</v>
      </c>
      <c r="I14" s="870">
        <f ca="1">LongSection_DraftAft-M_depth</f>
        <v>-3.0009028802214979</v>
      </c>
      <c r="K14" s="156">
        <f t="shared" si="1"/>
        <v>8</v>
      </c>
      <c r="L14" s="164">
        <f t="shared" si="2"/>
        <v>4</v>
      </c>
      <c r="M14" s="163">
        <f>MATCH(Tbl_Long_Section[[#This Row],[X]],Tbl_Long_Definition[X],1)</f>
        <v>1</v>
      </c>
      <c r="N14" s="157">
        <f>IF(Tbl_Long_Section[[#This Row],[Nline Prev]]&lt;COUNT(Tbl_Long_Definition[X]),Tbl_Long_Section[[#This Row],[Nline Prev]]+1,Tbl_Long_Section[[#This Row],[Nline Prev]])</f>
        <v>2</v>
      </c>
      <c r="O14" s="162">
        <f>INDEX(Tbl_Long_Definition[X],Tbl_Long_Section[[#This Row],[Nline Prev]])</f>
        <v>0</v>
      </c>
      <c r="P14" s="159">
        <f>INDEX(Tbl_Long_Definition[X],Tbl_Long_Section[[#This Row],[Nline Next]])</f>
        <v>5</v>
      </c>
      <c r="Q14" s="160">
        <f>INDEX(Tbl_Long_Definition[H Deck-Bott.],Tbl_Long_Section[[#This Row],[Nline Prev]])</f>
        <v>1.2</v>
      </c>
      <c r="R14" s="161">
        <f>INDEX(Tbl_Long_Definition[H Deck-Bott.],Tbl_Long_Section[[#This Row],[Nline Next]])</f>
        <v>4</v>
      </c>
      <c r="S14"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3.4400000000000004</v>
      </c>
      <c r="T14" s="8"/>
      <c r="V14" s="873">
        <f t="shared" si="3"/>
        <v>0.79999999999999993</v>
      </c>
      <c r="W14" s="885">
        <f>MATCH(Tbl_Long_Hydro[[#This Row],[Draught]],Tbl_Long_Definition[H k-bott],-1)</f>
        <v>1</v>
      </c>
      <c r="X14"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14" s="886">
        <f>MATCH(Tbl_Long_Hydro[[#This Row],[Draught]],Tbl_Long_Definition[H k-bott],1)</f>
        <v>3</v>
      </c>
      <c r="Z14"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14" s="888">
        <f>IF(ISNA(Tbl_Long_Hydro[[#This Row],[Draught]]),NA(),IFERROR(INDEX(Tbl_Long_Definition[X],Tbl_Long_Hydro[[#This Row],[Aft Nline prev]]),0))</f>
        <v>0</v>
      </c>
      <c r="AB14" s="889">
        <f>IF(ISNA(Tbl_Long_Hydro[[#This Row],[Draught]]),NA(),IFERROR(INDEX(Tbl_Long_Definition[X],Tbl_Long_Hydro[[#This Row],[Aft Nline next]]),0))</f>
        <v>5</v>
      </c>
      <c r="AC14" s="889">
        <f>IF(ISNA(Tbl_Long_Hydro[[#This Row],[Draught]]),NA(),INDEX(Tbl_Long_Definition[H k-bott],Tbl_Long_Hydro[[#This Row],[Aft Nline prev]]))</f>
        <v>2.8</v>
      </c>
      <c r="AD14" s="889">
        <f>IF(ISNA(Tbl_Long_Hydro[[#This Row],[Draught]]),NA(),INDEX(Tbl_Long_Definition[H k-bott],Tbl_Long_Hydro[[#This Row],[Aft Nline next]]))</f>
        <v>0</v>
      </c>
      <c r="AE14" s="888">
        <f>IF(ISNA(Tbl_Long_Hydro[[#This Row],[Draught]]),NA(),IFERROR(INDEX(Tbl_Long_Definition[X],Tbl_Long_Hydro[[#This Row],[Fore Nline prev]]),0))</f>
        <v>55</v>
      </c>
      <c r="AF14" s="889">
        <f>IF(ISNA(Tbl_Long_Hydro[[#This Row],[Draught]]),NA(),IFERROR(INDEX(Tbl_Long_Definition[X],Tbl_Long_Hydro[[#This Row],[Fore Nline next]]),0))</f>
        <v>60</v>
      </c>
      <c r="AG14" s="889">
        <f>IF(ISNA(Tbl_Long_Hydro[[#This Row],[Draught]]),NA(),INDEX(Tbl_Long_Definition[H k-bott],Tbl_Long_Hydro[[#This Row],[Fore Nline prev]]))</f>
        <v>0</v>
      </c>
      <c r="AH14" s="890">
        <f>IF(ISNA(Tbl_Long_Hydro[[#This Row],[Draught]]),NA(),INDEX(Tbl_Long_Definition[H k-bott],Tbl_Long_Hydro[[#This Row],[Fore Nline next]]))</f>
        <v>2.8</v>
      </c>
      <c r="AI14"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3.5714285714285716</v>
      </c>
      <c r="AJ14"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56.428571428571431</v>
      </c>
      <c r="AK14" s="894">
        <f>Tbl_Long_Hydro[[#This Row],[Fore X]]-Tbl_Long_Hydro[[#This Row],[Aft X]]</f>
        <v>52.857142857142861</v>
      </c>
      <c r="AL14" s="884">
        <f>Tbl_Long_Hydro[[#This Row],[LX]]*B</f>
        <v>1057.1428571428573</v>
      </c>
      <c r="AM14" s="892">
        <f>IF(ISNUMBER(AM13),(AK13+Tbl_Long_Hydro[[#This Row],[LX]])*(Tbl_Long_Hydro[[#This Row],[Draught]]-V13)/2*B,(Tbl_Long_Hydro[[#This Row],[LX]])*Tbl_Long_Hydro[[#This Row],[Draught]]*B)</f>
        <v>105.35714285714283</v>
      </c>
      <c r="AN14" s="899">
        <f>Tbl_Long_Hydro[[#This Row],[Aft X]]+Tbl_Long_Hydro[[#This Row],[LX]]/2</f>
        <v>30.000000000000004</v>
      </c>
      <c r="AO14" s="876">
        <f>IF(ISNUMBER(AO13),(2*Tbl_Long_Hydro[[#This Row],[LX]]+AK13)/(Tbl_Long_Hydro[[#This Row],[LX]]+AK13)*(Tbl_Long_Hydro[[#This Row],[Draught]]-V13)/3+V13,Tbl_Long_Hydro[[#This Row],[Draught]]/2)</f>
        <v>0.75005649717514122</v>
      </c>
      <c r="AP14" s="898">
        <f>IF(ISNUMBER(AP13),Tbl_Long_Hydro[[#This Row],[Volume elt]]+AP13,Tbl_Long_Hydro[[#This Row],[Volume elt]]*AO$4)</f>
        <v>822.85714285714289</v>
      </c>
      <c r="AQ14" s="893">
        <f>IF(ISNUMBER(AQ13),Tbl_Long_Hydro[[#This Row],[Displacement]]*AQ$4,IF(ISNA(AQ13),NA(),0))</f>
        <v>843.42857142857144</v>
      </c>
      <c r="AR14" s="900">
        <f>IF(ISNA(Tbl_Long_Hydro[[#This Row],[Draught]]),NA(),IFERROR(Tbl_Long_Hydro[[#This Row],[LX]]*B^3/12/Tbl_Long_Hydro[[#This Row],[Displacement]],0))</f>
        <v>42.824074074074076</v>
      </c>
      <c r="AS14" s="903">
        <f>IF(ISNA(Tbl_Long_Hydro[[#This Row],[Draught]]),NA(),IFERROR((B*Tbl_Long_Hydro[[#This Row],[LX]]^3/12+(Tbl_Long_Hydro[[#This Row],[LCF]]-Tbl_Long_Hydro[[#This Row],[LCB]])*Tbl_Long_Hydro[[#This Row],[Waterplane area]]*Tbl_Long_Hydro[[#This Row],[LCF]]^2)/Tbl_Long_Hydro[[#This Row],[Displacement]],0))</f>
        <v>299.1130479969849</v>
      </c>
      <c r="AT14" s="900">
        <f>Tbl_Long_Hydro[[#This Row],[Aft X]]+Tbl_Long_Hydro[[#This Row],[LX]]/2</f>
        <v>30.000000000000004</v>
      </c>
      <c r="AU14" s="901">
        <f>IF(ISNUMBER(AU13),(AU13*AP13+Tbl_Long_Hydro[[#This Row],[X CoG elt]]*Tbl_Long_Hydro[[#This Row],[Volume elt]])/Tbl_Long_Hydro[[#This Row],[Displacement]],Tbl_Long_Hydro[[#This Row],[X CoG elt]])</f>
        <v>29.999999999999996</v>
      </c>
      <c r="AV14" s="902">
        <f>IF(ISNA(Tbl_Long_Hydro[[#This Row],[Draught]]),NA(),0)</f>
        <v>0</v>
      </c>
      <c r="AW14" s="876">
        <f>IF(ISNUMBER(AW13),(AW13*AP13+Tbl_Long_Hydro[[#This Row],[Z CoG elt]]*Tbl_Long_Hydro[[#This Row],[Volume elt]])/Tbl_Long_Hydro[[#This Row],[Displacement]],Tbl_Long_Hydro[[#This Row],[Z CoG elt]])</f>
        <v>0.40370370370370356</v>
      </c>
      <c r="AX14" s="899">
        <f>Tbl_Long_Hydro[[#This Row],[RMT]]+Tbl_Long_Hydro[[#This Row],[VCB]]</f>
        <v>43.227777777777781</v>
      </c>
      <c r="AY14" s="904">
        <f>Tbl_Long_Hydro[[#This Row],[Displacement]]*Tbl_Long_Hydro[[#This Row],[RML]]/(100*Lpp)</f>
        <v>41.021218011015073</v>
      </c>
      <c r="AZ14" s="956">
        <f>Tbl_Long_Hydro[[#This Row],[Draught]]</f>
        <v>0.79999999999999993</v>
      </c>
      <c r="BA14" s="959">
        <f>Tbl_Long_Hydro[[#This Row],[Displacement]]</f>
        <v>822.85714285714289</v>
      </c>
      <c r="BB14" s="960">
        <f>Tbl_Long_Hydro[[#This Row],[Displac. SW]]</f>
        <v>843.42857142857144</v>
      </c>
      <c r="BC14" s="964">
        <f>Tbl_Long_Hydro[[#This Row],[Waterplane area]]/100*$AQ$4</f>
        <v>10.835714285714287</v>
      </c>
      <c r="BD14" s="961">
        <f>Tbl_Long_Hydro[[#This Row],[MCT]]</f>
        <v>41.021218011015073</v>
      </c>
      <c r="BE14" s="962">
        <f>Tbl_Long_Hydro[[#This Row],[LCB]]</f>
        <v>29.999999999999996</v>
      </c>
      <c r="BF14" s="962">
        <f>Tbl_Long_Hydro[[#This Row],[TCB]]</f>
        <v>0</v>
      </c>
      <c r="BG14" s="962">
        <f>Tbl_Long_Hydro[[#This Row],[LCF]]</f>
        <v>30.000000000000004</v>
      </c>
      <c r="BH14" s="963">
        <f>Tbl_Long_Hydro[[#This Row],[KMT]]</f>
        <v>43.227777777777781</v>
      </c>
    </row>
    <row r="15" spans="1:60" x14ac:dyDescent="0.25">
      <c r="H15" s="871">
        <f>MAX(Tbl_Long_Definition[X])</f>
        <v>60</v>
      </c>
      <c r="I15" s="872">
        <f ca="1">LongSection_DraftFore-M_depth</f>
        <v>-3.002033737773445</v>
      </c>
      <c r="K15" s="156">
        <f t="shared" si="1"/>
        <v>9</v>
      </c>
      <c r="L15" s="164">
        <f t="shared" si="2"/>
        <v>4.5</v>
      </c>
      <c r="M15" s="163">
        <f>MATCH(Tbl_Long_Section[[#This Row],[X]],Tbl_Long_Definition[X],1)</f>
        <v>1</v>
      </c>
      <c r="N15" s="157">
        <f>IF(Tbl_Long_Section[[#This Row],[Nline Prev]]&lt;COUNT(Tbl_Long_Definition[X]),Tbl_Long_Section[[#This Row],[Nline Prev]]+1,Tbl_Long_Section[[#This Row],[Nline Prev]])</f>
        <v>2</v>
      </c>
      <c r="O15" s="162">
        <f>INDEX(Tbl_Long_Definition[X],Tbl_Long_Section[[#This Row],[Nline Prev]])</f>
        <v>0</v>
      </c>
      <c r="P15" s="159">
        <f>INDEX(Tbl_Long_Definition[X],Tbl_Long_Section[[#This Row],[Nline Next]])</f>
        <v>5</v>
      </c>
      <c r="Q15" s="160">
        <f>INDEX(Tbl_Long_Definition[H Deck-Bott.],Tbl_Long_Section[[#This Row],[Nline Prev]])</f>
        <v>1.2</v>
      </c>
      <c r="R15" s="161">
        <f>INDEX(Tbl_Long_Definition[H Deck-Bott.],Tbl_Long_Section[[#This Row],[Nline Next]])</f>
        <v>4</v>
      </c>
      <c r="S15"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3.72</v>
      </c>
      <c r="T15" s="8"/>
      <c r="V15" s="873">
        <f t="shared" si="3"/>
        <v>0.89999999999999991</v>
      </c>
      <c r="W15" s="885">
        <f>MATCH(Tbl_Long_Hydro[[#This Row],[Draught]],Tbl_Long_Definition[H k-bott],-1)</f>
        <v>1</v>
      </c>
      <c r="X15"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15" s="886">
        <f>MATCH(Tbl_Long_Hydro[[#This Row],[Draught]],Tbl_Long_Definition[H k-bott],1)</f>
        <v>3</v>
      </c>
      <c r="Z15"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15" s="888">
        <f>IF(ISNA(Tbl_Long_Hydro[[#This Row],[Draught]]),NA(),IFERROR(INDEX(Tbl_Long_Definition[X],Tbl_Long_Hydro[[#This Row],[Aft Nline prev]]),0))</f>
        <v>0</v>
      </c>
      <c r="AB15" s="889">
        <f>IF(ISNA(Tbl_Long_Hydro[[#This Row],[Draught]]),NA(),IFERROR(INDEX(Tbl_Long_Definition[X],Tbl_Long_Hydro[[#This Row],[Aft Nline next]]),0))</f>
        <v>5</v>
      </c>
      <c r="AC15" s="889">
        <f>IF(ISNA(Tbl_Long_Hydro[[#This Row],[Draught]]),NA(),INDEX(Tbl_Long_Definition[H k-bott],Tbl_Long_Hydro[[#This Row],[Aft Nline prev]]))</f>
        <v>2.8</v>
      </c>
      <c r="AD15" s="889">
        <f>IF(ISNA(Tbl_Long_Hydro[[#This Row],[Draught]]),NA(),INDEX(Tbl_Long_Definition[H k-bott],Tbl_Long_Hydro[[#This Row],[Aft Nline next]]))</f>
        <v>0</v>
      </c>
      <c r="AE15" s="888">
        <f>IF(ISNA(Tbl_Long_Hydro[[#This Row],[Draught]]),NA(),IFERROR(INDEX(Tbl_Long_Definition[X],Tbl_Long_Hydro[[#This Row],[Fore Nline prev]]),0))</f>
        <v>55</v>
      </c>
      <c r="AF15" s="889">
        <f>IF(ISNA(Tbl_Long_Hydro[[#This Row],[Draught]]),NA(),IFERROR(INDEX(Tbl_Long_Definition[X],Tbl_Long_Hydro[[#This Row],[Fore Nline next]]),0))</f>
        <v>60</v>
      </c>
      <c r="AG15" s="889">
        <f>IF(ISNA(Tbl_Long_Hydro[[#This Row],[Draught]]),NA(),INDEX(Tbl_Long_Definition[H k-bott],Tbl_Long_Hydro[[#This Row],[Fore Nline prev]]))</f>
        <v>0</v>
      </c>
      <c r="AH15" s="890">
        <f>IF(ISNA(Tbl_Long_Hydro[[#This Row],[Draught]]),NA(),INDEX(Tbl_Long_Definition[H k-bott],Tbl_Long_Hydro[[#This Row],[Fore Nline next]]))</f>
        <v>2.8</v>
      </c>
      <c r="AI15"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3.3928571428571432</v>
      </c>
      <c r="AJ15"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56.607142857142861</v>
      </c>
      <c r="AK15" s="894">
        <f>Tbl_Long_Hydro[[#This Row],[Fore X]]-Tbl_Long_Hydro[[#This Row],[Aft X]]</f>
        <v>53.214285714285715</v>
      </c>
      <c r="AL15" s="884">
        <f>Tbl_Long_Hydro[[#This Row],[LX]]*B</f>
        <v>1064.2857142857142</v>
      </c>
      <c r="AM15" s="892">
        <f>IF(ISNUMBER(AM14),(AK14+Tbl_Long_Hydro[[#This Row],[LX]])*(Tbl_Long_Hydro[[#This Row],[Draught]]-V14)/2*B,(Tbl_Long_Hydro[[#This Row],[LX]])*Tbl_Long_Hydro[[#This Row],[Draught]]*B)</f>
        <v>106.07142857142856</v>
      </c>
      <c r="AN15" s="899">
        <f>Tbl_Long_Hydro[[#This Row],[Aft X]]+Tbl_Long_Hydro[[#This Row],[LX]]/2</f>
        <v>30</v>
      </c>
      <c r="AO15" s="876">
        <f>IF(ISNUMBER(AO14),(2*Tbl_Long_Hydro[[#This Row],[LX]]+AK14)/(Tbl_Long_Hydro[[#This Row],[LX]]+AK14)*(Tbl_Long_Hydro[[#This Row],[Draught]]-V14)/3+V14,Tbl_Long_Hydro[[#This Row],[Draught]]/2)</f>
        <v>0.85005611672278336</v>
      </c>
      <c r="AP15" s="898">
        <f>IF(ISNUMBER(AP14),Tbl_Long_Hydro[[#This Row],[Volume elt]]+AP14,Tbl_Long_Hydro[[#This Row],[Volume elt]]*AO$4)</f>
        <v>928.92857142857144</v>
      </c>
      <c r="AQ15" s="893">
        <f>IF(ISNUMBER(AQ14),Tbl_Long_Hydro[[#This Row],[Displacement]]*AQ$4,IF(ISNA(AQ14),NA(),0))</f>
        <v>952.15178571428567</v>
      </c>
      <c r="AR15" s="900">
        <f>IF(ISNA(Tbl_Long_Hydro[[#This Row],[Draught]]),NA(),IFERROR(Tbl_Long_Hydro[[#This Row],[LX]]*B^3/12/Tbl_Long_Hydro[[#This Row],[Displacement]],0))</f>
        <v>38.190439574522621</v>
      </c>
      <c r="AS15" s="903">
        <f>IF(ISNA(Tbl_Long_Hydro[[#This Row],[Draught]]),NA(),IFERROR((B*Tbl_Long_Hydro[[#This Row],[LX]]^3/12+(Tbl_Long_Hydro[[#This Row],[LCF]]-Tbl_Long_Hydro[[#This Row],[LCB]])*Tbl_Long_Hydro[[#This Row],[Waterplane area]]*Tbl_Long_Hydro[[#This Row],[LCF]]^2)/Tbl_Long_Hydro[[#This Row],[Displacement]],0))</f>
        <v>270.36541740880091</v>
      </c>
      <c r="AT15" s="900">
        <f>Tbl_Long_Hydro[[#This Row],[Aft X]]+Tbl_Long_Hydro[[#This Row],[LX]]/2</f>
        <v>30</v>
      </c>
      <c r="AU15" s="901">
        <f>IF(ISNUMBER(AU14),(AU14*AP14+Tbl_Long_Hydro[[#This Row],[X CoG elt]]*Tbl_Long_Hydro[[#This Row],[Volume elt]])/Tbl_Long_Hydro[[#This Row],[Displacement]],Tbl_Long_Hydro[[#This Row],[X CoG elt]])</f>
        <v>29.999999999999993</v>
      </c>
      <c r="AV15" s="902">
        <f>IF(ISNA(Tbl_Long_Hydro[[#This Row],[Draught]]),NA(),0)</f>
        <v>0</v>
      </c>
      <c r="AW15" s="876">
        <f>IF(ISNUMBER(AW14),(AW14*AP14+Tbl_Long_Hydro[[#This Row],[Z CoG elt]]*Tbl_Long_Hydro[[#This Row],[Volume elt]])/Tbl_Long_Hydro[[#This Row],[Displacement]],Tbl_Long_Hydro[[#This Row],[Z CoG elt]])</f>
        <v>0.45467128027681647</v>
      </c>
      <c r="AX15" s="899">
        <f>Tbl_Long_Hydro[[#This Row],[RMT]]+Tbl_Long_Hydro[[#This Row],[VCB]]</f>
        <v>38.645110854799441</v>
      </c>
      <c r="AY15" s="904">
        <f>Tbl_Long_Hydro[[#This Row],[Displacement]]*Tbl_Long_Hydro[[#This Row],[RML]]/(100*Lpp)</f>
        <v>41.858360159541142</v>
      </c>
      <c r="AZ15" s="956">
        <f>Tbl_Long_Hydro[[#This Row],[Draught]]</f>
        <v>0.89999999999999991</v>
      </c>
      <c r="BA15" s="959">
        <f>Tbl_Long_Hydro[[#This Row],[Displacement]]</f>
        <v>928.92857142857144</v>
      </c>
      <c r="BB15" s="960">
        <f>Tbl_Long_Hydro[[#This Row],[Displac. SW]]</f>
        <v>952.15178571428567</v>
      </c>
      <c r="BC15" s="964">
        <f>Tbl_Long_Hydro[[#This Row],[Waterplane area]]/100*$AQ$4</f>
        <v>10.90892857142857</v>
      </c>
      <c r="BD15" s="961">
        <f>Tbl_Long_Hydro[[#This Row],[MCT]]</f>
        <v>41.858360159541142</v>
      </c>
      <c r="BE15" s="962">
        <f>Tbl_Long_Hydro[[#This Row],[LCB]]</f>
        <v>29.999999999999993</v>
      </c>
      <c r="BF15" s="962">
        <f>Tbl_Long_Hydro[[#This Row],[TCB]]</f>
        <v>0</v>
      </c>
      <c r="BG15" s="962">
        <f>Tbl_Long_Hydro[[#This Row],[LCF]]</f>
        <v>30</v>
      </c>
      <c r="BH15" s="963">
        <f>Tbl_Long_Hydro[[#This Row],[KMT]]</f>
        <v>38.645110854799441</v>
      </c>
    </row>
    <row r="16" spans="1:60" x14ac:dyDescent="0.25">
      <c r="K16" s="156">
        <f t="shared" si="1"/>
        <v>10</v>
      </c>
      <c r="L16" s="164">
        <f t="shared" si="2"/>
        <v>5</v>
      </c>
      <c r="M16" s="163">
        <f>MATCH(Tbl_Long_Section[[#This Row],[X]],Tbl_Long_Definition[X],1)</f>
        <v>2</v>
      </c>
      <c r="N16" s="157">
        <f>IF(Tbl_Long_Section[[#This Row],[Nline Prev]]&lt;COUNT(Tbl_Long_Definition[X]),Tbl_Long_Section[[#This Row],[Nline Prev]]+1,Tbl_Long_Section[[#This Row],[Nline Prev]])</f>
        <v>3</v>
      </c>
      <c r="O16" s="162">
        <f>INDEX(Tbl_Long_Definition[X],Tbl_Long_Section[[#This Row],[Nline Prev]])</f>
        <v>5</v>
      </c>
      <c r="P16" s="159">
        <f>INDEX(Tbl_Long_Definition[X],Tbl_Long_Section[[#This Row],[Nline Next]])</f>
        <v>55</v>
      </c>
      <c r="Q16" s="160">
        <f>INDEX(Tbl_Long_Definition[H Deck-Bott.],Tbl_Long_Section[[#This Row],[Nline Prev]])</f>
        <v>4</v>
      </c>
      <c r="R16" s="161">
        <f>INDEX(Tbl_Long_Definition[H Deck-Bott.],Tbl_Long_Section[[#This Row],[Nline Next]])</f>
        <v>4</v>
      </c>
      <c r="S16"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16" s="8"/>
      <c r="V16" s="873">
        <f t="shared" si="3"/>
        <v>0.99999999999999989</v>
      </c>
      <c r="W16" s="885">
        <f>MATCH(Tbl_Long_Hydro[[#This Row],[Draught]],Tbl_Long_Definition[H k-bott],-1)</f>
        <v>1</v>
      </c>
      <c r="X16"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16" s="886">
        <f>MATCH(Tbl_Long_Hydro[[#This Row],[Draught]],Tbl_Long_Definition[H k-bott],1)</f>
        <v>3</v>
      </c>
      <c r="Z16"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16" s="888">
        <f>IF(ISNA(Tbl_Long_Hydro[[#This Row],[Draught]]),NA(),IFERROR(INDEX(Tbl_Long_Definition[X],Tbl_Long_Hydro[[#This Row],[Aft Nline prev]]),0))</f>
        <v>0</v>
      </c>
      <c r="AB16" s="889">
        <f>IF(ISNA(Tbl_Long_Hydro[[#This Row],[Draught]]),NA(),IFERROR(INDEX(Tbl_Long_Definition[X],Tbl_Long_Hydro[[#This Row],[Aft Nline next]]),0))</f>
        <v>5</v>
      </c>
      <c r="AC16" s="889">
        <f>IF(ISNA(Tbl_Long_Hydro[[#This Row],[Draught]]),NA(),INDEX(Tbl_Long_Definition[H k-bott],Tbl_Long_Hydro[[#This Row],[Aft Nline prev]]))</f>
        <v>2.8</v>
      </c>
      <c r="AD16" s="889">
        <f>IF(ISNA(Tbl_Long_Hydro[[#This Row],[Draught]]),NA(),INDEX(Tbl_Long_Definition[H k-bott],Tbl_Long_Hydro[[#This Row],[Aft Nline next]]))</f>
        <v>0</v>
      </c>
      <c r="AE16" s="888">
        <f>IF(ISNA(Tbl_Long_Hydro[[#This Row],[Draught]]),NA(),IFERROR(INDEX(Tbl_Long_Definition[X],Tbl_Long_Hydro[[#This Row],[Fore Nline prev]]),0))</f>
        <v>55</v>
      </c>
      <c r="AF16" s="889">
        <f>IF(ISNA(Tbl_Long_Hydro[[#This Row],[Draught]]),NA(),IFERROR(INDEX(Tbl_Long_Definition[X],Tbl_Long_Hydro[[#This Row],[Fore Nline next]]),0))</f>
        <v>60</v>
      </c>
      <c r="AG16" s="889">
        <f>IF(ISNA(Tbl_Long_Hydro[[#This Row],[Draught]]),NA(),INDEX(Tbl_Long_Definition[H k-bott],Tbl_Long_Hydro[[#This Row],[Fore Nline prev]]))</f>
        <v>0</v>
      </c>
      <c r="AH16" s="890">
        <f>IF(ISNA(Tbl_Long_Hydro[[#This Row],[Draught]]),NA(),INDEX(Tbl_Long_Definition[H k-bott],Tbl_Long_Hydro[[#This Row],[Fore Nline next]]))</f>
        <v>2.8</v>
      </c>
      <c r="AI16"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3.214285714285714</v>
      </c>
      <c r="AJ16"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56.785714285714285</v>
      </c>
      <c r="AK16" s="894">
        <f>Tbl_Long_Hydro[[#This Row],[Fore X]]-Tbl_Long_Hydro[[#This Row],[Aft X]]</f>
        <v>53.571428571428569</v>
      </c>
      <c r="AL16" s="884">
        <f>Tbl_Long_Hydro[[#This Row],[LX]]*B</f>
        <v>1071.4285714285713</v>
      </c>
      <c r="AM16" s="892">
        <f>IF(ISNUMBER(AM15),(AK15+Tbl_Long_Hydro[[#This Row],[LX]])*(Tbl_Long_Hydro[[#This Row],[Draught]]-V15)/2*B,(Tbl_Long_Hydro[[#This Row],[LX]])*Tbl_Long_Hydro[[#This Row],[Draught]]*B)</f>
        <v>106.78571428571425</v>
      </c>
      <c r="AN16" s="899">
        <f>Tbl_Long_Hydro[[#This Row],[Aft X]]+Tbl_Long_Hydro[[#This Row],[LX]]/2</f>
        <v>30</v>
      </c>
      <c r="AO16" s="876">
        <f>IF(ISNUMBER(AO15),(2*Tbl_Long_Hydro[[#This Row],[LX]]+AK15)/(Tbl_Long_Hydro[[#This Row],[LX]]+AK15)*(Tbl_Long_Hydro[[#This Row],[Draught]]-V15)/3+V15,Tbl_Long_Hydro[[#This Row],[Draught]]/2)</f>
        <v>0.95005574136008908</v>
      </c>
      <c r="AP16" s="898">
        <f>IF(ISNUMBER(AP15),Tbl_Long_Hydro[[#This Row],[Volume elt]]+AP15,Tbl_Long_Hydro[[#This Row],[Volume elt]]*AO$4)</f>
        <v>1035.7142857142858</v>
      </c>
      <c r="AQ16" s="893">
        <f>IF(ISNUMBER(AQ15),Tbl_Long_Hydro[[#This Row],[Displacement]]*AQ$4,IF(ISNA(AQ15),NA(),0))</f>
        <v>1061.6071428571429</v>
      </c>
      <c r="AR16" s="900">
        <f>IF(ISNA(Tbl_Long_Hydro[[#This Row],[Draught]]),NA(),IFERROR(Tbl_Long_Hydro[[#This Row],[LX]]*B^3/12/Tbl_Long_Hydro[[#This Row],[Displacement]],0))</f>
        <v>34.482758620689658</v>
      </c>
      <c r="AS16" s="903">
        <f>IF(ISNA(Tbl_Long_Hydro[[#This Row],[Draught]]),NA(),IFERROR((B*Tbl_Long_Hydro[[#This Row],[LX]]^3/12+(Tbl_Long_Hydro[[#This Row],[LCF]]-Tbl_Long_Hydro[[#This Row],[LCB]])*Tbl_Long_Hydro[[#This Row],[Waterplane area]]*Tbl_Long_Hydro[[#This Row],[LCF]]^2)/Tbl_Long_Hydro[[#This Row],[Displacement]],0))</f>
        <v>247.4049964813577</v>
      </c>
      <c r="AT16" s="900">
        <f>Tbl_Long_Hydro[[#This Row],[Aft X]]+Tbl_Long_Hydro[[#This Row],[LX]]/2</f>
        <v>30</v>
      </c>
      <c r="AU16" s="901">
        <f>IF(ISNUMBER(AU15),(AU15*AP15+Tbl_Long_Hydro[[#This Row],[X CoG elt]]*Tbl_Long_Hydro[[#This Row],[Volume elt]])/Tbl_Long_Hydro[[#This Row],[Displacement]],Tbl_Long_Hydro[[#This Row],[X CoG elt]])</f>
        <v>29.999999999999993</v>
      </c>
      <c r="AV16" s="902">
        <f>IF(ISNA(Tbl_Long_Hydro[[#This Row],[Draught]]),NA(),0)</f>
        <v>0</v>
      </c>
      <c r="AW16" s="876">
        <f>IF(ISNUMBER(AW15),(AW15*AP15+Tbl_Long_Hydro[[#This Row],[Z CoG elt]]*Tbl_Long_Hydro[[#This Row],[Volume elt]])/Tbl_Long_Hydro[[#This Row],[Displacement]],Tbl_Long_Hydro[[#This Row],[Z CoG elt]])</f>
        <v>0.50574712643678144</v>
      </c>
      <c r="AX16" s="899">
        <f>Tbl_Long_Hydro[[#This Row],[RMT]]+Tbl_Long_Hydro[[#This Row],[VCB]]</f>
        <v>34.988505747126439</v>
      </c>
      <c r="AY16" s="904">
        <f>Tbl_Long_Hydro[[#This Row],[Displacement]]*Tbl_Long_Hydro[[#This Row],[RML]]/(100*Lpp)</f>
        <v>42.706814868805793</v>
      </c>
      <c r="AZ16" s="956">
        <f>Tbl_Long_Hydro[[#This Row],[Draught]]</f>
        <v>0.99999999999999989</v>
      </c>
      <c r="BA16" s="959">
        <f>Tbl_Long_Hydro[[#This Row],[Displacement]]</f>
        <v>1035.7142857142858</v>
      </c>
      <c r="BB16" s="960">
        <f>Tbl_Long_Hydro[[#This Row],[Displac. SW]]</f>
        <v>1061.6071428571429</v>
      </c>
      <c r="BC16" s="964">
        <f>Tbl_Long_Hydro[[#This Row],[Waterplane area]]/100*$AQ$4</f>
        <v>10.982142857142856</v>
      </c>
      <c r="BD16" s="961">
        <f>Tbl_Long_Hydro[[#This Row],[MCT]]</f>
        <v>42.706814868805793</v>
      </c>
      <c r="BE16" s="962">
        <f>Tbl_Long_Hydro[[#This Row],[LCB]]</f>
        <v>29.999999999999993</v>
      </c>
      <c r="BF16" s="962">
        <f>Tbl_Long_Hydro[[#This Row],[TCB]]</f>
        <v>0</v>
      </c>
      <c r="BG16" s="962">
        <f>Tbl_Long_Hydro[[#This Row],[LCF]]</f>
        <v>30</v>
      </c>
      <c r="BH16" s="963">
        <f>Tbl_Long_Hydro[[#This Row],[KMT]]</f>
        <v>34.988505747126439</v>
      </c>
    </row>
    <row r="17" spans="11:60" x14ac:dyDescent="0.25">
      <c r="K17" s="156">
        <f t="shared" si="1"/>
        <v>11</v>
      </c>
      <c r="L17" s="164">
        <f t="shared" si="2"/>
        <v>5.5</v>
      </c>
      <c r="M17" s="163">
        <f>MATCH(Tbl_Long_Section[[#This Row],[X]],Tbl_Long_Definition[X],1)</f>
        <v>2</v>
      </c>
      <c r="N17" s="157">
        <f>IF(Tbl_Long_Section[[#This Row],[Nline Prev]]&lt;COUNT(Tbl_Long_Definition[X]),Tbl_Long_Section[[#This Row],[Nline Prev]]+1,Tbl_Long_Section[[#This Row],[Nline Prev]])</f>
        <v>3</v>
      </c>
      <c r="O17" s="162">
        <f>INDEX(Tbl_Long_Definition[X],Tbl_Long_Section[[#This Row],[Nline Prev]])</f>
        <v>5</v>
      </c>
      <c r="P17" s="159">
        <f>INDEX(Tbl_Long_Definition[X],Tbl_Long_Section[[#This Row],[Nline Next]])</f>
        <v>55</v>
      </c>
      <c r="Q17" s="160">
        <f>INDEX(Tbl_Long_Definition[H Deck-Bott.],Tbl_Long_Section[[#This Row],[Nline Prev]])</f>
        <v>4</v>
      </c>
      <c r="R17" s="161">
        <f>INDEX(Tbl_Long_Definition[H Deck-Bott.],Tbl_Long_Section[[#This Row],[Nline Next]])</f>
        <v>4</v>
      </c>
      <c r="S17"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17" s="8"/>
      <c r="V17" s="873">
        <f t="shared" si="3"/>
        <v>1.0999999999999999</v>
      </c>
      <c r="W17" s="885">
        <f>MATCH(Tbl_Long_Hydro[[#This Row],[Draught]],Tbl_Long_Definition[H k-bott],-1)</f>
        <v>1</v>
      </c>
      <c r="X17"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17" s="886">
        <f>MATCH(Tbl_Long_Hydro[[#This Row],[Draught]],Tbl_Long_Definition[H k-bott],1)</f>
        <v>3</v>
      </c>
      <c r="Z17"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17" s="888">
        <f>IF(ISNA(Tbl_Long_Hydro[[#This Row],[Draught]]),NA(),IFERROR(INDEX(Tbl_Long_Definition[X],Tbl_Long_Hydro[[#This Row],[Aft Nline prev]]),0))</f>
        <v>0</v>
      </c>
      <c r="AB17" s="889">
        <f>IF(ISNA(Tbl_Long_Hydro[[#This Row],[Draught]]),NA(),IFERROR(INDEX(Tbl_Long_Definition[X],Tbl_Long_Hydro[[#This Row],[Aft Nline next]]),0))</f>
        <v>5</v>
      </c>
      <c r="AC17" s="889">
        <f>IF(ISNA(Tbl_Long_Hydro[[#This Row],[Draught]]),NA(),INDEX(Tbl_Long_Definition[H k-bott],Tbl_Long_Hydro[[#This Row],[Aft Nline prev]]))</f>
        <v>2.8</v>
      </c>
      <c r="AD17" s="889">
        <f>IF(ISNA(Tbl_Long_Hydro[[#This Row],[Draught]]),NA(),INDEX(Tbl_Long_Definition[H k-bott],Tbl_Long_Hydro[[#This Row],[Aft Nline next]]))</f>
        <v>0</v>
      </c>
      <c r="AE17" s="888">
        <f>IF(ISNA(Tbl_Long_Hydro[[#This Row],[Draught]]),NA(),IFERROR(INDEX(Tbl_Long_Definition[X],Tbl_Long_Hydro[[#This Row],[Fore Nline prev]]),0))</f>
        <v>55</v>
      </c>
      <c r="AF17" s="889">
        <f>IF(ISNA(Tbl_Long_Hydro[[#This Row],[Draught]]),NA(),IFERROR(INDEX(Tbl_Long_Definition[X],Tbl_Long_Hydro[[#This Row],[Fore Nline next]]),0))</f>
        <v>60</v>
      </c>
      <c r="AG17" s="889">
        <f>IF(ISNA(Tbl_Long_Hydro[[#This Row],[Draught]]),NA(),INDEX(Tbl_Long_Definition[H k-bott],Tbl_Long_Hydro[[#This Row],[Fore Nline prev]]))</f>
        <v>0</v>
      </c>
      <c r="AH17" s="890">
        <f>IF(ISNA(Tbl_Long_Hydro[[#This Row],[Draught]]),NA(),INDEX(Tbl_Long_Definition[H k-bott],Tbl_Long_Hydro[[#This Row],[Fore Nline next]]))</f>
        <v>2.8</v>
      </c>
      <c r="AI17"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3.035714285714286</v>
      </c>
      <c r="AJ17"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56.964285714285715</v>
      </c>
      <c r="AK17" s="894">
        <f>Tbl_Long_Hydro[[#This Row],[Fore X]]-Tbl_Long_Hydro[[#This Row],[Aft X]]</f>
        <v>53.928571428571431</v>
      </c>
      <c r="AL17" s="884">
        <f>Tbl_Long_Hydro[[#This Row],[LX]]*B</f>
        <v>1078.5714285714287</v>
      </c>
      <c r="AM17" s="892">
        <f>IF(ISNUMBER(AM16),(AK16+Tbl_Long_Hydro[[#This Row],[LX]])*(Tbl_Long_Hydro[[#This Row],[Draught]]-V16)/2*B,(Tbl_Long_Hydro[[#This Row],[LX]])*Tbl_Long_Hydro[[#This Row],[Draught]]*B)</f>
        <v>107.49999999999999</v>
      </c>
      <c r="AN17" s="899">
        <f>Tbl_Long_Hydro[[#This Row],[Aft X]]+Tbl_Long_Hydro[[#This Row],[LX]]/2</f>
        <v>30</v>
      </c>
      <c r="AO17" s="876">
        <f>IF(ISNUMBER(AO16),(2*Tbl_Long_Hydro[[#This Row],[LX]]+AK16)/(Tbl_Long_Hydro[[#This Row],[LX]]+AK16)*(Tbl_Long_Hydro[[#This Row],[Draught]]-V16)/3+V16,Tbl_Long_Hydro[[#This Row],[Draught]]/2)</f>
        <v>1.0500553709856035</v>
      </c>
      <c r="AP17" s="898">
        <f>IF(ISNUMBER(AP16),Tbl_Long_Hydro[[#This Row],[Volume elt]]+AP16,Tbl_Long_Hydro[[#This Row],[Volume elt]]*AO$4)</f>
        <v>1143.2142857142858</v>
      </c>
      <c r="AQ17" s="893">
        <f>IF(ISNUMBER(AQ16),Tbl_Long_Hydro[[#This Row],[Displacement]]*AQ$4,IF(ISNA(AQ16),NA(),0))</f>
        <v>1171.7946428571429</v>
      </c>
      <c r="AR17" s="900">
        <f>IF(ISNA(Tbl_Long_Hydro[[#This Row],[Draught]]),NA(),IFERROR(Tbl_Long_Hydro[[#This Row],[LX]]*B^3/12/Tbl_Long_Hydro[[#This Row],[Displacement]],0))</f>
        <v>31.4485056753098</v>
      </c>
      <c r="AS17" s="903">
        <f>IF(ISNA(Tbl_Long_Hydro[[#This Row],[Draught]]),NA(),IFERROR((B*Tbl_Long_Hydro[[#This Row],[LX]]^3/12+(Tbl_Long_Hydro[[#This Row],[LCF]]-Tbl_Long_Hydro[[#This Row],[LCB]])*Tbl_Long_Hydro[[#This Row],[Waterplane area]]*Tbl_Long_Hydro[[#This Row],[LCF]]^2)/Tbl_Long_Hydro[[#This Row],[Displacement]],0))</f>
        <v>228.65350060674672</v>
      </c>
      <c r="AT17" s="900">
        <f>Tbl_Long_Hydro[[#This Row],[Aft X]]+Tbl_Long_Hydro[[#This Row],[LX]]/2</f>
        <v>30</v>
      </c>
      <c r="AU17" s="901">
        <f>IF(ISNUMBER(AU16),(AU16*AP16+Tbl_Long_Hydro[[#This Row],[X CoG elt]]*Tbl_Long_Hydro[[#This Row],[Volume elt]])/Tbl_Long_Hydro[[#This Row],[Displacement]],Tbl_Long_Hydro[[#This Row],[X CoG elt]])</f>
        <v>29.999999999999993</v>
      </c>
      <c r="AV17" s="902">
        <f>IF(ISNA(Tbl_Long_Hydro[[#This Row],[Draught]]),NA(),0)</f>
        <v>0</v>
      </c>
      <c r="AW17" s="876">
        <f>IF(ISNUMBER(AW16),(AW16*AP16+Tbl_Long_Hydro[[#This Row],[Z CoG elt]]*Tbl_Long_Hydro[[#This Row],[Volume elt]])/Tbl_Long_Hydro[[#This Row],[Displacement]],Tbl_Long_Hydro[[#This Row],[Z CoG elt]])</f>
        <v>0.55693012600229075</v>
      </c>
      <c r="AX17" s="899">
        <f>Tbl_Long_Hydro[[#This Row],[RMT]]+Tbl_Long_Hydro[[#This Row],[VCB]]</f>
        <v>32.005435801312089</v>
      </c>
      <c r="AY17" s="904">
        <f>Tbl_Long_Hydro[[#This Row],[Displacement]]*Tbl_Long_Hydro[[#This Row],[RML]]/(100*Lpp)</f>
        <v>43.566658062035494</v>
      </c>
      <c r="AZ17" s="956">
        <f>Tbl_Long_Hydro[[#This Row],[Draught]]</f>
        <v>1.0999999999999999</v>
      </c>
      <c r="BA17" s="959">
        <f>Tbl_Long_Hydro[[#This Row],[Displacement]]</f>
        <v>1143.2142857142858</v>
      </c>
      <c r="BB17" s="960">
        <f>Tbl_Long_Hydro[[#This Row],[Displac. SW]]</f>
        <v>1171.7946428571429</v>
      </c>
      <c r="BC17" s="964">
        <f>Tbl_Long_Hydro[[#This Row],[Waterplane area]]/100*$AQ$4</f>
        <v>11.055357142857142</v>
      </c>
      <c r="BD17" s="961">
        <f>Tbl_Long_Hydro[[#This Row],[MCT]]</f>
        <v>43.566658062035494</v>
      </c>
      <c r="BE17" s="962">
        <f>Tbl_Long_Hydro[[#This Row],[LCB]]</f>
        <v>29.999999999999993</v>
      </c>
      <c r="BF17" s="962">
        <f>Tbl_Long_Hydro[[#This Row],[TCB]]</f>
        <v>0</v>
      </c>
      <c r="BG17" s="962">
        <f>Tbl_Long_Hydro[[#This Row],[LCF]]</f>
        <v>30</v>
      </c>
      <c r="BH17" s="963">
        <f>Tbl_Long_Hydro[[#This Row],[KMT]]</f>
        <v>32.005435801312089</v>
      </c>
    </row>
    <row r="18" spans="11:60" x14ac:dyDescent="0.25">
      <c r="K18" s="156">
        <f t="shared" si="1"/>
        <v>12</v>
      </c>
      <c r="L18" s="164">
        <f t="shared" si="2"/>
        <v>6</v>
      </c>
      <c r="M18" s="163">
        <f>MATCH(Tbl_Long_Section[[#This Row],[X]],Tbl_Long_Definition[X],1)</f>
        <v>2</v>
      </c>
      <c r="N18" s="157">
        <f>IF(Tbl_Long_Section[[#This Row],[Nline Prev]]&lt;COUNT(Tbl_Long_Definition[X]),Tbl_Long_Section[[#This Row],[Nline Prev]]+1,Tbl_Long_Section[[#This Row],[Nline Prev]])</f>
        <v>3</v>
      </c>
      <c r="O18" s="162">
        <f>INDEX(Tbl_Long_Definition[X],Tbl_Long_Section[[#This Row],[Nline Prev]])</f>
        <v>5</v>
      </c>
      <c r="P18" s="159">
        <f>INDEX(Tbl_Long_Definition[X],Tbl_Long_Section[[#This Row],[Nline Next]])</f>
        <v>55</v>
      </c>
      <c r="Q18" s="160">
        <f>INDEX(Tbl_Long_Definition[H Deck-Bott.],Tbl_Long_Section[[#This Row],[Nline Prev]])</f>
        <v>4</v>
      </c>
      <c r="R18" s="161">
        <f>INDEX(Tbl_Long_Definition[H Deck-Bott.],Tbl_Long_Section[[#This Row],[Nline Next]])</f>
        <v>4</v>
      </c>
      <c r="S18"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18" s="8"/>
      <c r="V18" s="873">
        <f t="shared" si="3"/>
        <v>1.2</v>
      </c>
      <c r="W18" s="885">
        <f>MATCH(Tbl_Long_Hydro[[#This Row],[Draught]],Tbl_Long_Definition[H k-bott],-1)</f>
        <v>1</v>
      </c>
      <c r="X18"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18" s="886">
        <f>MATCH(Tbl_Long_Hydro[[#This Row],[Draught]],Tbl_Long_Definition[H k-bott],1)</f>
        <v>3</v>
      </c>
      <c r="Z18"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18" s="888">
        <f>IF(ISNA(Tbl_Long_Hydro[[#This Row],[Draught]]),NA(),IFERROR(INDEX(Tbl_Long_Definition[X],Tbl_Long_Hydro[[#This Row],[Aft Nline prev]]),0))</f>
        <v>0</v>
      </c>
      <c r="AB18" s="889">
        <f>IF(ISNA(Tbl_Long_Hydro[[#This Row],[Draught]]),NA(),IFERROR(INDEX(Tbl_Long_Definition[X],Tbl_Long_Hydro[[#This Row],[Aft Nline next]]),0))</f>
        <v>5</v>
      </c>
      <c r="AC18" s="889">
        <f>IF(ISNA(Tbl_Long_Hydro[[#This Row],[Draught]]),NA(),INDEX(Tbl_Long_Definition[H k-bott],Tbl_Long_Hydro[[#This Row],[Aft Nline prev]]))</f>
        <v>2.8</v>
      </c>
      <c r="AD18" s="889">
        <f>IF(ISNA(Tbl_Long_Hydro[[#This Row],[Draught]]),NA(),INDEX(Tbl_Long_Definition[H k-bott],Tbl_Long_Hydro[[#This Row],[Aft Nline next]]))</f>
        <v>0</v>
      </c>
      <c r="AE18" s="888">
        <f>IF(ISNA(Tbl_Long_Hydro[[#This Row],[Draught]]),NA(),IFERROR(INDEX(Tbl_Long_Definition[X],Tbl_Long_Hydro[[#This Row],[Fore Nline prev]]),0))</f>
        <v>55</v>
      </c>
      <c r="AF18" s="889">
        <f>IF(ISNA(Tbl_Long_Hydro[[#This Row],[Draught]]),NA(),IFERROR(INDEX(Tbl_Long_Definition[X],Tbl_Long_Hydro[[#This Row],[Fore Nline next]]),0))</f>
        <v>60</v>
      </c>
      <c r="AG18" s="889">
        <f>IF(ISNA(Tbl_Long_Hydro[[#This Row],[Draught]]),NA(),INDEX(Tbl_Long_Definition[H k-bott],Tbl_Long_Hydro[[#This Row],[Fore Nline prev]]))</f>
        <v>0</v>
      </c>
      <c r="AH18" s="890">
        <f>IF(ISNA(Tbl_Long_Hydro[[#This Row],[Draught]]),NA(),INDEX(Tbl_Long_Definition[H k-bott],Tbl_Long_Hydro[[#This Row],[Fore Nline next]]))</f>
        <v>2.8</v>
      </c>
      <c r="AI18"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2.8571428571428568</v>
      </c>
      <c r="AJ18"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57.142857142857139</v>
      </c>
      <c r="AK18" s="894">
        <f>Tbl_Long_Hydro[[#This Row],[Fore X]]-Tbl_Long_Hydro[[#This Row],[Aft X]]</f>
        <v>54.285714285714285</v>
      </c>
      <c r="AL18" s="884">
        <f>Tbl_Long_Hydro[[#This Row],[LX]]*B</f>
        <v>1085.7142857142858</v>
      </c>
      <c r="AM18" s="892">
        <f>IF(ISNUMBER(AM17),(AK17+Tbl_Long_Hydro[[#This Row],[LX]])*(Tbl_Long_Hydro[[#This Row],[Draught]]-V17)/2*B,(Tbl_Long_Hydro[[#This Row],[LX]])*Tbl_Long_Hydro[[#This Row],[Draught]]*B)</f>
        <v>108.21428571428582</v>
      </c>
      <c r="AN18" s="899">
        <f>Tbl_Long_Hydro[[#This Row],[Aft X]]+Tbl_Long_Hydro[[#This Row],[LX]]/2</f>
        <v>30</v>
      </c>
      <c r="AO18" s="876">
        <f>IF(ISNUMBER(AO17),(2*Tbl_Long_Hydro[[#This Row],[LX]]+AK17)/(Tbl_Long_Hydro[[#This Row],[LX]]+AK17)*(Tbl_Long_Hydro[[#This Row],[Draught]]-V17)/3+V17,Tbl_Long_Hydro[[#This Row],[Draught]]/2)</f>
        <v>1.1500550055005501</v>
      </c>
      <c r="AP18" s="898">
        <f>IF(ISNUMBER(AP17),Tbl_Long_Hydro[[#This Row],[Volume elt]]+AP17,Tbl_Long_Hydro[[#This Row],[Volume elt]]*AO$4)</f>
        <v>1251.4285714285716</v>
      </c>
      <c r="AQ18" s="893">
        <f>IF(ISNUMBER(AQ17),Tbl_Long_Hydro[[#This Row],[Displacement]]*AQ$4,IF(ISNA(AQ17),NA(),0))</f>
        <v>1282.7142857142858</v>
      </c>
      <c r="AR18" s="900">
        <f>IF(ISNA(Tbl_Long_Hydro[[#This Row],[Draught]]),NA(),IFERROR(Tbl_Long_Hydro[[#This Row],[LX]]*B^3/12/Tbl_Long_Hydro[[#This Row],[Displacement]],0))</f>
        <v>28.919330289193301</v>
      </c>
      <c r="AS18" s="903">
        <f>IF(ISNA(Tbl_Long_Hydro[[#This Row],[Draught]]),NA(),IFERROR((B*Tbl_Long_Hydro[[#This Row],[LX]]^3/12+(Tbl_Long_Hydro[[#This Row],[LCF]]-Tbl_Long_Hydro[[#This Row],[LCB]])*Tbl_Long_Hydro[[#This Row],[Waterplane area]]*Tbl_Long_Hydro[[#This Row],[LCF]]^2)/Tbl_Long_Hydro[[#This Row],[Displacement]],0))</f>
        <v>213.05873947753167</v>
      </c>
      <c r="AT18" s="900">
        <f>Tbl_Long_Hydro[[#This Row],[Aft X]]+Tbl_Long_Hydro[[#This Row],[LX]]/2</f>
        <v>30</v>
      </c>
      <c r="AU18" s="901">
        <f>IF(ISNUMBER(AU17),(AU17*AP17+Tbl_Long_Hydro[[#This Row],[X CoG elt]]*Tbl_Long_Hydro[[#This Row],[Volume elt]])/Tbl_Long_Hydro[[#This Row],[Displacement]],Tbl_Long_Hydro[[#This Row],[X CoG elt]])</f>
        <v>29.999999999999993</v>
      </c>
      <c r="AV18" s="902">
        <f>IF(ISNA(Tbl_Long_Hydro[[#This Row],[Draught]]),NA(),0)</f>
        <v>0</v>
      </c>
      <c r="AW18" s="876">
        <f>IF(ISNUMBER(AW17),(AW17*AP17+Tbl_Long_Hydro[[#This Row],[Z CoG elt]]*Tbl_Long_Hydro[[#This Row],[Volume elt]])/Tbl_Long_Hydro[[#This Row],[Displacement]],Tbl_Long_Hydro[[#This Row],[Z CoG elt]])</f>
        <v>0.60821917808219172</v>
      </c>
      <c r="AX18" s="899">
        <f>Tbl_Long_Hydro[[#This Row],[RMT]]+Tbl_Long_Hydro[[#This Row],[VCB]]</f>
        <v>29.527549467275492</v>
      </c>
      <c r="AY18" s="904">
        <f>Tbl_Long_Hydro[[#This Row],[Displacement]]*Tbl_Long_Hydro[[#This Row],[RML]]/(100*Lpp)</f>
        <v>44.437965662456612</v>
      </c>
      <c r="AZ18" s="956">
        <f>Tbl_Long_Hydro[[#This Row],[Draught]]</f>
        <v>1.2</v>
      </c>
      <c r="BA18" s="959">
        <f>Tbl_Long_Hydro[[#This Row],[Displacement]]</f>
        <v>1251.4285714285716</v>
      </c>
      <c r="BB18" s="960">
        <f>Tbl_Long_Hydro[[#This Row],[Displac. SW]]</f>
        <v>1282.7142857142858</v>
      </c>
      <c r="BC18" s="964">
        <f>Tbl_Long_Hydro[[#This Row],[Waterplane area]]/100*$AQ$4</f>
        <v>11.128571428571428</v>
      </c>
      <c r="BD18" s="961">
        <f>Tbl_Long_Hydro[[#This Row],[MCT]]</f>
        <v>44.437965662456612</v>
      </c>
      <c r="BE18" s="962">
        <f>Tbl_Long_Hydro[[#This Row],[LCB]]</f>
        <v>29.999999999999993</v>
      </c>
      <c r="BF18" s="962">
        <f>Tbl_Long_Hydro[[#This Row],[TCB]]</f>
        <v>0</v>
      </c>
      <c r="BG18" s="962">
        <f>Tbl_Long_Hydro[[#This Row],[LCF]]</f>
        <v>30</v>
      </c>
      <c r="BH18" s="963">
        <f>Tbl_Long_Hydro[[#This Row],[KMT]]</f>
        <v>29.527549467275492</v>
      </c>
    </row>
    <row r="19" spans="11:60" x14ac:dyDescent="0.25">
      <c r="K19" s="156">
        <f t="shared" si="1"/>
        <v>13</v>
      </c>
      <c r="L19" s="164">
        <f t="shared" si="2"/>
        <v>6.5</v>
      </c>
      <c r="M19" s="163">
        <f>MATCH(Tbl_Long_Section[[#This Row],[X]],Tbl_Long_Definition[X],1)</f>
        <v>2</v>
      </c>
      <c r="N19" s="157">
        <f>IF(Tbl_Long_Section[[#This Row],[Nline Prev]]&lt;COUNT(Tbl_Long_Definition[X]),Tbl_Long_Section[[#This Row],[Nline Prev]]+1,Tbl_Long_Section[[#This Row],[Nline Prev]])</f>
        <v>3</v>
      </c>
      <c r="O19" s="162">
        <f>INDEX(Tbl_Long_Definition[X],Tbl_Long_Section[[#This Row],[Nline Prev]])</f>
        <v>5</v>
      </c>
      <c r="P19" s="159">
        <f>INDEX(Tbl_Long_Definition[X],Tbl_Long_Section[[#This Row],[Nline Next]])</f>
        <v>55</v>
      </c>
      <c r="Q19" s="160">
        <f>INDEX(Tbl_Long_Definition[H Deck-Bott.],Tbl_Long_Section[[#This Row],[Nline Prev]])</f>
        <v>4</v>
      </c>
      <c r="R19" s="161">
        <f>INDEX(Tbl_Long_Definition[H Deck-Bott.],Tbl_Long_Section[[#This Row],[Nline Next]])</f>
        <v>4</v>
      </c>
      <c r="S19"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19" s="8"/>
      <c r="V19" s="873">
        <f t="shared" si="3"/>
        <v>1.3</v>
      </c>
      <c r="W19" s="885">
        <f>MATCH(Tbl_Long_Hydro[[#This Row],[Draught]],Tbl_Long_Definition[H k-bott],-1)</f>
        <v>1</v>
      </c>
      <c r="X19"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19" s="886">
        <f>MATCH(Tbl_Long_Hydro[[#This Row],[Draught]],Tbl_Long_Definition[H k-bott],1)</f>
        <v>3</v>
      </c>
      <c r="Z19"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19" s="888">
        <f>IF(ISNA(Tbl_Long_Hydro[[#This Row],[Draught]]),NA(),IFERROR(INDEX(Tbl_Long_Definition[X],Tbl_Long_Hydro[[#This Row],[Aft Nline prev]]),0))</f>
        <v>0</v>
      </c>
      <c r="AB19" s="889">
        <f>IF(ISNA(Tbl_Long_Hydro[[#This Row],[Draught]]),NA(),IFERROR(INDEX(Tbl_Long_Definition[X],Tbl_Long_Hydro[[#This Row],[Aft Nline next]]),0))</f>
        <v>5</v>
      </c>
      <c r="AC19" s="889">
        <f>IF(ISNA(Tbl_Long_Hydro[[#This Row],[Draught]]),NA(),INDEX(Tbl_Long_Definition[H k-bott],Tbl_Long_Hydro[[#This Row],[Aft Nline prev]]))</f>
        <v>2.8</v>
      </c>
      <c r="AD19" s="889">
        <f>IF(ISNA(Tbl_Long_Hydro[[#This Row],[Draught]]),NA(),INDEX(Tbl_Long_Definition[H k-bott],Tbl_Long_Hydro[[#This Row],[Aft Nline next]]))</f>
        <v>0</v>
      </c>
      <c r="AE19" s="888">
        <f>IF(ISNA(Tbl_Long_Hydro[[#This Row],[Draught]]),NA(),IFERROR(INDEX(Tbl_Long_Definition[X],Tbl_Long_Hydro[[#This Row],[Fore Nline prev]]),0))</f>
        <v>55</v>
      </c>
      <c r="AF19" s="889">
        <f>IF(ISNA(Tbl_Long_Hydro[[#This Row],[Draught]]),NA(),IFERROR(INDEX(Tbl_Long_Definition[X],Tbl_Long_Hydro[[#This Row],[Fore Nline next]]),0))</f>
        <v>60</v>
      </c>
      <c r="AG19" s="889">
        <f>IF(ISNA(Tbl_Long_Hydro[[#This Row],[Draught]]),NA(),INDEX(Tbl_Long_Definition[H k-bott],Tbl_Long_Hydro[[#This Row],[Fore Nline prev]]))</f>
        <v>0</v>
      </c>
      <c r="AH19" s="890">
        <f>IF(ISNA(Tbl_Long_Hydro[[#This Row],[Draught]]),NA(),INDEX(Tbl_Long_Definition[H k-bott],Tbl_Long_Hydro[[#This Row],[Fore Nline next]]))</f>
        <v>2.8</v>
      </c>
      <c r="AI19"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2.6785714285714284</v>
      </c>
      <c r="AJ19"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57.321428571428569</v>
      </c>
      <c r="AK19" s="894">
        <f>Tbl_Long_Hydro[[#This Row],[Fore X]]-Tbl_Long_Hydro[[#This Row],[Aft X]]</f>
        <v>54.642857142857139</v>
      </c>
      <c r="AL19" s="884">
        <f>Tbl_Long_Hydro[[#This Row],[LX]]*B</f>
        <v>1092.8571428571427</v>
      </c>
      <c r="AM19" s="892">
        <f>IF(ISNUMBER(AM18),(AK18+Tbl_Long_Hydro[[#This Row],[LX]])*(Tbl_Long_Hydro[[#This Row],[Draught]]-V18)/2*B,(Tbl_Long_Hydro[[#This Row],[LX]])*Tbl_Long_Hydro[[#This Row],[Draught]]*B)</f>
        <v>108.92857142857152</v>
      </c>
      <c r="AN19" s="899">
        <f>Tbl_Long_Hydro[[#This Row],[Aft X]]+Tbl_Long_Hydro[[#This Row],[LX]]/2</f>
        <v>29.999999999999996</v>
      </c>
      <c r="AO19" s="876">
        <f>IF(ISNUMBER(AO18),(2*Tbl_Long_Hydro[[#This Row],[LX]]+AK18)/(Tbl_Long_Hydro[[#This Row],[LX]]+AK18)*(Tbl_Long_Hydro[[#This Row],[Draught]]-V18)/3+V18,Tbl_Long_Hydro[[#This Row],[Draught]]/2)</f>
        <v>1.2500546448087431</v>
      </c>
      <c r="AP19" s="898">
        <f>IF(ISNUMBER(AP18),Tbl_Long_Hydro[[#This Row],[Volume elt]]+AP18,Tbl_Long_Hydro[[#This Row],[Volume elt]]*AO$4)</f>
        <v>1360.3571428571431</v>
      </c>
      <c r="AQ19" s="893">
        <f>IF(ISNUMBER(AQ18),Tbl_Long_Hydro[[#This Row],[Displacement]]*AQ$4,IF(ISNA(AQ18),NA(),0))</f>
        <v>1394.3660714285716</v>
      </c>
      <c r="AR19" s="900">
        <f>IF(ISNA(Tbl_Long_Hydro[[#This Row],[Draught]]),NA(),IFERROR(Tbl_Long_Hydro[[#This Row],[LX]]*B^3/12/Tbl_Long_Hydro[[#This Row],[Displacement]],0))</f>
        <v>26.778682068784452</v>
      </c>
      <c r="AS19" s="903">
        <f>IF(ISNA(Tbl_Long_Hydro[[#This Row],[Draught]]),NA(),IFERROR((B*Tbl_Long_Hydro[[#This Row],[LX]]^3/12+(Tbl_Long_Hydro[[#This Row],[LCF]]-Tbl_Long_Hydro[[#This Row],[LCB]])*Tbl_Long_Hydro[[#This Row],[Waterplane area]]*Tbl_Long_Hydro[[#This Row],[LCF]]^2)/Tbl_Long_Hydro[[#This Row],[Displacement]],0))</f>
        <v>199.89227313398698</v>
      </c>
      <c r="AT19" s="900">
        <f>Tbl_Long_Hydro[[#This Row],[Aft X]]+Tbl_Long_Hydro[[#This Row],[LX]]/2</f>
        <v>29.999999999999996</v>
      </c>
      <c r="AU19" s="901">
        <f>IF(ISNUMBER(AU18),(AU18*AP18+Tbl_Long_Hydro[[#This Row],[X CoG elt]]*Tbl_Long_Hydro[[#This Row],[Volume elt]])/Tbl_Long_Hydro[[#This Row],[Displacement]],Tbl_Long_Hydro[[#This Row],[X CoG elt]])</f>
        <v>29.999999999999993</v>
      </c>
      <c r="AV19" s="902">
        <f>IF(ISNA(Tbl_Long_Hydro[[#This Row],[Draught]]),NA(),0)</f>
        <v>0</v>
      </c>
      <c r="AW19" s="876">
        <f>IF(ISNUMBER(AW18),(AW18*AP18+Tbl_Long_Hydro[[#This Row],[Z CoG elt]]*Tbl_Long_Hydro[[#This Row],[Volume elt]])/Tbl_Long_Hydro[[#This Row],[Displacement]],Tbl_Long_Hydro[[#This Row],[Z CoG elt]])</f>
        <v>0.65961319681456188</v>
      </c>
      <c r="AX19" s="899">
        <f>Tbl_Long_Hydro[[#This Row],[RMT]]+Tbl_Long_Hydro[[#This Row],[VCB]]</f>
        <v>27.438295265599013</v>
      </c>
      <c r="AY19" s="904">
        <f>Tbl_Long_Hydro[[#This Row],[Displacement]]*Tbl_Long_Hydro[[#This Row],[RML]]/(100*Lpp)</f>
        <v>45.320813593295036</v>
      </c>
      <c r="AZ19" s="956">
        <f>Tbl_Long_Hydro[[#This Row],[Draught]]</f>
        <v>1.3</v>
      </c>
      <c r="BA19" s="959">
        <f>Tbl_Long_Hydro[[#This Row],[Displacement]]</f>
        <v>1360.3571428571431</v>
      </c>
      <c r="BB19" s="960">
        <f>Tbl_Long_Hydro[[#This Row],[Displac. SW]]</f>
        <v>1394.3660714285716</v>
      </c>
      <c r="BC19" s="964">
        <f>Tbl_Long_Hydro[[#This Row],[Waterplane area]]/100*$AQ$4</f>
        <v>11.201785714285712</v>
      </c>
      <c r="BD19" s="961">
        <f>Tbl_Long_Hydro[[#This Row],[MCT]]</f>
        <v>45.320813593295036</v>
      </c>
      <c r="BE19" s="962">
        <f>Tbl_Long_Hydro[[#This Row],[LCB]]</f>
        <v>29.999999999999993</v>
      </c>
      <c r="BF19" s="962">
        <f>Tbl_Long_Hydro[[#This Row],[TCB]]</f>
        <v>0</v>
      </c>
      <c r="BG19" s="962">
        <f>Tbl_Long_Hydro[[#This Row],[LCF]]</f>
        <v>29.999999999999996</v>
      </c>
      <c r="BH19" s="963">
        <f>Tbl_Long_Hydro[[#This Row],[KMT]]</f>
        <v>27.438295265599013</v>
      </c>
    </row>
    <row r="20" spans="11:60" x14ac:dyDescent="0.25">
      <c r="K20" s="156">
        <f t="shared" si="1"/>
        <v>14</v>
      </c>
      <c r="L20" s="164">
        <f t="shared" si="2"/>
        <v>7</v>
      </c>
      <c r="M20" s="163">
        <f>MATCH(Tbl_Long_Section[[#This Row],[X]],Tbl_Long_Definition[X],1)</f>
        <v>2</v>
      </c>
      <c r="N20" s="157">
        <f>IF(Tbl_Long_Section[[#This Row],[Nline Prev]]&lt;COUNT(Tbl_Long_Definition[X]),Tbl_Long_Section[[#This Row],[Nline Prev]]+1,Tbl_Long_Section[[#This Row],[Nline Prev]])</f>
        <v>3</v>
      </c>
      <c r="O20" s="162">
        <f>INDEX(Tbl_Long_Definition[X],Tbl_Long_Section[[#This Row],[Nline Prev]])</f>
        <v>5</v>
      </c>
      <c r="P20" s="159">
        <f>INDEX(Tbl_Long_Definition[X],Tbl_Long_Section[[#This Row],[Nline Next]])</f>
        <v>55</v>
      </c>
      <c r="Q20" s="160">
        <f>INDEX(Tbl_Long_Definition[H Deck-Bott.],Tbl_Long_Section[[#This Row],[Nline Prev]])</f>
        <v>4</v>
      </c>
      <c r="R20" s="161">
        <f>INDEX(Tbl_Long_Definition[H Deck-Bott.],Tbl_Long_Section[[#This Row],[Nline Next]])</f>
        <v>4</v>
      </c>
      <c r="S20"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20" s="8"/>
      <c r="V20" s="873">
        <f t="shared" si="3"/>
        <v>1.4000000000000001</v>
      </c>
      <c r="W20" s="885">
        <f>MATCH(Tbl_Long_Hydro[[#This Row],[Draught]],Tbl_Long_Definition[H k-bott],-1)</f>
        <v>1</v>
      </c>
      <c r="X20"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20" s="886">
        <f>MATCH(Tbl_Long_Hydro[[#This Row],[Draught]],Tbl_Long_Definition[H k-bott],1)</f>
        <v>3</v>
      </c>
      <c r="Z20"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20" s="888">
        <f>IF(ISNA(Tbl_Long_Hydro[[#This Row],[Draught]]),NA(),IFERROR(INDEX(Tbl_Long_Definition[X],Tbl_Long_Hydro[[#This Row],[Aft Nline prev]]),0))</f>
        <v>0</v>
      </c>
      <c r="AB20" s="889">
        <f>IF(ISNA(Tbl_Long_Hydro[[#This Row],[Draught]]),NA(),IFERROR(INDEX(Tbl_Long_Definition[X],Tbl_Long_Hydro[[#This Row],[Aft Nline next]]),0))</f>
        <v>5</v>
      </c>
      <c r="AC20" s="889">
        <f>IF(ISNA(Tbl_Long_Hydro[[#This Row],[Draught]]),NA(),INDEX(Tbl_Long_Definition[H k-bott],Tbl_Long_Hydro[[#This Row],[Aft Nline prev]]))</f>
        <v>2.8</v>
      </c>
      <c r="AD20" s="889">
        <f>IF(ISNA(Tbl_Long_Hydro[[#This Row],[Draught]]),NA(),INDEX(Tbl_Long_Definition[H k-bott],Tbl_Long_Hydro[[#This Row],[Aft Nline next]]))</f>
        <v>0</v>
      </c>
      <c r="AE20" s="888">
        <f>IF(ISNA(Tbl_Long_Hydro[[#This Row],[Draught]]),NA(),IFERROR(INDEX(Tbl_Long_Definition[X],Tbl_Long_Hydro[[#This Row],[Fore Nline prev]]),0))</f>
        <v>55</v>
      </c>
      <c r="AF20" s="889">
        <f>IF(ISNA(Tbl_Long_Hydro[[#This Row],[Draught]]),NA(),IFERROR(INDEX(Tbl_Long_Definition[X],Tbl_Long_Hydro[[#This Row],[Fore Nline next]]),0))</f>
        <v>60</v>
      </c>
      <c r="AG20" s="889">
        <f>IF(ISNA(Tbl_Long_Hydro[[#This Row],[Draught]]),NA(),INDEX(Tbl_Long_Definition[H k-bott],Tbl_Long_Hydro[[#This Row],[Fore Nline prev]]))</f>
        <v>0</v>
      </c>
      <c r="AH20" s="890">
        <f>IF(ISNA(Tbl_Long_Hydro[[#This Row],[Draught]]),NA(),INDEX(Tbl_Long_Definition[H k-bott],Tbl_Long_Hydro[[#This Row],[Fore Nline next]]))</f>
        <v>2.8</v>
      </c>
      <c r="AI20"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2.4999999999999996</v>
      </c>
      <c r="AJ20"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57.5</v>
      </c>
      <c r="AK20" s="894">
        <f>Tbl_Long_Hydro[[#This Row],[Fore X]]-Tbl_Long_Hydro[[#This Row],[Aft X]]</f>
        <v>55</v>
      </c>
      <c r="AL20" s="884">
        <f>Tbl_Long_Hydro[[#This Row],[LX]]*B</f>
        <v>1100</v>
      </c>
      <c r="AM20" s="892">
        <f>IF(ISNUMBER(AM19),(AK19+Tbl_Long_Hydro[[#This Row],[LX]])*(Tbl_Long_Hydro[[#This Row],[Draught]]-V19)/2*B,(Tbl_Long_Hydro[[#This Row],[LX]])*Tbl_Long_Hydro[[#This Row],[Draught]]*B)</f>
        <v>109.64285714285724</v>
      </c>
      <c r="AN20" s="899">
        <f>Tbl_Long_Hydro[[#This Row],[Aft X]]+Tbl_Long_Hydro[[#This Row],[LX]]/2</f>
        <v>30</v>
      </c>
      <c r="AO20" s="876">
        <f>IF(ISNUMBER(AO19),(2*Tbl_Long_Hydro[[#This Row],[LX]]+AK19)/(Tbl_Long_Hydro[[#This Row],[LX]]+AK19)*(Tbl_Long_Hydro[[#This Row],[Draught]]-V19)/3+V19,Tbl_Long_Hydro[[#This Row],[Draught]]/2)</f>
        <v>1.3500542888165039</v>
      </c>
      <c r="AP20" s="898">
        <f>IF(ISNUMBER(AP19),Tbl_Long_Hydro[[#This Row],[Volume elt]]+AP19,Tbl_Long_Hydro[[#This Row],[Volume elt]]*AO$4)</f>
        <v>1470.0000000000005</v>
      </c>
      <c r="AQ20" s="893">
        <f>IF(ISNUMBER(AQ19),Tbl_Long_Hydro[[#This Row],[Displacement]]*AQ$4,IF(ISNA(AQ19),NA(),0))</f>
        <v>1506.7500000000002</v>
      </c>
      <c r="AR20" s="900">
        <f>IF(ISNA(Tbl_Long_Hydro[[#This Row],[Draught]]),NA(),IFERROR(Tbl_Long_Hydro[[#This Row],[LX]]*B^3/12/Tbl_Long_Hydro[[#This Row],[Displacement]],0))</f>
        <v>24.943310657596363</v>
      </c>
      <c r="AS20" s="903">
        <f>IF(ISNA(Tbl_Long_Hydro[[#This Row],[Draught]]),NA(),IFERROR((B*Tbl_Long_Hydro[[#This Row],[LX]]^3/12+(Tbl_Long_Hydro[[#This Row],[LCF]]-Tbl_Long_Hydro[[#This Row],[LCB]])*Tbl_Long_Hydro[[#This Row],[Waterplane area]]*Tbl_Long_Hydro[[#This Row],[LCF]]^2)/Tbl_Long_Hydro[[#This Row],[Displacement]],0))</f>
        <v>188.63378684807969</v>
      </c>
      <c r="AT20" s="900">
        <f>Tbl_Long_Hydro[[#This Row],[Aft X]]+Tbl_Long_Hydro[[#This Row],[LX]]/2</f>
        <v>30</v>
      </c>
      <c r="AU20" s="901">
        <f>IF(ISNUMBER(AU19),(AU19*AP19+Tbl_Long_Hydro[[#This Row],[X CoG elt]]*Tbl_Long_Hydro[[#This Row],[Volume elt]])/Tbl_Long_Hydro[[#This Row],[Displacement]],Tbl_Long_Hydro[[#This Row],[X CoG elt]])</f>
        <v>29.999999999999989</v>
      </c>
      <c r="AV20" s="902">
        <f>IF(ISNA(Tbl_Long_Hydro[[#This Row],[Draught]]),NA(),0)</f>
        <v>0</v>
      </c>
      <c r="AW20" s="876">
        <f>IF(ISNUMBER(AW19),(AW19*AP19+Tbl_Long_Hydro[[#This Row],[Z CoG elt]]*Tbl_Long_Hydro[[#This Row],[Volume elt]])/Tbl_Long_Hydro[[#This Row],[Displacement]],Tbl_Long_Hydro[[#This Row],[Z CoG elt]])</f>
        <v>0.71111111111111103</v>
      </c>
      <c r="AX20" s="899">
        <f>Tbl_Long_Hydro[[#This Row],[RMT]]+Tbl_Long_Hydro[[#This Row],[VCB]]</f>
        <v>25.654421768707476</v>
      </c>
      <c r="AY20" s="904">
        <f>Tbl_Long_Hydro[[#This Row],[Displacement]]*Tbl_Long_Hydro[[#This Row],[RML]]/(100*Lpp)</f>
        <v>46.215277777779534</v>
      </c>
      <c r="AZ20" s="956">
        <f>Tbl_Long_Hydro[[#This Row],[Draught]]</f>
        <v>1.4000000000000001</v>
      </c>
      <c r="BA20" s="959">
        <f>Tbl_Long_Hydro[[#This Row],[Displacement]]</f>
        <v>1470.0000000000005</v>
      </c>
      <c r="BB20" s="960">
        <f>Tbl_Long_Hydro[[#This Row],[Displac. SW]]</f>
        <v>1506.7500000000002</v>
      </c>
      <c r="BC20" s="964">
        <f>Tbl_Long_Hydro[[#This Row],[Waterplane area]]/100*$AQ$4</f>
        <v>11.274999999999999</v>
      </c>
      <c r="BD20" s="961">
        <f>Tbl_Long_Hydro[[#This Row],[MCT]]</f>
        <v>46.215277777779534</v>
      </c>
      <c r="BE20" s="962">
        <f>Tbl_Long_Hydro[[#This Row],[LCB]]</f>
        <v>29.999999999999989</v>
      </c>
      <c r="BF20" s="962">
        <f>Tbl_Long_Hydro[[#This Row],[TCB]]</f>
        <v>0</v>
      </c>
      <c r="BG20" s="962">
        <f>Tbl_Long_Hydro[[#This Row],[LCF]]</f>
        <v>30</v>
      </c>
      <c r="BH20" s="963">
        <f>Tbl_Long_Hydro[[#This Row],[KMT]]</f>
        <v>25.654421768707476</v>
      </c>
    </row>
    <row r="21" spans="11:60" x14ac:dyDescent="0.25">
      <c r="K21" s="156">
        <f t="shared" si="1"/>
        <v>15</v>
      </c>
      <c r="L21" s="164">
        <f t="shared" si="2"/>
        <v>7.5</v>
      </c>
      <c r="M21" s="163">
        <f>MATCH(Tbl_Long_Section[[#This Row],[X]],Tbl_Long_Definition[X],1)</f>
        <v>2</v>
      </c>
      <c r="N21" s="157">
        <f>IF(Tbl_Long_Section[[#This Row],[Nline Prev]]&lt;COUNT(Tbl_Long_Definition[X]),Tbl_Long_Section[[#This Row],[Nline Prev]]+1,Tbl_Long_Section[[#This Row],[Nline Prev]])</f>
        <v>3</v>
      </c>
      <c r="O21" s="162">
        <f>INDEX(Tbl_Long_Definition[X],Tbl_Long_Section[[#This Row],[Nline Prev]])</f>
        <v>5</v>
      </c>
      <c r="P21" s="159">
        <f>INDEX(Tbl_Long_Definition[X],Tbl_Long_Section[[#This Row],[Nline Next]])</f>
        <v>55</v>
      </c>
      <c r="Q21" s="160">
        <f>INDEX(Tbl_Long_Definition[H Deck-Bott.],Tbl_Long_Section[[#This Row],[Nline Prev]])</f>
        <v>4</v>
      </c>
      <c r="R21" s="161">
        <f>INDEX(Tbl_Long_Definition[H Deck-Bott.],Tbl_Long_Section[[#This Row],[Nline Next]])</f>
        <v>4</v>
      </c>
      <c r="S21"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21" s="8"/>
      <c r="V21" s="873">
        <f t="shared" si="3"/>
        <v>1.5000000000000002</v>
      </c>
      <c r="W21" s="885">
        <f>MATCH(Tbl_Long_Hydro[[#This Row],[Draught]],Tbl_Long_Definition[H k-bott],-1)</f>
        <v>1</v>
      </c>
      <c r="X21"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21" s="886">
        <f>MATCH(Tbl_Long_Hydro[[#This Row],[Draught]],Tbl_Long_Definition[H k-bott],1)</f>
        <v>3</v>
      </c>
      <c r="Z21"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21" s="888">
        <f>IF(ISNA(Tbl_Long_Hydro[[#This Row],[Draught]]),NA(),IFERROR(INDEX(Tbl_Long_Definition[X],Tbl_Long_Hydro[[#This Row],[Aft Nline prev]]),0))</f>
        <v>0</v>
      </c>
      <c r="AB21" s="889">
        <f>IF(ISNA(Tbl_Long_Hydro[[#This Row],[Draught]]),NA(),IFERROR(INDEX(Tbl_Long_Definition[X],Tbl_Long_Hydro[[#This Row],[Aft Nline next]]),0))</f>
        <v>5</v>
      </c>
      <c r="AC21" s="889">
        <f>IF(ISNA(Tbl_Long_Hydro[[#This Row],[Draught]]),NA(),INDEX(Tbl_Long_Definition[H k-bott],Tbl_Long_Hydro[[#This Row],[Aft Nline prev]]))</f>
        <v>2.8</v>
      </c>
      <c r="AD21" s="889">
        <f>IF(ISNA(Tbl_Long_Hydro[[#This Row],[Draught]]),NA(),INDEX(Tbl_Long_Definition[H k-bott],Tbl_Long_Hydro[[#This Row],[Aft Nline next]]))</f>
        <v>0</v>
      </c>
      <c r="AE21" s="888">
        <f>IF(ISNA(Tbl_Long_Hydro[[#This Row],[Draught]]),NA(),IFERROR(INDEX(Tbl_Long_Definition[X],Tbl_Long_Hydro[[#This Row],[Fore Nline prev]]),0))</f>
        <v>55</v>
      </c>
      <c r="AF21" s="889">
        <f>IF(ISNA(Tbl_Long_Hydro[[#This Row],[Draught]]),NA(),IFERROR(INDEX(Tbl_Long_Definition[X],Tbl_Long_Hydro[[#This Row],[Fore Nline next]]),0))</f>
        <v>60</v>
      </c>
      <c r="AG21" s="889">
        <f>IF(ISNA(Tbl_Long_Hydro[[#This Row],[Draught]]),NA(),INDEX(Tbl_Long_Definition[H k-bott],Tbl_Long_Hydro[[#This Row],[Fore Nline prev]]))</f>
        <v>0</v>
      </c>
      <c r="AH21" s="890">
        <f>IF(ISNA(Tbl_Long_Hydro[[#This Row],[Draught]]),NA(),INDEX(Tbl_Long_Definition[H k-bott],Tbl_Long_Hydro[[#This Row],[Fore Nline next]]))</f>
        <v>2.8</v>
      </c>
      <c r="AI21"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2.3214285714285712</v>
      </c>
      <c r="AJ21"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57.678571428571431</v>
      </c>
      <c r="AK21" s="894">
        <f>Tbl_Long_Hydro[[#This Row],[Fore X]]-Tbl_Long_Hydro[[#This Row],[Aft X]]</f>
        <v>55.357142857142861</v>
      </c>
      <c r="AL21" s="884">
        <f>Tbl_Long_Hydro[[#This Row],[LX]]*B</f>
        <v>1107.1428571428573</v>
      </c>
      <c r="AM21" s="892">
        <f>IF(ISNUMBER(AM20),(AK20+Tbl_Long_Hydro[[#This Row],[LX]])*(Tbl_Long_Hydro[[#This Row],[Draught]]-V20)/2*B,(Tbl_Long_Hydro[[#This Row],[LX]])*Tbl_Long_Hydro[[#This Row],[Draught]]*B)</f>
        <v>110.35714285714295</v>
      </c>
      <c r="AN21" s="899">
        <f>Tbl_Long_Hydro[[#This Row],[Aft X]]+Tbl_Long_Hydro[[#This Row],[LX]]/2</f>
        <v>30</v>
      </c>
      <c r="AO21" s="876">
        <f>IF(ISNUMBER(AO20),(2*Tbl_Long_Hydro[[#This Row],[LX]]+AK20)/(Tbl_Long_Hydro[[#This Row],[LX]]+AK20)*(Tbl_Long_Hydro[[#This Row],[Draught]]-V20)/3+V20,Tbl_Long_Hydro[[#This Row],[Draught]]/2)</f>
        <v>1.4500539374325785</v>
      </c>
      <c r="AP21" s="898">
        <f>IF(ISNUMBER(AP20),Tbl_Long_Hydro[[#This Row],[Volume elt]]+AP20,Tbl_Long_Hydro[[#This Row],[Volume elt]]*AO$4)</f>
        <v>1580.3571428571433</v>
      </c>
      <c r="AQ21" s="893">
        <f>IF(ISNUMBER(AQ20),Tbl_Long_Hydro[[#This Row],[Displacement]]*AQ$4,IF(ISNA(AQ20),NA(),0))</f>
        <v>1619.8660714285718</v>
      </c>
      <c r="AR21" s="900">
        <f>IF(ISNA(Tbl_Long_Hydro[[#This Row],[Draught]]),NA(),IFERROR(Tbl_Long_Hydro[[#This Row],[LX]]*B^3/12/Tbl_Long_Hydro[[#This Row],[Displacement]],0))</f>
        <v>23.352165725047076</v>
      </c>
      <c r="AS21" s="903">
        <f>IF(ISNA(Tbl_Long_Hydro[[#This Row],[Draught]]),NA(),IFERROR((B*Tbl_Long_Hydro[[#This Row],[LX]]^3/12+(Tbl_Long_Hydro[[#This Row],[LCF]]-Tbl_Long_Hydro[[#This Row],[LCB]])*Tbl_Long_Hydro[[#This Row],[Waterplane area]]*Tbl_Long_Hydro[[#This Row],[LCF]]^2)/Tbl_Long_Hydro[[#This Row],[Displacement]],0))</f>
        <v>178.90171605365757</v>
      </c>
      <c r="AT21" s="900">
        <f>Tbl_Long_Hydro[[#This Row],[Aft X]]+Tbl_Long_Hydro[[#This Row],[LX]]/2</f>
        <v>30</v>
      </c>
      <c r="AU21" s="901">
        <f>IF(ISNUMBER(AU20),(AU20*AP20+Tbl_Long_Hydro[[#This Row],[X CoG elt]]*Tbl_Long_Hydro[[#This Row],[Volume elt]])/Tbl_Long_Hydro[[#This Row],[Displacement]],Tbl_Long_Hydro[[#This Row],[X CoG elt]])</f>
        <v>29.999999999999993</v>
      </c>
      <c r="AV21" s="902">
        <f>IF(ISNA(Tbl_Long_Hydro[[#This Row],[Draught]]),NA(),0)</f>
        <v>0</v>
      </c>
      <c r="AW21" s="876">
        <f>IF(ISNUMBER(AW20),(AW20*AP20+Tbl_Long_Hydro[[#This Row],[Z CoG elt]]*Tbl_Long_Hydro[[#This Row],[Volume elt]])/Tbl_Long_Hydro[[#This Row],[Displacement]],Tbl_Long_Hydro[[#This Row],[Z CoG elt]])</f>
        <v>0.76271186440677963</v>
      </c>
      <c r="AX21" s="899">
        <f>Tbl_Long_Hydro[[#This Row],[RMT]]+Tbl_Long_Hydro[[#This Row],[VCB]]</f>
        <v>24.114877589453855</v>
      </c>
      <c r="AY21" s="904">
        <f>Tbl_Long_Hydro[[#This Row],[Displacement]]*Tbl_Long_Hydro[[#This Row],[RML]]/(100*Lpp)</f>
        <v>47.121434139133036</v>
      </c>
      <c r="AZ21" s="956">
        <f>Tbl_Long_Hydro[[#This Row],[Draught]]</f>
        <v>1.5000000000000002</v>
      </c>
      <c r="BA21" s="959">
        <f>Tbl_Long_Hydro[[#This Row],[Displacement]]</f>
        <v>1580.3571428571433</v>
      </c>
      <c r="BB21" s="960">
        <f>Tbl_Long_Hydro[[#This Row],[Displac. SW]]</f>
        <v>1619.8660714285718</v>
      </c>
      <c r="BC21" s="964">
        <f>Tbl_Long_Hydro[[#This Row],[Waterplane area]]/100*$AQ$4</f>
        <v>11.348214285714286</v>
      </c>
      <c r="BD21" s="961">
        <f>Tbl_Long_Hydro[[#This Row],[MCT]]</f>
        <v>47.121434139133036</v>
      </c>
      <c r="BE21" s="962">
        <f>Tbl_Long_Hydro[[#This Row],[LCB]]</f>
        <v>29.999999999999993</v>
      </c>
      <c r="BF21" s="962">
        <f>Tbl_Long_Hydro[[#This Row],[TCB]]</f>
        <v>0</v>
      </c>
      <c r="BG21" s="962">
        <f>Tbl_Long_Hydro[[#This Row],[LCF]]</f>
        <v>30</v>
      </c>
      <c r="BH21" s="963">
        <f>Tbl_Long_Hydro[[#This Row],[KMT]]</f>
        <v>24.114877589453855</v>
      </c>
    </row>
    <row r="22" spans="11:60" x14ac:dyDescent="0.25">
      <c r="K22" s="156">
        <f t="shared" si="1"/>
        <v>16</v>
      </c>
      <c r="L22" s="164">
        <f t="shared" si="2"/>
        <v>8</v>
      </c>
      <c r="M22" s="163">
        <f>MATCH(Tbl_Long_Section[[#This Row],[X]],Tbl_Long_Definition[X],1)</f>
        <v>2</v>
      </c>
      <c r="N22" s="157">
        <f>IF(Tbl_Long_Section[[#This Row],[Nline Prev]]&lt;COUNT(Tbl_Long_Definition[X]),Tbl_Long_Section[[#This Row],[Nline Prev]]+1,Tbl_Long_Section[[#This Row],[Nline Prev]])</f>
        <v>3</v>
      </c>
      <c r="O22" s="162">
        <f>INDEX(Tbl_Long_Definition[X],Tbl_Long_Section[[#This Row],[Nline Prev]])</f>
        <v>5</v>
      </c>
      <c r="P22" s="159">
        <f>INDEX(Tbl_Long_Definition[X],Tbl_Long_Section[[#This Row],[Nline Next]])</f>
        <v>55</v>
      </c>
      <c r="Q22" s="160">
        <f>INDEX(Tbl_Long_Definition[H Deck-Bott.],Tbl_Long_Section[[#This Row],[Nline Prev]])</f>
        <v>4</v>
      </c>
      <c r="R22" s="161">
        <f>INDEX(Tbl_Long_Definition[H Deck-Bott.],Tbl_Long_Section[[#This Row],[Nline Next]])</f>
        <v>4</v>
      </c>
      <c r="S22"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22" s="8"/>
      <c r="V22" s="873">
        <f t="shared" si="3"/>
        <v>1.6000000000000003</v>
      </c>
      <c r="W22" s="885">
        <f>MATCH(Tbl_Long_Hydro[[#This Row],[Draught]],Tbl_Long_Definition[H k-bott],-1)</f>
        <v>1</v>
      </c>
      <c r="X22"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22" s="886">
        <f>MATCH(Tbl_Long_Hydro[[#This Row],[Draught]],Tbl_Long_Definition[H k-bott],1)</f>
        <v>3</v>
      </c>
      <c r="Z22"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22" s="888">
        <f>IF(ISNA(Tbl_Long_Hydro[[#This Row],[Draught]]),NA(),IFERROR(INDEX(Tbl_Long_Definition[X],Tbl_Long_Hydro[[#This Row],[Aft Nline prev]]),0))</f>
        <v>0</v>
      </c>
      <c r="AB22" s="889">
        <f>IF(ISNA(Tbl_Long_Hydro[[#This Row],[Draught]]),NA(),IFERROR(INDEX(Tbl_Long_Definition[X],Tbl_Long_Hydro[[#This Row],[Aft Nline next]]),0))</f>
        <v>5</v>
      </c>
      <c r="AC22" s="889">
        <f>IF(ISNA(Tbl_Long_Hydro[[#This Row],[Draught]]),NA(),INDEX(Tbl_Long_Definition[H k-bott],Tbl_Long_Hydro[[#This Row],[Aft Nline prev]]))</f>
        <v>2.8</v>
      </c>
      <c r="AD22" s="889">
        <f>IF(ISNA(Tbl_Long_Hydro[[#This Row],[Draught]]),NA(),INDEX(Tbl_Long_Definition[H k-bott],Tbl_Long_Hydro[[#This Row],[Aft Nline next]]))</f>
        <v>0</v>
      </c>
      <c r="AE22" s="888">
        <f>IF(ISNA(Tbl_Long_Hydro[[#This Row],[Draught]]),NA(),IFERROR(INDEX(Tbl_Long_Definition[X],Tbl_Long_Hydro[[#This Row],[Fore Nline prev]]),0))</f>
        <v>55</v>
      </c>
      <c r="AF22" s="889">
        <f>IF(ISNA(Tbl_Long_Hydro[[#This Row],[Draught]]),NA(),IFERROR(INDEX(Tbl_Long_Definition[X],Tbl_Long_Hydro[[#This Row],[Fore Nline next]]),0))</f>
        <v>60</v>
      </c>
      <c r="AG22" s="889">
        <f>IF(ISNA(Tbl_Long_Hydro[[#This Row],[Draught]]),NA(),INDEX(Tbl_Long_Definition[H k-bott],Tbl_Long_Hydro[[#This Row],[Fore Nline prev]]))</f>
        <v>0</v>
      </c>
      <c r="AH22" s="890">
        <f>IF(ISNA(Tbl_Long_Hydro[[#This Row],[Draught]]),NA(),INDEX(Tbl_Long_Definition[H k-bott],Tbl_Long_Hydro[[#This Row],[Fore Nline next]]))</f>
        <v>2.8</v>
      </c>
      <c r="AI22"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2.1428571428571423</v>
      </c>
      <c r="AJ22"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57.857142857142861</v>
      </c>
      <c r="AK22" s="894">
        <f>Tbl_Long_Hydro[[#This Row],[Fore X]]-Tbl_Long_Hydro[[#This Row],[Aft X]]</f>
        <v>55.714285714285722</v>
      </c>
      <c r="AL22" s="884">
        <f>Tbl_Long_Hydro[[#This Row],[LX]]*B</f>
        <v>1114.2857142857144</v>
      </c>
      <c r="AM22" s="892">
        <f>IF(ISNUMBER(AM21),(AK21+Tbl_Long_Hydro[[#This Row],[LX]])*(Tbl_Long_Hydro[[#This Row],[Draught]]-V21)/2*B,(Tbl_Long_Hydro[[#This Row],[LX]])*Tbl_Long_Hydro[[#This Row],[Draught]]*B)</f>
        <v>111.07142857142868</v>
      </c>
      <c r="AN22" s="899">
        <f>Tbl_Long_Hydro[[#This Row],[Aft X]]+Tbl_Long_Hydro[[#This Row],[LX]]/2</f>
        <v>30.000000000000004</v>
      </c>
      <c r="AO22" s="876">
        <f>IF(ISNUMBER(AO21),(2*Tbl_Long_Hydro[[#This Row],[LX]]+AK21)/(Tbl_Long_Hydro[[#This Row],[LX]]+AK21)*(Tbl_Long_Hydro[[#This Row],[Draught]]-V21)/3+V21,Tbl_Long_Hydro[[#This Row],[Draught]]/2)</f>
        <v>1.5500535905680604</v>
      </c>
      <c r="AP22" s="898">
        <f>IF(ISNUMBER(AP21),Tbl_Long_Hydro[[#This Row],[Volume elt]]+AP21,Tbl_Long_Hydro[[#This Row],[Volume elt]]*AO$4)</f>
        <v>1691.428571428572</v>
      </c>
      <c r="AQ22" s="893">
        <f>IF(ISNUMBER(AQ21),Tbl_Long_Hydro[[#This Row],[Displacement]]*AQ$4,IF(ISNA(AQ21),NA(),0))</f>
        <v>1733.7142857142862</v>
      </c>
      <c r="AR22" s="900">
        <f>IF(ISNA(Tbl_Long_Hydro[[#This Row],[Draught]]),NA(),IFERROR(Tbl_Long_Hydro[[#This Row],[LX]]*B^3/12/Tbl_Long_Hydro[[#This Row],[Displacement]],0))</f>
        <v>21.959459459459456</v>
      </c>
      <c r="AS22" s="903">
        <f>IF(ISNA(Tbl_Long_Hydro[[#This Row],[Draught]]),NA(),IFERROR((B*Tbl_Long_Hydro[[#This Row],[LX]]^3/12+(Tbl_Long_Hydro[[#This Row],[LCF]]-Tbl_Long_Hydro[[#This Row],[LCB]])*Tbl_Long_Hydro[[#This Row],[Waterplane area]]*Tbl_Long_Hydro[[#This Row],[LCF]]^2)/Tbl_Long_Hydro[[#This Row],[Displacement]],0))</f>
        <v>170.40988692774829</v>
      </c>
      <c r="AT22" s="900">
        <f>Tbl_Long_Hydro[[#This Row],[Aft X]]+Tbl_Long_Hydro[[#This Row],[LX]]/2</f>
        <v>30.000000000000004</v>
      </c>
      <c r="AU22" s="901">
        <f>IF(ISNUMBER(AU21),(AU21*AP21+Tbl_Long_Hydro[[#This Row],[X CoG elt]]*Tbl_Long_Hydro[[#This Row],[Volume elt]])/Tbl_Long_Hydro[[#This Row],[Displacement]],Tbl_Long_Hydro[[#This Row],[X CoG elt]])</f>
        <v>29.999999999999996</v>
      </c>
      <c r="AV22" s="902">
        <f>IF(ISNA(Tbl_Long_Hydro[[#This Row],[Draught]]),NA(),0)</f>
        <v>0</v>
      </c>
      <c r="AW22" s="876">
        <f>IF(ISNUMBER(AW21),(AW21*AP21+Tbl_Long_Hydro[[#This Row],[Z CoG elt]]*Tbl_Long_Hydro[[#This Row],[Volume elt]])/Tbl_Long_Hydro[[#This Row],[Displacement]],Tbl_Long_Hydro[[#This Row],[Z CoG elt]])</f>
        <v>0.81441441441441442</v>
      </c>
      <c r="AX22" s="899">
        <f>Tbl_Long_Hydro[[#This Row],[RMT]]+Tbl_Long_Hydro[[#This Row],[VCB]]</f>
        <v>22.773873873873871</v>
      </c>
      <c r="AY22" s="904">
        <f>Tbl_Long_Hydro[[#This Row],[Displacement]]*Tbl_Long_Hydro[[#This Row],[RML]]/(100*Lpp)</f>
        <v>48.039358600584293</v>
      </c>
      <c r="AZ22" s="956">
        <f>Tbl_Long_Hydro[[#This Row],[Draught]]</f>
        <v>1.6000000000000003</v>
      </c>
      <c r="BA22" s="959">
        <f>Tbl_Long_Hydro[[#This Row],[Displacement]]</f>
        <v>1691.428571428572</v>
      </c>
      <c r="BB22" s="960">
        <f>Tbl_Long_Hydro[[#This Row],[Displac. SW]]</f>
        <v>1733.7142857142862</v>
      </c>
      <c r="BC22" s="964">
        <f>Tbl_Long_Hydro[[#This Row],[Waterplane area]]/100*$AQ$4</f>
        <v>11.421428571428573</v>
      </c>
      <c r="BD22" s="961">
        <f>Tbl_Long_Hydro[[#This Row],[MCT]]</f>
        <v>48.039358600584293</v>
      </c>
      <c r="BE22" s="962">
        <f>Tbl_Long_Hydro[[#This Row],[LCB]]</f>
        <v>29.999999999999996</v>
      </c>
      <c r="BF22" s="962">
        <f>Tbl_Long_Hydro[[#This Row],[TCB]]</f>
        <v>0</v>
      </c>
      <c r="BG22" s="962">
        <f>Tbl_Long_Hydro[[#This Row],[LCF]]</f>
        <v>30.000000000000004</v>
      </c>
      <c r="BH22" s="963">
        <f>Tbl_Long_Hydro[[#This Row],[KMT]]</f>
        <v>22.773873873873871</v>
      </c>
    </row>
    <row r="23" spans="11:60" x14ac:dyDescent="0.25">
      <c r="K23" s="156">
        <f t="shared" si="1"/>
        <v>17</v>
      </c>
      <c r="L23" s="164">
        <f t="shared" si="2"/>
        <v>8.5</v>
      </c>
      <c r="M23" s="163">
        <f>MATCH(Tbl_Long_Section[[#This Row],[X]],Tbl_Long_Definition[X],1)</f>
        <v>2</v>
      </c>
      <c r="N23" s="157">
        <f>IF(Tbl_Long_Section[[#This Row],[Nline Prev]]&lt;COUNT(Tbl_Long_Definition[X]),Tbl_Long_Section[[#This Row],[Nline Prev]]+1,Tbl_Long_Section[[#This Row],[Nline Prev]])</f>
        <v>3</v>
      </c>
      <c r="O23" s="162">
        <f>INDEX(Tbl_Long_Definition[X],Tbl_Long_Section[[#This Row],[Nline Prev]])</f>
        <v>5</v>
      </c>
      <c r="P23" s="159">
        <f>INDEX(Tbl_Long_Definition[X],Tbl_Long_Section[[#This Row],[Nline Next]])</f>
        <v>55</v>
      </c>
      <c r="Q23" s="160">
        <f>INDEX(Tbl_Long_Definition[H Deck-Bott.],Tbl_Long_Section[[#This Row],[Nline Prev]])</f>
        <v>4</v>
      </c>
      <c r="R23" s="161">
        <f>INDEX(Tbl_Long_Definition[H Deck-Bott.],Tbl_Long_Section[[#This Row],[Nline Next]])</f>
        <v>4</v>
      </c>
      <c r="S23"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23" s="8"/>
      <c r="V23" s="873">
        <f t="shared" si="3"/>
        <v>1.7000000000000004</v>
      </c>
      <c r="W23" s="885">
        <f>MATCH(Tbl_Long_Hydro[[#This Row],[Draught]],Tbl_Long_Definition[H k-bott],-1)</f>
        <v>1</v>
      </c>
      <c r="X23"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23" s="886">
        <f>MATCH(Tbl_Long_Hydro[[#This Row],[Draught]],Tbl_Long_Definition[H k-bott],1)</f>
        <v>3</v>
      </c>
      <c r="Z23"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23" s="888">
        <f>IF(ISNA(Tbl_Long_Hydro[[#This Row],[Draught]]),NA(),IFERROR(INDEX(Tbl_Long_Definition[X],Tbl_Long_Hydro[[#This Row],[Aft Nline prev]]),0))</f>
        <v>0</v>
      </c>
      <c r="AB23" s="889">
        <f>IF(ISNA(Tbl_Long_Hydro[[#This Row],[Draught]]),NA(),IFERROR(INDEX(Tbl_Long_Definition[X],Tbl_Long_Hydro[[#This Row],[Aft Nline next]]),0))</f>
        <v>5</v>
      </c>
      <c r="AC23" s="889">
        <f>IF(ISNA(Tbl_Long_Hydro[[#This Row],[Draught]]),NA(),INDEX(Tbl_Long_Definition[H k-bott],Tbl_Long_Hydro[[#This Row],[Aft Nline prev]]))</f>
        <v>2.8</v>
      </c>
      <c r="AD23" s="889">
        <f>IF(ISNA(Tbl_Long_Hydro[[#This Row],[Draught]]),NA(),INDEX(Tbl_Long_Definition[H k-bott],Tbl_Long_Hydro[[#This Row],[Aft Nline next]]))</f>
        <v>0</v>
      </c>
      <c r="AE23" s="888">
        <f>IF(ISNA(Tbl_Long_Hydro[[#This Row],[Draught]]),NA(),IFERROR(INDEX(Tbl_Long_Definition[X],Tbl_Long_Hydro[[#This Row],[Fore Nline prev]]),0))</f>
        <v>55</v>
      </c>
      <c r="AF23" s="889">
        <f>IF(ISNA(Tbl_Long_Hydro[[#This Row],[Draught]]),NA(),IFERROR(INDEX(Tbl_Long_Definition[X],Tbl_Long_Hydro[[#This Row],[Fore Nline next]]),0))</f>
        <v>60</v>
      </c>
      <c r="AG23" s="889">
        <f>IF(ISNA(Tbl_Long_Hydro[[#This Row],[Draught]]),NA(),INDEX(Tbl_Long_Definition[H k-bott],Tbl_Long_Hydro[[#This Row],[Fore Nline prev]]))</f>
        <v>0</v>
      </c>
      <c r="AH23" s="890">
        <f>IF(ISNA(Tbl_Long_Hydro[[#This Row],[Draught]]),NA(),INDEX(Tbl_Long_Definition[H k-bott],Tbl_Long_Hydro[[#This Row],[Fore Nline next]]))</f>
        <v>2.8</v>
      </c>
      <c r="AI23"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1.9642857142857135</v>
      </c>
      <c r="AJ23"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58.035714285714285</v>
      </c>
      <c r="AK23" s="894">
        <f>Tbl_Long_Hydro[[#This Row],[Fore X]]-Tbl_Long_Hydro[[#This Row],[Aft X]]</f>
        <v>56.071428571428569</v>
      </c>
      <c r="AL23" s="884">
        <f>Tbl_Long_Hydro[[#This Row],[LX]]*B</f>
        <v>1121.4285714285713</v>
      </c>
      <c r="AM23" s="892">
        <f>IF(ISNUMBER(AM22),(AK22+Tbl_Long_Hydro[[#This Row],[LX]])*(Tbl_Long_Hydro[[#This Row],[Draught]]-V22)/2*B,(Tbl_Long_Hydro[[#This Row],[LX]])*Tbl_Long_Hydro[[#This Row],[Draught]]*B)</f>
        <v>111.78571428571439</v>
      </c>
      <c r="AN23" s="899">
        <f>Tbl_Long_Hydro[[#This Row],[Aft X]]+Tbl_Long_Hydro[[#This Row],[LX]]/2</f>
        <v>30</v>
      </c>
      <c r="AO23" s="876">
        <f>IF(ISNUMBER(AO22),(2*Tbl_Long_Hydro[[#This Row],[LX]]+AK22)/(Tbl_Long_Hydro[[#This Row],[LX]]+AK22)*(Tbl_Long_Hydro[[#This Row],[Draught]]-V22)/3+V22,Tbl_Long_Hydro[[#This Row],[Draught]]/2)</f>
        <v>1.6500532481363155</v>
      </c>
      <c r="AP23" s="898">
        <f>IF(ISNUMBER(AP22),Tbl_Long_Hydro[[#This Row],[Volume elt]]+AP22,Tbl_Long_Hydro[[#This Row],[Volume elt]]*AO$4)</f>
        <v>1803.2142857142865</v>
      </c>
      <c r="AQ23" s="893">
        <f>IF(ISNUMBER(AQ22),Tbl_Long_Hydro[[#This Row],[Displacement]]*AQ$4,IF(ISNA(AQ22),NA(),0))</f>
        <v>1848.2946428571436</v>
      </c>
      <c r="AR23" s="900">
        <f>IF(ISNA(Tbl_Long_Hydro[[#This Row],[Draught]]),NA(),IFERROR(Tbl_Long_Hydro[[#This Row],[LX]]*B^3/12/Tbl_Long_Hydro[[#This Row],[Displacement]],0))</f>
        <v>20.730177592922683</v>
      </c>
      <c r="AS23" s="903">
        <f>IF(ISNA(Tbl_Long_Hydro[[#This Row],[Draught]]),NA(),IFERROR((B*Tbl_Long_Hydro[[#This Row],[LX]]^3/12+(Tbl_Long_Hydro[[#This Row],[LCF]]-Tbl_Long_Hydro[[#This Row],[LCB]])*Tbl_Long_Hydro[[#This Row],[Waterplane area]]*Tbl_Long_Hydro[[#This Row],[LCF]]^2)/Tbl_Long_Hydro[[#This Row],[Displacement]],0))</f>
        <v>162.93946029590478</v>
      </c>
      <c r="AT23" s="900">
        <f>Tbl_Long_Hydro[[#This Row],[Aft X]]+Tbl_Long_Hydro[[#This Row],[LX]]/2</f>
        <v>30</v>
      </c>
      <c r="AU23" s="901">
        <f>IF(ISNUMBER(AU22),(AU22*AP22+Tbl_Long_Hydro[[#This Row],[X CoG elt]]*Tbl_Long_Hydro[[#This Row],[Volume elt]])/Tbl_Long_Hydro[[#This Row],[Displacement]],Tbl_Long_Hydro[[#This Row],[X CoG elt]])</f>
        <v>29.999999999999996</v>
      </c>
      <c r="AV23" s="902">
        <f>IF(ISNA(Tbl_Long_Hydro[[#This Row],[Draught]]),NA(),0)</f>
        <v>0</v>
      </c>
      <c r="AW23" s="876">
        <f>IF(ISNUMBER(AW22),(AW22*AP22+Tbl_Long_Hydro[[#This Row],[Z CoG elt]]*Tbl_Long_Hydro[[#This Row],[Volume elt]])/Tbl_Long_Hydro[[#This Row],[Displacement]],Tbl_Long_Hydro[[#This Row],[Z CoG elt]])</f>
        <v>0.86621773288439963</v>
      </c>
      <c r="AX23" s="899">
        <f>Tbl_Long_Hydro[[#This Row],[RMT]]+Tbl_Long_Hydro[[#This Row],[VCB]]</f>
        <v>21.596395325807084</v>
      </c>
      <c r="AY23" s="904">
        <f>Tbl_Long_Hydro[[#This Row],[Displacement]]*Tbl_Long_Hydro[[#This Row],[RML]]/(100*Lpp)</f>
        <v>48.969127085358544</v>
      </c>
      <c r="AZ23" s="956">
        <f>Tbl_Long_Hydro[[#This Row],[Draught]]</f>
        <v>1.7000000000000004</v>
      </c>
      <c r="BA23" s="959">
        <f>Tbl_Long_Hydro[[#This Row],[Displacement]]</f>
        <v>1803.2142857142865</v>
      </c>
      <c r="BB23" s="960">
        <f>Tbl_Long_Hydro[[#This Row],[Displac. SW]]</f>
        <v>1848.2946428571436</v>
      </c>
      <c r="BC23" s="964">
        <f>Tbl_Long_Hydro[[#This Row],[Waterplane area]]/100*$AQ$4</f>
        <v>11.494642857142855</v>
      </c>
      <c r="BD23" s="961">
        <f>Tbl_Long_Hydro[[#This Row],[MCT]]</f>
        <v>48.969127085358544</v>
      </c>
      <c r="BE23" s="962">
        <f>Tbl_Long_Hydro[[#This Row],[LCB]]</f>
        <v>29.999999999999996</v>
      </c>
      <c r="BF23" s="962">
        <f>Tbl_Long_Hydro[[#This Row],[TCB]]</f>
        <v>0</v>
      </c>
      <c r="BG23" s="962">
        <f>Tbl_Long_Hydro[[#This Row],[LCF]]</f>
        <v>30</v>
      </c>
      <c r="BH23" s="963">
        <f>Tbl_Long_Hydro[[#This Row],[KMT]]</f>
        <v>21.596395325807084</v>
      </c>
    </row>
    <row r="24" spans="11:60" x14ac:dyDescent="0.25">
      <c r="K24" s="156">
        <f t="shared" si="1"/>
        <v>18</v>
      </c>
      <c r="L24" s="164">
        <f t="shared" si="2"/>
        <v>9</v>
      </c>
      <c r="M24" s="163">
        <f>MATCH(Tbl_Long_Section[[#This Row],[X]],Tbl_Long_Definition[X],1)</f>
        <v>2</v>
      </c>
      <c r="N24" s="157">
        <f>IF(Tbl_Long_Section[[#This Row],[Nline Prev]]&lt;COUNT(Tbl_Long_Definition[X]),Tbl_Long_Section[[#This Row],[Nline Prev]]+1,Tbl_Long_Section[[#This Row],[Nline Prev]])</f>
        <v>3</v>
      </c>
      <c r="O24" s="162">
        <f>INDEX(Tbl_Long_Definition[X],Tbl_Long_Section[[#This Row],[Nline Prev]])</f>
        <v>5</v>
      </c>
      <c r="P24" s="159">
        <f>INDEX(Tbl_Long_Definition[X],Tbl_Long_Section[[#This Row],[Nline Next]])</f>
        <v>55</v>
      </c>
      <c r="Q24" s="160">
        <f>INDEX(Tbl_Long_Definition[H Deck-Bott.],Tbl_Long_Section[[#This Row],[Nline Prev]])</f>
        <v>4</v>
      </c>
      <c r="R24" s="161">
        <f>INDEX(Tbl_Long_Definition[H Deck-Bott.],Tbl_Long_Section[[#This Row],[Nline Next]])</f>
        <v>4</v>
      </c>
      <c r="S24"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24" s="8"/>
      <c r="V24" s="873">
        <f t="shared" si="3"/>
        <v>1.8000000000000005</v>
      </c>
      <c r="W24" s="885">
        <f>MATCH(Tbl_Long_Hydro[[#This Row],[Draught]],Tbl_Long_Definition[H k-bott],-1)</f>
        <v>1</v>
      </c>
      <c r="X24"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24" s="886">
        <f>MATCH(Tbl_Long_Hydro[[#This Row],[Draught]],Tbl_Long_Definition[H k-bott],1)</f>
        <v>3</v>
      </c>
      <c r="Z24"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24" s="888">
        <f>IF(ISNA(Tbl_Long_Hydro[[#This Row],[Draught]]),NA(),IFERROR(INDEX(Tbl_Long_Definition[X],Tbl_Long_Hydro[[#This Row],[Aft Nline prev]]),0))</f>
        <v>0</v>
      </c>
      <c r="AB24" s="889">
        <f>IF(ISNA(Tbl_Long_Hydro[[#This Row],[Draught]]),NA(),IFERROR(INDEX(Tbl_Long_Definition[X],Tbl_Long_Hydro[[#This Row],[Aft Nline next]]),0))</f>
        <v>5</v>
      </c>
      <c r="AC24" s="889">
        <f>IF(ISNA(Tbl_Long_Hydro[[#This Row],[Draught]]),NA(),INDEX(Tbl_Long_Definition[H k-bott],Tbl_Long_Hydro[[#This Row],[Aft Nline prev]]))</f>
        <v>2.8</v>
      </c>
      <c r="AD24" s="889">
        <f>IF(ISNA(Tbl_Long_Hydro[[#This Row],[Draught]]),NA(),INDEX(Tbl_Long_Definition[H k-bott],Tbl_Long_Hydro[[#This Row],[Aft Nline next]]))</f>
        <v>0</v>
      </c>
      <c r="AE24" s="888">
        <f>IF(ISNA(Tbl_Long_Hydro[[#This Row],[Draught]]),NA(),IFERROR(INDEX(Tbl_Long_Definition[X],Tbl_Long_Hydro[[#This Row],[Fore Nline prev]]),0))</f>
        <v>55</v>
      </c>
      <c r="AF24" s="889">
        <f>IF(ISNA(Tbl_Long_Hydro[[#This Row],[Draught]]),NA(),IFERROR(INDEX(Tbl_Long_Definition[X],Tbl_Long_Hydro[[#This Row],[Fore Nline next]]),0))</f>
        <v>60</v>
      </c>
      <c r="AG24" s="889">
        <f>IF(ISNA(Tbl_Long_Hydro[[#This Row],[Draught]]),NA(),INDEX(Tbl_Long_Definition[H k-bott],Tbl_Long_Hydro[[#This Row],[Fore Nline prev]]))</f>
        <v>0</v>
      </c>
      <c r="AH24" s="890">
        <f>IF(ISNA(Tbl_Long_Hydro[[#This Row],[Draught]]),NA(),INDEX(Tbl_Long_Definition[H k-bott],Tbl_Long_Hydro[[#This Row],[Fore Nline next]]))</f>
        <v>2.8</v>
      </c>
      <c r="AI24"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1.7857142857142847</v>
      </c>
      <c r="AJ24"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58.214285714285722</v>
      </c>
      <c r="AK24" s="894">
        <f>Tbl_Long_Hydro[[#This Row],[Fore X]]-Tbl_Long_Hydro[[#This Row],[Aft X]]</f>
        <v>56.428571428571438</v>
      </c>
      <c r="AL24" s="884">
        <f>Tbl_Long_Hydro[[#This Row],[LX]]*B</f>
        <v>1128.5714285714287</v>
      </c>
      <c r="AM24" s="892">
        <f>IF(ISNUMBER(AM23),(AK23+Tbl_Long_Hydro[[#This Row],[LX]])*(Tbl_Long_Hydro[[#This Row],[Draught]]-V23)/2*B,(Tbl_Long_Hydro[[#This Row],[LX]])*Tbl_Long_Hydro[[#This Row],[Draught]]*B)</f>
        <v>112.50000000000011</v>
      </c>
      <c r="AN24" s="899">
        <f>Tbl_Long_Hydro[[#This Row],[Aft X]]+Tbl_Long_Hydro[[#This Row],[LX]]/2</f>
        <v>30.000000000000004</v>
      </c>
      <c r="AO24" s="876">
        <f>IF(ISNUMBER(AO23),(2*Tbl_Long_Hydro[[#This Row],[LX]]+AK23)/(Tbl_Long_Hydro[[#This Row],[LX]]+AK23)*(Tbl_Long_Hydro[[#This Row],[Draught]]-V23)/3+V23,Tbl_Long_Hydro[[#This Row],[Draught]]/2)</f>
        <v>1.7500529100529105</v>
      </c>
      <c r="AP24" s="898">
        <f>IF(ISNUMBER(AP23),Tbl_Long_Hydro[[#This Row],[Volume elt]]+AP23,Tbl_Long_Hydro[[#This Row],[Volume elt]]*AO$4)</f>
        <v>1915.7142857142867</v>
      </c>
      <c r="AQ24" s="893">
        <f>IF(ISNUMBER(AQ23),Tbl_Long_Hydro[[#This Row],[Displacement]]*AQ$4,IF(ISNA(AQ23),NA(),0))</f>
        <v>1963.6071428571438</v>
      </c>
      <c r="AR24" s="900">
        <f>IF(ISNA(Tbl_Long_Hydro[[#This Row],[Draught]]),NA(),IFERROR(Tbl_Long_Hydro[[#This Row],[LX]]*B^3/12/Tbl_Long_Hydro[[#This Row],[Displacement]],0))</f>
        <v>19.637086751180703</v>
      </c>
      <c r="AS24" s="903">
        <f>IF(ISNA(Tbl_Long_Hydro[[#This Row],[Draught]]),NA(),IFERROR((B*Tbl_Long_Hydro[[#This Row],[LX]]^3/12+(Tbl_Long_Hydro[[#This Row],[LCF]]-Tbl_Long_Hydro[[#This Row],[LCB]])*Tbl_Long_Hydro[[#This Row],[Waterplane area]]*Tbl_Long_Hydro[[#This Row],[LCF]]^2)/Tbl_Long_Hydro[[#This Row],[Displacement]],0))</f>
        <v>156.32022756903288</v>
      </c>
      <c r="AT24" s="900">
        <f>Tbl_Long_Hydro[[#This Row],[Aft X]]+Tbl_Long_Hydro[[#This Row],[LX]]/2</f>
        <v>30.000000000000004</v>
      </c>
      <c r="AU24" s="901">
        <f>IF(ISNUMBER(AU23),(AU23*AP23+Tbl_Long_Hydro[[#This Row],[X CoG elt]]*Tbl_Long_Hydro[[#This Row],[Volume elt]])/Tbl_Long_Hydro[[#This Row],[Displacement]],Tbl_Long_Hydro[[#This Row],[X CoG elt]])</f>
        <v>29.999999999999996</v>
      </c>
      <c r="AV24" s="902">
        <f>IF(ISNA(Tbl_Long_Hydro[[#This Row],[Draught]]),NA(),0)</f>
        <v>0</v>
      </c>
      <c r="AW24" s="876">
        <f>IF(ISNUMBER(AW23),(AW23*AP23+Tbl_Long_Hydro[[#This Row],[Z CoG elt]]*Tbl_Long_Hydro[[#This Row],[Volume elt]])/Tbl_Long_Hydro[[#This Row],[Displacement]],Tbl_Long_Hydro[[#This Row],[Z CoG elt]])</f>
        <v>0.91812080536912766</v>
      </c>
      <c r="AX24" s="899">
        <f>Tbl_Long_Hydro[[#This Row],[RMT]]+Tbl_Long_Hydro[[#This Row],[VCB]]</f>
        <v>20.555207556549831</v>
      </c>
      <c r="AY24" s="904">
        <f>Tbl_Long_Hydro[[#This Row],[Displacement]]*Tbl_Long_Hydro[[#This Row],[RML]]/(100*Lpp)</f>
        <v>49.910815516684096</v>
      </c>
      <c r="AZ24" s="956">
        <f>Tbl_Long_Hydro[[#This Row],[Draught]]</f>
        <v>1.8000000000000005</v>
      </c>
      <c r="BA24" s="959">
        <f>Tbl_Long_Hydro[[#This Row],[Displacement]]</f>
        <v>1915.7142857142867</v>
      </c>
      <c r="BB24" s="960">
        <f>Tbl_Long_Hydro[[#This Row],[Displac. SW]]</f>
        <v>1963.6071428571438</v>
      </c>
      <c r="BC24" s="964">
        <f>Tbl_Long_Hydro[[#This Row],[Waterplane area]]/100*$AQ$4</f>
        <v>11.567857142857143</v>
      </c>
      <c r="BD24" s="961">
        <f>Tbl_Long_Hydro[[#This Row],[MCT]]</f>
        <v>49.910815516684096</v>
      </c>
      <c r="BE24" s="962">
        <f>Tbl_Long_Hydro[[#This Row],[LCB]]</f>
        <v>29.999999999999996</v>
      </c>
      <c r="BF24" s="962">
        <f>Tbl_Long_Hydro[[#This Row],[TCB]]</f>
        <v>0</v>
      </c>
      <c r="BG24" s="962">
        <f>Tbl_Long_Hydro[[#This Row],[LCF]]</f>
        <v>30.000000000000004</v>
      </c>
      <c r="BH24" s="963">
        <f>Tbl_Long_Hydro[[#This Row],[KMT]]</f>
        <v>20.555207556549831</v>
      </c>
    </row>
    <row r="25" spans="11:60" x14ac:dyDescent="0.25">
      <c r="K25" s="156">
        <f t="shared" si="1"/>
        <v>19</v>
      </c>
      <c r="L25" s="164">
        <f t="shared" si="2"/>
        <v>9.5</v>
      </c>
      <c r="M25" s="163">
        <f>MATCH(Tbl_Long_Section[[#This Row],[X]],Tbl_Long_Definition[X],1)</f>
        <v>2</v>
      </c>
      <c r="N25" s="157">
        <f>IF(Tbl_Long_Section[[#This Row],[Nline Prev]]&lt;COUNT(Tbl_Long_Definition[X]),Tbl_Long_Section[[#This Row],[Nline Prev]]+1,Tbl_Long_Section[[#This Row],[Nline Prev]])</f>
        <v>3</v>
      </c>
      <c r="O25" s="162">
        <f>INDEX(Tbl_Long_Definition[X],Tbl_Long_Section[[#This Row],[Nline Prev]])</f>
        <v>5</v>
      </c>
      <c r="P25" s="159">
        <f>INDEX(Tbl_Long_Definition[X],Tbl_Long_Section[[#This Row],[Nline Next]])</f>
        <v>55</v>
      </c>
      <c r="Q25" s="160">
        <f>INDEX(Tbl_Long_Definition[H Deck-Bott.],Tbl_Long_Section[[#This Row],[Nline Prev]])</f>
        <v>4</v>
      </c>
      <c r="R25" s="161">
        <f>INDEX(Tbl_Long_Definition[H Deck-Bott.],Tbl_Long_Section[[#This Row],[Nline Next]])</f>
        <v>4</v>
      </c>
      <c r="S25"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25" s="8"/>
      <c r="V25" s="873">
        <f t="shared" si="3"/>
        <v>1.9000000000000006</v>
      </c>
      <c r="W25" s="885">
        <f>MATCH(Tbl_Long_Hydro[[#This Row],[Draught]],Tbl_Long_Definition[H k-bott],-1)</f>
        <v>1</v>
      </c>
      <c r="X25"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25" s="886">
        <f>MATCH(Tbl_Long_Hydro[[#This Row],[Draught]],Tbl_Long_Definition[H k-bott],1)</f>
        <v>3</v>
      </c>
      <c r="Z25"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25" s="888">
        <f>IF(ISNA(Tbl_Long_Hydro[[#This Row],[Draught]]),NA(),IFERROR(INDEX(Tbl_Long_Definition[X],Tbl_Long_Hydro[[#This Row],[Aft Nline prev]]),0))</f>
        <v>0</v>
      </c>
      <c r="AB25" s="889">
        <f>IF(ISNA(Tbl_Long_Hydro[[#This Row],[Draught]]),NA(),IFERROR(INDEX(Tbl_Long_Definition[X],Tbl_Long_Hydro[[#This Row],[Aft Nline next]]),0))</f>
        <v>5</v>
      </c>
      <c r="AC25" s="889">
        <f>IF(ISNA(Tbl_Long_Hydro[[#This Row],[Draught]]),NA(),INDEX(Tbl_Long_Definition[H k-bott],Tbl_Long_Hydro[[#This Row],[Aft Nline prev]]))</f>
        <v>2.8</v>
      </c>
      <c r="AD25" s="889">
        <f>IF(ISNA(Tbl_Long_Hydro[[#This Row],[Draught]]),NA(),INDEX(Tbl_Long_Definition[H k-bott],Tbl_Long_Hydro[[#This Row],[Aft Nline next]]))</f>
        <v>0</v>
      </c>
      <c r="AE25" s="888">
        <f>IF(ISNA(Tbl_Long_Hydro[[#This Row],[Draught]]),NA(),IFERROR(INDEX(Tbl_Long_Definition[X],Tbl_Long_Hydro[[#This Row],[Fore Nline prev]]),0))</f>
        <v>55</v>
      </c>
      <c r="AF25" s="889">
        <f>IF(ISNA(Tbl_Long_Hydro[[#This Row],[Draught]]),NA(),IFERROR(INDEX(Tbl_Long_Definition[X],Tbl_Long_Hydro[[#This Row],[Fore Nline next]]),0))</f>
        <v>60</v>
      </c>
      <c r="AG25" s="889">
        <f>IF(ISNA(Tbl_Long_Hydro[[#This Row],[Draught]]),NA(),INDEX(Tbl_Long_Definition[H k-bott],Tbl_Long_Hydro[[#This Row],[Fore Nline prev]]))</f>
        <v>0</v>
      </c>
      <c r="AH25" s="890">
        <f>IF(ISNA(Tbl_Long_Hydro[[#This Row],[Draught]]),NA(),INDEX(Tbl_Long_Definition[H k-bott],Tbl_Long_Hydro[[#This Row],[Fore Nline next]]))</f>
        <v>2.8</v>
      </c>
      <c r="AI25"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1.6071428571428559</v>
      </c>
      <c r="AJ25"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58.392857142857146</v>
      </c>
      <c r="AK25" s="894">
        <f>Tbl_Long_Hydro[[#This Row],[Fore X]]-Tbl_Long_Hydro[[#This Row],[Aft X]]</f>
        <v>56.785714285714292</v>
      </c>
      <c r="AL25" s="884">
        <f>Tbl_Long_Hydro[[#This Row],[LX]]*B</f>
        <v>1135.7142857142858</v>
      </c>
      <c r="AM25" s="892">
        <f>IF(ISNUMBER(AM24),(AK24+Tbl_Long_Hydro[[#This Row],[LX]])*(Tbl_Long_Hydro[[#This Row],[Draught]]-V24)/2*B,(Tbl_Long_Hydro[[#This Row],[LX]])*Tbl_Long_Hydro[[#This Row],[Draught]]*B)</f>
        <v>113.21428571428582</v>
      </c>
      <c r="AN25" s="899">
        <f>Tbl_Long_Hydro[[#This Row],[Aft X]]+Tbl_Long_Hydro[[#This Row],[LX]]/2</f>
        <v>30</v>
      </c>
      <c r="AO25" s="876">
        <f>IF(ISNUMBER(AO24),(2*Tbl_Long_Hydro[[#This Row],[LX]]+AK24)/(Tbl_Long_Hydro[[#This Row],[LX]]+AK24)*(Tbl_Long_Hydro[[#This Row],[Draught]]-V24)/3+V24,Tbl_Long_Hydro[[#This Row],[Draught]]/2)</f>
        <v>1.850052576235542</v>
      </c>
      <c r="AP25" s="898">
        <f>IF(ISNUMBER(AP24),Tbl_Long_Hydro[[#This Row],[Volume elt]]+AP24,Tbl_Long_Hydro[[#This Row],[Volume elt]]*AO$4)</f>
        <v>2028.9285714285725</v>
      </c>
      <c r="AQ25" s="893">
        <f>IF(ISNUMBER(AQ24),Tbl_Long_Hydro[[#This Row],[Displacement]]*AQ$4,IF(ISNA(AQ24),NA(),0))</f>
        <v>2079.6517857142867</v>
      </c>
      <c r="AR25" s="900">
        <f>IF(ISNA(Tbl_Long_Hydro[[#This Row],[Draught]]),NA(),IFERROR(Tbl_Long_Hydro[[#This Row],[LX]]*B^3/12/Tbl_Long_Hydro[[#This Row],[Displacement]],0))</f>
        <v>18.658686850906523</v>
      </c>
      <c r="AS25" s="903">
        <f>IF(ISNA(Tbl_Long_Hydro[[#This Row],[Draught]]),NA(),IFERROR((B*Tbl_Long_Hydro[[#This Row],[LX]]^3/12+(Tbl_Long_Hydro[[#This Row],[LCF]]-Tbl_Long_Hydro[[#This Row],[LCB]])*Tbl_Long_Hydro[[#This Row],[Waterplane area]]*Tbl_Long_Hydro[[#This Row],[LCF]]^2)/Tbl_Long_Hydro[[#This Row],[Displacement]],0))</f>
        <v>150.41781322633082</v>
      </c>
      <c r="AT25" s="900">
        <f>Tbl_Long_Hydro[[#This Row],[Aft X]]+Tbl_Long_Hydro[[#This Row],[LX]]/2</f>
        <v>30</v>
      </c>
      <c r="AU25" s="901">
        <f>IF(ISNUMBER(AU24),(AU24*AP24+Tbl_Long_Hydro[[#This Row],[X CoG elt]]*Tbl_Long_Hydro[[#This Row],[Volume elt]])/Tbl_Long_Hydro[[#This Row],[Displacement]],Tbl_Long_Hydro[[#This Row],[X CoG elt]])</f>
        <v>29.999999999999996</v>
      </c>
      <c r="AV25" s="902">
        <f>IF(ISNA(Tbl_Long_Hydro[[#This Row],[Draught]]),NA(),0)</f>
        <v>0</v>
      </c>
      <c r="AW25" s="876">
        <f>IF(ISNUMBER(AW24),(AW24*AP24+Tbl_Long_Hydro[[#This Row],[Z CoG elt]]*Tbl_Long_Hydro[[#This Row],[Volume elt]])/Tbl_Long_Hydro[[#This Row],[Displacement]],Tbl_Long_Hydro[[#This Row],[Z CoG elt]])</f>
        <v>0.97012263099219642</v>
      </c>
      <c r="AX25" s="899">
        <f>Tbl_Long_Hydro[[#This Row],[RMT]]+Tbl_Long_Hydro[[#This Row],[VCB]]</f>
        <v>19.62880948189872</v>
      </c>
      <c r="AY25" s="904">
        <f>Tbl_Long_Hydro[[#This Row],[Displacement]]*Tbl_Long_Hydro[[#This Row],[RML]]/(100*Lpp)</f>
        <v>50.864499817784875</v>
      </c>
      <c r="AZ25" s="956">
        <f>Tbl_Long_Hydro[[#This Row],[Draught]]</f>
        <v>1.9000000000000006</v>
      </c>
      <c r="BA25" s="959">
        <f>Tbl_Long_Hydro[[#This Row],[Displacement]]</f>
        <v>2028.9285714285725</v>
      </c>
      <c r="BB25" s="960">
        <f>Tbl_Long_Hydro[[#This Row],[Displac. SW]]</f>
        <v>2079.6517857142867</v>
      </c>
      <c r="BC25" s="964">
        <f>Tbl_Long_Hydro[[#This Row],[Waterplane area]]/100*$AQ$4</f>
        <v>11.641071428571427</v>
      </c>
      <c r="BD25" s="961">
        <f>Tbl_Long_Hydro[[#This Row],[MCT]]</f>
        <v>50.864499817784875</v>
      </c>
      <c r="BE25" s="962">
        <f>Tbl_Long_Hydro[[#This Row],[LCB]]</f>
        <v>29.999999999999996</v>
      </c>
      <c r="BF25" s="962">
        <f>Tbl_Long_Hydro[[#This Row],[TCB]]</f>
        <v>0</v>
      </c>
      <c r="BG25" s="962">
        <f>Tbl_Long_Hydro[[#This Row],[LCF]]</f>
        <v>30</v>
      </c>
      <c r="BH25" s="963">
        <f>Tbl_Long_Hydro[[#This Row],[KMT]]</f>
        <v>19.62880948189872</v>
      </c>
    </row>
    <row r="26" spans="11:60" x14ac:dyDescent="0.25">
      <c r="K26" s="156">
        <f t="shared" si="1"/>
        <v>20</v>
      </c>
      <c r="L26" s="164">
        <f t="shared" si="2"/>
        <v>10</v>
      </c>
      <c r="M26" s="163">
        <f>MATCH(Tbl_Long_Section[[#This Row],[X]],Tbl_Long_Definition[X],1)</f>
        <v>2</v>
      </c>
      <c r="N26" s="157">
        <f>IF(Tbl_Long_Section[[#This Row],[Nline Prev]]&lt;COUNT(Tbl_Long_Definition[X]),Tbl_Long_Section[[#This Row],[Nline Prev]]+1,Tbl_Long_Section[[#This Row],[Nline Prev]])</f>
        <v>3</v>
      </c>
      <c r="O26" s="162">
        <f>INDEX(Tbl_Long_Definition[X],Tbl_Long_Section[[#This Row],[Nline Prev]])</f>
        <v>5</v>
      </c>
      <c r="P26" s="159">
        <f>INDEX(Tbl_Long_Definition[X],Tbl_Long_Section[[#This Row],[Nline Next]])</f>
        <v>55</v>
      </c>
      <c r="Q26" s="160">
        <f>INDEX(Tbl_Long_Definition[H Deck-Bott.],Tbl_Long_Section[[#This Row],[Nline Prev]])</f>
        <v>4</v>
      </c>
      <c r="R26" s="161">
        <f>INDEX(Tbl_Long_Definition[H Deck-Bott.],Tbl_Long_Section[[#This Row],[Nline Next]])</f>
        <v>4</v>
      </c>
      <c r="S26"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26" s="8"/>
      <c r="V26" s="873">
        <f t="shared" si="3"/>
        <v>2.0000000000000004</v>
      </c>
      <c r="W26" s="885">
        <f>MATCH(Tbl_Long_Hydro[[#This Row],[Draught]],Tbl_Long_Definition[H k-bott],-1)</f>
        <v>1</v>
      </c>
      <c r="X26"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26" s="886">
        <f>MATCH(Tbl_Long_Hydro[[#This Row],[Draught]],Tbl_Long_Definition[H k-bott],1)</f>
        <v>3</v>
      </c>
      <c r="Z26"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26" s="888">
        <f>IF(ISNA(Tbl_Long_Hydro[[#This Row],[Draught]]),NA(),IFERROR(INDEX(Tbl_Long_Definition[X],Tbl_Long_Hydro[[#This Row],[Aft Nline prev]]),0))</f>
        <v>0</v>
      </c>
      <c r="AB26" s="889">
        <f>IF(ISNA(Tbl_Long_Hydro[[#This Row],[Draught]]),NA(),IFERROR(INDEX(Tbl_Long_Definition[X],Tbl_Long_Hydro[[#This Row],[Aft Nline next]]),0))</f>
        <v>5</v>
      </c>
      <c r="AC26" s="889">
        <f>IF(ISNA(Tbl_Long_Hydro[[#This Row],[Draught]]),NA(),INDEX(Tbl_Long_Definition[H k-bott],Tbl_Long_Hydro[[#This Row],[Aft Nline prev]]))</f>
        <v>2.8</v>
      </c>
      <c r="AD26" s="889">
        <f>IF(ISNA(Tbl_Long_Hydro[[#This Row],[Draught]]),NA(),INDEX(Tbl_Long_Definition[H k-bott],Tbl_Long_Hydro[[#This Row],[Aft Nline next]]))</f>
        <v>0</v>
      </c>
      <c r="AE26" s="888">
        <f>IF(ISNA(Tbl_Long_Hydro[[#This Row],[Draught]]),NA(),IFERROR(INDEX(Tbl_Long_Definition[X],Tbl_Long_Hydro[[#This Row],[Fore Nline prev]]),0))</f>
        <v>55</v>
      </c>
      <c r="AF26" s="889">
        <f>IF(ISNA(Tbl_Long_Hydro[[#This Row],[Draught]]),NA(),IFERROR(INDEX(Tbl_Long_Definition[X],Tbl_Long_Hydro[[#This Row],[Fore Nline next]]),0))</f>
        <v>60</v>
      </c>
      <c r="AG26" s="889">
        <f>IF(ISNA(Tbl_Long_Hydro[[#This Row],[Draught]]),NA(),INDEX(Tbl_Long_Definition[H k-bott],Tbl_Long_Hydro[[#This Row],[Fore Nline prev]]))</f>
        <v>0</v>
      </c>
      <c r="AH26" s="890">
        <f>IF(ISNA(Tbl_Long_Hydro[[#This Row],[Draught]]),NA(),INDEX(Tbl_Long_Definition[H k-bott],Tbl_Long_Hydro[[#This Row],[Fore Nline next]]))</f>
        <v>2.8</v>
      </c>
      <c r="AI26"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1.4285714285714277</v>
      </c>
      <c r="AJ26"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58.571428571428569</v>
      </c>
      <c r="AK26" s="894">
        <f>Tbl_Long_Hydro[[#This Row],[Fore X]]-Tbl_Long_Hydro[[#This Row],[Aft X]]</f>
        <v>57.142857142857139</v>
      </c>
      <c r="AL26" s="884">
        <f>Tbl_Long_Hydro[[#This Row],[LX]]*B</f>
        <v>1142.8571428571427</v>
      </c>
      <c r="AM26" s="892">
        <f>IF(ISNUMBER(AM25),(AK25+Tbl_Long_Hydro[[#This Row],[LX]])*(Tbl_Long_Hydro[[#This Row],[Draught]]-V25)/2*B,(Tbl_Long_Hydro[[#This Row],[LX]])*Tbl_Long_Hydro[[#This Row],[Draught]]*B)</f>
        <v>113.92857142857127</v>
      </c>
      <c r="AN26" s="899">
        <f>Tbl_Long_Hydro[[#This Row],[Aft X]]+Tbl_Long_Hydro[[#This Row],[LX]]/2</f>
        <v>29.999999999999996</v>
      </c>
      <c r="AO26" s="876">
        <f>IF(ISNUMBER(AO25),(2*Tbl_Long_Hydro[[#This Row],[LX]]+AK25)/(Tbl_Long_Hydro[[#This Row],[LX]]+AK25)*(Tbl_Long_Hydro[[#This Row],[Draught]]-V25)/3+V25,Tbl_Long_Hydro[[#This Row],[Draught]]/2)</f>
        <v>1.9500522466039711</v>
      </c>
      <c r="AP26" s="898">
        <f>IF(ISNUMBER(AP25),Tbl_Long_Hydro[[#This Row],[Volume elt]]+AP25,Tbl_Long_Hydro[[#This Row],[Volume elt]]*AO$4)</f>
        <v>2142.8571428571436</v>
      </c>
      <c r="AQ26" s="893">
        <f>IF(ISNUMBER(AQ25),Tbl_Long_Hydro[[#This Row],[Displacement]]*AQ$4,IF(ISNA(AQ25),NA(),0))</f>
        <v>2196.428571428572</v>
      </c>
      <c r="AR26" s="900">
        <f>IF(ISNA(Tbl_Long_Hydro[[#This Row],[Draught]]),NA(),IFERROR(Tbl_Long_Hydro[[#This Row],[LX]]*B^3/12/Tbl_Long_Hydro[[#This Row],[Displacement]],0))</f>
        <v>17.777777777777771</v>
      </c>
      <c r="AS26" s="903">
        <f>IF(ISNA(Tbl_Long_Hydro[[#This Row],[Draught]]),NA(),IFERROR((B*Tbl_Long_Hydro[[#This Row],[LX]]^3/12+(Tbl_Long_Hydro[[#This Row],[LCF]]-Tbl_Long_Hydro[[#This Row],[LCB]])*Tbl_Long_Hydro[[#This Row],[Waterplane area]]*Tbl_Long_Hydro[[#This Row],[LCF]]^2)/Tbl_Long_Hydro[[#This Row],[Displacement]],0))</f>
        <v>145.12471655328619</v>
      </c>
      <c r="AT26" s="900">
        <f>Tbl_Long_Hydro[[#This Row],[Aft X]]+Tbl_Long_Hydro[[#This Row],[LX]]/2</f>
        <v>29.999999999999996</v>
      </c>
      <c r="AU26" s="901">
        <f>IF(ISNUMBER(AU25),(AU25*AP25+Tbl_Long_Hydro[[#This Row],[X CoG elt]]*Tbl_Long_Hydro[[#This Row],[Volume elt]])/Tbl_Long_Hydro[[#This Row],[Displacement]],Tbl_Long_Hydro[[#This Row],[X CoG elt]])</f>
        <v>30</v>
      </c>
      <c r="AV26" s="902">
        <f>IF(ISNA(Tbl_Long_Hydro[[#This Row],[Draught]]),NA(),0)</f>
        <v>0</v>
      </c>
      <c r="AW26" s="876">
        <f>IF(ISNUMBER(AW25),(AW25*AP25+Tbl_Long_Hydro[[#This Row],[Z CoG elt]]*Tbl_Long_Hydro[[#This Row],[Volume elt]])/Tbl_Long_Hydro[[#This Row],[Displacement]],Tbl_Long_Hydro[[#This Row],[Z CoG elt]])</f>
        <v>1.0222222222222224</v>
      </c>
      <c r="AX26" s="899">
        <f>Tbl_Long_Hydro[[#This Row],[RMT]]+Tbl_Long_Hydro[[#This Row],[VCB]]</f>
        <v>18.799999999999994</v>
      </c>
      <c r="AY26" s="904">
        <f>Tbl_Long_Hydro[[#This Row],[Displacement]]*Tbl_Long_Hydro[[#This Row],[RML]]/(100*Lpp)</f>
        <v>51.830255911887946</v>
      </c>
      <c r="AZ26" s="956">
        <f>Tbl_Long_Hydro[[#This Row],[Draught]]</f>
        <v>2.0000000000000004</v>
      </c>
      <c r="BA26" s="959">
        <f>Tbl_Long_Hydro[[#This Row],[Displacement]]</f>
        <v>2142.8571428571436</v>
      </c>
      <c r="BB26" s="960">
        <f>Tbl_Long_Hydro[[#This Row],[Displac. SW]]</f>
        <v>2196.428571428572</v>
      </c>
      <c r="BC26" s="964">
        <f>Tbl_Long_Hydro[[#This Row],[Waterplane area]]/100*$AQ$4</f>
        <v>11.714285714285712</v>
      </c>
      <c r="BD26" s="961">
        <f>Tbl_Long_Hydro[[#This Row],[MCT]]</f>
        <v>51.830255911887946</v>
      </c>
      <c r="BE26" s="962">
        <f>Tbl_Long_Hydro[[#This Row],[LCB]]</f>
        <v>30</v>
      </c>
      <c r="BF26" s="962">
        <f>Tbl_Long_Hydro[[#This Row],[TCB]]</f>
        <v>0</v>
      </c>
      <c r="BG26" s="962">
        <f>Tbl_Long_Hydro[[#This Row],[LCF]]</f>
        <v>29.999999999999996</v>
      </c>
      <c r="BH26" s="963">
        <f>Tbl_Long_Hydro[[#This Row],[KMT]]</f>
        <v>18.799999999999994</v>
      </c>
    </row>
    <row r="27" spans="11:60" x14ac:dyDescent="0.25">
      <c r="K27" s="156">
        <f t="shared" si="1"/>
        <v>21</v>
      </c>
      <c r="L27" s="164">
        <f t="shared" si="2"/>
        <v>10.5</v>
      </c>
      <c r="M27" s="163">
        <f>MATCH(Tbl_Long_Section[[#This Row],[X]],Tbl_Long_Definition[X],1)</f>
        <v>2</v>
      </c>
      <c r="N27" s="157">
        <f>IF(Tbl_Long_Section[[#This Row],[Nline Prev]]&lt;COUNT(Tbl_Long_Definition[X]),Tbl_Long_Section[[#This Row],[Nline Prev]]+1,Tbl_Long_Section[[#This Row],[Nline Prev]])</f>
        <v>3</v>
      </c>
      <c r="O27" s="162">
        <f>INDEX(Tbl_Long_Definition[X],Tbl_Long_Section[[#This Row],[Nline Prev]])</f>
        <v>5</v>
      </c>
      <c r="P27" s="159">
        <f>INDEX(Tbl_Long_Definition[X],Tbl_Long_Section[[#This Row],[Nline Next]])</f>
        <v>55</v>
      </c>
      <c r="Q27" s="160">
        <f>INDEX(Tbl_Long_Definition[H Deck-Bott.],Tbl_Long_Section[[#This Row],[Nline Prev]])</f>
        <v>4</v>
      </c>
      <c r="R27" s="161">
        <f>INDEX(Tbl_Long_Definition[H Deck-Bott.],Tbl_Long_Section[[#This Row],[Nline Next]])</f>
        <v>4</v>
      </c>
      <c r="S27"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27" s="8"/>
      <c r="V27" s="873">
        <f t="shared" si="3"/>
        <v>2.1000000000000005</v>
      </c>
      <c r="W27" s="885">
        <f>MATCH(Tbl_Long_Hydro[[#This Row],[Draught]],Tbl_Long_Definition[H k-bott],-1)</f>
        <v>1</v>
      </c>
      <c r="X27"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27" s="886">
        <f>MATCH(Tbl_Long_Hydro[[#This Row],[Draught]],Tbl_Long_Definition[H k-bott],1)</f>
        <v>3</v>
      </c>
      <c r="Z27"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27" s="888">
        <f>IF(ISNA(Tbl_Long_Hydro[[#This Row],[Draught]]),NA(),IFERROR(INDEX(Tbl_Long_Definition[X],Tbl_Long_Hydro[[#This Row],[Aft Nline prev]]),0))</f>
        <v>0</v>
      </c>
      <c r="AB27" s="889">
        <f>IF(ISNA(Tbl_Long_Hydro[[#This Row],[Draught]]),NA(),IFERROR(INDEX(Tbl_Long_Definition[X],Tbl_Long_Hydro[[#This Row],[Aft Nline next]]),0))</f>
        <v>5</v>
      </c>
      <c r="AC27" s="889">
        <f>IF(ISNA(Tbl_Long_Hydro[[#This Row],[Draught]]),NA(),INDEX(Tbl_Long_Definition[H k-bott],Tbl_Long_Hydro[[#This Row],[Aft Nline prev]]))</f>
        <v>2.8</v>
      </c>
      <c r="AD27" s="889">
        <f>IF(ISNA(Tbl_Long_Hydro[[#This Row],[Draught]]),NA(),INDEX(Tbl_Long_Definition[H k-bott],Tbl_Long_Hydro[[#This Row],[Aft Nline next]]))</f>
        <v>0</v>
      </c>
      <c r="AE27" s="888">
        <f>IF(ISNA(Tbl_Long_Hydro[[#This Row],[Draught]]),NA(),IFERROR(INDEX(Tbl_Long_Definition[X],Tbl_Long_Hydro[[#This Row],[Fore Nline prev]]),0))</f>
        <v>55</v>
      </c>
      <c r="AF27" s="889">
        <f>IF(ISNA(Tbl_Long_Hydro[[#This Row],[Draught]]),NA(),IFERROR(INDEX(Tbl_Long_Definition[X],Tbl_Long_Hydro[[#This Row],[Fore Nline next]]),0))</f>
        <v>60</v>
      </c>
      <c r="AG27" s="889">
        <f>IF(ISNA(Tbl_Long_Hydro[[#This Row],[Draught]]),NA(),INDEX(Tbl_Long_Definition[H k-bott],Tbl_Long_Hydro[[#This Row],[Fore Nline prev]]))</f>
        <v>0</v>
      </c>
      <c r="AH27" s="890">
        <f>IF(ISNA(Tbl_Long_Hydro[[#This Row],[Draught]]),NA(),INDEX(Tbl_Long_Definition[H k-bott],Tbl_Long_Hydro[[#This Row],[Fore Nline next]]))</f>
        <v>2.8</v>
      </c>
      <c r="AI27"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1.2499999999999987</v>
      </c>
      <c r="AJ27"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58.75</v>
      </c>
      <c r="AK27" s="894">
        <f>Tbl_Long_Hydro[[#This Row],[Fore X]]-Tbl_Long_Hydro[[#This Row],[Aft X]]</f>
        <v>57.5</v>
      </c>
      <c r="AL27" s="884">
        <f>Tbl_Long_Hydro[[#This Row],[LX]]*B</f>
        <v>1150</v>
      </c>
      <c r="AM27" s="892">
        <f>IF(ISNUMBER(AM26),(AK26+Tbl_Long_Hydro[[#This Row],[LX]])*(Tbl_Long_Hydro[[#This Row],[Draught]]-V26)/2*B,(Tbl_Long_Hydro[[#This Row],[LX]])*Tbl_Long_Hydro[[#This Row],[Draught]]*B)</f>
        <v>114.64285714285724</v>
      </c>
      <c r="AN27" s="899">
        <f>Tbl_Long_Hydro[[#This Row],[Aft X]]+Tbl_Long_Hydro[[#This Row],[LX]]/2</f>
        <v>30</v>
      </c>
      <c r="AO27" s="876">
        <f>IF(ISNUMBER(AO26),(2*Tbl_Long_Hydro[[#This Row],[LX]]+AK26)/(Tbl_Long_Hydro[[#This Row],[LX]]+AK26)*(Tbl_Long_Hydro[[#This Row],[Draught]]-V26)/3+V26,Tbl_Long_Hydro[[#This Row],[Draught]]/2)</f>
        <v>2.0500519210799588</v>
      </c>
      <c r="AP27" s="898">
        <f>IF(ISNUMBER(AP26),Tbl_Long_Hydro[[#This Row],[Volume elt]]+AP26,Tbl_Long_Hydro[[#This Row],[Volume elt]]*AO$4)</f>
        <v>2257.5000000000009</v>
      </c>
      <c r="AQ27" s="893">
        <f>IF(ISNUMBER(AQ26),Tbl_Long_Hydro[[#This Row],[Displacement]]*AQ$4,IF(ISNA(AQ26),NA(),0))</f>
        <v>2313.9375000000009</v>
      </c>
      <c r="AR27" s="900">
        <f>IF(ISNA(Tbl_Long_Hydro[[#This Row],[Draught]]),NA(),IFERROR(Tbl_Long_Hydro[[#This Row],[LX]]*B^3/12/Tbl_Long_Hydro[[#This Row],[Displacement]],0))</f>
        <v>16.980435585086742</v>
      </c>
      <c r="AS27" s="903">
        <f>IF(ISNA(Tbl_Long_Hydro[[#This Row],[Draught]]),NA(),IFERROR((B*Tbl_Long_Hydro[[#This Row],[LX]]^3/12+(Tbl_Long_Hydro[[#This Row],[LCF]]-Tbl_Long_Hydro[[#This Row],[LCB]])*Tbl_Long_Hydro[[#This Row],[Waterplane area]]*Tbl_Long_Hydro[[#This Row],[LCF]]^2)/Tbl_Long_Hydro[[#This Row],[Displacement]],0))</f>
        <v>140.35391288298584</v>
      </c>
      <c r="AT27" s="900">
        <f>Tbl_Long_Hydro[[#This Row],[Aft X]]+Tbl_Long_Hydro[[#This Row],[LX]]/2</f>
        <v>30</v>
      </c>
      <c r="AU27" s="901">
        <f>IF(ISNUMBER(AU26),(AU26*AP26+Tbl_Long_Hydro[[#This Row],[X CoG elt]]*Tbl_Long_Hydro[[#This Row],[Volume elt]])/Tbl_Long_Hydro[[#This Row],[Displacement]],Tbl_Long_Hydro[[#This Row],[X CoG elt]])</f>
        <v>29.999999999999993</v>
      </c>
      <c r="AV27" s="902">
        <f>IF(ISNA(Tbl_Long_Hydro[[#This Row],[Draught]]),NA(),0)</f>
        <v>0</v>
      </c>
      <c r="AW27" s="876">
        <f>IF(ISNUMBER(AW26),(AW26*AP26+Tbl_Long_Hydro[[#This Row],[Z CoG elt]]*Tbl_Long_Hydro[[#This Row],[Volume elt]])/Tbl_Long_Hydro[[#This Row],[Displacement]],Tbl_Long_Hydro[[#This Row],[Z CoG elt]])</f>
        <v>1.074418604651163</v>
      </c>
      <c r="AX27" s="899">
        <f>Tbl_Long_Hydro[[#This Row],[RMT]]+Tbl_Long_Hydro[[#This Row],[VCB]]</f>
        <v>18.054854189737906</v>
      </c>
      <c r="AY27" s="904">
        <f>Tbl_Long_Hydro[[#This Row],[Displacement]]*Tbl_Long_Hydro[[#This Row],[RML]]/(100*Lpp)</f>
        <v>52.808159722223444</v>
      </c>
      <c r="AZ27" s="956">
        <f>Tbl_Long_Hydro[[#This Row],[Draught]]</f>
        <v>2.1000000000000005</v>
      </c>
      <c r="BA27" s="959">
        <f>Tbl_Long_Hydro[[#This Row],[Displacement]]</f>
        <v>2257.5000000000009</v>
      </c>
      <c r="BB27" s="960">
        <f>Tbl_Long_Hydro[[#This Row],[Displac. SW]]</f>
        <v>2313.9375000000009</v>
      </c>
      <c r="BC27" s="964">
        <f>Tbl_Long_Hydro[[#This Row],[Waterplane area]]/100*$AQ$4</f>
        <v>11.7875</v>
      </c>
      <c r="BD27" s="961">
        <f>Tbl_Long_Hydro[[#This Row],[MCT]]</f>
        <v>52.808159722223444</v>
      </c>
      <c r="BE27" s="962">
        <f>Tbl_Long_Hydro[[#This Row],[LCB]]</f>
        <v>29.999999999999993</v>
      </c>
      <c r="BF27" s="962">
        <f>Tbl_Long_Hydro[[#This Row],[TCB]]</f>
        <v>0</v>
      </c>
      <c r="BG27" s="962">
        <f>Tbl_Long_Hydro[[#This Row],[LCF]]</f>
        <v>30</v>
      </c>
      <c r="BH27" s="963">
        <f>Tbl_Long_Hydro[[#This Row],[KMT]]</f>
        <v>18.054854189737906</v>
      </c>
    </row>
    <row r="28" spans="11:60" x14ac:dyDescent="0.25">
      <c r="K28" s="156">
        <f t="shared" si="1"/>
        <v>22</v>
      </c>
      <c r="L28" s="164">
        <f t="shared" si="2"/>
        <v>11</v>
      </c>
      <c r="M28" s="163">
        <f>MATCH(Tbl_Long_Section[[#This Row],[X]],Tbl_Long_Definition[X],1)</f>
        <v>2</v>
      </c>
      <c r="N28" s="157">
        <f>IF(Tbl_Long_Section[[#This Row],[Nline Prev]]&lt;COUNT(Tbl_Long_Definition[X]),Tbl_Long_Section[[#This Row],[Nline Prev]]+1,Tbl_Long_Section[[#This Row],[Nline Prev]])</f>
        <v>3</v>
      </c>
      <c r="O28" s="162">
        <f>INDEX(Tbl_Long_Definition[X],Tbl_Long_Section[[#This Row],[Nline Prev]])</f>
        <v>5</v>
      </c>
      <c r="P28" s="159">
        <f>INDEX(Tbl_Long_Definition[X],Tbl_Long_Section[[#This Row],[Nline Next]])</f>
        <v>55</v>
      </c>
      <c r="Q28" s="160">
        <f>INDEX(Tbl_Long_Definition[H Deck-Bott.],Tbl_Long_Section[[#This Row],[Nline Prev]])</f>
        <v>4</v>
      </c>
      <c r="R28" s="161">
        <f>INDEX(Tbl_Long_Definition[H Deck-Bott.],Tbl_Long_Section[[#This Row],[Nline Next]])</f>
        <v>4</v>
      </c>
      <c r="S28"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28" s="8"/>
      <c r="V28" s="873">
        <f t="shared" si="3"/>
        <v>2.2000000000000006</v>
      </c>
      <c r="W28" s="885">
        <f>MATCH(Tbl_Long_Hydro[[#This Row],[Draught]],Tbl_Long_Definition[H k-bott],-1)</f>
        <v>1</v>
      </c>
      <c r="X28"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28" s="886">
        <f>MATCH(Tbl_Long_Hydro[[#This Row],[Draught]],Tbl_Long_Definition[H k-bott],1)</f>
        <v>3</v>
      </c>
      <c r="Z28"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28" s="888">
        <f>IF(ISNA(Tbl_Long_Hydro[[#This Row],[Draught]]),NA(),IFERROR(INDEX(Tbl_Long_Definition[X],Tbl_Long_Hydro[[#This Row],[Aft Nline prev]]),0))</f>
        <v>0</v>
      </c>
      <c r="AB28" s="889">
        <f>IF(ISNA(Tbl_Long_Hydro[[#This Row],[Draught]]),NA(),IFERROR(INDEX(Tbl_Long_Definition[X],Tbl_Long_Hydro[[#This Row],[Aft Nline next]]),0))</f>
        <v>5</v>
      </c>
      <c r="AC28" s="889">
        <f>IF(ISNA(Tbl_Long_Hydro[[#This Row],[Draught]]),NA(),INDEX(Tbl_Long_Definition[H k-bott],Tbl_Long_Hydro[[#This Row],[Aft Nline prev]]))</f>
        <v>2.8</v>
      </c>
      <c r="AD28" s="889">
        <f>IF(ISNA(Tbl_Long_Hydro[[#This Row],[Draught]]),NA(),INDEX(Tbl_Long_Definition[H k-bott],Tbl_Long_Hydro[[#This Row],[Aft Nline next]]))</f>
        <v>0</v>
      </c>
      <c r="AE28" s="888">
        <f>IF(ISNA(Tbl_Long_Hydro[[#This Row],[Draught]]),NA(),IFERROR(INDEX(Tbl_Long_Definition[X],Tbl_Long_Hydro[[#This Row],[Fore Nline prev]]),0))</f>
        <v>55</v>
      </c>
      <c r="AF28" s="889">
        <f>IF(ISNA(Tbl_Long_Hydro[[#This Row],[Draught]]),NA(),IFERROR(INDEX(Tbl_Long_Definition[X],Tbl_Long_Hydro[[#This Row],[Fore Nline next]]),0))</f>
        <v>60</v>
      </c>
      <c r="AG28" s="889">
        <f>IF(ISNA(Tbl_Long_Hydro[[#This Row],[Draught]]),NA(),INDEX(Tbl_Long_Definition[H k-bott],Tbl_Long_Hydro[[#This Row],[Fore Nline prev]]))</f>
        <v>0</v>
      </c>
      <c r="AH28" s="890">
        <f>IF(ISNA(Tbl_Long_Hydro[[#This Row],[Draught]]),NA(),INDEX(Tbl_Long_Definition[H k-bott],Tbl_Long_Hydro[[#This Row],[Fore Nline next]]))</f>
        <v>2.8</v>
      </c>
      <c r="AI28"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1.0714285714285701</v>
      </c>
      <c r="AJ28"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58.928571428571431</v>
      </c>
      <c r="AK28" s="894">
        <f>Tbl_Long_Hydro[[#This Row],[Fore X]]-Tbl_Long_Hydro[[#This Row],[Aft X]]</f>
        <v>57.857142857142861</v>
      </c>
      <c r="AL28" s="884">
        <f>Tbl_Long_Hydro[[#This Row],[LX]]*B</f>
        <v>1157.1428571428573</v>
      </c>
      <c r="AM28" s="892">
        <f>IF(ISNUMBER(AM27),(AK27+Tbl_Long_Hydro[[#This Row],[LX]])*(Tbl_Long_Hydro[[#This Row],[Draught]]-V27)/2*B,(Tbl_Long_Hydro[[#This Row],[LX]])*Tbl_Long_Hydro[[#This Row],[Draught]]*B)</f>
        <v>115.35714285714297</v>
      </c>
      <c r="AN28" s="899">
        <f>Tbl_Long_Hydro[[#This Row],[Aft X]]+Tbl_Long_Hydro[[#This Row],[LX]]/2</f>
        <v>30</v>
      </c>
      <c r="AO28" s="876">
        <f>IF(ISNUMBER(AO27),(2*Tbl_Long_Hydro[[#This Row],[LX]]+AK27)/(Tbl_Long_Hydro[[#This Row],[LX]]+AK27)*(Tbl_Long_Hydro[[#This Row],[Draught]]-V27)/3+V27,Tbl_Long_Hydro[[#This Row],[Draught]]/2)</f>
        <v>2.1500515995872038</v>
      </c>
      <c r="AP28" s="898">
        <f>IF(ISNUMBER(AP27),Tbl_Long_Hydro[[#This Row],[Volume elt]]+AP27,Tbl_Long_Hydro[[#This Row],[Volume elt]]*AO$4)</f>
        <v>2372.857142857144</v>
      </c>
      <c r="AQ28" s="893">
        <f>IF(ISNUMBER(AQ27),Tbl_Long_Hydro[[#This Row],[Displacement]]*AQ$4,IF(ISNA(AQ27),NA(),0))</f>
        <v>2432.1785714285725</v>
      </c>
      <c r="AR28" s="900">
        <f>IF(ISNA(Tbl_Long_Hydro[[#This Row],[Draught]]),NA(),IFERROR(Tbl_Long_Hydro[[#This Row],[LX]]*B^3/12/Tbl_Long_Hydro[[#This Row],[Displacement]],0))</f>
        <v>16.255267910897043</v>
      </c>
      <c r="AS28" s="903">
        <f>IF(ISNA(Tbl_Long_Hydro[[#This Row],[Draught]]),NA(),IFERROR((B*Tbl_Long_Hydro[[#This Row],[LX]]^3/12+(Tbl_Long_Hydro[[#This Row],[LCF]]-Tbl_Long_Hydro[[#This Row],[LCB]])*Tbl_Long_Hydro[[#This Row],[Waterplane area]]*Tbl_Long_Hydro[[#This Row],[LCF]]^2)/Tbl_Long_Hydro[[#This Row],[Displacement]],0))</f>
        <v>136.03419995331373</v>
      </c>
      <c r="AT28" s="900">
        <f>Tbl_Long_Hydro[[#This Row],[Aft X]]+Tbl_Long_Hydro[[#This Row],[LX]]/2</f>
        <v>30</v>
      </c>
      <c r="AU28" s="901">
        <f>IF(ISNUMBER(AU27),(AU27*AP27+Tbl_Long_Hydro[[#This Row],[X CoG elt]]*Tbl_Long_Hydro[[#This Row],[Volume elt]])/Tbl_Long_Hydro[[#This Row],[Displacement]],Tbl_Long_Hydro[[#This Row],[X CoG elt]])</f>
        <v>29.999999999999993</v>
      </c>
      <c r="AV28" s="902">
        <f>IF(ISNA(Tbl_Long_Hydro[[#This Row],[Draught]]),NA(),0)</f>
        <v>0</v>
      </c>
      <c r="AW28" s="876">
        <f>IF(ISNUMBER(AW27),(AW27*AP27+Tbl_Long_Hydro[[#This Row],[Z CoG elt]]*Tbl_Long_Hydro[[#This Row],[Volume elt]])/Tbl_Long_Hydro[[#This Row],[Displacement]],Tbl_Long_Hydro[[#This Row],[Z CoG elt]])</f>
        <v>1.1267108167770421</v>
      </c>
      <c r="AX28" s="899">
        <f>Tbl_Long_Hydro[[#This Row],[RMT]]+Tbl_Long_Hydro[[#This Row],[VCB]]</f>
        <v>17.381978727674085</v>
      </c>
      <c r="AY28" s="904">
        <f>Tbl_Long_Hydro[[#This Row],[Displacement]]*Tbl_Long_Hydro[[#This Row],[RML]]/(100*Lpp)</f>
        <v>53.798287172012913</v>
      </c>
      <c r="AZ28" s="956">
        <f>Tbl_Long_Hydro[[#This Row],[Draught]]</f>
        <v>2.2000000000000006</v>
      </c>
      <c r="BA28" s="959">
        <f>Tbl_Long_Hydro[[#This Row],[Displacement]]</f>
        <v>2372.857142857144</v>
      </c>
      <c r="BB28" s="960">
        <f>Tbl_Long_Hydro[[#This Row],[Displac. SW]]</f>
        <v>2432.1785714285725</v>
      </c>
      <c r="BC28" s="964">
        <f>Tbl_Long_Hydro[[#This Row],[Waterplane area]]/100*$AQ$4</f>
        <v>11.860714285714286</v>
      </c>
      <c r="BD28" s="961">
        <f>Tbl_Long_Hydro[[#This Row],[MCT]]</f>
        <v>53.798287172012913</v>
      </c>
      <c r="BE28" s="962">
        <f>Tbl_Long_Hydro[[#This Row],[LCB]]</f>
        <v>29.999999999999993</v>
      </c>
      <c r="BF28" s="962">
        <f>Tbl_Long_Hydro[[#This Row],[TCB]]</f>
        <v>0</v>
      </c>
      <c r="BG28" s="962">
        <f>Tbl_Long_Hydro[[#This Row],[LCF]]</f>
        <v>30</v>
      </c>
      <c r="BH28" s="963">
        <f>Tbl_Long_Hydro[[#This Row],[KMT]]</f>
        <v>17.381978727674085</v>
      </c>
    </row>
    <row r="29" spans="11:60" x14ac:dyDescent="0.25">
      <c r="K29" s="156">
        <f t="shared" si="1"/>
        <v>23</v>
      </c>
      <c r="L29" s="164">
        <f t="shared" si="2"/>
        <v>11.5</v>
      </c>
      <c r="M29" s="163">
        <f>MATCH(Tbl_Long_Section[[#This Row],[X]],Tbl_Long_Definition[X],1)</f>
        <v>2</v>
      </c>
      <c r="N29" s="157">
        <f>IF(Tbl_Long_Section[[#This Row],[Nline Prev]]&lt;COUNT(Tbl_Long_Definition[X]),Tbl_Long_Section[[#This Row],[Nline Prev]]+1,Tbl_Long_Section[[#This Row],[Nline Prev]])</f>
        <v>3</v>
      </c>
      <c r="O29" s="162">
        <f>INDEX(Tbl_Long_Definition[X],Tbl_Long_Section[[#This Row],[Nline Prev]])</f>
        <v>5</v>
      </c>
      <c r="P29" s="159">
        <f>INDEX(Tbl_Long_Definition[X],Tbl_Long_Section[[#This Row],[Nline Next]])</f>
        <v>55</v>
      </c>
      <c r="Q29" s="160">
        <f>INDEX(Tbl_Long_Definition[H Deck-Bott.],Tbl_Long_Section[[#This Row],[Nline Prev]])</f>
        <v>4</v>
      </c>
      <c r="R29" s="161">
        <f>INDEX(Tbl_Long_Definition[H Deck-Bott.],Tbl_Long_Section[[#This Row],[Nline Next]])</f>
        <v>4</v>
      </c>
      <c r="S29"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29" s="8"/>
      <c r="V29" s="873">
        <f t="shared" si="3"/>
        <v>2.3000000000000007</v>
      </c>
      <c r="W29" s="885">
        <f>MATCH(Tbl_Long_Hydro[[#This Row],[Draught]],Tbl_Long_Definition[H k-bott],-1)</f>
        <v>1</v>
      </c>
      <c r="X29"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29" s="886">
        <f>MATCH(Tbl_Long_Hydro[[#This Row],[Draught]],Tbl_Long_Definition[H k-bott],1)</f>
        <v>3</v>
      </c>
      <c r="Z29"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29" s="888">
        <f>IF(ISNA(Tbl_Long_Hydro[[#This Row],[Draught]]),NA(),IFERROR(INDEX(Tbl_Long_Definition[X],Tbl_Long_Hydro[[#This Row],[Aft Nline prev]]),0))</f>
        <v>0</v>
      </c>
      <c r="AB29" s="889">
        <f>IF(ISNA(Tbl_Long_Hydro[[#This Row],[Draught]]),NA(),IFERROR(INDEX(Tbl_Long_Definition[X],Tbl_Long_Hydro[[#This Row],[Aft Nline next]]),0))</f>
        <v>5</v>
      </c>
      <c r="AC29" s="889">
        <f>IF(ISNA(Tbl_Long_Hydro[[#This Row],[Draught]]),NA(),INDEX(Tbl_Long_Definition[H k-bott],Tbl_Long_Hydro[[#This Row],[Aft Nline prev]]))</f>
        <v>2.8</v>
      </c>
      <c r="AD29" s="889">
        <f>IF(ISNA(Tbl_Long_Hydro[[#This Row],[Draught]]),NA(),INDEX(Tbl_Long_Definition[H k-bott],Tbl_Long_Hydro[[#This Row],[Aft Nline next]]))</f>
        <v>0</v>
      </c>
      <c r="AE29" s="888">
        <f>IF(ISNA(Tbl_Long_Hydro[[#This Row],[Draught]]),NA(),IFERROR(INDEX(Tbl_Long_Definition[X],Tbl_Long_Hydro[[#This Row],[Fore Nline prev]]),0))</f>
        <v>55</v>
      </c>
      <c r="AF29" s="889">
        <f>IF(ISNA(Tbl_Long_Hydro[[#This Row],[Draught]]),NA(),IFERROR(INDEX(Tbl_Long_Definition[X],Tbl_Long_Hydro[[#This Row],[Fore Nline next]]),0))</f>
        <v>60</v>
      </c>
      <c r="AG29" s="889">
        <f>IF(ISNA(Tbl_Long_Hydro[[#This Row],[Draught]]),NA(),INDEX(Tbl_Long_Definition[H k-bott],Tbl_Long_Hydro[[#This Row],[Fore Nline prev]]))</f>
        <v>0</v>
      </c>
      <c r="AH29" s="890">
        <f>IF(ISNA(Tbl_Long_Hydro[[#This Row],[Draught]]),NA(),INDEX(Tbl_Long_Definition[H k-bott],Tbl_Long_Hydro[[#This Row],[Fore Nline next]]))</f>
        <v>2.8</v>
      </c>
      <c r="AI29"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0.89285714285714135</v>
      </c>
      <c r="AJ29"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59.107142857142861</v>
      </c>
      <c r="AK29" s="894">
        <f>Tbl_Long_Hydro[[#This Row],[Fore X]]-Tbl_Long_Hydro[[#This Row],[Aft X]]</f>
        <v>58.214285714285722</v>
      </c>
      <c r="AL29" s="884">
        <f>Tbl_Long_Hydro[[#This Row],[LX]]*B</f>
        <v>1164.2857142857144</v>
      </c>
      <c r="AM29" s="892">
        <f>IF(ISNUMBER(AM28),(AK28+Tbl_Long_Hydro[[#This Row],[LX]])*(Tbl_Long_Hydro[[#This Row],[Draught]]-V28)/2*B,(Tbl_Long_Hydro[[#This Row],[LX]])*Tbl_Long_Hydro[[#This Row],[Draught]]*B)</f>
        <v>116.07142857142868</v>
      </c>
      <c r="AN29" s="899">
        <f>Tbl_Long_Hydro[[#This Row],[Aft X]]+Tbl_Long_Hydro[[#This Row],[LX]]/2</f>
        <v>30.000000000000004</v>
      </c>
      <c r="AO29" s="876">
        <f>IF(ISNUMBER(AO28),(2*Tbl_Long_Hydro[[#This Row],[LX]]+AK28)/(Tbl_Long_Hydro[[#This Row],[LX]]+AK28)*(Tbl_Long_Hydro[[#This Row],[Draught]]-V28)/3+V28,Tbl_Long_Hydro[[#This Row],[Draught]]/2)</f>
        <v>2.2500512820512828</v>
      </c>
      <c r="AP29" s="898">
        <f>IF(ISNUMBER(AP28),Tbl_Long_Hydro[[#This Row],[Volume elt]]+AP28,Tbl_Long_Hydro[[#This Row],[Volume elt]]*AO$4)</f>
        <v>2488.9285714285729</v>
      </c>
      <c r="AQ29" s="893">
        <f>IF(ISNUMBER(AQ28),Tbl_Long_Hydro[[#This Row],[Displacement]]*AQ$4,IF(ISNA(AQ28),NA(),0))</f>
        <v>2551.1517857142871</v>
      </c>
      <c r="AR29" s="900">
        <f>IF(ISNA(Tbl_Long_Hydro[[#This Row],[Draught]]),NA(),IFERROR(Tbl_Long_Hydro[[#This Row],[LX]]*B^3/12/Tbl_Long_Hydro[[#This Row],[Displacement]],0))</f>
        <v>15.592863634189499</v>
      </c>
      <c r="AS29" s="903">
        <f>IF(ISNA(Tbl_Long_Hydro[[#This Row],[Draught]]),NA(),IFERROR((B*Tbl_Long_Hydro[[#This Row],[LX]]^3/12+(Tbl_Long_Hydro[[#This Row],[LCF]]-Tbl_Long_Hydro[[#This Row],[LCB]])*Tbl_Long_Hydro[[#This Row],[Waterplane area]]*Tbl_Long_Hydro[[#This Row],[LCF]]^2)/Tbl_Long_Hydro[[#This Row],[Displacement]],0))</f>
        <v>132.10675825790804</v>
      </c>
      <c r="AT29" s="900">
        <f>Tbl_Long_Hydro[[#This Row],[Aft X]]+Tbl_Long_Hydro[[#This Row],[LX]]/2</f>
        <v>30.000000000000004</v>
      </c>
      <c r="AU29" s="901">
        <f>IF(ISNUMBER(AU28),(AU28*AP28+Tbl_Long_Hydro[[#This Row],[X CoG elt]]*Tbl_Long_Hydro[[#This Row],[Volume elt]])/Tbl_Long_Hydro[[#This Row],[Displacement]],Tbl_Long_Hydro[[#This Row],[X CoG elt]])</f>
        <v>29.999999999999989</v>
      </c>
      <c r="AV29" s="902">
        <f>IF(ISNA(Tbl_Long_Hydro[[#This Row],[Draught]]),NA(),0)</f>
        <v>0</v>
      </c>
      <c r="AW29" s="876">
        <f>IF(ISNUMBER(AW28),(AW28*AP28+Tbl_Long_Hydro[[#This Row],[Z CoG elt]]*Tbl_Long_Hydro[[#This Row],[Volume elt]])/Tbl_Long_Hydro[[#This Row],[Displacement]],Tbl_Long_Hydro[[#This Row],[Z CoG elt]])</f>
        <v>1.1790979097909791</v>
      </c>
      <c r="AX29" s="899">
        <f>Tbl_Long_Hydro[[#This Row],[RMT]]+Tbl_Long_Hydro[[#This Row],[VCB]]</f>
        <v>16.771961543980478</v>
      </c>
      <c r="AY29" s="904">
        <f>Tbl_Long_Hydro[[#This Row],[Displacement]]*Tbl_Long_Hydro[[#This Row],[RML]]/(100*Lpp)</f>
        <v>54.800714184485813</v>
      </c>
      <c r="AZ29" s="956">
        <f>Tbl_Long_Hydro[[#This Row],[Draught]]</f>
        <v>2.3000000000000007</v>
      </c>
      <c r="BA29" s="959">
        <f>Tbl_Long_Hydro[[#This Row],[Displacement]]</f>
        <v>2488.9285714285729</v>
      </c>
      <c r="BB29" s="960">
        <f>Tbl_Long_Hydro[[#This Row],[Displac. SW]]</f>
        <v>2551.1517857142871</v>
      </c>
      <c r="BC29" s="964">
        <f>Tbl_Long_Hydro[[#This Row],[Waterplane area]]/100*$AQ$4</f>
        <v>11.933928571428572</v>
      </c>
      <c r="BD29" s="961">
        <f>Tbl_Long_Hydro[[#This Row],[MCT]]</f>
        <v>54.800714184485813</v>
      </c>
      <c r="BE29" s="962">
        <f>Tbl_Long_Hydro[[#This Row],[LCB]]</f>
        <v>29.999999999999989</v>
      </c>
      <c r="BF29" s="962">
        <f>Tbl_Long_Hydro[[#This Row],[TCB]]</f>
        <v>0</v>
      </c>
      <c r="BG29" s="962">
        <f>Tbl_Long_Hydro[[#This Row],[LCF]]</f>
        <v>30.000000000000004</v>
      </c>
      <c r="BH29" s="963">
        <f>Tbl_Long_Hydro[[#This Row],[KMT]]</f>
        <v>16.771961543980478</v>
      </c>
    </row>
    <row r="30" spans="11:60" x14ac:dyDescent="0.25">
      <c r="K30" s="156">
        <f t="shared" si="1"/>
        <v>24</v>
      </c>
      <c r="L30" s="164">
        <f t="shared" si="2"/>
        <v>12</v>
      </c>
      <c r="M30" s="163">
        <f>MATCH(Tbl_Long_Section[[#This Row],[X]],Tbl_Long_Definition[X],1)</f>
        <v>2</v>
      </c>
      <c r="N30" s="157">
        <f>IF(Tbl_Long_Section[[#This Row],[Nline Prev]]&lt;COUNT(Tbl_Long_Definition[X]),Tbl_Long_Section[[#This Row],[Nline Prev]]+1,Tbl_Long_Section[[#This Row],[Nline Prev]])</f>
        <v>3</v>
      </c>
      <c r="O30" s="162">
        <f>INDEX(Tbl_Long_Definition[X],Tbl_Long_Section[[#This Row],[Nline Prev]])</f>
        <v>5</v>
      </c>
      <c r="P30" s="159">
        <f>INDEX(Tbl_Long_Definition[X],Tbl_Long_Section[[#This Row],[Nline Next]])</f>
        <v>55</v>
      </c>
      <c r="Q30" s="160">
        <f>INDEX(Tbl_Long_Definition[H Deck-Bott.],Tbl_Long_Section[[#This Row],[Nline Prev]])</f>
        <v>4</v>
      </c>
      <c r="R30" s="161">
        <f>INDEX(Tbl_Long_Definition[H Deck-Bott.],Tbl_Long_Section[[#This Row],[Nline Next]])</f>
        <v>4</v>
      </c>
      <c r="S30"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30" s="8"/>
      <c r="V30" s="873">
        <f t="shared" si="3"/>
        <v>2.4000000000000008</v>
      </c>
      <c r="W30" s="885">
        <f>MATCH(Tbl_Long_Hydro[[#This Row],[Draught]],Tbl_Long_Definition[H k-bott],-1)</f>
        <v>1</v>
      </c>
      <c r="X30"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30" s="886">
        <f>MATCH(Tbl_Long_Hydro[[#This Row],[Draught]],Tbl_Long_Definition[H k-bott],1)</f>
        <v>3</v>
      </c>
      <c r="Z30"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30" s="888">
        <f>IF(ISNA(Tbl_Long_Hydro[[#This Row],[Draught]]),NA(),IFERROR(INDEX(Tbl_Long_Definition[X],Tbl_Long_Hydro[[#This Row],[Aft Nline prev]]),0))</f>
        <v>0</v>
      </c>
      <c r="AB30" s="889">
        <f>IF(ISNA(Tbl_Long_Hydro[[#This Row],[Draught]]),NA(),IFERROR(INDEX(Tbl_Long_Definition[X],Tbl_Long_Hydro[[#This Row],[Aft Nline next]]),0))</f>
        <v>5</v>
      </c>
      <c r="AC30" s="889">
        <f>IF(ISNA(Tbl_Long_Hydro[[#This Row],[Draught]]),NA(),INDEX(Tbl_Long_Definition[H k-bott],Tbl_Long_Hydro[[#This Row],[Aft Nline prev]]))</f>
        <v>2.8</v>
      </c>
      <c r="AD30" s="889">
        <f>IF(ISNA(Tbl_Long_Hydro[[#This Row],[Draught]]),NA(),INDEX(Tbl_Long_Definition[H k-bott],Tbl_Long_Hydro[[#This Row],[Aft Nline next]]))</f>
        <v>0</v>
      </c>
      <c r="AE30" s="888">
        <f>IF(ISNA(Tbl_Long_Hydro[[#This Row],[Draught]]),NA(),IFERROR(INDEX(Tbl_Long_Definition[X],Tbl_Long_Hydro[[#This Row],[Fore Nline prev]]),0))</f>
        <v>55</v>
      </c>
      <c r="AF30" s="889">
        <f>IF(ISNA(Tbl_Long_Hydro[[#This Row],[Draught]]),NA(),IFERROR(INDEX(Tbl_Long_Definition[X],Tbl_Long_Hydro[[#This Row],[Fore Nline next]]),0))</f>
        <v>60</v>
      </c>
      <c r="AG30" s="889">
        <f>IF(ISNA(Tbl_Long_Hydro[[#This Row],[Draught]]),NA(),INDEX(Tbl_Long_Definition[H k-bott],Tbl_Long_Hydro[[#This Row],[Fore Nline prev]]))</f>
        <v>0</v>
      </c>
      <c r="AH30" s="890">
        <f>IF(ISNA(Tbl_Long_Hydro[[#This Row],[Draught]]),NA(),INDEX(Tbl_Long_Definition[H k-bott],Tbl_Long_Hydro[[#This Row],[Fore Nline next]]))</f>
        <v>2.8</v>
      </c>
      <c r="AI30"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0.71428571428571264</v>
      </c>
      <c r="AJ30"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59.285714285714285</v>
      </c>
      <c r="AK30" s="894">
        <f>Tbl_Long_Hydro[[#This Row],[Fore X]]-Tbl_Long_Hydro[[#This Row],[Aft X]]</f>
        <v>58.571428571428569</v>
      </c>
      <c r="AL30" s="884">
        <f>Tbl_Long_Hydro[[#This Row],[LX]]*B</f>
        <v>1171.4285714285713</v>
      </c>
      <c r="AM30" s="892">
        <f>IF(ISNUMBER(AM29),(AK29+Tbl_Long_Hydro[[#This Row],[LX]])*(Tbl_Long_Hydro[[#This Row],[Draught]]-V29)/2*B,(Tbl_Long_Hydro[[#This Row],[LX]])*Tbl_Long_Hydro[[#This Row],[Draught]]*B)</f>
        <v>116.78571428571439</v>
      </c>
      <c r="AN30" s="899">
        <f>Tbl_Long_Hydro[[#This Row],[Aft X]]+Tbl_Long_Hydro[[#This Row],[LX]]/2</f>
        <v>29.999999999999996</v>
      </c>
      <c r="AO30" s="876">
        <f>IF(ISNUMBER(AO29),(2*Tbl_Long_Hydro[[#This Row],[LX]]+AK29)/(Tbl_Long_Hydro[[#This Row],[LX]]+AK29)*(Tbl_Long_Hydro[[#This Row],[Draught]]-V29)/3+V29,Tbl_Long_Hydro[[#This Row],[Draught]]/2)</f>
        <v>2.3500509683995929</v>
      </c>
      <c r="AP30" s="898">
        <f>IF(ISNUMBER(AP29),Tbl_Long_Hydro[[#This Row],[Volume elt]]+AP29,Tbl_Long_Hydro[[#This Row],[Volume elt]]*AO$4)</f>
        <v>2605.7142857142871</v>
      </c>
      <c r="AQ30" s="893">
        <f>IF(ISNUMBER(AQ29),Tbl_Long_Hydro[[#This Row],[Displacement]]*AQ$4,IF(ISNA(AQ29),NA(),0))</f>
        <v>2670.857142857144</v>
      </c>
      <c r="AR30" s="900">
        <f>IF(ISNA(Tbl_Long_Hydro[[#This Row],[Draught]]),NA(),IFERROR(Tbl_Long_Hydro[[#This Row],[LX]]*B^3/12/Tbl_Long_Hydro[[#This Row],[Displacement]],0))</f>
        <v>14.985380116959055</v>
      </c>
      <c r="AS30" s="903">
        <f>IF(ISNA(Tbl_Long_Hydro[[#This Row],[Draught]]),NA(),IFERROR((B*Tbl_Long_Hydro[[#This Row],[LX]]^3/12+(Tbl_Long_Hydro[[#This Row],[LCF]]-Tbl_Long_Hydro[[#This Row],[LCB]])*Tbl_Long_Hydro[[#This Row],[Waterplane area]]*Tbl_Long_Hydro[[#This Row],[LCF]]^2)/Tbl_Long_Hydro[[#This Row],[Displacement]],0))</f>
        <v>128.52257130922678</v>
      </c>
      <c r="AT30" s="900">
        <f>Tbl_Long_Hydro[[#This Row],[Aft X]]+Tbl_Long_Hydro[[#This Row],[LX]]/2</f>
        <v>29.999999999999996</v>
      </c>
      <c r="AU30" s="901">
        <f>IF(ISNUMBER(AU29),(AU29*AP29+Tbl_Long_Hydro[[#This Row],[X CoG elt]]*Tbl_Long_Hydro[[#This Row],[Volume elt]])/Tbl_Long_Hydro[[#This Row],[Displacement]],Tbl_Long_Hydro[[#This Row],[X CoG elt]])</f>
        <v>29.999999999999993</v>
      </c>
      <c r="AV30" s="902">
        <f>IF(ISNA(Tbl_Long_Hydro[[#This Row],[Draught]]),NA(),0)</f>
        <v>0</v>
      </c>
      <c r="AW30" s="876">
        <f>IF(ISNUMBER(AW29),(AW29*AP29+Tbl_Long_Hydro[[#This Row],[Z CoG elt]]*Tbl_Long_Hydro[[#This Row],[Volume elt]])/Tbl_Long_Hydro[[#This Row],[Displacement]],Tbl_Long_Hydro[[#This Row],[Z CoG elt]])</f>
        <v>1.2315789473684211</v>
      </c>
      <c r="AX30" s="899">
        <f>Tbl_Long_Hydro[[#This Row],[RMT]]+Tbl_Long_Hydro[[#This Row],[VCB]]</f>
        <v>16.216959064327476</v>
      </c>
      <c r="AY30" s="904">
        <f>Tbl_Long_Hydro[[#This Row],[Displacement]]*Tbl_Long_Hydro[[#This Row],[RML]]/(100*Lpp)</f>
        <v>55.815516682864235</v>
      </c>
      <c r="AZ30" s="956">
        <f>Tbl_Long_Hydro[[#This Row],[Draught]]</f>
        <v>2.4000000000000008</v>
      </c>
      <c r="BA30" s="959">
        <f>Tbl_Long_Hydro[[#This Row],[Displacement]]</f>
        <v>2605.7142857142871</v>
      </c>
      <c r="BB30" s="960">
        <f>Tbl_Long_Hydro[[#This Row],[Displac. SW]]</f>
        <v>2670.857142857144</v>
      </c>
      <c r="BC30" s="964">
        <f>Tbl_Long_Hydro[[#This Row],[Waterplane area]]/100*$AQ$4</f>
        <v>12.007142857142854</v>
      </c>
      <c r="BD30" s="961">
        <f>Tbl_Long_Hydro[[#This Row],[MCT]]</f>
        <v>55.815516682864235</v>
      </c>
      <c r="BE30" s="962">
        <f>Tbl_Long_Hydro[[#This Row],[LCB]]</f>
        <v>29.999999999999993</v>
      </c>
      <c r="BF30" s="962">
        <f>Tbl_Long_Hydro[[#This Row],[TCB]]</f>
        <v>0</v>
      </c>
      <c r="BG30" s="962">
        <f>Tbl_Long_Hydro[[#This Row],[LCF]]</f>
        <v>29.999999999999996</v>
      </c>
      <c r="BH30" s="963">
        <f>Tbl_Long_Hydro[[#This Row],[KMT]]</f>
        <v>16.216959064327476</v>
      </c>
    </row>
    <row r="31" spans="11:60" x14ac:dyDescent="0.25">
      <c r="K31" s="156">
        <f t="shared" si="1"/>
        <v>25</v>
      </c>
      <c r="L31" s="164">
        <f t="shared" si="2"/>
        <v>12.5</v>
      </c>
      <c r="M31" s="163">
        <f>MATCH(Tbl_Long_Section[[#This Row],[X]],Tbl_Long_Definition[X],1)</f>
        <v>2</v>
      </c>
      <c r="N31" s="157">
        <f>IF(Tbl_Long_Section[[#This Row],[Nline Prev]]&lt;COUNT(Tbl_Long_Definition[X]),Tbl_Long_Section[[#This Row],[Nline Prev]]+1,Tbl_Long_Section[[#This Row],[Nline Prev]])</f>
        <v>3</v>
      </c>
      <c r="O31" s="162">
        <f>INDEX(Tbl_Long_Definition[X],Tbl_Long_Section[[#This Row],[Nline Prev]])</f>
        <v>5</v>
      </c>
      <c r="P31" s="159">
        <f>INDEX(Tbl_Long_Definition[X],Tbl_Long_Section[[#This Row],[Nline Next]])</f>
        <v>55</v>
      </c>
      <c r="Q31" s="160">
        <f>INDEX(Tbl_Long_Definition[H Deck-Bott.],Tbl_Long_Section[[#This Row],[Nline Prev]])</f>
        <v>4</v>
      </c>
      <c r="R31" s="161">
        <f>INDEX(Tbl_Long_Definition[H Deck-Bott.],Tbl_Long_Section[[#This Row],[Nline Next]])</f>
        <v>4</v>
      </c>
      <c r="S31"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31" s="8"/>
      <c r="V31" s="873">
        <f t="shared" si="3"/>
        <v>2.5000000000000009</v>
      </c>
      <c r="W31" s="885">
        <f>MATCH(Tbl_Long_Hydro[[#This Row],[Draught]],Tbl_Long_Definition[H k-bott],-1)</f>
        <v>1</v>
      </c>
      <c r="X31"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31" s="886">
        <f>MATCH(Tbl_Long_Hydro[[#This Row],[Draught]],Tbl_Long_Definition[H k-bott],1)</f>
        <v>3</v>
      </c>
      <c r="Z31"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31" s="888">
        <f>IF(ISNA(Tbl_Long_Hydro[[#This Row],[Draught]]),NA(),IFERROR(INDEX(Tbl_Long_Definition[X],Tbl_Long_Hydro[[#This Row],[Aft Nline prev]]),0))</f>
        <v>0</v>
      </c>
      <c r="AB31" s="889">
        <f>IF(ISNA(Tbl_Long_Hydro[[#This Row],[Draught]]),NA(),IFERROR(INDEX(Tbl_Long_Definition[X],Tbl_Long_Hydro[[#This Row],[Aft Nline next]]),0))</f>
        <v>5</v>
      </c>
      <c r="AC31" s="889">
        <f>IF(ISNA(Tbl_Long_Hydro[[#This Row],[Draught]]),NA(),INDEX(Tbl_Long_Definition[H k-bott],Tbl_Long_Hydro[[#This Row],[Aft Nline prev]]))</f>
        <v>2.8</v>
      </c>
      <c r="AD31" s="889">
        <f>IF(ISNA(Tbl_Long_Hydro[[#This Row],[Draught]]),NA(),INDEX(Tbl_Long_Definition[H k-bott],Tbl_Long_Hydro[[#This Row],[Aft Nline next]]))</f>
        <v>0</v>
      </c>
      <c r="AE31" s="888">
        <f>IF(ISNA(Tbl_Long_Hydro[[#This Row],[Draught]]),NA(),IFERROR(INDEX(Tbl_Long_Definition[X],Tbl_Long_Hydro[[#This Row],[Fore Nline prev]]),0))</f>
        <v>55</v>
      </c>
      <c r="AF31" s="889">
        <f>IF(ISNA(Tbl_Long_Hydro[[#This Row],[Draught]]),NA(),IFERROR(INDEX(Tbl_Long_Definition[X],Tbl_Long_Hydro[[#This Row],[Fore Nline next]]),0))</f>
        <v>60</v>
      </c>
      <c r="AG31" s="889">
        <f>IF(ISNA(Tbl_Long_Hydro[[#This Row],[Draught]]),NA(),INDEX(Tbl_Long_Definition[H k-bott],Tbl_Long_Hydro[[#This Row],[Fore Nline prev]]))</f>
        <v>0</v>
      </c>
      <c r="AH31" s="890">
        <f>IF(ISNA(Tbl_Long_Hydro[[#This Row],[Draught]]),NA(),INDEX(Tbl_Long_Definition[H k-bott],Tbl_Long_Hydro[[#This Row],[Fore Nline next]]))</f>
        <v>2.8</v>
      </c>
      <c r="AI31"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0.53571428571428381</v>
      </c>
      <c r="AJ31"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59.464285714285722</v>
      </c>
      <c r="AK31" s="894">
        <f>Tbl_Long_Hydro[[#This Row],[Fore X]]-Tbl_Long_Hydro[[#This Row],[Aft X]]</f>
        <v>58.928571428571438</v>
      </c>
      <c r="AL31" s="884">
        <f>Tbl_Long_Hydro[[#This Row],[LX]]*B</f>
        <v>1178.5714285714287</v>
      </c>
      <c r="AM31" s="892">
        <f>IF(ISNUMBER(AM30),(AK30+Tbl_Long_Hydro[[#This Row],[LX]])*(Tbl_Long_Hydro[[#This Row],[Draught]]-V30)/2*B,(Tbl_Long_Hydro[[#This Row],[LX]])*Tbl_Long_Hydro[[#This Row],[Draught]]*B)</f>
        <v>117.50000000000011</v>
      </c>
      <c r="AN31" s="899">
        <f>Tbl_Long_Hydro[[#This Row],[Aft X]]+Tbl_Long_Hydro[[#This Row],[LX]]/2</f>
        <v>30.000000000000004</v>
      </c>
      <c r="AO31" s="876">
        <f>IF(ISNUMBER(AO30),(2*Tbl_Long_Hydro[[#This Row],[LX]]+AK30)/(Tbl_Long_Hydro[[#This Row],[LX]]+AK30)*(Tbl_Long_Hydro[[#This Row],[Draught]]-V30)/3+V30,Tbl_Long_Hydro[[#This Row],[Draught]]/2)</f>
        <v>2.4500506585612976</v>
      </c>
      <c r="AP31" s="898">
        <f>IF(ISNUMBER(AP30),Tbl_Long_Hydro[[#This Row],[Volume elt]]+AP30,Tbl_Long_Hydro[[#This Row],[Volume elt]]*AO$4)</f>
        <v>2723.2142857142871</v>
      </c>
      <c r="AQ31" s="893">
        <f>IF(ISNUMBER(AQ30),Tbl_Long_Hydro[[#This Row],[Displacement]]*AQ$4,IF(ISNA(AQ30),NA(),0))</f>
        <v>2791.294642857144</v>
      </c>
      <c r="AR31" s="900">
        <f>IF(ISNA(Tbl_Long_Hydro[[#This Row],[Draught]]),NA(),IFERROR(Tbl_Long_Hydro[[#This Row],[LX]]*B^3/12/Tbl_Long_Hydro[[#This Row],[Displacement]],0))</f>
        <v>14.426229508196716</v>
      </c>
      <c r="AS31" s="903">
        <f>IF(ISNA(Tbl_Long_Hydro[[#This Row],[Draught]]),NA(),IFERROR((B*Tbl_Long_Hydro[[#This Row],[LX]]^3/12+(Tbl_Long_Hydro[[#This Row],[LCF]]-Tbl_Long_Hydro[[#This Row],[LCB]])*Tbl_Long_Hydro[[#This Row],[Waterplane area]]*Tbl_Long_Hydro[[#This Row],[LCF]]^2)/Tbl_Long_Hydro[[#This Row],[Displacement]],0))</f>
        <v>125.24046503847855</v>
      </c>
      <c r="AT31" s="900">
        <f>Tbl_Long_Hydro[[#This Row],[Aft X]]+Tbl_Long_Hydro[[#This Row],[LX]]/2</f>
        <v>30.000000000000004</v>
      </c>
      <c r="AU31" s="901">
        <f>IF(ISNUMBER(AU30),(AU30*AP30+Tbl_Long_Hydro[[#This Row],[X CoG elt]]*Tbl_Long_Hydro[[#This Row],[Volume elt]])/Tbl_Long_Hydro[[#This Row],[Displacement]],Tbl_Long_Hydro[[#This Row],[X CoG elt]])</f>
        <v>29.999999999999993</v>
      </c>
      <c r="AV31" s="902">
        <f>IF(ISNA(Tbl_Long_Hydro[[#This Row],[Draught]]),NA(),0)</f>
        <v>0</v>
      </c>
      <c r="AW31" s="876">
        <f>IF(ISNUMBER(AW30),(AW30*AP30+Tbl_Long_Hydro[[#This Row],[Z CoG elt]]*Tbl_Long_Hydro[[#This Row],[Volume elt]])/Tbl_Long_Hydro[[#This Row],[Displacement]],Tbl_Long_Hydro[[#This Row],[Z CoG elt]])</f>
        <v>1.284153005464481</v>
      </c>
      <c r="AX31" s="899">
        <f>Tbl_Long_Hydro[[#This Row],[RMT]]+Tbl_Long_Hydro[[#This Row],[VCB]]</f>
        <v>15.710382513661196</v>
      </c>
      <c r="AY31" s="904">
        <f>Tbl_Long_Hydro[[#This Row],[Displacement]]*Tbl_Long_Hydro[[#This Row],[RML]]/(100*Lpp)</f>
        <v>56.842770590380923</v>
      </c>
      <c r="AZ31" s="956">
        <f>Tbl_Long_Hydro[[#This Row],[Draught]]</f>
        <v>2.5000000000000009</v>
      </c>
      <c r="BA31" s="959">
        <f>Tbl_Long_Hydro[[#This Row],[Displacement]]</f>
        <v>2723.2142857142871</v>
      </c>
      <c r="BB31" s="960">
        <f>Tbl_Long_Hydro[[#This Row],[Displac. SW]]</f>
        <v>2791.294642857144</v>
      </c>
      <c r="BC31" s="964">
        <f>Tbl_Long_Hydro[[#This Row],[Waterplane area]]/100*$AQ$4</f>
        <v>12.080357142857142</v>
      </c>
      <c r="BD31" s="961">
        <f>Tbl_Long_Hydro[[#This Row],[MCT]]</f>
        <v>56.842770590380923</v>
      </c>
      <c r="BE31" s="962">
        <f>Tbl_Long_Hydro[[#This Row],[LCB]]</f>
        <v>29.999999999999993</v>
      </c>
      <c r="BF31" s="962">
        <f>Tbl_Long_Hydro[[#This Row],[TCB]]</f>
        <v>0</v>
      </c>
      <c r="BG31" s="962">
        <f>Tbl_Long_Hydro[[#This Row],[LCF]]</f>
        <v>30.000000000000004</v>
      </c>
      <c r="BH31" s="963">
        <f>Tbl_Long_Hydro[[#This Row],[KMT]]</f>
        <v>15.710382513661196</v>
      </c>
    </row>
    <row r="32" spans="11:60" x14ac:dyDescent="0.25">
      <c r="K32" s="156">
        <f t="shared" si="1"/>
        <v>26</v>
      </c>
      <c r="L32" s="164">
        <f t="shared" si="2"/>
        <v>13</v>
      </c>
      <c r="M32" s="163">
        <f>MATCH(Tbl_Long_Section[[#This Row],[X]],Tbl_Long_Definition[X],1)</f>
        <v>2</v>
      </c>
      <c r="N32" s="157">
        <f>IF(Tbl_Long_Section[[#This Row],[Nline Prev]]&lt;COUNT(Tbl_Long_Definition[X]),Tbl_Long_Section[[#This Row],[Nline Prev]]+1,Tbl_Long_Section[[#This Row],[Nline Prev]])</f>
        <v>3</v>
      </c>
      <c r="O32" s="162">
        <f>INDEX(Tbl_Long_Definition[X],Tbl_Long_Section[[#This Row],[Nline Prev]])</f>
        <v>5</v>
      </c>
      <c r="P32" s="159">
        <f>INDEX(Tbl_Long_Definition[X],Tbl_Long_Section[[#This Row],[Nline Next]])</f>
        <v>55</v>
      </c>
      <c r="Q32" s="160">
        <f>INDEX(Tbl_Long_Definition[H Deck-Bott.],Tbl_Long_Section[[#This Row],[Nline Prev]])</f>
        <v>4</v>
      </c>
      <c r="R32" s="161">
        <f>INDEX(Tbl_Long_Definition[H Deck-Bott.],Tbl_Long_Section[[#This Row],[Nline Next]])</f>
        <v>4</v>
      </c>
      <c r="S32"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32" s="8"/>
      <c r="V32" s="873">
        <f t="shared" si="3"/>
        <v>2.600000000000001</v>
      </c>
      <c r="W32" s="885">
        <f>MATCH(Tbl_Long_Hydro[[#This Row],[Draught]],Tbl_Long_Definition[H k-bott],-1)</f>
        <v>1</v>
      </c>
      <c r="X32"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32" s="886">
        <f>MATCH(Tbl_Long_Hydro[[#This Row],[Draught]],Tbl_Long_Definition[H k-bott],1)</f>
        <v>3</v>
      </c>
      <c r="Z32"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32" s="888">
        <f>IF(ISNA(Tbl_Long_Hydro[[#This Row],[Draught]]),NA(),IFERROR(INDEX(Tbl_Long_Definition[X],Tbl_Long_Hydro[[#This Row],[Aft Nline prev]]),0))</f>
        <v>0</v>
      </c>
      <c r="AB32" s="889">
        <f>IF(ISNA(Tbl_Long_Hydro[[#This Row],[Draught]]),NA(),IFERROR(INDEX(Tbl_Long_Definition[X],Tbl_Long_Hydro[[#This Row],[Aft Nline next]]),0))</f>
        <v>5</v>
      </c>
      <c r="AC32" s="889">
        <f>IF(ISNA(Tbl_Long_Hydro[[#This Row],[Draught]]),NA(),INDEX(Tbl_Long_Definition[H k-bott],Tbl_Long_Hydro[[#This Row],[Aft Nline prev]]))</f>
        <v>2.8</v>
      </c>
      <c r="AD32" s="889">
        <f>IF(ISNA(Tbl_Long_Hydro[[#This Row],[Draught]]),NA(),INDEX(Tbl_Long_Definition[H k-bott],Tbl_Long_Hydro[[#This Row],[Aft Nline next]]))</f>
        <v>0</v>
      </c>
      <c r="AE32" s="888">
        <f>IF(ISNA(Tbl_Long_Hydro[[#This Row],[Draught]]),NA(),IFERROR(INDEX(Tbl_Long_Definition[X],Tbl_Long_Hydro[[#This Row],[Fore Nline prev]]),0))</f>
        <v>55</v>
      </c>
      <c r="AF32" s="889">
        <f>IF(ISNA(Tbl_Long_Hydro[[#This Row],[Draught]]),NA(),IFERROR(INDEX(Tbl_Long_Definition[X],Tbl_Long_Hydro[[#This Row],[Fore Nline next]]),0))</f>
        <v>60</v>
      </c>
      <c r="AG32" s="889">
        <f>IF(ISNA(Tbl_Long_Hydro[[#This Row],[Draught]]),NA(),INDEX(Tbl_Long_Definition[H k-bott],Tbl_Long_Hydro[[#This Row],[Fore Nline prev]]))</f>
        <v>0</v>
      </c>
      <c r="AH32" s="890">
        <f>IF(ISNA(Tbl_Long_Hydro[[#This Row],[Draught]]),NA(),INDEX(Tbl_Long_Definition[H k-bott],Tbl_Long_Hydro[[#This Row],[Fore Nline next]]))</f>
        <v>2.8</v>
      </c>
      <c r="AI32"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0.3571428571428551</v>
      </c>
      <c r="AJ32"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59.642857142857146</v>
      </c>
      <c r="AK32" s="894">
        <f>Tbl_Long_Hydro[[#This Row],[Fore X]]-Tbl_Long_Hydro[[#This Row],[Aft X]]</f>
        <v>59.285714285714292</v>
      </c>
      <c r="AL32" s="884">
        <f>Tbl_Long_Hydro[[#This Row],[LX]]*B</f>
        <v>1185.7142857142858</v>
      </c>
      <c r="AM32" s="892">
        <f>IF(ISNUMBER(AM31),(AK31+Tbl_Long_Hydro[[#This Row],[LX]])*(Tbl_Long_Hydro[[#This Row],[Draught]]-V31)/2*B,(Tbl_Long_Hydro[[#This Row],[LX]])*Tbl_Long_Hydro[[#This Row],[Draught]]*B)</f>
        <v>118.21428571428584</v>
      </c>
      <c r="AN32" s="899">
        <f>Tbl_Long_Hydro[[#This Row],[Aft X]]+Tbl_Long_Hydro[[#This Row],[LX]]/2</f>
        <v>30</v>
      </c>
      <c r="AO32" s="876">
        <f>IF(ISNUMBER(AO31),(2*Tbl_Long_Hydro[[#This Row],[LX]]+AK31)/(Tbl_Long_Hydro[[#This Row],[LX]]+AK31)*(Tbl_Long_Hydro[[#This Row],[Draught]]-V31)/3+V31,Tbl_Long_Hydro[[#This Row],[Draught]]/2)</f>
        <v>2.550050352467272</v>
      </c>
      <c r="AP32" s="898">
        <f>IF(ISNUMBER(AP31),Tbl_Long_Hydro[[#This Row],[Volume elt]]+AP31,Tbl_Long_Hydro[[#This Row],[Volume elt]]*AO$4)</f>
        <v>2841.4285714285729</v>
      </c>
      <c r="AQ32" s="893">
        <f>IF(ISNUMBER(AQ31),Tbl_Long_Hydro[[#This Row],[Displacement]]*AQ$4,IF(ISNA(AQ31),NA(),0))</f>
        <v>2912.4642857142871</v>
      </c>
      <c r="AR32" s="900">
        <f>IF(ISNA(Tbl_Long_Hydro[[#This Row],[Draught]]),NA(),IFERROR(Tbl_Long_Hydro[[#This Row],[LX]]*B^3/12/Tbl_Long_Hydro[[#This Row],[Displacement]],0))</f>
        <v>13.909837439249198</v>
      </c>
      <c r="AS32" s="903">
        <f>IF(ISNA(Tbl_Long_Hydro[[#This Row],[Draught]]),NA(),IFERROR((B*Tbl_Long_Hydro[[#This Row],[LX]]^3/12+(Tbl_Long_Hydro[[#This Row],[LCF]]-Tbl_Long_Hydro[[#This Row],[LCB]])*Tbl_Long_Hydro[[#This Row],[Waterplane area]]*Tbl_Long_Hydro[[#This Row],[LCF]]^2)/Tbl_Long_Hydro[[#This Row],[Displacement]],0))</f>
        <v>122.22559964156731</v>
      </c>
      <c r="AT32" s="900">
        <f>Tbl_Long_Hydro[[#This Row],[Aft X]]+Tbl_Long_Hydro[[#This Row],[LX]]/2</f>
        <v>30</v>
      </c>
      <c r="AU32" s="901">
        <f>IF(ISNUMBER(AU31),(AU31*AP31+Tbl_Long_Hydro[[#This Row],[X CoG elt]]*Tbl_Long_Hydro[[#This Row],[Volume elt]])/Tbl_Long_Hydro[[#This Row],[Displacement]],Tbl_Long_Hydro[[#This Row],[X CoG elt]])</f>
        <v>29.999999999999996</v>
      </c>
      <c r="AV32" s="902">
        <f>IF(ISNA(Tbl_Long_Hydro[[#This Row],[Draught]]),NA(),0)</f>
        <v>0</v>
      </c>
      <c r="AW32" s="876">
        <f>IF(ISNUMBER(AW31),(AW31*AP31+Tbl_Long_Hydro[[#This Row],[Z CoG elt]]*Tbl_Long_Hydro[[#This Row],[Volume elt]])/Tbl_Long_Hydro[[#This Row],[Displacement]],Tbl_Long_Hydro[[#This Row],[Z CoG elt]])</f>
        <v>1.3368191721132898</v>
      </c>
      <c r="AX32" s="899">
        <f>Tbl_Long_Hydro[[#This Row],[RMT]]+Tbl_Long_Hydro[[#This Row],[VCB]]</f>
        <v>15.246656611362488</v>
      </c>
      <c r="AY32" s="904">
        <f>Tbl_Long_Hydro[[#This Row],[Displacement]]*Tbl_Long_Hydro[[#This Row],[RML]]/(100*Lpp)</f>
        <v>57.882551830256553</v>
      </c>
      <c r="AZ32" s="956">
        <f>Tbl_Long_Hydro[[#This Row],[Draught]]</f>
        <v>2.600000000000001</v>
      </c>
      <c r="BA32" s="959">
        <f>Tbl_Long_Hydro[[#This Row],[Displacement]]</f>
        <v>2841.4285714285729</v>
      </c>
      <c r="BB32" s="960">
        <f>Tbl_Long_Hydro[[#This Row],[Displac. SW]]</f>
        <v>2912.4642857142871</v>
      </c>
      <c r="BC32" s="964">
        <f>Tbl_Long_Hydro[[#This Row],[Waterplane area]]/100*$AQ$4</f>
        <v>12.153571428571428</v>
      </c>
      <c r="BD32" s="961">
        <f>Tbl_Long_Hydro[[#This Row],[MCT]]</f>
        <v>57.882551830256553</v>
      </c>
      <c r="BE32" s="962">
        <f>Tbl_Long_Hydro[[#This Row],[LCB]]</f>
        <v>29.999999999999996</v>
      </c>
      <c r="BF32" s="962">
        <f>Tbl_Long_Hydro[[#This Row],[TCB]]</f>
        <v>0</v>
      </c>
      <c r="BG32" s="962">
        <f>Tbl_Long_Hydro[[#This Row],[LCF]]</f>
        <v>30</v>
      </c>
      <c r="BH32" s="963">
        <f>Tbl_Long_Hydro[[#This Row],[KMT]]</f>
        <v>15.246656611362488</v>
      </c>
    </row>
    <row r="33" spans="11:60" x14ac:dyDescent="0.25">
      <c r="K33" s="156">
        <f t="shared" si="1"/>
        <v>27</v>
      </c>
      <c r="L33" s="164">
        <f t="shared" si="2"/>
        <v>13.5</v>
      </c>
      <c r="M33" s="163">
        <f>MATCH(Tbl_Long_Section[[#This Row],[X]],Tbl_Long_Definition[X],1)</f>
        <v>2</v>
      </c>
      <c r="N33" s="157">
        <f>IF(Tbl_Long_Section[[#This Row],[Nline Prev]]&lt;COUNT(Tbl_Long_Definition[X]),Tbl_Long_Section[[#This Row],[Nline Prev]]+1,Tbl_Long_Section[[#This Row],[Nline Prev]])</f>
        <v>3</v>
      </c>
      <c r="O33" s="162">
        <f>INDEX(Tbl_Long_Definition[X],Tbl_Long_Section[[#This Row],[Nline Prev]])</f>
        <v>5</v>
      </c>
      <c r="P33" s="159">
        <f>INDEX(Tbl_Long_Definition[X],Tbl_Long_Section[[#This Row],[Nline Next]])</f>
        <v>55</v>
      </c>
      <c r="Q33" s="160">
        <f>INDEX(Tbl_Long_Definition[H Deck-Bott.],Tbl_Long_Section[[#This Row],[Nline Prev]])</f>
        <v>4</v>
      </c>
      <c r="R33" s="161">
        <f>INDEX(Tbl_Long_Definition[H Deck-Bott.],Tbl_Long_Section[[#This Row],[Nline Next]])</f>
        <v>4</v>
      </c>
      <c r="S33"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33" s="8"/>
      <c r="V33" s="873">
        <f t="shared" si="3"/>
        <v>2.7000000000000011</v>
      </c>
      <c r="W33" s="885">
        <f>MATCH(Tbl_Long_Hydro[[#This Row],[Draught]],Tbl_Long_Definition[H k-bott],-1)</f>
        <v>1</v>
      </c>
      <c r="X33" s="885">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2</v>
      </c>
      <c r="Y33" s="886">
        <f>MATCH(Tbl_Long_Hydro[[#This Row],[Draught]],Tbl_Long_Definition[H k-bott],1)</f>
        <v>3</v>
      </c>
      <c r="Z33"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33" s="888">
        <f>IF(ISNA(Tbl_Long_Hydro[[#This Row],[Draught]]),NA(),IFERROR(INDEX(Tbl_Long_Definition[X],Tbl_Long_Hydro[[#This Row],[Aft Nline prev]]),0))</f>
        <v>0</v>
      </c>
      <c r="AB33" s="889">
        <f>IF(ISNA(Tbl_Long_Hydro[[#This Row],[Draught]]),NA(),IFERROR(INDEX(Tbl_Long_Definition[X],Tbl_Long_Hydro[[#This Row],[Aft Nline next]]),0))</f>
        <v>5</v>
      </c>
      <c r="AC33" s="889">
        <f>IF(ISNA(Tbl_Long_Hydro[[#This Row],[Draught]]),NA(),INDEX(Tbl_Long_Definition[H k-bott],Tbl_Long_Hydro[[#This Row],[Aft Nline prev]]))</f>
        <v>2.8</v>
      </c>
      <c r="AD33" s="889">
        <f>IF(ISNA(Tbl_Long_Hydro[[#This Row],[Draught]]),NA(),INDEX(Tbl_Long_Definition[H k-bott],Tbl_Long_Hydro[[#This Row],[Aft Nline next]]))</f>
        <v>0</v>
      </c>
      <c r="AE33" s="888">
        <f>IF(ISNA(Tbl_Long_Hydro[[#This Row],[Draught]]),NA(),IFERROR(INDEX(Tbl_Long_Definition[X],Tbl_Long_Hydro[[#This Row],[Fore Nline prev]]),0))</f>
        <v>55</v>
      </c>
      <c r="AF33" s="889">
        <f>IF(ISNA(Tbl_Long_Hydro[[#This Row],[Draught]]),NA(),IFERROR(INDEX(Tbl_Long_Definition[X],Tbl_Long_Hydro[[#This Row],[Fore Nline next]]),0))</f>
        <v>60</v>
      </c>
      <c r="AG33" s="889">
        <f>IF(ISNA(Tbl_Long_Hydro[[#This Row],[Draught]]),NA(),INDEX(Tbl_Long_Definition[H k-bott],Tbl_Long_Hydro[[#This Row],[Fore Nline prev]]))</f>
        <v>0</v>
      </c>
      <c r="AH33" s="890">
        <f>IF(ISNA(Tbl_Long_Hydro[[#This Row],[Draught]]),NA(),INDEX(Tbl_Long_Definition[H k-bott],Tbl_Long_Hydro[[#This Row],[Fore Nline next]]))</f>
        <v>2.8</v>
      </c>
      <c r="AI33"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0.17857142857142638</v>
      </c>
      <c r="AJ33"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59.821428571428569</v>
      </c>
      <c r="AK33" s="894">
        <f>Tbl_Long_Hydro[[#This Row],[Fore X]]-Tbl_Long_Hydro[[#This Row],[Aft X]]</f>
        <v>59.642857142857146</v>
      </c>
      <c r="AL33" s="884">
        <f>Tbl_Long_Hydro[[#This Row],[LX]]*B</f>
        <v>1192.8571428571429</v>
      </c>
      <c r="AM33" s="892">
        <f>IF(ISNUMBER(AM32),(AK32+Tbl_Long_Hydro[[#This Row],[LX]])*(Tbl_Long_Hydro[[#This Row],[Draught]]-V32)/2*B,(Tbl_Long_Hydro[[#This Row],[LX]])*Tbl_Long_Hydro[[#This Row],[Draught]]*B)</f>
        <v>118.92857142857154</v>
      </c>
      <c r="AN33" s="899">
        <f>Tbl_Long_Hydro[[#This Row],[Aft X]]+Tbl_Long_Hydro[[#This Row],[LX]]/2</f>
        <v>30</v>
      </c>
      <c r="AO33" s="876">
        <f>IF(ISNUMBER(AO32),(2*Tbl_Long_Hydro[[#This Row],[LX]]+AK32)/(Tbl_Long_Hydro[[#This Row],[LX]]+AK32)*(Tbl_Long_Hydro[[#This Row],[Draught]]-V32)/3+V32,Tbl_Long_Hydro[[#This Row],[Draught]]/2)</f>
        <v>2.650050050050051</v>
      </c>
      <c r="AP33" s="898">
        <f>IF(ISNUMBER(AP32),Tbl_Long_Hydro[[#This Row],[Volume elt]]+AP32,Tbl_Long_Hydro[[#This Row],[Volume elt]]*AO$4)</f>
        <v>2960.3571428571445</v>
      </c>
      <c r="AQ33" s="893">
        <f>IF(ISNUMBER(AQ32),Tbl_Long_Hydro[[#This Row],[Displacement]]*AQ$4,IF(ISNA(AQ32),NA(),0))</f>
        <v>3034.3660714285729</v>
      </c>
      <c r="AR33" s="900">
        <f>IF(ISNA(Tbl_Long_Hydro[[#This Row],[Draught]]),NA(),IFERROR(Tbl_Long_Hydro[[#This Row],[LX]]*B^3/12/Tbl_Long_Hydro[[#This Row],[Displacement]],0))</f>
        <v>13.431455342421676</v>
      </c>
      <c r="AS33" s="903">
        <f>IF(ISNA(Tbl_Long_Hydro[[#This Row],[Draught]]),NA(),IFERROR((B*Tbl_Long_Hydro[[#This Row],[LX]]^3/12+(Tbl_Long_Hydro[[#This Row],[LCF]]-Tbl_Long_Hydro[[#This Row],[LCB]])*Tbl_Long_Hydro[[#This Row],[Waterplane area]]*Tbl_Long_Hydro[[#This Row],[LCF]]^2)/Tbl_Long_Hydro[[#This Row],[Displacement]],0))</f>
        <v>119.44829657040889</v>
      </c>
      <c r="AT33" s="900">
        <f>Tbl_Long_Hydro[[#This Row],[Aft X]]+Tbl_Long_Hydro[[#This Row],[LX]]/2</f>
        <v>30</v>
      </c>
      <c r="AU33" s="901">
        <f>IF(ISNUMBER(AU32),(AU32*AP32+Tbl_Long_Hydro[[#This Row],[X CoG elt]]*Tbl_Long_Hydro[[#This Row],[Volume elt]])/Tbl_Long_Hydro[[#This Row],[Displacement]],Tbl_Long_Hydro[[#This Row],[X CoG elt]])</f>
        <v>29.999999999999996</v>
      </c>
      <c r="AV33" s="902">
        <f>IF(ISNA(Tbl_Long_Hydro[[#This Row],[Draught]]),NA(),0)</f>
        <v>0</v>
      </c>
      <c r="AW33" s="876">
        <f>IF(ISNUMBER(AW32),(AW32*AP32+Tbl_Long_Hydro[[#This Row],[Z CoG elt]]*Tbl_Long_Hydro[[#This Row],[Volume elt]])/Tbl_Long_Hydro[[#This Row],[Displacement]],Tbl_Long_Hydro[[#This Row],[Z CoG elt]])</f>
        <v>1.3895765472312704</v>
      </c>
      <c r="AX33" s="899">
        <f>Tbl_Long_Hydro[[#This Row],[RMT]]+Tbl_Long_Hydro[[#This Row],[VCB]]</f>
        <v>14.821031889652946</v>
      </c>
      <c r="AY33" s="904">
        <f>Tbl_Long_Hydro[[#This Row],[Displacement]]*Tbl_Long_Hydro[[#This Row],[RML]]/(100*Lpp)</f>
        <v>58.934936325721416</v>
      </c>
      <c r="AZ33" s="956">
        <f>Tbl_Long_Hydro[[#This Row],[Draught]]</f>
        <v>2.7000000000000011</v>
      </c>
      <c r="BA33" s="959">
        <f>Tbl_Long_Hydro[[#This Row],[Displacement]]</f>
        <v>2960.3571428571445</v>
      </c>
      <c r="BB33" s="960">
        <f>Tbl_Long_Hydro[[#This Row],[Displac. SW]]</f>
        <v>3034.3660714285729</v>
      </c>
      <c r="BC33" s="964">
        <f>Tbl_Long_Hydro[[#This Row],[Waterplane area]]/100*$AQ$4</f>
        <v>12.226785714285713</v>
      </c>
      <c r="BD33" s="961">
        <f>Tbl_Long_Hydro[[#This Row],[MCT]]</f>
        <v>58.934936325721416</v>
      </c>
      <c r="BE33" s="962">
        <f>Tbl_Long_Hydro[[#This Row],[LCB]]</f>
        <v>29.999999999999996</v>
      </c>
      <c r="BF33" s="962">
        <f>Tbl_Long_Hydro[[#This Row],[TCB]]</f>
        <v>0</v>
      </c>
      <c r="BG33" s="962">
        <f>Tbl_Long_Hydro[[#This Row],[LCF]]</f>
        <v>30</v>
      </c>
      <c r="BH33" s="963">
        <f>Tbl_Long_Hydro[[#This Row],[KMT]]</f>
        <v>14.821031889652946</v>
      </c>
    </row>
    <row r="34" spans="11:60" x14ac:dyDescent="0.25">
      <c r="K34" s="156">
        <f t="shared" si="1"/>
        <v>28</v>
      </c>
      <c r="L34" s="164">
        <f t="shared" si="2"/>
        <v>14</v>
      </c>
      <c r="M34" s="163">
        <f>MATCH(Tbl_Long_Section[[#This Row],[X]],Tbl_Long_Definition[X],1)</f>
        <v>2</v>
      </c>
      <c r="N34" s="157">
        <f>IF(Tbl_Long_Section[[#This Row],[Nline Prev]]&lt;COUNT(Tbl_Long_Definition[X]),Tbl_Long_Section[[#This Row],[Nline Prev]]+1,Tbl_Long_Section[[#This Row],[Nline Prev]])</f>
        <v>3</v>
      </c>
      <c r="O34" s="162">
        <f>INDEX(Tbl_Long_Definition[X],Tbl_Long_Section[[#This Row],[Nline Prev]])</f>
        <v>5</v>
      </c>
      <c r="P34" s="159">
        <f>INDEX(Tbl_Long_Definition[X],Tbl_Long_Section[[#This Row],[Nline Next]])</f>
        <v>55</v>
      </c>
      <c r="Q34" s="160">
        <f>INDEX(Tbl_Long_Definition[H Deck-Bott.],Tbl_Long_Section[[#This Row],[Nline Prev]])</f>
        <v>4</v>
      </c>
      <c r="R34" s="161">
        <f>INDEX(Tbl_Long_Definition[H Deck-Bott.],Tbl_Long_Section[[#This Row],[Nline Next]])</f>
        <v>4</v>
      </c>
      <c r="S34"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34" s="8"/>
      <c r="V34" s="873">
        <f t="shared" si="3"/>
        <v>2.8000000000000012</v>
      </c>
      <c r="W34" s="885" t="e">
        <f>MATCH(Tbl_Long_Hydro[[#This Row],[Draught]],Tbl_Long_Definition[H k-bott],-1)</f>
        <v>#N/A</v>
      </c>
      <c r="X34"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34" s="886">
        <f>MATCH(Tbl_Long_Hydro[[#This Row],[Draught]],Tbl_Long_Definition[H k-bott],1)</f>
        <v>4</v>
      </c>
      <c r="Z34"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34" s="888">
        <f>IF(ISNA(Tbl_Long_Hydro[[#This Row],[Draught]]),NA(),IFERROR(INDEX(Tbl_Long_Definition[X],Tbl_Long_Hydro[[#This Row],[Aft Nline prev]]),0))</f>
        <v>0</v>
      </c>
      <c r="AB34" s="889">
        <f>IF(ISNA(Tbl_Long_Hydro[[#This Row],[Draught]]),NA(),IFERROR(INDEX(Tbl_Long_Definition[X],Tbl_Long_Hydro[[#This Row],[Aft Nline next]]),0))</f>
        <v>0</v>
      </c>
      <c r="AC34" s="889" t="e">
        <f>IF(ISNA(Tbl_Long_Hydro[[#This Row],[Draught]]),NA(),INDEX(Tbl_Long_Definition[H k-bott],Tbl_Long_Hydro[[#This Row],[Aft Nline prev]]))</f>
        <v>#N/A</v>
      </c>
      <c r="AD34" s="889" t="e">
        <f>IF(ISNA(Tbl_Long_Hydro[[#This Row],[Draught]]),NA(),INDEX(Tbl_Long_Definition[H k-bott],Tbl_Long_Hydro[[#This Row],[Aft Nline next]]))</f>
        <v>#N/A</v>
      </c>
      <c r="AE34" s="888">
        <f>IF(ISNA(Tbl_Long_Hydro[[#This Row],[Draught]]),NA(),IFERROR(INDEX(Tbl_Long_Definition[X],Tbl_Long_Hydro[[#This Row],[Fore Nline prev]]),0))</f>
        <v>60</v>
      </c>
      <c r="AF34" s="889">
        <f>IF(ISNA(Tbl_Long_Hydro[[#This Row],[Draught]]),NA(),IFERROR(INDEX(Tbl_Long_Definition[X],Tbl_Long_Hydro[[#This Row],[Fore Nline next]]),0))</f>
        <v>60</v>
      </c>
      <c r="AG34" s="889">
        <f>IF(ISNA(Tbl_Long_Hydro[[#This Row],[Draught]]),NA(),INDEX(Tbl_Long_Definition[H k-bott],Tbl_Long_Hydro[[#This Row],[Fore Nline prev]]))</f>
        <v>2.8</v>
      </c>
      <c r="AH34" s="890">
        <f>IF(ISNA(Tbl_Long_Hydro[[#This Row],[Draught]]),NA(),INDEX(Tbl_Long_Definition[H k-bott],Tbl_Long_Hydro[[#This Row],[Fore Nline next]]))</f>
        <v>2.8</v>
      </c>
      <c r="AI34"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0</v>
      </c>
      <c r="AJ34"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60</v>
      </c>
      <c r="AK34" s="894">
        <f>Tbl_Long_Hydro[[#This Row],[Fore X]]-Tbl_Long_Hydro[[#This Row],[Aft X]]</f>
        <v>60</v>
      </c>
      <c r="AL34" s="884">
        <f>Tbl_Long_Hydro[[#This Row],[LX]]*B</f>
        <v>1200</v>
      </c>
      <c r="AM34" s="892">
        <f>IF(ISNUMBER(AM33),(AK33+Tbl_Long_Hydro[[#This Row],[LX]])*(Tbl_Long_Hydro[[#This Row],[Draught]]-V33)/2*B,(Tbl_Long_Hydro[[#This Row],[LX]])*Tbl_Long_Hydro[[#This Row],[Draught]]*B)</f>
        <v>119.64285714285724</v>
      </c>
      <c r="AN34" s="899">
        <f>Tbl_Long_Hydro[[#This Row],[Aft X]]+Tbl_Long_Hydro[[#This Row],[LX]]/2</f>
        <v>30</v>
      </c>
      <c r="AO34" s="876">
        <f>IF(ISNUMBER(AO33),(2*Tbl_Long_Hydro[[#This Row],[LX]]+AK33)/(Tbl_Long_Hydro[[#This Row],[LX]]+AK33)*(Tbl_Long_Hydro[[#This Row],[Draught]]-V33)/3+V33,Tbl_Long_Hydro[[#This Row],[Draught]]/2)</f>
        <v>2.750049751243782</v>
      </c>
      <c r="AP34" s="898">
        <f>IF(ISNUMBER(AP33),Tbl_Long_Hydro[[#This Row],[Volume elt]]+AP33,Tbl_Long_Hydro[[#This Row],[Volume elt]]*AO$4)</f>
        <v>3080.0000000000018</v>
      </c>
      <c r="AQ34" s="893">
        <f>IF(ISNUMBER(AQ33),Tbl_Long_Hydro[[#This Row],[Displacement]]*AQ$4,IF(ISNA(AQ33),NA(),0))</f>
        <v>3157.0000000000014</v>
      </c>
      <c r="AR34" s="900">
        <f>IF(ISNA(Tbl_Long_Hydro[[#This Row],[Draught]]),NA(),IFERROR(Tbl_Long_Hydro[[#This Row],[LX]]*B^3/12/Tbl_Long_Hydro[[#This Row],[Displacement]],0))</f>
        <v>12.98701298701298</v>
      </c>
      <c r="AS34" s="903">
        <f>IF(ISNA(Tbl_Long_Hydro[[#This Row],[Draught]]),NA(),IFERROR((B*Tbl_Long_Hydro[[#This Row],[LX]]^3/12+(Tbl_Long_Hydro[[#This Row],[LCF]]-Tbl_Long_Hydro[[#This Row],[LCB]])*Tbl_Long_Hydro[[#This Row],[Waterplane area]]*Tbl_Long_Hydro[[#This Row],[LCF]]^2)/Tbl_Long_Hydro[[#This Row],[Displacement]],0))</f>
        <v>116.88311688311931</v>
      </c>
      <c r="AT34" s="900">
        <f>Tbl_Long_Hydro[[#This Row],[Aft X]]+Tbl_Long_Hydro[[#This Row],[LX]]/2</f>
        <v>30</v>
      </c>
      <c r="AU34" s="901">
        <f>IF(ISNUMBER(AU33),(AU33*AP33+Tbl_Long_Hydro[[#This Row],[X CoG elt]]*Tbl_Long_Hydro[[#This Row],[Volume elt]])/Tbl_Long_Hydro[[#This Row],[Displacement]],Tbl_Long_Hydro[[#This Row],[X CoG elt]])</f>
        <v>29.999999999999993</v>
      </c>
      <c r="AV34" s="902">
        <f>IF(ISNA(Tbl_Long_Hydro[[#This Row],[Draught]]),NA(),0)</f>
        <v>0</v>
      </c>
      <c r="AW34" s="876">
        <f>IF(ISNUMBER(AW33),(AW33*AP33+Tbl_Long_Hydro[[#This Row],[Z CoG elt]]*Tbl_Long_Hydro[[#This Row],[Volume elt]])/Tbl_Long_Hydro[[#This Row],[Displacement]],Tbl_Long_Hydro[[#This Row],[Z CoG elt]])</f>
        <v>1.4424242424242426</v>
      </c>
      <c r="AX34" s="899">
        <f>Tbl_Long_Hydro[[#This Row],[RMT]]+Tbl_Long_Hydro[[#This Row],[VCB]]</f>
        <v>14.429437229437223</v>
      </c>
      <c r="AY34" s="904">
        <f>Tbl_Long_Hydro[[#This Row],[Displacement]]*Tbl_Long_Hydro[[#This Row],[RML]]/(100*Lpp)</f>
        <v>60.000000000001279</v>
      </c>
      <c r="AZ34" s="956">
        <f>Tbl_Long_Hydro[[#This Row],[Draught]]</f>
        <v>2.8000000000000012</v>
      </c>
      <c r="BA34" s="959">
        <f>Tbl_Long_Hydro[[#This Row],[Displacement]]</f>
        <v>3080.0000000000018</v>
      </c>
      <c r="BB34" s="960">
        <f>Tbl_Long_Hydro[[#This Row],[Displac. SW]]</f>
        <v>3157.0000000000014</v>
      </c>
      <c r="BC34" s="964">
        <f>Tbl_Long_Hydro[[#This Row],[Waterplane area]]/100*$AQ$4</f>
        <v>12.299999999999999</v>
      </c>
      <c r="BD34" s="961">
        <f>Tbl_Long_Hydro[[#This Row],[MCT]]</f>
        <v>60.000000000001279</v>
      </c>
      <c r="BE34" s="962">
        <f>Tbl_Long_Hydro[[#This Row],[LCB]]</f>
        <v>29.999999999999993</v>
      </c>
      <c r="BF34" s="962">
        <f>Tbl_Long_Hydro[[#This Row],[TCB]]</f>
        <v>0</v>
      </c>
      <c r="BG34" s="962">
        <f>Tbl_Long_Hydro[[#This Row],[LCF]]</f>
        <v>30</v>
      </c>
      <c r="BH34" s="963">
        <f>Tbl_Long_Hydro[[#This Row],[KMT]]</f>
        <v>14.429437229437223</v>
      </c>
    </row>
    <row r="35" spans="11:60" x14ac:dyDescent="0.25">
      <c r="K35" s="156">
        <f t="shared" si="1"/>
        <v>29</v>
      </c>
      <c r="L35" s="164">
        <f t="shared" si="2"/>
        <v>14.5</v>
      </c>
      <c r="M35" s="163">
        <f>MATCH(Tbl_Long_Section[[#This Row],[X]],Tbl_Long_Definition[X],1)</f>
        <v>2</v>
      </c>
      <c r="N35" s="157">
        <f>IF(Tbl_Long_Section[[#This Row],[Nline Prev]]&lt;COUNT(Tbl_Long_Definition[X]),Tbl_Long_Section[[#This Row],[Nline Prev]]+1,Tbl_Long_Section[[#This Row],[Nline Prev]])</f>
        <v>3</v>
      </c>
      <c r="O35" s="162">
        <f>INDEX(Tbl_Long_Definition[X],Tbl_Long_Section[[#This Row],[Nline Prev]])</f>
        <v>5</v>
      </c>
      <c r="P35" s="159">
        <f>INDEX(Tbl_Long_Definition[X],Tbl_Long_Section[[#This Row],[Nline Next]])</f>
        <v>55</v>
      </c>
      <c r="Q35" s="160">
        <f>INDEX(Tbl_Long_Definition[H Deck-Bott.],Tbl_Long_Section[[#This Row],[Nline Prev]])</f>
        <v>4</v>
      </c>
      <c r="R35" s="161">
        <f>INDEX(Tbl_Long_Definition[H Deck-Bott.],Tbl_Long_Section[[#This Row],[Nline Next]])</f>
        <v>4</v>
      </c>
      <c r="S35"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35" s="8"/>
      <c r="V35" s="873">
        <f t="shared" si="3"/>
        <v>2.9000000000000012</v>
      </c>
      <c r="W35" s="885" t="e">
        <f>MATCH(Tbl_Long_Hydro[[#This Row],[Draught]],Tbl_Long_Definition[H k-bott],-1)</f>
        <v>#N/A</v>
      </c>
      <c r="X35"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35" s="886">
        <f>MATCH(Tbl_Long_Hydro[[#This Row],[Draught]],Tbl_Long_Definition[H k-bott],1)</f>
        <v>4</v>
      </c>
      <c r="Z35"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35" s="888">
        <f>IF(ISNA(Tbl_Long_Hydro[[#This Row],[Draught]]),NA(),IFERROR(INDEX(Tbl_Long_Definition[X],Tbl_Long_Hydro[[#This Row],[Aft Nline prev]]),0))</f>
        <v>0</v>
      </c>
      <c r="AB35" s="889">
        <f>IF(ISNA(Tbl_Long_Hydro[[#This Row],[Draught]]),NA(),IFERROR(INDEX(Tbl_Long_Definition[X],Tbl_Long_Hydro[[#This Row],[Aft Nline next]]),0))</f>
        <v>0</v>
      </c>
      <c r="AC35" s="889" t="e">
        <f>IF(ISNA(Tbl_Long_Hydro[[#This Row],[Draught]]),NA(),INDEX(Tbl_Long_Definition[H k-bott],Tbl_Long_Hydro[[#This Row],[Aft Nline prev]]))</f>
        <v>#N/A</v>
      </c>
      <c r="AD35" s="889" t="e">
        <f>IF(ISNA(Tbl_Long_Hydro[[#This Row],[Draught]]),NA(),INDEX(Tbl_Long_Definition[H k-bott],Tbl_Long_Hydro[[#This Row],[Aft Nline next]]))</f>
        <v>#N/A</v>
      </c>
      <c r="AE35" s="888">
        <f>IF(ISNA(Tbl_Long_Hydro[[#This Row],[Draught]]),NA(),IFERROR(INDEX(Tbl_Long_Definition[X],Tbl_Long_Hydro[[#This Row],[Fore Nline prev]]),0))</f>
        <v>60</v>
      </c>
      <c r="AF35" s="889">
        <f>IF(ISNA(Tbl_Long_Hydro[[#This Row],[Draught]]),NA(),IFERROR(INDEX(Tbl_Long_Definition[X],Tbl_Long_Hydro[[#This Row],[Fore Nline next]]),0))</f>
        <v>60</v>
      </c>
      <c r="AG35" s="889">
        <f>IF(ISNA(Tbl_Long_Hydro[[#This Row],[Draught]]),NA(),INDEX(Tbl_Long_Definition[H k-bott],Tbl_Long_Hydro[[#This Row],[Fore Nline prev]]))</f>
        <v>2.8</v>
      </c>
      <c r="AH35" s="890">
        <f>IF(ISNA(Tbl_Long_Hydro[[#This Row],[Draught]]),NA(),INDEX(Tbl_Long_Definition[H k-bott],Tbl_Long_Hydro[[#This Row],[Fore Nline next]]))</f>
        <v>2.8</v>
      </c>
      <c r="AI35"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0</v>
      </c>
      <c r="AJ35"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60</v>
      </c>
      <c r="AK35" s="894">
        <f>Tbl_Long_Hydro[[#This Row],[Fore X]]-Tbl_Long_Hydro[[#This Row],[Aft X]]</f>
        <v>60</v>
      </c>
      <c r="AL35" s="884">
        <f>Tbl_Long_Hydro[[#This Row],[LX]]*B</f>
        <v>1200</v>
      </c>
      <c r="AM35" s="892">
        <f>IF(ISNUMBER(AM34),(AK34+Tbl_Long_Hydro[[#This Row],[LX]])*(Tbl_Long_Hydro[[#This Row],[Draught]]-V34)/2*B,(Tbl_Long_Hydro[[#This Row],[LX]])*Tbl_Long_Hydro[[#This Row],[Draught]]*B)</f>
        <v>120.00000000000011</v>
      </c>
      <c r="AN35" s="899">
        <f>Tbl_Long_Hydro[[#This Row],[Aft X]]+Tbl_Long_Hydro[[#This Row],[LX]]/2</f>
        <v>30</v>
      </c>
      <c r="AO35" s="876">
        <f>IF(ISNUMBER(AO34),(2*Tbl_Long_Hydro[[#This Row],[LX]]+AK34)/(Tbl_Long_Hydro[[#This Row],[LX]]+AK34)*(Tbl_Long_Hydro[[#This Row],[Draught]]-V34)/3+V34,Tbl_Long_Hydro[[#This Row],[Draught]]/2)</f>
        <v>2.8500000000000014</v>
      </c>
      <c r="AP35" s="898">
        <f>IF(ISNUMBER(AP34),Tbl_Long_Hydro[[#This Row],[Volume elt]]+AP34,Tbl_Long_Hydro[[#This Row],[Volume elt]]*AO$4)</f>
        <v>3200.0000000000018</v>
      </c>
      <c r="AQ35" s="893">
        <f>IF(ISNUMBER(AQ34),Tbl_Long_Hydro[[#This Row],[Displacement]]*AQ$4,IF(ISNA(AQ34),NA(),0))</f>
        <v>3280.0000000000014</v>
      </c>
      <c r="AR35" s="900">
        <f>IF(ISNA(Tbl_Long_Hydro[[#This Row],[Draught]]),NA(),IFERROR(Tbl_Long_Hydro[[#This Row],[LX]]*B^3/12/Tbl_Long_Hydro[[#This Row],[Displacement]],0))</f>
        <v>12.499999999999993</v>
      </c>
      <c r="AS35" s="903">
        <f>IF(ISNA(Tbl_Long_Hydro[[#This Row],[Draught]]),NA(),IFERROR((B*Tbl_Long_Hydro[[#This Row],[LX]]^3/12+(Tbl_Long_Hydro[[#This Row],[LCF]]-Tbl_Long_Hydro[[#This Row],[LCB]])*Tbl_Long_Hydro[[#This Row],[Waterplane area]]*Tbl_Long_Hydro[[#This Row],[LCF]]^2)/Tbl_Long_Hydro[[#This Row],[Displacement]],0))</f>
        <v>112.50000000000233</v>
      </c>
      <c r="AT35" s="900">
        <f>Tbl_Long_Hydro[[#This Row],[Aft X]]+Tbl_Long_Hydro[[#This Row],[LX]]/2</f>
        <v>30</v>
      </c>
      <c r="AU35" s="901">
        <f>IF(ISNUMBER(AU34),(AU34*AP34+Tbl_Long_Hydro[[#This Row],[X CoG elt]]*Tbl_Long_Hydro[[#This Row],[Volume elt]])/Tbl_Long_Hydro[[#This Row],[Displacement]],Tbl_Long_Hydro[[#This Row],[X CoG elt]])</f>
        <v>29.999999999999993</v>
      </c>
      <c r="AV35" s="902">
        <f>IF(ISNA(Tbl_Long_Hydro[[#This Row],[Draught]]),NA(),0)</f>
        <v>0</v>
      </c>
      <c r="AW35" s="876">
        <f>IF(ISNUMBER(AW34),(AW34*AP34+Tbl_Long_Hydro[[#This Row],[Z CoG elt]]*Tbl_Long_Hydro[[#This Row],[Volume elt]])/Tbl_Long_Hydro[[#This Row],[Displacement]],Tbl_Long_Hydro[[#This Row],[Z CoG elt]])</f>
        <v>1.4952083333333337</v>
      </c>
      <c r="AX35" s="899">
        <f>Tbl_Long_Hydro[[#This Row],[RMT]]+Tbl_Long_Hydro[[#This Row],[VCB]]</f>
        <v>13.995208333333327</v>
      </c>
      <c r="AY35" s="904">
        <f>Tbl_Long_Hydro[[#This Row],[Displacement]]*Tbl_Long_Hydro[[#This Row],[RML]]/(100*Lpp)</f>
        <v>60.000000000001279</v>
      </c>
      <c r="AZ35" s="956">
        <f>Tbl_Long_Hydro[[#This Row],[Draught]]</f>
        <v>2.9000000000000012</v>
      </c>
      <c r="BA35" s="959">
        <f>Tbl_Long_Hydro[[#This Row],[Displacement]]</f>
        <v>3200.0000000000018</v>
      </c>
      <c r="BB35" s="960">
        <f>Tbl_Long_Hydro[[#This Row],[Displac. SW]]</f>
        <v>3280.0000000000014</v>
      </c>
      <c r="BC35" s="964">
        <f>Tbl_Long_Hydro[[#This Row],[Waterplane area]]/100*$AQ$4</f>
        <v>12.299999999999999</v>
      </c>
      <c r="BD35" s="961">
        <f>Tbl_Long_Hydro[[#This Row],[MCT]]</f>
        <v>60.000000000001279</v>
      </c>
      <c r="BE35" s="962">
        <f>Tbl_Long_Hydro[[#This Row],[LCB]]</f>
        <v>29.999999999999993</v>
      </c>
      <c r="BF35" s="962">
        <f>Tbl_Long_Hydro[[#This Row],[TCB]]</f>
        <v>0</v>
      </c>
      <c r="BG35" s="962">
        <f>Tbl_Long_Hydro[[#This Row],[LCF]]</f>
        <v>30</v>
      </c>
      <c r="BH35" s="963">
        <f>Tbl_Long_Hydro[[#This Row],[KMT]]</f>
        <v>13.995208333333327</v>
      </c>
    </row>
    <row r="36" spans="11:60" x14ac:dyDescent="0.25">
      <c r="K36" s="156">
        <f t="shared" si="1"/>
        <v>30</v>
      </c>
      <c r="L36" s="164">
        <f t="shared" si="2"/>
        <v>15</v>
      </c>
      <c r="M36" s="163">
        <f>MATCH(Tbl_Long_Section[[#This Row],[X]],Tbl_Long_Definition[X],1)</f>
        <v>2</v>
      </c>
      <c r="N36" s="157">
        <f>IF(Tbl_Long_Section[[#This Row],[Nline Prev]]&lt;COUNT(Tbl_Long_Definition[X]),Tbl_Long_Section[[#This Row],[Nline Prev]]+1,Tbl_Long_Section[[#This Row],[Nline Prev]])</f>
        <v>3</v>
      </c>
      <c r="O36" s="162">
        <f>INDEX(Tbl_Long_Definition[X],Tbl_Long_Section[[#This Row],[Nline Prev]])</f>
        <v>5</v>
      </c>
      <c r="P36" s="159">
        <f>INDEX(Tbl_Long_Definition[X],Tbl_Long_Section[[#This Row],[Nline Next]])</f>
        <v>55</v>
      </c>
      <c r="Q36" s="160">
        <f>INDEX(Tbl_Long_Definition[H Deck-Bott.],Tbl_Long_Section[[#This Row],[Nline Prev]])</f>
        <v>4</v>
      </c>
      <c r="R36" s="161">
        <f>INDEX(Tbl_Long_Definition[H Deck-Bott.],Tbl_Long_Section[[#This Row],[Nline Next]])</f>
        <v>4</v>
      </c>
      <c r="S36"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36" s="8"/>
      <c r="V36" s="873">
        <f t="shared" si="3"/>
        <v>3.0000000000000013</v>
      </c>
      <c r="W36" s="885" t="e">
        <f>MATCH(Tbl_Long_Hydro[[#This Row],[Draught]],Tbl_Long_Definition[H k-bott],-1)</f>
        <v>#N/A</v>
      </c>
      <c r="X36"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36" s="886">
        <f>MATCH(Tbl_Long_Hydro[[#This Row],[Draught]],Tbl_Long_Definition[H k-bott],1)</f>
        <v>4</v>
      </c>
      <c r="Z36"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36" s="888">
        <f>IF(ISNA(Tbl_Long_Hydro[[#This Row],[Draught]]),NA(),IFERROR(INDEX(Tbl_Long_Definition[X],Tbl_Long_Hydro[[#This Row],[Aft Nline prev]]),0))</f>
        <v>0</v>
      </c>
      <c r="AB36" s="889">
        <f>IF(ISNA(Tbl_Long_Hydro[[#This Row],[Draught]]),NA(),IFERROR(INDEX(Tbl_Long_Definition[X],Tbl_Long_Hydro[[#This Row],[Aft Nline next]]),0))</f>
        <v>0</v>
      </c>
      <c r="AC36" s="889" t="e">
        <f>IF(ISNA(Tbl_Long_Hydro[[#This Row],[Draught]]),NA(),INDEX(Tbl_Long_Definition[H k-bott],Tbl_Long_Hydro[[#This Row],[Aft Nline prev]]))</f>
        <v>#N/A</v>
      </c>
      <c r="AD36" s="889" t="e">
        <f>IF(ISNA(Tbl_Long_Hydro[[#This Row],[Draught]]),NA(),INDEX(Tbl_Long_Definition[H k-bott],Tbl_Long_Hydro[[#This Row],[Aft Nline next]]))</f>
        <v>#N/A</v>
      </c>
      <c r="AE36" s="888">
        <f>IF(ISNA(Tbl_Long_Hydro[[#This Row],[Draught]]),NA(),IFERROR(INDEX(Tbl_Long_Definition[X],Tbl_Long_Hydro[[#This Row],[Fore Nline prev]]),0))</f>
        <v>60</v>
      </c>
      <c r="AF36" s="889">
        <f>IF(ISNA(Tbl_Long_Hydro[[#This Row],[Draught]]),NA(),IFERROR(INDEX(Tbl_Long_Definition[X],Tbl_Long_Hydro[[#This Row],[Fore Nline next]]),0))</f>
        <v>60</v>
      </c>
      <c r="AG36" s="889">
        <f>IF(ISNA(Tbl_Long_Hydro[[#This Row],[Draught]]),NA(),INDEX(Tbl_Long_Definition[H k-bott],Tbl_Long_Hydro[[#This Row],[Fore Nline prev]]))</f>
        <v>2.8</v>
      </c>
      <c r="AH36" s="890">
        <f>IF(ISNA(Tbl_Long_Hydro[[#This Row],[Draught]]),NA(),INDEX(Tbl_Long_Definition[H k-bott],Tbl_Long_Hydro[[#This Row],[Fore Nline next]]))</f>
        <v>2.8</v>
      </c>
      <c r="AI36"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0</v>
      </c>
      <c r="AJ36"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60</v>
      </c>
      <c r="AK36" s="894">
        <f>Tbl_Long_Hydro[[#This Row],[Fore X]]-Tbl_Long_Hydro[[#This Row],[Aft X]]</f>
        <v>60</v>
      </c>
      <c r="AL36" s="884">
        <f>Tbl_Long_Hydro[[#This Row],[LX]]*B</f>
        <v>1200</v>
      </c>
      <c r="AM36" s="892">
        <f>IF(ISNUMBER(AM35),(AK35+Tbl_Long_Hydro[[#This Row],[LX]])*(Tbl_Long_Hydro[[#This Row],[Draught]]-V35)/2*B,(Tbl_Long_Hydro[[#This Row],[LX]])*Tbl_Long_Hydro[[#This Row],[Draught]]*B)</f>
        <v>120.00000000000011</v>
      </c>
      <c r="AN36" s="899">
        <f>Tbl_Long_Hydro[[#This Row],[Aft X]]+Tbl_Long_Hydro[[#This Row],[LX]]/2</f>
        <v>30</v>
      </c>
      <c r="AO36" s="876">
        <f>IF(ISNUMBER(AO35),(2*Tbl_Long_Hydro[[#This Row],[LX]]+AK35)/(Tbl_Long_Hydro[[#This Row],[LX]]+AK35)*(Tbl_Long_Hydro[[#This Row],[Draught]]-V35)/3+V35,Tbl_Long_Hydro[[#This Row],[Draught]]/2)</f>
        <v>2.9500000000000011</v>
      </c>
      <c r="AP36" s="898">
        <f>IF(ISNUMBER(AP35),Tbl_Long_Hydro[[#This Row],[Volume elt]]+AP35,Tbl_Long_Hydro[[#This Row],[Volume elt]]*AO$4)</f>
        <v>3320.0000000000018</v>
      </c>
      <c r="AQ36" s="893">
        <f>IF(ISNUMBER(AQ35),Tbl_Long_Hydro[[#This Row],[Displacement]]*AQ$4,IF(ISNA(AQ35),NA(),0))</f>
        <v>3403.0000000000014</v>
      </c>
      <c r="AR36" s="900">
        <f>IF(ISNA(Tbl_Long_Hydro[[#This Row],[Draught]]),NA(),IFERROR(Tbl_Long_Hydro[[#This Row],[LX]]*B^3/12/Tbl_Long_Hydro[[#This Row],[Displacement]],0))</f>
        <v>12.048192771084331</v>
      </c>
      <c r="AS36" s="903">
        <f>IF(ISNA(Tbl_Long_Hydro[[#This Row],[Draught]]),NA(),IFERROR((B*Tbl_Long_Hydro[[#This Row],[LX]]^3/12+(Tbl_Long_Hydro[[#This Row],[LCF]]-Tbl_Long_Hydro[[#This Row],[LCB]])*Tbl_Long_Hydro[[#This Row],[Waterplane area]]*Tbl_Long_Hydro[[#This Row],[LCF]]^2)/Tbl_Long_Hydro[[#This Row],[Displacement]],0))</f>
        <v>108.43373493976129</v>
      </c>
      <c r="AT36" s="900">
        <f>Tbl_Long_Hydro[[#This Row],[Aft X]]+Tbl_Long_Hydro[[#This Row],[LX]]/2</f>
        <v>30</v>
      </c>
      <c r="AU36" s="901">
        <f>IF(ISNUMBER(AU35),(AU35*AP35+Tbl_Long_Hydro[[#This Row],[X CoG elt]]*Tbl_Long_Hydro[[#This Row],[Volume elt]])/Tbl_Long_Hydro[[#This Row],[Displacement]],Tbl_Long_Hydro[[#This Row],[X CoG elt]])</f>
        <v>29.999999999999993</v>
      </c>
      <c r="AV36" s="902">
        <f>IF(ISNA(Tbl_Long_Hydro[[#This Row],[Draught]]),NA(),0)</f>
        <v>0</v>
      </c>
      <c r="AW36" s="876">
        <f>IF(ISNUMBER(AW35),(AW35*AP35+Tbl_Long_Hydro[[#This Row],[Z CoG elt]]*Tbl_Long_Hydro[[#This Row],[Volume elt]])/Tbl_Long_Hydro[[#This Row],[Displacement]],Tbl_Long_Hydro[[#This Row],[Z CoG elt]])</f>
        <v>1.5477911646586351</v>
      </c>
      <c r="AX36" s="899">
        <f>Tbl_Long_Hydro[[#This Row],[RMT]]+Tbl_Long_Hydro[[#This Row],[VCB]]</f>
        <v>13.595983935742966</v>
      </c>
      <c r="AY36" s="904">
        <f>Tbl_Long_Hydro[[#This Row],[Displacement]]*Tbl_Long_Hydro[[#This Row],[RML]]/(100*Lpp)</f>
        <v>60.000000000001279</v>
      </c>
      <c r="AZ36" s="956">
        <f>Tbl_Long_Hydro[[#This Row],[Draught]]</f>
        <v>3.0000000000000013</v>
      </c>
      <c r="BA36" s="959">
        <f>Tbl_Long_Hydro[[#This Row],[Displacement]]</f>
        <v>3320.0000000000018</v>
      </c>
      <c r="BB36" s="960">
        <f>Tbl_Long_Hydro[[#This Row],[Displac. SW]]</f>
        <v>3403.0000000000014</v>
      </c>
      <c r="BC36" s="964">
        <f>Tbl_Long_Hydro[[#This Row],[Waterplane area]]/100*$AQ$4</f>
        <v>12.299999999999999</v>
      </c>
      <c r="BD36" s="961">
        <f>Tbl_Long_Hydro[[#This Row],[MCT]]</f>
        <v>60.000000000001279</v>
      </c>
      <c r="BE36" s="962">
        <f>Tbl_Long_Hydro[[#This Row],[LCB]]</f>
        <v>29.999999999999993</v>
      </c>
      <c r="BF36" s="962">
        <f>Tbl_Long_Hydro[[#This Row],[TCB]]</f>
        <v>0</v>
      </c>
      <c r="BG36" s="962">
        <f>Tbl_Long_Hydro[[#This Row],[LCF]]</f>
        <v>30</v>
      </c>
      <c r="BH36" s="963">
        <f>Tbl_Long_Hydro[[#This Row],[KMT]]</f>
        <v>13.595983935742966</v>
      </c>
    </row>
    <row r="37" spans="11:60" x14ac:dyDescent="0.25">
      <c r="K37" s="156">
        <f t="shared" si="1"/>
        <v>31</v>
      </c>
      <c r="L37" s="164">
        <f t="shared" si="2"/>
        <v>15.5</v>
      </c>
      <c r="M37" s="163">
        <f>MATCH(Tbl_Long_Section[[#This Row],[X]],Tbl_Long_Definition[X],1)</f>
        <v>2</v>
      </c>
      <c r="N37" s="157">
        <f>IF(Tbl_Long_Section[[#This Row],[Nline Prev]]&lt;COUNT(Tbl_Long_Definition[X]),Tbl_Long_Section[[#This Row],[Nline Prev]]+1,Tbl_Long_Section[[#This Row],[Nline Prev]])</f>
        <v>3</v>
      </c>
      <c r="O37" s="162">
        <f>INDEX(Tbl_Long_Definition[X],Tbl_Long_Section[[#This Row],[Nline Prev]])</f>
        <v>5</v>
      </c>
      <c r="P37" s="159">
        <f>INDEX(Tbl_Long_Definition[X],Tbl_Long_Section[[#This Row],[Nline Next]])</f>
        <v>55</v>
      </c>
      <c r="Q37" s="160">
        <f>INDEX(Tbl_Long_Definition[H Deck-Bott.],Tbl_Long_Section[[#This Row],[Nline Prev]])</f>
        <v>4</v>
      </c>
      <c r="R37" s="161">
        <f>INDEX(Tbl_Long_Definition[H Deck-Bott.],Tbl_Long_Section[[#This Row],[Nline Next]])</f>
        <v>4</v>
      </c>
      <c r="S37"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37" s="8"/>
      <c r="V37" s="873">
        <f t="shared" si="3"/>
        <v>3.1000000000000014</v>
      </c>
      <c r="W37" s="885" t="e">
        <f>MATCH(Tbl_Long_Hydro[[#This Row],[Draught]],Tbl_Long_Definition[H k-bott],-1)</f>
        <v>#N/A</v>
      </c>
      <c r="X37"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37" s="886">
        <f>MATCH(Tbl_Long_Hydro[[#This Row],[Draught]],Tbl_Long_Definition[H k-bott],1)</f>
        <v>4</v>
      </c>
      <c r="Z37"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37" s="888">
        <f>IF(ISNA(Tbl_Long_Hydro[[#This Row],[Draught]]),NA(),IFERROR(INDEX(Tbl_Long_Definition[X],Tbl_Long_Hydro[[#This Row],[Aft Nline prev]]),0))</f>
        <v>0</v>
      </c>
      <c r="AB37" s="889">
        <f>IF(ISNA(Tbl_Long_Hydro[[#This Row],[Draught]]),NA(),IFERROR(INDEX(Tbl_Long_Definition[X],Tbl_Long_Hydro[[#This Row],[Aft Nline next]]),0))</f>
        <v>0</v>
      </c>
      <c r="AC37" s="889" t="e">
        <f>IF(ISNA(Tbl_Long_Hydro[[#This Row],[Draught]]),NA(),INDEX(Tbl_Long_Definition[H k-bott],Tbl_Long_Hydro[[#This Row],[Aft Nline prev]]))</f>
        <v>#N/A</v>
      </c>
      <c r="AD37" s="889" t="e">
        <f>IF(ISNA(Tbl_Long_Hydro[[#This Row],[Draught]]),NA(),INDEX(Tbl_Long_Definition[H k-bott],Tbl_Long_Hydro[[#This Row],[Aft Nline next]]))</f>
        <v>#N/A</v>
      </c>
      <c r="AE37" s="888">
        <f>IF(ISNA(Tbl_Long_Hydro[[#This Row],[Draught]]),NA(),IFERROR(INDEX(Tbl_Long_Definition[X],Tbl_Long_Hydro[[#This Row],[Fore Nline prev]]),0))</f>
        <v>60</v>
      </c>
      <c r="AF37" s="889">
        <f>IF(ISNA(Tbl_Long_Hydro[[#This Row],[Draught]]),NA(),IFERROR(INDEX(Tbl_Long_Definition[X],Tbl_Long_Hydro[[#This Row],[Fore Nline next]]),0))</f>
        <v>60</v>
      </c>
      <c r="AG37" s="889">
        <f>IF(ISNA(Tbl_Long_Hydro[[#This Row],[Draught]]),NA(),INDEX(Tbl_Long_Definition[H k-bott],Tbl_Long_Hydro[[#This Row],[Fore Nline prev]]))</f>
        <v>2.8</v>
      </c>
      <c r="AH37" s="890">
        <f>IF(ISNA(Tbl_Long_Hydro[[#This Row],[Draught]]),NA(),INDEX(Tbl_Long_Definition[H k-bott],Tbl_Long_Hydro[[#This Row],[Fore Nline next]]))</f>
        <v>2.8</v>
      </c>
      <c r="AI37"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0</v>
      </c>
      <c r="AJ37"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60</v>
      </c>
      <c r="AK37" s="894">
        <f>Tbl_Long_Hydro[[#This Row],[Fore X]]-Tbl_Long_Hydro[[#This Row],[Aft X]]</f>
        <v>60</v>
      </c>
      <c r="AL37" s="884">
        <f>Tbl_Long_Hydro[[#This Row],[LX]]*B</f>
        <v>1200</v>
      </c>
      <c r="AM37" s="892">
        <f>IF(ISNUMBER(AM36),(AK36+Tbl_Long_Hydro[[#This Row],[LX]])*(Tbl_Long_Hydro[[#This Row],[Draught]]-V36)/2*B,(Tbl_Long_Hydro[[#This Row],[LX]])*Tbl_Long_Hydro[[#This Row],[Draught]]*B)</f>
        <v>120.00000000000011</v>
      </c>
      <c r="AN37" s="899">
        <f>Tbl_Long_Hydro[[#This Row],[Aft X]]+Tbl_Long_Hydro[[#This Row],[LX]]/2</f>
        <v>30</v>
      </c>
      <c r="AO37" s="876">
        <f>IF(ISNUMBER(AO36),(2*Tbl_Long_Hydro[[#This Row],[LX]]+AK36)/(Tbl_Long_Hydro[[#This Row],[LX]]+AK36)*(Tbl_Long_Hydro[[#This Row],[Draught]]-V36)/3+V36,Tbl_Long_Hydro[[#This Row],[Draught]]/2)</f>
        <v>3.0500000000000016</v>
      </c>
      <c r="AP37" s="898">
        <f>IF(ISNUMBER(AP36),Tbl_Long_Hydro[[#This Row],[Volume elt]]+AP36,Tbl_Long_Hydro[[#This Row],[Volume elt]]*AO$4)</f>
        <v>3440.0000000000018</v>
      </c>
      <c r="AQ37" s="893">
        <f>IF(ISNUMBER(AQ36),Tbl_Long_Hydro[[#This Row],[Displacement]]*AQ$4,IF(ISNA(AQ36),NA(),0))</f>
        <v>3526.0000000000014</v>
      </c>
      <c r="AR37" s="900">
        <f>IF(ISNA(Tbl_Long_Hydro[[#This Row],[Draught]]),NA(),IFERROR(Tbl_Long_Hydro[[#This Row],[LX]]*B^3/12/Tbl_Long_Hydro[[#This Row],[Displacement]],0))</f>
        <v>11.62790697674418</v>
      </c>
      <c r="AS37" s="903">
        <f>IF(ISNA(Tbl_Long_Hydro[[#This Row],[Draught]]),NA(),IFERROR((B*Tbl_Long_Hydro[[#This Row],[LX]]^3/12+(Tbl_Long_Hydro[[#This Row],[LCF]]-Tbl_Long_Hydro[[#This Row],[LCB]])*Tbl_Long_Hydro[[#This Row],[Waterplane area]]*Tbl_Long_Hydro[[#This Row],[LCF]]^2)/Tbl_Long_Hydro[[#This Row],[Displacement]],0))</f>
        <v>104.65116279069986</v>
      </c>
      <c r="AT37" s="900">
        <f>Tbl_Long_Hydro[[#This Row],[Aft X]]+Tbl_Long_Hydro[[#This Row],[LX]]/2</f>
        <v>30</v>
      </c>
      <c r="AU37" s="901">
        <f>IF(ISNUMBER(AU36),(AU36*AP36+Tbl_Long_Hydro[[#This Row],[X CoG elt]]*Tbl_Long_Hydro[[#This Row],[Volume elt]])/Tbl_Long_Hydro[[#This Row],[Displacement]],Tbl_Long_Hydro[[#This Row],[X CoG elt]])</f>
        <v>29.999999999999993</v>
      </c>
      <c r="AV37" s="902">
        <f>IF(ISNA(Tbl_Long_Hydro[[#This Row],[Draught]]),NA(),0)</f>
        <v>0</v>
      </c>
      <c r="AW37" s="876">
        <f>IF(ISNUMBER(AW36),(AW36*AP36+Tbl_Long_Hydro[[#This Row],[Z CoG elt]]*Tbl_Long_Hydro[[#This Row],[Volume elt]])/Tbl_Long_Hydro[[#This Row],[Displacement]],Tbl_Long_Hydro[[#This Row],[Z CoG elt]])</f>
        <v>1.6001937984496133</v>
      </c>
      <c r="AX37" s="899">
        <f>Tbl_Long_Hydro[[#This Row],[RMT]]+Tbl_Long_Hydro[[#This Row],[VCB]]</f>
        <v>13.228100775193793</v>
      </c>
      <c r="AY37" s="904">
        <f>Tbl_Long_Hydro[[#This Row],[Displacement]]*Tbl_Long_Hydro[[#This Row],[RML]]/(100*Lpp)</f>
        <v>60.000000000001279</v>
      </c>
      <c r="AZ37" s="956">
        <f>Tbl_Long_Hydro[[#This Row],[Draught]]</f>
        <v>3.1000000000000014</v>
      </c>
      <c r="BA37" s="959">
        <f>Tbl_Long_Hydro[[#This Row],[Displacement]]</f>
        <v>3440.0000000000018</v>
      </c>
      <c r="BB37" s="960">
        <f>Tbl_Long_Hydro[[#This Row],[Displac. SW]]</f>
        <v>3526.0000000000014</v>
      </c>
      <c r="BC37" s="964">
        <f>Tbl_Long_Hydro[[#This Row],[Waterplane area]]/100*$AQ$4</f>
        <v>12.299999999999999</v>
      </c>
      <c r="BD37" s="961">
        <f>Tbl_Long_Hydro[[#This Row],[MCT]]</f>
        <v>60.000000000001279</v>
      </c>
      <c r="BE37" s="962">
        <f>Tbl_Long_Hydro[[#This Row],[LCB]]</f>
        <v>29.999999999999993</v>
      </c>
      <c r="BF37" s="962">
        <f>Tbl_Long_Hydro[[#This Row],[TCB]]</f>
        <v>0</v>
      </c>
      <c r="BG37" s="962">
        <f>Tbl_Long_Hydro[[#This Row],[LCF]]</f>
        <v>30</v>
      </c>
      <c r="BH37" s="963">
        <f>Tbl_Long_Hydro[[#This Row],[KMT]]</f>
        <v>13.228100775193793</v>
      </c>
    </row>
    <row r="38" spans="11:60" x14ac:dyDescent="0.25">
      <c r="K38" s="156">
        <f t="shared" si="1"/>
        <v>32</v>
      </c>
      <c r="L38" s="164">
        <f t="shared" si="2"/>
        <v>16</v>
      </c>
      <c r="M38" s="163">
        <f>MATCH(Tbl_Long_Section[[#This Row],[X]],Tbl_Long_Definition[X],1)</f>
        <v>2</v>
      </c>
      <c r="N38" s="157">
        <f>IF(Tbl_Long_Section[[#This Row],[Nline Prev]]&lt;COUNT(Tbl_Long_Definition[X]),Tbl_Long_Section[[#This Row],[Nline Prev]]+1,Tbl_Long_Section[[#This Row],[Nline Prev]])</f>
        <v>3</v>
      </c>
      <c r="O38" s="162">
        <f>INDEX(Tbl_Long_Definition[X],Tbl_Long_Section[[#This Row],[Nline Prev]])</f>
        <v>5</v>
      </c>
      <c r="P38" s="159">
        <f>INDEX(Tbl_Long_Definition[X],Tbl_Long_Section[[#This Row],[Nline Next]])</f>
        <v>55</v>
      </c>
      <c r="Q38" s="160">
        <f>INDEX(Tbl_Long_Definition[H Deck-Bott.],Tbl_Long_Section[[#This Row],[Nline Prev]])</f>
        <v>4</v>
      </c>
      <c r="R38" s="161">
        <f>INDEX(Tbl_Long_Definition[H Deck-Bott.],Tbl_Long_Section[[#This Row],[Nline Next]])</f>
        <v>4</v>
      </c>
      <c r="S38"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38" s="8"/>
      <c r="V38" s="873">
        <f t="shared" ref="V38:V69" si="4">IF(ISTEXT(V37),0,IF(V37+Δhydro&gt;M_depth,NA(),V37+Δhydro))</f>
        <v>3.2000000000000015</v>
      </c>
      <c r="W38" s="885" t="e">
        <f>MATCH(Tbl_Long_Hydro[[#This Row],[Draught]],Tbl_Long_Definition[H k-bott],-1)</f>
        <v>#N/A</v>
      </c>
      <c r="X38"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38" s="886">
        <f>MATCH(Tbl_Long_Hydro[[#This Row],[Draught]],Tbl_Long_Definition[H k-bott],1)</f>
        <v>4</v>
      </c>
      <c r="Z38"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38" s="888">
        <f>IF(ISNA(Tbl_Long_Hydro[[#This Row],[Draught]]),NA(),IFERROR(INDEX(Tbl_Long_Definition[X],Tbl_Long_Hydro[[#This Row],[Aft Nline prev]]),0))</f>
        <v>0</v>
      </c>
      <c r="AB38" s="889">
        <f>IF(ISNA(Tbl_Long_Hydro[[#This Row],[Draught]]),NA(),IFERROR(INDEX(Tbl_Long_Definition[X],Tbl_Long_Hydro[[#This Row],[Aft Nline next]]),0))</f>
        <v>0</v>
      </c>
      <c r="AC38" s="889" t="e">
        <f>IF(ISNA(Tbl_Long_Hydro[[#This Row],[Draught]]),NA(),INDEX(Tbl_Long_Definition[H k-bott],Tbl_Long_Hydro[[#This Row],[Aft Nline prev]]))</f>
        <v>#N/A</v>
      </c>
      <c r="AD38" s="889" t="e">
        <f>IF(ISNA(Tbl_Long_Hydro[[#This Row],[Draught]]),NA(),INDEX(Tbl_Long_Definition[H k-bott],Tbl_Long_Hydro[[#This Row],[Aft Nline next]]))</f>
        <v>#N/A</v>
      </c>
      <c r="AE38" s="888">
        <f>IF(ISNA(Tbl_Long_Hydro[[#This Row],[Draught]]),NA(),IFERROR(INDEX(Tbl_Long_Definition[X],Tbl_Long_Hydro[[#This Row],[Fore Nline prev]]),0))</f>
        <v>60</v>
      </c>
      <c r="AF38" s="889">
        <f>IF(ISNA(Tbl_Long_Hydro[[#This Row],[Draught]]),NA(),IFERROR(INDEX(Tbl_Long_Definition[X],Tbl_Long_Hydro[[#This Row],[Fore Nline next]]),0))</f>
        <v>60</v>
      </c>
      <c r="AG38" s="889">
        <f>IF(ISNA(Tbl_Long_Hydro[[#This Row],[Draught]]),NA(),INDEX(Tbl_Long_Definition[H k-bott],Tbl_Long_Hydro[[#This Row],[Fore Nline prev]]))</f>
        <v>2.8</v>
      </c>
      <c r="AH38" s="890">
        <f>IF(ISNA(Tbl_Long_Hydro[[#This Row],[Draught]]),NA(),INDEX(Tbl_Long_Definition[H k-bott],Tbl_Long_Hydro[[#This Row],[Fore Nline next]]))</f>
        <v>2.8</v>
      </c>
      <c r="AI38"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0</v>
      </c>
      <c r="AJ38"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60</v>
      </c>
      <c r="AK38" s="894">
        <f>Tbl_Long_Hydro[[#This Row],[Fore X]]-Tbl_Long_Hydro[[#This Row],[Aft X]]</f>
        <v>60</v>
      </c>
      <c r="AL38" s="884">
        <f>Tbl_Long_Hydro[[#This Row],[LX]]*B</f>
        <v>1200</v>
      </c>
      <c r="AM38" s="892">
        <f>IF(ISNUMBER(AM37),(AK37+Tbl_Long_Hydro[[#This Row],[LX]])*(Tbl_Long_Hydro[[#This Row],[Draught]]-V37)/2*B,(Tbl_Long_Hydro[[#This Row],[LX]])*Tbl_Long_Hydro[[#This Row],[Draught]]*B)</f>
        <v>120.00000000000011</v>
      </c>
      <c r="AN38" s="899">
        <f>Tbl_Long_Hydro[[#This Row],[Aft X]]+Tbl_Long_Hydro[[#This Row],[LX]]/2</f>
        <v>30</v>
      </c>
      <c r="AO38" s="876">
        <f>IF(ISNUMBER(AO37),(2*Tbl_Long_Hydro[[#This Row],[LX]]+AK37)/(Tbl_Long_Hydro[[#This Row],[LX]]+AK37)*(Tbl_Long_Hydro[[#This Row],[Draught]]-V37)/3+V37,Tbl_Long_Hydro[[#This Row],[Draught]]/2)</f>
        <v>3.1500000000000012</v>
      </c>
      <c r="AP38" s="898">
        <f>IF(ISNUMBER(AP37),Tbl_Long_Hydro[[#This Row],[Volume elt]]+AP37,Tbl_Long_Hydro[[#This Row],[Volume elt]]*AO$4)</f>
        <v>3560.0000000000018</v>
      </c>
      <c r="AQ38" s="893">
        <f>IF(ISNUMBER(AQ37),Tbl_Long_Hydro[[#This Row],[Displacement]]*AQ$4,IF(ISNA(AQ37),NA(),0))</f>
        <v>3649.0000000000014</v>
      </c>
      <c r="AR38" s="900">
        <f>IF(ISNA(Tbl_Long_Hydro[[#This Row],[Draught]]),NA(),IFERROR(Tbl_Long_Hydro[[#This Row],[LX]]*B^3/12/Tbl_Long_Hydro[[#This Row],[Displacement]],0))</f>
        <v>11.235955056179769</v>
      </c>
      <c r="AS38" s="903">
        <f>IF(ISNA(Tbl_Long_Hydro[[#This Row],[Draught]]),NA(),IFERROR((B*Tbl_Long_Hydro[[#This Row],[LX]]^3/12+(Tbl_Long_Hydro[[#This Row],[LCF]]-Tbl_Long_Hydro[[#This Row],[LCB]])*Tbl_Long_Hydro[[#This Row],[Waterplane area]]*Tbl_Long_Hydro[[#This Row],[LCF]]^2)/Tbl_Long_Hydro[[#This Row],[Displacement]],0))</f>
        <v>101.12359550562009</v>
      </c>
      <c r="AT38" s="900">
        <f>Tbl_Long_Hydro[[#This Row],[Aft X]]+Tbl_Long_Hydro[[#This Row],[LX]]/2</f>
        <v>30</v>
      </c>
      <c r="AU38" s="901">
        <f>IF(ISNUMBER(AU37),(AU37*AP37+Tbl_Long_Hydro[[#This Row],[X CoG elt]]*Tbl_Long_Hydro[[#This Row],[Volume elt]])/Tbl_Long_Hydro[[#This Row],[Displacement]],Tbl_Long_Hydro[[#This Row],[X CoG elt]])</f>
        <v>29.999999999999993</v>
      </c>
      <c r="AV38" s="902">
        <f>IF(ISNA(Tbl_Long_Hydro[[#This Row],[Draught]]),NA(),0)</f>
        <v>0</v>
      </c>
      <c r="AW38" s="876">
        <f>IF(ISNUMBER(AW37),(AW37*AP37+Tbl_Long_Hydro[[#This Row],[Z CoG elt]]*Tbl_Long_Hydro[[#This Row],[Volume elt]])/Tbl_Long_Hydro[[#This Row],[Displacement]],Tbl_Long_Hydro[[#This Row],[Z CoG elt]])</f>
        <v>1.6524344569288401</v>
      </c>
      <c r="AX38" s="899">
        <f>Tbl_Long_Hydro[[#This Row],[RMT]]+Tbl_Long_Hydro[[#This Row],[VCB]]</f>
        <v>12.88838951310861</v>
      </c>
      <c r="AY38" s="904">
        <f>Tbl_Long_Hydro[[#This Row],[Displacement]]*Tbl_Long_Hydro[[#This Row],[RML]]/(100*Lpp)</f>
        <v>60.000000000001279</v>
      </c>
      <c r="AZ38" s="956">
        <f>Tbl_Long_Hydro[[#This Row],[Draught]]</f>
        <v>3.2000000000000015</v>
      </c>
      <c r="BA38" s="959">
        <f>Tbl_Long_Hydro[[#This Row],[Displacement]]</f>
        <v>3560.0000000000018</v>
      </c>
      <c r="BB38" s="960">
        <f>Tbl_Long_Hydro[[#This Row],[Displac. SW]]</f>
        <v>3649.0000000000014</v>
      </c>
      <c r="BC38" s="964">
        <f>Tbl_Long_Hydro[[#This Row],[Waterplane area]]/100*$AQ$4</f>
        <v>12.299999999999999</v>
      </c>
      <c r="BD38" s="961">
        <f>Tbl_Long_Hydro[[#This Row],[MCT]]</f>
        <v>60.000000000001279</v>
      </c>
      <c r="BE38" s="962">
        <f>Tbl_Long_Hydro[[#This Row],[LCB]]</f>
        <v>29.999999999999993</v>
      </c>
      <c r="BF38" s="962">
        <f>Tbl_Long_Hydro[[#This Row],[TCB]]</f>
        <v>0</v>
      </c>
      <c r="BG38" s="962">
        <f>Tbl_Long_Hydro[[#This Row],[LCF]]</f>
        <v>30</v>
      </c>
      <c r="BH38" s="963">
        <f>Tbl_Long_Hydro[[#This Row],[KMT]]</f>
        <v>12.88838951310861</v>
      </c>
    </row>
    <row r="39" spans="11:60" x14ac:dyDescent="0.25">
      <c r="K39" s="156">
        <f t="shared" si="1"/>
        <v>33</v>
      </c>
      <c r="L39" s="164">
        <f t="shared" si="2"/>
        <v>16.5</v>
      </c>
      <c r="M39" s="163">
        <f>MATCH(Tbl_Long_Section[[#This Row],[X]],Tbl_Long_Definition[X],1)</f>
        <v>2</v>
      </c>
      <c r="N39" s="157">
        <f>IF(Tbl_Long_Section[[#This Row],[Nline Prev]]&lt;COUNT(Tbl_Long_Definition[X]),Tbl_Long_Section[[#This Row],[Nline Prev]]+1,Tbl_Long_Section[[#This Row],[Nline Prev]])</f>
        <v>3</v>
      </c>
      <c r="O39" s="162">
        <f>INDEX(Tbl_Long_Definition[X],Tbl_Long_Section[[#This Row],[Nline Prev]])</f>
        <v>5</v>
      </c>
      <c r="P39" s="159">
        <f>INDEX(Tbl_Long_Definition[X],Tbl_Long_Section[[#This Row],[Nline Next]])</f>
        <v>55</v>
      </c>
      <c r="Q39" s="160">
        <f>INDEX(Tbl_Long_Definition[H Deck-Bott.],Tbl_Long_Section[[#This Row],[Nline Prev]])</f>
        <v>4</v>
      </c>
      <c r="R39" s="161">
        <f>INDEX(Tbl_Long_Definition[H Deck-Bott.],Tbl_Long_Section[[#This Row],[Nline Next]])</f>
        <v>4</v>
      </c>
      <c r="S39"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39" s="8"/>
      <c r="V39" s="873">
        <f t="shared" si="4"/>
        <v>3.3000000000000016</v>
      </c>
      <c r="W39" s="885" t="e">
        <f>MATCH(Tbl_Long_Hydro[[#This Row],[Draught]],Tbl_Long_Definition[H k-bott],-1)</f>
        <v>#N/A</v>
      </c>
      <c r="X39"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39" s="886">
        <f>MATCH(Tbl_Long_Hydro[[#This Row],[Draught]],Tbl_Long_Definition[H k-bott],1)</f>
        <v>4</v>
      </c>
      <c r="Z39"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39" s="888">
        <f>IF(ISNA(Tbl_Long_Hydro[[#This Row],[Draught]]),NA(),IFERROR(INDEX(Tbl_Long_Definition[X],Tbl_Long_Hydro[[#This Row],[Aft Nline prev]]),0))</f>
        <v>0</v>
      </c>
      <c r="AB39" s="889">
        <f>IF(ISNA(Tbl_Long_Hydro[[#This Row],[Draught]]),NA(),IFERROR(INDEX(Tbl_Long_Definition[X],Tbl_Long_Hydro[[#This Row],[Aft Nline next]]),0))</f>
        <v>0</v>
      </c>
      <c r="AC39" s="889" t="e">
        <f>IF(ISNA(Tbl_Long_Hydro[[#This Row],[Draught]]),NA(),INDEX(Tbl_Long_Definition[H k-bott],Tbl_Long_Hydro[[#This Row],[Aft Nline prev]]))</f>
        <v>#N/A</v>
      </c>
      <c r="AD39" s="889" t="e">
        <f>IF(ISNA(Tbl_Long_Hydro[[#This Row],[Draught]]),NA(),INDEX(Tbl_Long_Definition[H k-bott],Tbl_Long_Hydro[[#This Row],[Aft Nline next]]))</f>
        <v>#N/A</v>
      </c>
      <c r="AE39" s="888">
        <f>IF(ISNA(Tbl_Long_Hydro[[#This Row],[Draught]]),NA(),IFERROR(INDEX(Tbl_Long_Definition[X],Tbl_Long_Hydro[[#This Row],[Fore Nline prev]]),0))</f>
        <v>60</v>
      </c>
      <c r="AF39" s="889">
        <f>IF(ISNA(Tbl_Long_Hydro[[#This Row],[Draught]]),NA(),IFERROR(INDEX(Tbl_Long_Definition[X],Tbl_Long_Hydro[[#This Row],[Fore Nline next]]),0))</f>
        <v>60</v>
      </c>
      <c r="AG39" s="889">
        <f>IF(ISNA(Tbl_Long_Hydro[[#This Row],[Draught]]),NA(),INDEX(Tbl_Long_Definition[H k-bott],Tbl_Long_Hydro[[#This Row],[Fore Nline prev]]))</f>
        <v>2.8</v>
      </c>
      <c r="AH39" s="890">
        <f>IF(ISNA(Tbl_Long_Hydro[[#This Row],[Draught]]),NA(),INDEX(Tbl_Long_Definition[H k-bott],Tbl_Long_Hydro[[#This Row],[Fore Nline next]]))</f>
        <v>2.8</v>
      </c>
      <c r="AI39"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0</v>
      </c>
      <c r="AJ39"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60</v>
      </c>
      <c r="AK39" s="894">
        <f>Tbl_Long_Hydro[[#This Row],[Fore X]]-Tbl_Long_Hydro[[#This Row],[Aft X]]</f>
        <v>60</v>
      </c>
      <c r="AL39" s="884">
        <f>Tbl_Long_Hydro[[#This Row],[LX]]*B</f>
        <v>1200</v>
      </c>
      <c r="AM39" s="892">
        <f>IF(ISNUMBER(AM38),(AK38+Tbl_Long_Hydro[[#This Row],[LX]])*(Tbl_Long_Hydro[[#This Row],[Draught]]-V38)/2*B,(Tbl_Long_Hydro[[#This Row],[LX]])*Tbl_Long_Hydro[[#This Row],[Draught]]*B)</f>
        <v>120.00000000000011</v>
      </c>
      <c r="AN39" s="899">
        <f>Tbl_Long_Hydro[[#This Row],[Aft X]]+Tbl_Long_Hydro[[#This Row],[LX]]/2</f>
        <v>30</v>
      </c>
      <c r="AO39" s="876">
        <f>IF(ISNUMBER(AO38),(2*Tbl_Long_Hydro[[#This Row],[LX]]+AK38)/(Tbl_Long_Hydro[[#This Row],[LX]]+AK38)*(Tbl_Long_Hydro[[#This Row],[Draught]]-V38)/3+V38,Tbl_Long_Hydro[[#This Row],[Draught]]/2)</f>
        <v>3.2500000000000018</v>
      </c>
      <c r="AP39" s="898">
        <f>IF(ISNUMBER(AP38),Tbl_Long_Hydro[[#This Row],[Volume elt]]+AP38,Tbl_Long_Hydro[[#This Row],[Volume elt]]*AO$4)</f>
        <v>3680.0000000000018</v>
      </c>
      <c r="AQ39" s="893">
        <f>IF(ISNUMBER(AQ38),Tbl_Long_Hydro[[#This Row],[Displacement]]*AQ$4,IF(ISNA(AQ38),NA(),0))</f>
        <v>3772.0000000000014</v>
      </c>
      <c r="AR39" s="900">
        <f>IF(ISNA(Tbl_Long_Hydro[[#This Row],[Draught]]),NA(),IFERROR(Tbl_Long_Hydro[[#This Row],[LX]]*B^3/12/Tbl_Long_Hydro[[#This Row],[Displacement]],0))</f>
        <v>10.869565217391299</v>
      </c>
      <c r="AS39" s="903">
        <f>IF(ISNA(Tbl_Long_Hydro[[#This Row],[Draught]]),NA(),IFERROR((B*Tbl_Long_Hydro[[#This Row],[LX]]^3/12+(Tbl_Long_Hydro[[#This Row],[LCF]]-Tbl_Long_Hydro[[#This Row],[LCB]])*Tbl_Long_Hydro[[#This Row],[Waterplane area]]*Tbl_Long_Hydro[[#This Row],[LCF]]^2)/Tbl_Long_Hydro[[#This Row],[Displacement]],0))</f>
        <v>97.826086956523781</v>
      </c>
      <c r="AT39" s="900">
        <f>Tbl_Long_Hydro[[#This Row],[Aft X]]+Tbl_Long_Hydro[[#This Row],[LX]]/2</f>
        <v>30</v>
      </c>
      <c r="AU39" s="901">
        <f>IF(ISNUMBER(AU38),(AU38*AP38+Tbl_Long_Hydro[[#This Row],[X CoG elt]]*Tbl_Long_Hydro[[#This Row],[Volume elt]])/Tbl_Long_Hydro[[#This Row],[Displacement]],Tbl_Long_Hydro[[#This Row],[X CoG elt]])</f>
        <v>29.999999999999993</v>
      </c>
      <c r="AV39" s="902">
        <f>IF(ISNA(Tbl_Long_Hydro[[#This Row],[Draught]]),NA(),0)</f>
        <v>0</v>
      </c>
      <c r="AW39" s="876">
        <f>IF(ISNUMBER(AW38),(AW38*AP38+Tbl_Long_Hydro[[#This Row],[Z CoG elt]]*Tbl_Long_Hydro[[#This Row],[Volume elt]])/Tbl_Long_Hydro[[#This Row],[Displacement]],Tbl_Long_Hydro[[#This Row],[Z CoG elt]])</f>
        <v>1.7045289855072476</v>
      </c>
      <c r="AX39" s="899">
        <f>Tbl_Long_Hydro[[#This Row],[RMT]]+Tbl_Long_Hydro[[#This Row],[VCB]]</f>
        <v>12.574094202898547</v>
      </c>
      <c r="AY39" s="904">
        <f>Tbl_Long_Hydro[[#This Row],[Displacement]]*Tbl_Long_Hydro[[#This Row],[RML]]/(100*Lpp)</f>
        <v>60.000000000001279</v>
      </c>
      <c r="AZ39" s="956">
        <f>Tbl_Long_Hydro[[#This Row],[Draught]]</f>
        <v>3.3000000000000016</v>
      </c>
      <c r="BA39" s="959">
        <f>Tbl_Long_Hydro[[#This Row],[Displacement]]</f>
        <v>3680.0000000000018</v>
      </c>
      <c r="BB39" s="960">
        <f>Tbl_Long_Hydro[[#This Row],[Displac. SW]]</f>
        <v>3772.0000000000014</v>
      </c>
      <c r="BC39" s="964">
        <f>Tbl_Long_Hydro[[#This Row],[Waterplane area]]/100*$AQ$4</f>
        <v>12.299999999999999</v>
      </c>
      <c r="BD39" s="961">
        <f>Tbl_Long_Hydro[[#This Row],[MCT]]</f>
        <v>60.000000000001279</v>
      </c>
      <c r="BE39" s="962">
        <f>Tbl_Long_Hydro[[#This Row],[LCB]]</f>
        <v>29.999999999999993</v>
      </c>
      <c r="BF39" s="962">
        <f>Tbl_Long_Hydro[[#This Row],[TCB]]</f>
        <v>0</v>
      </c>
      <c r="BG39" s="962">
        <f>Tbl_Long_Hydro[[#This Row],[LCF]]</f>
        <v>30</v>
      </c>
      <c r="BH39" s="963">
        <f>Tbl_Long_Hydro[[#This Row],[KMT]]</f>
        <v>12.574094202898547</v>
      </c>
    </row>
    <row r="40" spans="11:60" x14ac:dyDescent="0.25">
      <c r="K40" s="156">
        <f t="shared" si="1"/>
        <v>34</v>
      </c>
      <c r="L40" s="164">
        <f t="shared" si="2"/>
        <v>17</v>
      </c>
      <c r="M40" s="163">
        <f>MATCH(Tbl_Long_Section[[#This Row],[X]],Tbl_Long_Definition[X],1)</f>
        <v>2</v>
      </c>
      <c r="N40" s="157">
        <f>IF(Tbl_Long_Section[[#This Row],[Nline Prev]]&lt;COUNT(Tbl_Long_Definition[X]),Tbl_Long_Section[[#This Row],[Nline Prev]]+1,Tbl_Long_Section[[#This Row],[Nline Prev]])</f>
        <v>3</v>
      </c>
      <c r="O40" s="162">
        <f>INDEX(Tbl_Long_Definition[X],Tbl_Long_Section[[#This Row],[Nline Prev]])</f>
        <v>5</v>
      </c>
      <c r="P40" s="159">
        <f>INDEX(Tbl_Long_Definition[X],Tbl_Long_Section[[#This Row],[Nline Next]])</f>
        <v>55</v>
      </c>
      <c r="Q40" s="160">
        <f>INDEX(Tbl_Long_Definition[H Deck-Bott.],Tbl_Long_Section[[#This Row],[Nline Prev]])</f>
        <v>4</v>
      </c>
      <c r="R40" s="161">
        <f>INDEX(Tbl_Long_Definition[H Deck-Bott.],Tbl_Long_Section[[#This Row],[Nline Next]])</f>
        <v>4</v>
      </c>
      <c r="S40"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40" s="8"/>
      <c r="V40" s="873">
        <f t="shared" si="4"/>
        <v>3.4000000000000017</v>
      </c>
      <c r="W40" s="885" t="e">
        <f>MATCH(Tbl_Long_Hydro[[#This Row],[Draught]],Tbl_Long_Definition[H k-bott],-1)</f>
        <v>#N/A</v>
      </c>
      <c r="X40"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40" s="886">
        <f>MATCH(Tbl_Long_Hydro[[#This Row],[Draught]],Tbl_Long_Definition[H k-bott],1)</f>
        <v>4</v>
      </c>
      <c r="Z40"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40" s="888">
        <f>IF(ISNA(Tbl_Long_Hydro[[#This Row],[Draught]]),NA(),IFERROR(INDEX(Tbl_Long_Definition[X],Tbl_Long_Hydro[[#This Row],[Aft Nline prev]]),0))</f>
        <v>0</v>
      </c>
      <c r="AB40" s="889">
        <f>IF(ISNA(Tbl_Long_Hydro[[#This Row],[Draught]]),NA(),IFERROR(INDEX(Tbl_Long_Definition[X],Tbl_Long_Hydro[[#This Row],[Aft Nline next]]),0))</f>
        <v>0</v>
      </c>
      <c r="AC40" s="889" t="e">
        <f>IF(ISNA(Tbl_Long_Hydro[[#This Row],[Draught]]),NA(),INDEX(Tbl_Long_Definition[H k-bott],Tbl_Long_Hydro[[#This Row],[Aft Nline prev]]))</f>
        <v>#N/A</v>
      </c>
      <c r="AD40" s="889" t="e">
        <f>IF(ISNA(Tbl_Long_Hydro[[#This Row],[Draught]]),NA(),INDEX(Tbl_Long_Definition[H k-bott],Tbl_Long_Hydro[[#This Row],[Aft Nline next]]))</f>
        <v>#N/A</v>
      </c>
      <c r="AE40" s="888">
        <f>IF(ISNA(Tbl_Long_Hydro[[#This Row],[Draught]]),NA(),IFERROR(INDEX(Tbl_Long_Definition[X],Tbl_Long_Hydro[[#This Row],[Fore Nline prev]]),0))</f>
        <v>60</v>
      </c>
      <c r="AF40" s="889">
        <f>IF(ISNA(Tbl_Long_Hydro[[#This Row],[Draught]]),NA(),IFERROR(INDEX(Tbl_Long_Definition[X],Tbl_Long_Hydro[[#This Row],[Fore Nline next]]),0))</f>
        <v>60</v>
      </c>
      <c r="AG40" s="889">
        <f>IF(ISNA(Tbl_Long_Hydro[[#This Row],[Draught]]),NA(),INDEX(Tbl_Long_Definition[H k-bott],Tbl_Long_Hydro[[#This Row],[Fore Nline prev]]))</f>
        <v>2.8</v>
      </c>
      <c r="AH40" s="890">
        <f>IF(ISNA(Tbl_Long_Hydro[[#This Row],[Draught]]),NA(),INDEX(Tbl_Long_Definition[H k-bott],Tbl_Long_Hydro[[#This Row],[Fore Nline next]]))</f>
        <v>2.8</v>
      </c>
      <c r="AI40"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0</v>
      </c>
      <c r="AJ40"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60</v>
      </c>
      <c r="AK40" s="894">
        <f>Tbl_Long_Hydro[[#This Row],[Fore X]]-Tbl_Long_Hydro[[#This Row],[Aft X]]</f>
        <v>60</v>
      </c>
      <c r="AL40" s="884">
        <f>Tbl_Long_Hydro[[#This Row],[LX]]*B</f>
        <v>1200</v>
      </c>
      <c r="AM40" s="892">
        <f>IF(ISNUMBER(AM39),(AK39+Tbl_Long_Hydro[[#This Row],[LX]])*(Tbl_Long_Hydro[[#This Row],[Draught]]-V39)/2*B,(Tbl_Long_Hydro[[#This Row],[LX]])*Tbl_Long_Hydro[[#This Row],[Draught]]*B)</f>
        <v>120.00000000000011</v>
      </c>
      <c r="AN40" s="899">
        <f>Tbl_Long_Hydro[[#This Row],[Aft X]]+Tbl_Long_Hydro[[#This Row],[LX]]/2</f>
        <v>30</v>
      </c>
      <c r="AO40" s="876">
        <f>IF(ISNUMBER(AO39),(2*Tbl_Long_Hydro[[#This Row],[LX]]+AK39)/(Tbl_Long_Hydro[[#This Row],[LX]]+AK39)*(Tbl_Long_Hydro[[#This Row],[Draught]]-V39)/3+V39,Tbl_Long_Hydro[[#This Row],[Draught]]/2)</f>
        <v>3.3500000000000014</v>
      </c>
      <c r="AP40" s="898">
        <f>IF(ISNUMBER(AP39),Tbl_Long_Hydro[[#This Row],[Volume elt]]+AP39,Tbl_Long_Hydro[[#This Row],[Volume elt]]*AO$4)</f>
        <v>3800.0000000000018</v>
      </c>
      <c r="AQ40" s="893">
        <f>IF(ISNUMBER(AQ39),Tbl_Long_Hydro[[#This Row],[Displacement]]*AQ$4,IF(ISNA(AQ39),NA(),0))</f>
        <v>3895.0000000000014</v>
      </c>
      <c r="AR40" s="900">
        <f>IF(ISNA(Tbl_Long_Hydro[[#This Row],[Draught]]),NA(),IFERROR(Tbl_Long_Hydro[[#This Row],[LX]]*B^3/12/Tbl_Long_Hydro[[#This Row],[Displacement]],0))</f>
        <v>10.52631578947368</v>
      </c>
      <c r="AS40" s="903">
        <f>IF(ISNA(Tbl_Long_Hydro[[#This Row],[Draught]]),NA(),IFERROR((B*Tbl_Long_Hydro[[#This Row],[LX]]^3/12+(Tbl_Long_Hydro[[#This Row],[LCF]]-Tbl_Long_Hydro[[#This Row],[LCB]])*Tbl_Long_Hydro[[#This Row],[Waterplane area]]*Tbl_Long_Hydro[[#This Row],[LCF]]^2)/Tbl_Long_Hydro[[#This Row],[Displacement]],0))</f>
        <v>94.73684210526514</v>
      </c>
      <c r="AT40" s="900">
        <f>Tbl_Long_Hydro[[#This Row],[Aft X]]+Tbl_Long_Hydro[[#This Row],[LX]]/2</f>
        <v>30</v>
      </c>
      <c r="AU40" s="901">
        <f>IF(ISNUMBER(AU39),(AU39*AP39+Tbl_Long_Hydro[[#This Row],[X CoG elt]]*Tbl_Long_Hydro[[#This Row],[Volume elt]])/Tbl_Long_Hydro[[#This Row],[Displacement]],Tbl_Long_Hydro[[#This Row],[X CoG elt]])</f>
        <v>29.999999999999993</v>
      </c>
      <c r="AV40" s="902">
        <f>IF(ISNA(Tbl_Long_Hydro[[#This Row],[Draught]]),NA(),0)</f>
        <v>0</v>
      </c>
      <c r="AW40" s="876">
        <f>IF(ISNUMBER(AW39),(AW39*AP39+Tbl_Long_Hydro[[#This Row],[Z CoG elt]]*Tbl_Long_Hydro[[#This Row],[Volume elt]])/Tbl_Long_Hydro[[#This Row],[Displacement]],Tbl_Long_Hydro[[#This Row],[Z CoG elt]])</f>
        <v>1.7564912280701768</v>
      </c>
      <c r="AX40" s="899">
        <f>Tbl_Long_Hydro[[#This Row],[RMT]]+Tbl_Long_Hydro[[#This Row],[VCB]]</f>
        <v>12.282807017543856</v>
      </c>
      <c r="AY40" s="904">
        <f>Tbl_Long_Hydro[[#This Row],[Displacement]]*Tbl_Long_Hydro[[#This Row],[RML]]/(100*Lpp)</f>
        <v>60.000000000001279</v>
      </c>
      <c r="AZ40" s="956">
        <f>Tbl_Long_Hydro[[#This Row],[Draught]]</f>
        <v>3.4000000000000017</v>
      </c>
      <c r="BA40" s="959">
        <f>Tbl_Long_Hydro[[#This Row],[Displacement]]</f>
        <v>3800.0000000000018</v>
      </c>
      <c r="BB40" s="960">
        <f>Tbl_Long_Hydro[[#This Row],[Displac. SW]]</f>
        <v>3895.0000000000014</v>
      </c>
      <c r="BC40" s="964">
        <f>Tbl_Long_Hydro[[#This Row],[Waterplane area]]/100*$AQ$4</f>
        <v>12.299999999999999</v>
      </c>
      <c r="BD40" s="961">
        <f>Tbl_Long_Hydro[[#This Row],[MCT]]</f>
        <v>60.000000000001279</v>
      </c>
      <c r="BE40" s="962">
        <f>Tbl_Long_Hydro[[#This Row],[LCB]]</f>
        <v>29.999999999999993</v>
      </c>
      <c r="BF40" s="962">
        <f>Tbl_Long_Hydro[[#This Row],[TCB]]</f>
        <v>0</v>
      </c>
      <c r="BG40" s="962">
        <f>Tbl_Long_Hydro[[#This Row],[LCF]]</f>
        <v>30</v>
      </c>
      <c r="BH40" s="963">
        <f>Tbl_Long_Hydro[[#This Row],[KMT]]</f>
        <v>12.282807017543856</v>
      </c>
    </row>
    <row r="41" spans="11:60" x14ac:dyDescent="0.25">
      <c r="K41" s="156">
        <f t="shared" si="1"/>
        <v>35</v>
      </c>
      <c r="L41" s="164">
        <f t="shared" si="2"/>
        <v>17.5</v>
      </c>
      <c r="M41" s="163">
        <f>MATCH(Tbl_Long_Section[[#This Row],[X]],Tbl_Long_Definition[X],1)</f>
        <v>2</v>
      </c>
      <c r="N41" s="157">
        <f>IF(Tbl_Long_Section[[#This Row],[Nline Prev]]&lt;COUNT(Tbl_Long_Definition[X]),Tbl_Long_Section[[#This Row],[Nline Prev]]+1,Tbl_Long_Section[[#This Row],[Nline Prev]])</f>
        <v>3</v>
      </c>
      <c r="O41" s="162">
        <f>INDEX(Tbl_Long_Definition[X],Tbl_Long_Section[[#This Row],[Nline Prev]])</f>
        <v>5</v>
      </c>
      <c r="P41" s="159">
        <f>INDEX(Tbl_Long_Definition[X],Tbl_Long_Section[[#This Row],[Nline Next]])</f>
        <v>55</v>
      </c>
      <c r="Q41" s="160">
        <f>INDEX(Tbl_Long_Definition[H Deck-Bott.],Tbl_Long_Section[[#This Row],[Nline Prev]])</f>
        <v>4</v>
      </c>
      <c r="R41" s="161">
        <f>INDEX(Tbl_Long_Definition[H Deck-Bott.],Tbl_Long_Section[[#This Row],[Nline Next]])</f>
        <v>4</v>
      </c>
      <c r="S41"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41" s="8"/>
      <c r="V41" s="873">
        <f t="shared" si="4"/>
        <v>3.5000000000000018</v>
      </c>
      <c r="W41" s="885" t="e">
        <f>MATCH(Tbl_Long_Hydro[[#This Row],[Draught]],Tbl_Long_Definition[H k-bott],-1)</f>
        <v>#N/A</v>
      </c>
      <c r="X41"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41" s="886">
        <f>MATCH(Tbl_Long_Hydro[[#This Row],[Draught]],Tbl_Long_Definition[H k-bott],1)</f>
        <v>4</v>
      </c>
      <c r="Z41"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41" s="888">
        <f>IF(ISNA(Tbl_Long_Hydro[[#This Row],[Draught]]),NA(),IFERROR(INDEX(Tbl_Long_Definition[X],Tbl_Long_Hydro[[#This Row],[Aft Nline prev]]),0))</f>
        <v>0</v>
      </c>
      <c r="AB41" s="889">
        <f>IF(ISNA(Tbl_Long_Hydro[[#This Row],[Draught]]),NA(),IFERROR(INDEX(Tbl_Long_Definition[X],Tbl_Long_Hydro[[#This Row],[Aft Nline next]]),0))</f>
        <v>0</v>
      </c>
      <c r="AC41" s="889" t="e">
        <f>IF(ISNA(Tbl_Long_Hydro[[#This Row],[Draught]]),NA(),INDEX(Tbl_Long_Definition[H k-bott],Tbl_Long_Hydro[[#This Row],[Aft Nline prev]]))</f>
        <v>#N/A</v>
      </c>
      <c r="AD41" s="889" t="e">
        <f>IF(ISNA(Tbl_Long_Hydro[[#This Row],[Draught]]),NA(),INDEX(Tbl_Long_Definition[H k-bott],Tbl_Long_Hydro[[#This Row],[Aft Nline next]]))</f>
        <v>#N/A</v>
      </c>
      <c r="AE41" s="888">
        <f>IF(ISNA(Tbl_Long_Hydro[[#This Row],[Draught]]),NA(),IFERROR(INDEX(Tbl_Long_Definition[X],Tbl_Long_Hydro[[#This Row],[Fore Nline prev]]),0))</f>
        <v>60</v>
      </c>
      <c r="AF41" s="889">
        <f>IF(ISNA(Tbl_Long_Hydro[[#This Row],[Draught]]),NA(),IFERROR(INDEX(Tbl_Long_Definition[X],Tbl_Long_Hydro[[#This Row],[Fore Nline next]]),0))</f>
        <v>60</v>
      </c>
      <c r="AG41" s="889">
        <f>IF(ISNA(Tbl_Long_Hydro[[#This Row],[Draught]]),NA(),INDEX(Tbl_Long_Definition[H k-bott],Tbl_Long_Hydro[[#This Row],[Fore Nline prev]]))</f>
        <v>2.8</v>
      </c>
      <c r="AH41" s="890">
        <f>IF(ISNA(Tbl_Long_Hydro[[#This Row],[Draught]]),NA(),INDEX(Tbl_Long_Definition[H k-bott],Tbl_Long_Hydro[[#This Row],[Fore Nline next]]))</f>
        <v>2.8</v>
      </c>
      <c r="AI41"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0</v>
      </c>
      <c r="AJ41"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60</v>
      </c>
      <c r="AK41" s="894">
        <f>Tbl_Long_Hydro[[#This Row],[Fore X]]-Tbl_Long_Hydro[[#This Row],[Aft X]]</f>
        <v>60</v>
      </c>
      <c r="AL41" s="884">
        <f>Tbl_Long_Hydro[[#This Row],[LX]]*B</f>
        <v>1200</v>
      </c>
      <c r="AM41" s="892">
        <f>IF(ISNUMBER(AM40),(AK40+Tbl_Long_Hydro[[#This Row],[LX]])*(Tbl_Long_Hydro[[#This Row],[Draught]]-V40)/2*B,(Tbl_Long_Hydro[[#This Row],[LX]])*Tbl_Long_Hydro[[#This Row],[Draught]]*B)</f>
        <v>120.00000000000011</v>
      </c>
      <c r="AN41" s="899">
        <f>Tbl_Long_Hydro[[#This Row],[Aft X]]+Tbl_Long_Hydro[[#This Row],[LX]]/2</f>
        <v>30</v>
      </c>
      <c r="AO41" s="876">
        <f>IF(ISNUMBER(AO40),(2*Tbl_Long_Hydro[[#This Row],[LX]]+AK40)/(Tbl_Long_Hydro[[#This Row],[LX]]+AK40)*(Tbl_Long_Hydro[[#This Row],[Draught]]-V40)/3+V40,Tbl_Long_Hydro[[#This Row],[Draught]]/2)</f>
        <v>3.450000000000002</v>
      </c>
      <c r="AP41" s="898">
        <f>IF(ISNUMBER(AP40),Tbl_Long_Hydro[[#This Row],[Volume elt]]+AP40,Tbl_Long_Hydro[[#This Row],[Volume elt]]*AO$4)</f>
        <v>3920.0000000000018</v>
      </c>
      <c r="AQ41" s="893">
        <f>IF(ISNUMBER(AQ40),Tbl_Long_Hydro[[#This Row],[Displacement]]*AQ$4,IF(ISNA(AQ40),NA(),0))</f>
        <v>4018.0000000000014</v>
      </c>
      <c r="AR41" s="900">
        <f>IF(ISNA(Tbl_Long_Hydro[[#This Row],[Draught]]),NA(),IFERROR(Tbl_Long_Hydro[[#This Row],[LX]]*B^3/12/Tbl_Long_Hydro[[#This Row],[Displacement]],0))</f>
        <v>10.204081632653056</v>
      </c>
      <c r="AS41" s="903">
        <f>IF(ISNA(Tbl_Long_Hydro[[#This Row],[Draught]]),NA(),IFERROR((B*Tbl_Long_Hydro[[#This Row],[LX]]^3/12+(Tbl_Long_Hydro[[#This Row],[LCF]]-Tbl_Long_Hydro[[#This Row],[LCB]])*Tbl_Long_Hydro[[#This Row],[Waterplane area]]*Tbl_Long_Hydro[[#This Row],[LCF]]^2)/Tbl_Long_Hydro[[#This Row],[Displacement]],0))</f>
        <v>91.836734693879464</v>
      </c>
      <c r="AT41" s="900">
        <f>Tbl_Long_Hydro[[#This Row],[Aft X]]+Tbl_Long_Hydro[[#This Row],[LX]]/2</f>
        <v>30</v>
      </c>
      <c r="AU41" s="901">
        <f>IF(ISNUMBER(AU40),(AU40*AP40+Tbl_Long_Hydro[[#This Row],[X CoG elt]]*Tbl_Long_Hydro[[#This Row],[Volume elt]])/Tbl_Long_Hydro[[#This Row],[Displacement]],Tbl_Long_Hydro[[#This Row],[X CoG elt]])</f>
        <v>29.999999999999993</v>
      </c>
      <c r="AV41" s="902">
        <f>IF(ISNA(Tbl_Long_Hydro[[#This Row],[Draught]]),NA(),0)</f>
        <v>0</v>
      </c>
      <c r="AW41" s="876">
        <f>IF(ISNUMBER(AW40),(AW40*AP40+Tbl_Long_Hydro[[#This Row],[Z CoG elt]]*Tbl_Long_Hydro[[#This Row],[Volume elt]])/Tbl_Long_Hydro[[#This Row],[Displacement]],Tbl_Long_Hydro[[#This Row],[Z CoG elt]])</f>
        <v>1.8083333333333349</v>
      </c>
      <c r="AX41" s="899">
        <f>Tbl_Long_Hydro[[#This Row],[RMT]]+Tbl_Long_Hydro[[#This Row],[VCB]]</f>
        <v>12.012414965986391</v>
      </c>
      <c r="AY41" s="904">
        <f>Tbl_Long_Hydro[[#This Row],[Displacement]]*Tbl_Long_Hydro[[#This Row],[RML]]/(100*Lpp)</f>
        <v>60.000000000001279</v>
      </c>
      <c r="AZ41" s="956">
        <f>Tbl_Long_Hydro[[#This Row],[Draught]]</f>
        <v>3.5000000000000018</v>
      </c>
      <c r="BA41" s="959">
        <f>Tbl_Long_Hydro[[#This Row],[Displacement]]</f>
        <v>3920.0000000000018</v>
      </c>
      <c r="BB41" s="960">
        <f>Tbl_Long_Hydro[[#This Row],[Displac. SW]]</f>
        <v>4018.0000000000014</v>
      </c>
      <c r="BC41" s="964">
        <f>Tbl_Long_Hydro[[#This Row],[Waterplane area]]/100*$AQ$4</f>
        <v>12.299999999999999</v>
      </c>
      <c r="BD41" s="961">
        <f>Tbl_Long_Hydro[[#This Row],[MCT]]</f>
        <v>60.000000000001279</v>
      </c>
      <c r="BE41" s="962">
        <f>Tbl_Long_Hydro[[#This Row],[LCB]]</f>
        <v>29.999999999999993</v>
      </c>
      <c r="BF41" s="962">
        <f>Tbl_Long_Hydro[[#This Row],[TCB]]</f>
        <v>0</v>
      </c>
      <c r="BG41" s="962">
        <f>Tbl_Long_Hydro[[#This Row],[LCF]]</f>
        <v>30</v>
      </c>
      <c r="BH41" s="963">
        <f>Tbl_Long_Hydro[[#This Row],[KMT]]</f>
        <v>12.012414965986391</v>
      </c>
    </row>
    <row r="42" spans="11:60" x14ac:dyDescent="0.25">
      <c r="K42" s="156">
        <f t="shared" si="1"/>
        <v>36</v>
      </c>
      <c r="L42" s="164">
        <f t="shared" si="2"/>
        <v>18</v>
      </c>
      <c r="M42" s="163">
        <f>MATCH(Tbl_Long_Section[[#This Row],[X]],Tbl_Long_Definition[X],1)</f>
        <v>2</v>
      </c>
      <c r="N42" s="157">
        <f>IF(Tbl_Long_Section[[#This Row],[Nline Prev]]&lt;COUNT(Tbl_Long_Definition[X]),Tbl_Long_Section[[#This Row],[Nline Prev]]+1,Tbl_Long_Section[[#This Row],[Nline Prev]])</f>
        <v>3</v>
      </c>
      <c r="O42" s="162">
        <f>INDEX(Tbl_Long_Definition[X],Tbl_Long_Section[[#This Row],[Nline Prev]])</f>
        <v>5</v>
      </c>
      <c r="P42" s="159">
        <f>INDEX(Tbl_Long_Definition[X],Tbl_Long_Section[[#This Row],[Nline Next]])</f>
        <v>55</v>
      </c>
      <c r="Q42" s="160">
        <f>INDEX(Tbl_Long_Definition[H Deck-Bott.],Tbl_Long_Section[[#This Row],[Nline Prev]])</f>
        <v>4</v>
      </c>
      <c r="R42" s="161">
        <f>INDEX(Tbl_Long_Definition[H Deck-Bott.],Tbl_Long_Section[[#This Row],[Nline Next]])</f>
        <v>4</v>
      </c>
      <c r="S42"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42" s="8"/>
      <c r="V42" s="873">
        <f t="shared" si="4"/>
        <v>3.6000000000000019</v>
      </c>
      <c r="W42" s="885" t="e">
        <f>MATCH(Tbl_Long_Hydro[[#This Row],[Draught]],Tbl_Long_Definition[H k-bott],-1)</f>
        <v>#N/A</v>
      </c>
      <c r="X42"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42" s="886">
        <f>MATCH(Tbl_Long_Hydro[[#This Row],[Draught]],Tbl_Long_Definition[H k-bott],1)</f>
        <v>4</v>
      </c>
      <c r="Z42"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42" s="888">
        <f>IF(ISNA(Tbl_Long_Hydro[[#This Row],[Draught]]),NA(),IFERROR(INDEX(Tbl_Long_Definition[X],Tbl_Long_Hydro[[#This Row],[Aft Nline prev]]),0))</f>
        <v>0</v>
      </c>
      <c r="AB42" s="889">
        <f>IF(ISNA(Tbl_Long_Hydro[[#This Row],[Draught]]),NA(),IFERROR(INDEX(Tbl_Long_Definition[X],Tbl_Long_Hydro[[#This Row],[Aft Nline next]]),0))</f>
        <v>0</v>
      </c>
      <c r="AC42" s="889" t="e">
        <f>IF(ISNA(Tbl_Long_Hydro[[#This Row],[Draught]]),NA(),INDEX(Tbl_Long_Definition[H k-bott],Tbl_Long_Hydro[[#This Row],[Aft Nline prev]]))</f>
        <v>#N/A</v>
      </c>
      <c r="AD42" s="889" t="e">
        <f>IF(ISNA(Tbl_Long_Hydro[[#This Row],[Draught]]),NA(),INDEX(Tbl_Long_Definition[H k-bott],Tbl_Long_Hydro[[#This Row],[Aft Nline next]]))</f>
        <v>#N/A</v>
      </c>
      <c r="AE42" s="888">
        <f>IF(ISNA(Tbl_Long_Hydro[[#This Row],[Draught]]),NA(),IFERROR(INDEX(Tbl_Long_Definition[X],Tbl_Long_Hydro[[#This Row],[Fore Nline prev]]),0))</f>
        <v>60</v>
      </c>
      <c r="AF42" s="889">
        <f>IF(ISNA(Tbl_Long_Hydro[[#This Row],[Draught]]),NA(),IFERROR(INDEX(Tbl_Long_Definition[X],Tbl_Long_Hydro[[#This Row],[Fore Nline next]]),0))</f>
        <v>60</v>
      </c>
      <c r="AG42" s="889">
        <f>IF(ISNA(Tbl_Long_Hydro[[#This Row],[Draught]]),NA(),INDEX(Tbl_Long_Definition[H k-bott],Tbl_Long_Hydro[[#This Row],[Fore Nline prev]]))</f>
        <v>2.8</v>
      </c>
      <c r="AH42" s="890">
        <f>IF(ISNA(Tbl_Long_Hydro[[#This Row],[Draught]]),NA(),INDEX(Tbl_Long_Definition[H k-bott],Tbl_Long_Hydro[[#This Row],[Fore Nline next]]))</f>
        <v>2.8</v>
      </c>
      <c r="AI42"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0</v>
      </c>
      <c r="AJ42"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60</v>
      </c>
      <c r="AK42" s="894">
        <f>Tbl_Long_Hydro[[#This Row],[Fore X]]-Tbl_Long_Hydro[[#This Row],[Aft X]]</f>
        <v>60</v>
      </c>
      <c r="AL42" s="884">
        <f>Tbl_Long_Hydro[[#This Row],[LX]]*B</f>
        <v>1200</v>
      </c>
      <c r="AM42" s="892">
        <f>IF(ISNUMBER(AM41),(AK41+Tbl_Long_Hydro[[#This Row],[LX]])*(Tbl_Long_Hydro[[#This Row],[Draught]]-V41)/2*B,(Tbl_Long_Hydro[[#This Row],[LX]])*Tbl_Long_Hydro[[#This Row],[Draught]]*B)</f>
        <v>120.00000000000011</v>
      </c>
      <c r="AN42" s="899">
        <f>Tbl_Long_Hydro[[#This Row],[Aft X]]+Tbl_Long_Hydro[[#This Row],[LX]]/2</f>
        <v>30</v>
      </c>
      <c r="AO42" s="876">
        <f>IF(ISNUMBER(AO41),(2*Tbl_Long_Hydro[[#This Row],[LX]]+AK41)/(Tbl_Long_Hydro[[#This Row],[LX]]+AK41)*(Tbl_Long_Hydro[[#This Row],[Draught]]-V41)/3+V41,Tbl_Long_Hydro[[#This Row],[Draught]]/2)</f>
        <v>3.5500000000000016</v>
      </c>
      <c r="AP42" s="898">
        <f>IF(ISNUMBER(AP41),Tbl_Long_Hydro[[#This Row],[Volume elt]]+AP41,Tbl_Long_Hydro[[#This Row],[Volume elt]]*AO$4)</f>
        <v>4040.0000000000018</v>
      </c>
      <c r="AQ42" s="893">
        <f>IF(ISNUMBER(AQ41),Tbl_Long_Hydro[[#This Row],[Displacement]]*AQ$4,IF(ISNA(AQ41),NA(),0))</f>
        <v>4141.0000000000018</v>
      </c>
      <c r="AR42" s="900">
        <f>IF(ISNA(Tbl_Long_Hydro[[#This Row],[Draught]]),NA(),IFERROR(Tbl_Long_Hydro[[#This Row],[LX]]*B^3/12/Tbl_Long_Hydro[[#This Row],[Displacement]],0))</f>
        <v>9.9009900990098973</v>
      </c>
      <c r="AS42" s="903">
        <f>IF(ISNA(Tbl_Long_Hydro[[#This Row],[Draught]]),NA(),IFERROR((B*Tbl_Long_Hydro[[#This Row],[LX]]^3/12+(Tbl_Long_Hydro[[#This Row],[LCF]]-Tbl_Long_Hydro[[#This Row],[LCB]])*Tbl_Long_Hydro[[#This Row],[Waterplane area]]*Tbl_Long_Hydro[[#This Row],[LCF]]^2)/Tbl_Long_Hydro[[#This Row],[Displacement]],0))</f>
        <v>89.108910891090972</v>
      </c>
      <c r="AT42" s="900">
        <f>Tbl_Long_Hydro[[#This Row],[Aft X]]+Tbl_Long_Hydro[[#This Row],[LX]]/2</f>
        <v>30</v>
      </c>
      <c r="AU42" s="901">
        <f>IF(ISNUMBER(AU41),(AU41*AP41+Tbl_Long_Hydro[[#This Row],[X CoG elt]]*Tbl_Long_Hydro[[#This Row],[Volume elt]])/Tbl_Long_Hydro[[#This Row],[Displacement]],Tbl_Long_Hydro[[#This Row],[X CoG elt]])</f>
        <v>29.999999999999993</v>
      </c>
      <c r="AV42" s="902">
        <f>IF(ISNA(Tbl_Long_Hydro[[#This Row],[Draught]]),NA(),0)</f>
        <v>0</v>
      </c>
      <c r="AW42" s="876">
        <f>IF(ISNUMBER(AW41),(AW41*AP41+Tbl_Long_Hydro[[#This Row],[Z CoG elt]]*Tbl_Long_Hydro[[#This Row],[Volume elt]])/Tbl_Long_Hydro[[#This Row],[Displacement]],Tbl_Long_Hydro[[#This Row],[Z CoG elt]])</f>
        <v>1.8600660066006618</v>
      </c>
      <c r="AX42" s="899">
        <f>Tbl_Long_Hydro[[#This Row],[RMT]]+Tbl_Long_Hydro[[#This Row],[VCB]]</f>
        <v>11.761056105610558</v>
      </c>
      <c r="AY42" s="904">
        <f>Tbl_Long_Hydro[[#This Row],[Displacement]]*Tbl_Long_Hydro[[#This Row],[RML]]/(100*Lpp)</f>
        <v>60.000000000001279</v>
      </c>
      <c r="AZ42" s="956">
        <f>Tbl_Long_Hydro[[#This Row],[Draught]]</f>
        <v>3.6000000000000019</v>
      </c>
      <c r="BA42" s="959">
        <f>Tbl_Long_Hydro[[#This Row],[Displacement]]</f>
        <v>4040.0000000000018</v>
      </c>
      <c r="BB42" s="960">
        <f>Tbl_Long_Hydro[[#This Row],[Displac. SW]]</f>
        <v>4141.0000000000018</v>
      </c>
      <c r="BC42" s="964">
        <f>Tbl_Long_Hydro[[#This Row],[Waterplane area]]/100*$AQ$4</f>
        <v>12.299999999999999</v>
      </c>
      <c r="BD42" s="961">
        <f>Tbl_Long_Hydro[[#This Row],[MCT]]</f>
        <v>60.000000000001279</v>
      </c>
      <c r="BE42" s="962">
        <f>Tbl_Long_Hydro[[#This Row],[LCB]]</f>
        <v>29.999999999999993</v>
      </c>
      <c r="BF42" s="962">
        <f>Tbl_Long_Hydro[[#This Row],[TCB]]</f>
        <v>0</v>
      </c>
      <c r="BG42" s="962">
        <f>Tbl_Long_Hydro[[#This Row],[LCF]]</f>
        <v>30</v>
      </c>
      <c r="BH42" s="963">
        <f>Tbl_Long_Hydro[[#This Row],[KMT]]</f>
        <v>11.761056105610558</v>
      </c>
    </row>
    <row r="43" spans="11:60" x14ac:dyDescent="0.25">
      <c r="K43" s="156">
        <f t="shared" si="1"/>
        <v>37</v>
      </c>
      <c r="L43" s="164">
        <f t="shared" si="2"/>
        <v>18.5</v>
      </c>
      <c r="M43" s="163">
        <f>MATCH(Tbl_Long_Section[[#This Row],[X]],Tbl_Long_Definition[X],1)</f>
        <v>2</v>
      </c>
      <c r="N43" s="157">
        <f>IF(Tbl_Long_Section[[#This Row],[Nline Prev]]&lt;COUNT(Tbl_Long_Definition[X]),Tbl_Long_Section[[#This Row],[Nline Prev]]+1,Tbl_Long_Section[[#This Row],[Nline Prev]])</f>
        <v>3</v>
      </c>
      <c r="O43" s="162">
        <f>INDEX(Tbl_Long_Definition[X],Tbl_Long_Section[[#This Row],[Nline Prev]])</f>
        <v>5</v>
      </c>
      <c r="P43" s="159">
        <f>INDEX(Tbl_Long_Definition[X],Tbl_Long_Section[[#This Row],[Nline Next]])</f>
        <v>55</v>
      </c>
      <c r="Q43" s="160">
        <f>INDEX(Tbl_Long_Definition[H Deck-Bott.],Tbl_Long_Section[[#This Row],[Nline Prev]])</f>
        <v>4</v>
      </c>
      <c r="R43" s="161">
        <f>INDEX(Tbl_Long_Definition[H Deck-Bott.],Tbl_Long_Section[[#This Row],[Nline Next]])</f>
        <v>4</v>
      </c>
      <c r="S43"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43" s="8"/>
      <c r="V43" s="873">
        <f t="shared" si="4"/>
        <v>3.700000000000002</v>
      </c>
      <c r="W43" s="885" t="e">
        <f>MATCH(Tbl_Long_Hydro[[#This Row],[Draught]],Tbl_Long_Definition[H k-bott],-1)</f>
        <v>#N/A</v>
      </c>
      <c r="X43"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43" s="886">
        <f>MATCH(Tbl_Long_Hydro[[#This Row],[Draught]],Tbl_Long_Definition[H k-bott],1)</f>
        <v>4</v>
      </c>
      <c r="Z43"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43" s="888">
        <f>IF(ISNA(Tbl_Long_Hydro[[#This Row],[Draught]]),NA(),IFERROR(INDEX(Tbl_Long_Definition[X],Tbl_Long_Hydro[[#This Row],[Aft Nline prev]]),0))</f>
        <v>0</v>
      </c>
      <c r="AB43" s="889">
        <f>IF(ISNA(Tbl_Long_Hydro[[#This Row],[Draught]]),NA(),IFERROR(INDEX(Tbl_Long_Definition[X],Tbl_Long_Hydro[[#This Row],[Aft Nline next]]),0))</f>
        <v>0</v>
      </c>
      <c r="AC43" s="889" t="e">
        <f>IF(ISNA(Tbl_Long_Hydro[[#This Row],[Draught]]),NA(),INDEX(Tbl_Long_Definition[H k-bott],Tbl_Long_Hydro[[#This Row],[Aft Nline prev]]))</f>
        <v>#N/A</v>
      </c>
      <c r="AD43" s="889" t="e">
        <f>IF(ISNA(Tbl_Long_Hydro[[#This Row],[Draught]]),NA(),INDEX(Tbl_Long_Definition[H k-bott],Tbl_Long_Hydro[[#This Row],[Aft Nline next]]))</f>
        <v>#N/A</v>
      </c>
      <c r="AE43" s="888">
        <f>IF(ISNA(Tbl_Long_Hydro[[#This Row],[Draught]]),NA(),IFERROR(INDEX(Tbl_Long_Definition[X],Tbl_Long_Hydro[[#This Row],[Fore Nline prev]]),0))</f>
        <v>60</v>
      </c>
      <c r="AF43" s="889">
        <f>IF(ISNA(Tbl_Long_Hydro[[#This Row],[Draught]]),NA(),IFERROR(INDEX(Tbl_Long_Definition[X],Tbl_Long_Hydro[[#This Row],[Fore Nline next]]),0))</f>
        <v>60</v>
      </c>
      <c r="AG43" s="889">
        <f>IF(ISNA(Tbl_Long_Hydro[[#This Row],[Draught]]),NA(),INDEX(Tbl_Long_Definition[H k-bott],Tbl_Long_Hydro[[#This Row],[Fore Nline prev]]))</f>
        <v>2.8</v>
      </c>
      <c r="AH43" s="890">
        <f>IF(ISNA(Tbl_Long_Hydro[[#This Row],[Draught]]),NA(),INDEX(Tbl_Long_Definition[H k-bott],Tbl_Long_Hydro[[#This Row],[Fore Nline next]]))</f>
        <v>2.8</v>
      </c>
      <c r="AI43"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0</v>
      </c>
      <c r="AJ43"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60</v>
      </c>
      <c r="AK43" s="894">
        <f>Tbl_Long_Hydro[[#This Row],[Fore X]]-Tbl_Long_Hydro[[#This Row],[Aft X]]</f>
        <v>60</v>
      </c>
      <c r="AL43" s="884">
        <f>Tbl_Long_Hydro[[#This Row],[LX]]*B</f>
        <v>1200</v>
      </c>
      <c r="AM43" s="892">
        <f>IF(ISNUMBER(AM42),(AK42+Tbl_Long_Hydro[[#This Row],[LX]])*(Tbl_Long_Hydro[[#This Row],[Draught]]-V42)/2*B,(Tbl_Long_Hydro[[#This Row],[LX]])*Tbl_Long_Hydro[[#This Row],[Draught]]*B)</f>
        <v>120.00000000000011</v>
      </c>
      <c r="AN43" s="899">
        <f>Tbl_Long_Hydro[[#This Row],[Aft X]]+Tbl_Long_Hydro[[#This Row],[LX]]/2</f>
        <v>30</v>
      </c>
      <c r="AO43" s="876">
        <f>IF(ISNUMBER(AO42),(2*Tbl_Long_Hydro[[#This Row],[LX]]+AK42)/(Tbl_Long_Hydro[[#This Row],[LX]]+AK42)*(Tbl_Long_Hydro[[#This Row],[Draught]]-V42)/3+V42,Tbl_Long_Hydro[[#This Row],[Draught]]/2)</f>
        <v>3.6500000000000021</v>
      </c>
      <c r="AP43" s="898">
        <f>IF(ISNUMBER(AP42),Tbl_Long_Hydro[[#This Row],[Volume elt]]+AP42,Tbl_Long_Hydro[[#This Row],[Volume elt]]*AO$4)</f>
        <v>4160.0000000000018</v>
      </c>
      <c r="AQ43" s="893">
        <f>IF(ISNUMBER(AQ42),Tbl_Long_Hydro[[#This Row],[Displacement]]*AQ$4,IF(ISNA(AQ42),NA(),0))</f>
        <v>4264.0000000000018</v>
      </c>
      <c r="AR43" s="900">
        <f>IF(ISNA(Tbl_Long_Hydro[[#This Row],[Draught]]),NA(),IFERROR(Tbl_Long_Hydro[[#This Row],[LX]]*B^3/12/Tbl_Long_Hydro[[#This Row],[Displacement]],0))</f>
        <v>9.6153846153846114</v>
      </c>
      <c r="AS43" s="903">
        <f>IF(ISNA(Tbl_Long_Hydro[[#This Row],[Draught]]),NA(),IFERROR((B*Tbl_Long_Hydro[[#This Row],[LX]]^3/12+(Tbl_Long_Hydro[[#This Row],[LCF]]-Tbl_Long_Hydro[[#This Row],[LCB]])*Tbl_Long_Hydro[[#This Row],[Waterplane area]]*Tbl_Long_Hydro[[#This Row],[LCF]]^2)/Tbl_Long_Hydro[[#This Row],[Displacement]],0))</f>
        <v>86.538461538463352</v>
      </c>
      <c r="AT43" s="900">
        <f>Tbl_Long_Hydro[[#This Row],[Aft X]]+Tbl_Long_Hydro[[#This Row],[LX]]/2</f>
        <v>30</v>
      </c>
      <c r="AU43" s="901">
        <f>IF(ISNUMBER(AU42),(AU42*AP42+Tbl_Long_Hydro[[#This Row],[X CoG elt]]*Tbl_Long_Hydro[[#This Row],[Volume elt]])/Tbl_Long_Hydro[[#This Row],[Displacement]],Tbl_Long_Hydro[[#This Row],[X CoG elt]])</f>
        <v>29.999999999999993</v>
      </c>
      <c r="AV43" s="902">
        <f>IF(ISNA(Tbl_Long_Hydro[[#This Row],[Draught]]),NA(),0)</f>
        <v>0</v>
      </c>
      <c r="AW43" s="876">
        <f>IF(ISNUMBER(AW42),(AW42*AP42+Tbl_Long_Hydro[[#This Row],[Z CoG elt]]*Tbl_Long_Hydro[[#This Row],[Volume elt]])/Tbl_Long_Hydro[[#This Row],[Displacement]],Tbl_Long_Hydro[[#This Row],[Z CoG elt]])</f>
        <v>1.9116987179487197</v>
      </c>
      <c r="AX43" s="899">
        <f>Tbl_Long_Hydro[[#This Row],[RMT]]+Tbl_Long_Hydro[[#This Row],[VCB]]</f>
        <v>11.527083333333332</v>
      </c>
      <c r="AY43" s="904">
        <f>Tbl_Long_Hydro[[#This Row],[Displacement]]*Tbl_Long_Hydro[[#This Row],[RML]]/(100*Lpp)</f>
        <v>60.000000000001279</v>
      </c>
      <c r="AZ43" s="956">
        <f>Tbl_Long_Hydro[[#This Row],[Draught]]</f>
        <v>3.700000000000002</v>
      </c>
      <c r="BA43" s="959">
        <f>Tbl_Long_Hydro[[#This Row],[Displacement]]</f>
        <v>4160.0000000000018</v>
      </c>
      <c r="BB43" s="960">
        <f>Tbl_Long_Hydro[[#This Row],[Displac. SW]]</f>
        <v>4264.0000000000018</v>
      </c>
      <c r="BC43" s="964">
        <f>Tbl_Long_Hydro[[#This Row],[Waterplane area]]/100*$AQ$4</f>
        <v>12.299999999999999</v>
      </c>
      <c r="BD43" s="961">
        <f>Tbl_Long_Hydro[[#This Row],[MCT]]</f>
        <v>60.000000000001279</v>
      </c>
      <c r="BE43" s="962">
        <f>Tbl_Long_Hydro[[#This Row],[LCB]]</f>
        <v>29.999999999999993</v>
      </c>
      <c r="BF43" s="962">
        <f>Tbl_Long_Hydro[[#This Row],[TCB]]</f>
        <v>0</v>
      </c>
      <c r="BG43" s="962">
        <f>Tbl_Long_Hydro[[#This Row],[LCF]]</f>
        <v>30</v>
      </c>
      <c r="BH43" s="963">
        <f>Tbl_Long_Hydro[[#This Row],[KMT]]</f>
        <v>11.527083333333332</v>
      </c>
    </row>
    <row r="44" spans="11:60" x14ac:dyDescent="0.25">
      <c r="K44" s="156">
        <f t="shared" si="1"/>
        <v>38</v>
      </c>
      <c r="L44" s="164">
        <f t="shared" si="2"/>
        <v>19</v>
      </c>
      <c r="M44" s="163">
        <f>MATCH(Tbl_Long_Section[[#This Row],[X]],Tbl_Long_Definition[X],1)</f>
        <v>2</v>
      </c>
      <c r="N44" s="157">
        <f>IF(Tbl_Long_Section[[#This Row],[Nline Prev]]&lt;COUNT(Tbl_Long_Definition[X]),Tbl_Long_Section[[#This Row],[Nline Prev]]+1,Tbl_Long_Section[[#This Row],[Nline Prev]])</f>
        <v>3</v>
      </c>
      <c r="O44" s="162">
        <f>INDEX(Tbl_Long_Definition[X],Tbl_Long_Section[[#This Row],[Nline Prev]])</f>
        <v>5</v>
      </c>
      <c r="P44" s="159">
        <f>INDEX(Tbl_Long_Definition[X],Tbl_Long_Section[[#This Row],[Nline Next]])</f>
        <v>55</v>
      </c>
      <c r="Q44" s="160">
        <f>INDEX(Tbl_Long_Definition[H Deck-Bott.],Tbl_Long_Section[[#This Row],[Nline Prev]])</f>
        <v>4</v>
      </c>
      <c r="R44" s="161">
        <f>INDEX(Tbl_Long_Definition[H Deck-Bott.],Tbl_Long_Section[[#This Row],[Nline Next]])</f>
        <v>4</v>
      </c>
      <c r="S44"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44" s="8"/>
      <c r="V44" s="873">
        <f t="shared" si="4"/>
        <v>3.800000000000002</v>
      </c>
      <c r="W44" s="885" t="e">
        <f>MATCH(Tbl_Long_Hydro[[#This Row],[Draught]],Tbl_Long_Definition[H k-bott],-1)</f>
        <v>#N/A</v>
      </c>
      <c r="X44"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44" s="886">
        <f>MATCH(Tbl_Long_Hydro[[#This Row],[Draught]],Tbl_Long_Definition[H k-bott],1)</f>
        <v>4</v>
      </c>
      <c r="Z44"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44" s="888">
        <f>IF(ISNA(Tbl_Long_Hydro[[#This Row],[Draught]]),NA(),IFERROR(INDEX(Tbl_Long_Definition[X],Tbl_Long_Hydro[[#This Row],[Aft Nline prev]]),0))</f>
        <v>0</v>
      </c>
      <c r="AB44" s="889">
        <f>IF(ISNA(Tbl_Long_Hydro[[#This Row],[Draught]]),NA(),IFERROR(INDEX(Tbl_Long_Definition[X],Tbl_Long_Hydro[[#This Row],[Aft Nline next]]),0))</f>
        <v>0</v>
      </c>
      <c r="AC44" s="889" t="e">
        <f>IF(ISNA(Tbl_Long_Hydro[[#This Row],[Draught]]),NA(),INDEX(Tbl_Long_Definition[H k-bott],Tbl_Long_Hydro[[#This Row],[Aft Nline prev]]))</f>
        <v>#N/A</v>
      </c>
      <c r="AD44" s="889" t="e">
        <f>IF(ISNA(Tbl_Long_Hydro[[#This Row],[Draught]]),NA(),INDEX(Tbl_Long_Definition[H k-bott],Tbl_Long_Hydro[[#This Row],[Aft Nline next]]))</f>
        <v>#N/A</v>
      </c>
      <c r="AE44" s="888">
        <f>IF(ISNA(Tbl_Long_Hydro[[#This Row],[Draught]]),NA(),IFERROR(INDEX(Tbl_Long_Definition[X],Tbl_Long_Hydro[[#This Row],[Fore Nline prev]]),0))</f>
        <v>60</v>
      </c>
      <c r="AF44" s="889">
        <f>IF(ISNA(Tbl_Long_Hydro[[#This Row],[Draught]]),NA(),IFERROR(INDEX(Tbl_Long_Definition[X],Tbl_Long_Hydro[[#This Row],[Fore Nline next]]),0))</f>
        <v>60</v>
      </c>
      <c r="AG44" s="889">
        <f>IF(ISNA(Tbl_Long_Hydro[[#This Row],[Draught]]),NA(),INDEX(Tbl_Long_Definition[H k-bott],Tbl_Long_Hydro[[#This Row],[Fore Nline prev]]))</f>
        <v>2.8</v>
      </c>
      <c r="AH44" s="890">
        <f>IF(ISNA(Tbl_Long_Hydro[[#This Row],[Draught]]),NA(),INDEX(Tbl_Long_Definition[H k-bott],Tbl_Long_Hydro[[#This Row],[Fore Nline next]]))</f>
        <v>2.8</v>
      </c>
      <c r="AI44"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0</v>
      </c>
      <c r="AJ44"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60</v>
      </c>
      <c r="AK44" s="894">
        <f>Tbl_Long_Hydro[[#This Row],[Fore X]]-Tbl_Long_Hydro[[#This Row],[Aft X]]</f>
        <v>60</v>
      </c>
      <c r="AL44" s="884">
        <f>Tbl_Long_Hydro[[#This Row],[LX]]*B</f>
        <v>1200</v>
      </c>
      <c r="AM44" s="892">
        <f>IF(ISNUMBER(AM43),(AK43+Tbl_Long_Hydro[[#This Row],[LX]])*(Tbl_Long_Hydro[[#This Row],[Draught]]-V43)/2*B,(Tbl_Long_Hydro[[#This Row],[LX]])*Tbl_Long_Hydro[[#This Row],[Draught]]*B)</f>
        <v>120.00000000000011</v>
      </c>
      <c r="AN44" s="899">
        <f>Tbl_Long_Hydro[[#This Row],[Aft X]]+Tbl_Long_Hydro[[#This Row],[LX]]/2</f>
        <v>30</v>
      </c>
      <c r="AO44" s="876">
        <f>IF(ISNUMBER(AO43),(2*Tbl_Long_Hydro[[#This Row],[LX]]+AK43)/(Tbl_Long_Hydro[[#This Row],[LX]]+AK43)*(Tbl_Long_Hydro[[#This Row],[Draught]]-V43)/3+V43,Tbl_Long_Hydro[[#This Row],[Draught]]/2)</f>
        <v>3.7500000000000018</v>
      </c>
      <c r="AP44" s="898">
        <f>IF(ISNUMBER(AP43),Tbl_Long_Hydro[[#This Row],[Volume elt]]+AP43,Tbl_Long_Hydro[[#This Row],[Volume elt]]*AO$4)</f>
        <v>4280.0000000000018</v>
      </c>
      <c r="AQ44" s="893">
        <f>IF(ISNUMBER(AQ43),Tbl_Long_Hydro[[#This Row],[Displacement]]*AQ$4,IF(ISNA(AQ43),NA(),0))</f>
        <v>4387.0000000000018</v>
      </c>
      <c r="AR44" s="900">
        <f>IF(ISNA(Tbl_Long_Hydro[[#This Row],[Draught]]),NA(),IFERROR(Tbl_Long_Hydro[[#This Row],[LX]]*B^3/12/Tbl_Long_Hydro[[#This Row],[Displacement]],0))</f>
        <v>9.3457943925233611</v>
      </c>
      <c r="AS44" s="903">
        <f>IF(ISNA(Tbl_Long_Hydro[[#This Row],[Draught]]),NA(),IFERROR((B*Tbl_Long_Hydro[[#This Row],[LX]]^3/12+(Tbl_Long_Hydro[[#This Row],[LCF]]-Tbl_Long_Hydro[[#This Row],[LCB]])*Tbl_Long_Hydro[[#This Row],[Waterplane area]]*Tbl_Long_Hydro[[#This Row],[LCF]]^2)/Tbl_Long_Hydro[[#This Row],[Displacement]],0))</f>
        <v>84.112149532712039</v>
      </c>
      <c r="AT44" s="900">
        <f>Tbl_Long_Hydro[[#This Row],[Aft X]]+Tbl_Long_Hydro[[#This Row],[LX]]/2</f>
        <v>30</v>
      </c>
      <c r="AU44" s="901">
        <f>IF(ISNUMBER(AU43),(AU43*AP43+Tbl_Long_Hydro[[#This Row],[X CoG elt]]*Tbl_Long_Hydro[[#This Row],[Volume elt]])/Tbl_Long_Hydro[[#This Row],[Displacement]],Tbl_Long_Hydro[[#This Row],[X CoG elt]])</f>
        <v>29.999999999999993</v>
      </c>
      <c r="AV44" s="902">
        <f>IF(ISNA(Tbl_Long_Hydro[[#This Row],[Draught]]),NA(),0)</f>
        <v>0</v>
      </c>
      <c r="AW44" s="876">
        <f>IF(ISNUMBER(AW43),(AW43*AP43+Tbl_Long_Hydro[[#This Row],[Z CoG elt]]*Tbl_Long_Hydro[[#This Row],[Volume elt]])/Tbl_Long_Hydro[[#This Row],[Displacement]],Tbl_Long_Hydro[[#This Row],[Z CoG elt]])</f>
        <v>1.96323987538941</v>
      </c>
      <c r="AX44" s="899">
        <f>Tbl_Long_Hydro[[#This Row],[RMT]]+Tbl_Long_Hydro[[#This Row],[VCB]]</f>
        <v>11.309034267912772</v>
      </c>
      <c r="AY44" s="904">
        <f>Tbl_Long_Hydro[[#This Row],[Displacement]]*Tbl_Long_Hydro[[#This Row],[RML]]/(100*Lpp)</f>
        <v>60.000000000001279</v>
      </c>
      <c r="AZ44" s="956">
        <f>Tbl_Long_Hydro[[#This Row],[Draught]]</f>
        <v>3.800000000000002</v>
      </c>
      <c r="BA44" s="959">
        <f>Tbl_Long_Hydro[[#This Row],[Displacement]]</f>
        <v>4280.0000000000018</v>
      </c>
      <c r="BB44" s="960">
        <f>Tbl_Long_Hydro[[#This Row],[Displac. SW]]</f>
        <v>4387.0000000000018</v>
      </c>
      <c r="BC44" s="964">
        <f>Tbl_Long_Hydro[[#This Row],[Waterplane area]]/100*$AQ$4</f>
        <v>12.299999999999999</v>
      </c>
      <c r="BD44" s="961">
        <f>Tbl_Long_Hydro[[#This Row],[MCT]]</f>
        <v>60.000000000001279</v>
      </c>
      <c r="BE44" s="962">
        <f>Tbl_Long_Hydro[[#This Row],[LCB]]</f>
        <v>29.999999999999993</v>
      </c>
      <c r="BF44" s="962">
        <f>Tbl_Long_Hydro[[#This Row],[TCB]]</f>
        <v>0</v>
      </c>
      <c r="BG44" s="962">
        <f>Tbl_Long_Hydro[[#This Row],[LCF]]</f>
        <v>30</v>
      </c>
      <c r="BH44" s="963">
        <f>Tbl_Long_Hydro[[#This Row],[KMT]]</f>
        <v>11.309034267912772</v>
      </c>
    </row>
    <row r="45" spans="11:60" x14ac:dyDescent="0.25">
      <c r="K45" s="156">
        <f t="shared" si="1"/>
        <v>39</v>
      </c>
      <c r="L45" s="164">
        <f t="shared" si="2"/>
        <v>19.5</v>
      </c>
      <c r="M45" s="163">
        <f>MATCH(Tbl_Long_Section[[#This Row],[X]],Tbl_Long_Definition[X],1)</f>
        <v>2</v>
      </c>
      <c r="N45" s="157">
        <f>IF(Tbl_Long_Section[[#This Row],[Nline Prev]]&lt;COUNT(Tbl_Long_Definition[X]),Tbl_Long_Section[[#This Row],[Nline Prev]]+1,Tbl_Long_Section[[#This Row],[Nline Prev]])</f>
        <v>3</v>
      </c>
      <c r="O45" s="162">
        <f>INDEX(Tbl_Long_Definition[X],Tbl_Long_Section[[#This Row],[Nline Prev]])</f>
        <v>5</v>
      </c>
      <c r="P45" s="159">
        <f>INDEX(Tbl_Long_Definition[X],Tbl_Long_Section[[#This Row],[Nline Next]])</f>
        <v>55</v>
      </c>
      <c r="Q45" s="160">
        <f>INDEX(Tbl_Long_Definition[H Deck-Bott.],Tbl_Long_Section[[#This Row],[Nline Prev]])</f>
        <v>4</v>
      </c>
      <c r="R45" s="161">
        <f>INDEX(Tbl_Long_Definition[H Deck-Bott.],Tbl_Long_Section[[#This Row],[Nline Next]])</f>
        <v>4</v>
      </c>
      <c r="S45"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45" s="8"/>
      <c r="V45" s="873">
        <f t="shared" si="4"/>
        <v>3.9000000000000021</v>
      </c>
      <c r="W45" s="885" t="e">
        <f>MATCH(Tbl_Long_Hydro[[#This Row],[Draught]],Tbl_Long_Definition[H k-bott],-1)</f>
        <v>#N/A</v>
      </c>
      <c r="X45"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45" s="886">
        <f>MATCH(Tbl_Long_Hydro[[#This Row],[Draught]],Tbl_Long_Definition[H k-bott],1)</f>
        <v>4</v>
      </c>
      <c r="Z45"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45" s="888">
        <f>IF(ISNA(Tbl_Long_Hydro[[#This Row],[Draught]]),NA(),IFERROR(INDEX(Tbl_Long_Definition[X],Tbl_Long_Hydro[[#This Row],[Aft Nline prev]]),0))</f>
        <v>0</v>
      </c>
      <c r="AB45" s="889">
        <f>IF(ISNA(Tbl_Long_Hydro[[#This Row],[Draught]]),NA(),IFERROR(INDEX(Tbl_Long_Definition[X],Tbl_Long_Hydro[[#This Row],[Aft Nline next]]),0))</f>
        <v>0</v>
      </c>
      <c r="AC45" s="889" t="e">
        <f>IF(ISNA(Tbl_Long_Hydro[[#This Row],[Draught]]),NA(),INDEX(Tbl_Long_Definition[H k-bott],Tbl_Long_Hydro[[#This Row],[Aft Nline prev]]))</f>
        <v>#N/A</v>
      </c>
      <c r="AD45" s="889" t="e">
        <f>IF(ISNA(Tbl_Long_Hydro[[#This Row],[Draught]]),NA(),INDEX(Tbl_Long_Definition[H k-bott],Tbl_Long_Hydro[[#This Row],[Aft Nline next]]))</f>
        <v>#N/A</v>
      </c>
      <c r="AE45" s="888">
        <f>IF(ISNA(Tbl_Long_Hydro[[#This Row],[Draught]]),NA(),IFERROR(INDEX(Tbl_Long_Definition[X],Tbl_Long_Hydro[[#This Row],[Fore Nline prev]]),0))</f>
        <v>60</v>
      </c>
      <c r="AF45" s="889">
        <f>IF(ISNA(Tbl_Long_Hydro[[#This Row],[Draught]]),NA(),IFERROR(INDEX(Tbl_Long_Definition[X],Tbl_Long_Hydro[[#This Row],[Fore Nline next]]),0))</f>
        <v>60</v>
      </c>
      <c r="AG45" s="889">
        <f>IF(ISNA(Tbl_Long_Hydro[[#This Row],[Draught]]),NA(),INDEX(Tbl_Long_Definition[H k-bott],Tbl_Long_Hydro[[#This Row],[Fore Nline prev]]))</f>
        <v>2.8</v>
      </c>
      <c r="AH45" s="890">
        <f>IF(ISNA(Tbl_Long_Hydro[[#This Row],[Draught]]),NA(),INDEX(Tbl_Long_Definition[H k-bott],Tbl_Long_Hydro[[#This Row],[Fore Nline next]]))</f>
        <v>2.8</v>
      </c>
      <c r="AI45"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0</v>
      </c>
      <c r="AJ45"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60</v>
      </c>
      <c r="AK45" s="894">
        <f>Tbl_Long_Hydro[[#This Row],[Fore X]]-Tbl_Long_Hydro[[#This Row],[Aft X]]</f>
        <v>60</v>
      </c>
      <c r="AL45" s="884">
        <f>Tbl_Long_Hydro[[#This Row],[LX]]*B</f>
        <v>1200</v>
      </c>
      <c r="AM45" s="892">
        <f>IF(ISNUMBER(AM44),(AK44+Tbl_Long_Hydro[[#This Row],[LX]])*(Tbl_Long_Hydro[[#This Row],[Draught]]-V44)/2*B,(Tbl_Long_Hydro[[#This Row],[LX]])*Tbl_Long_Hydro[[#This Row],[Draught]]*B)</f>
        <v>120.00000000000011</v>
      </c>
      <c r="AN45" s="899">
        <f>Tbl_Long_Hydro[[#This Row],[Aft X]]+Tbl_Long_Hydro[[#This Row],[LX]]/2</f>
        <v>30</v>
      </c>
      <c r="AO45" s="876">
        <f>IF(ISNUMBER(AO44),(2*Tbl_Long_Hydro[[#This Row],[LX]]+AK44)/(Tbl_Long_Hydro[[#This Row],[LX]]+AK44)*(Tbl_Long_Hydro[[#This Row],[Draught]]-V44)/3+V44,Tbl_Long_Hydro[[#This Row],[Draught]]/2)</f>
        <v>3.8500000000000023</v>
      </c>
      <c r="AP45" s="898">
        <f>IF(ISNUMBER(AP44),Tbl_Long_Hydro[[#This Row],[Volume elt]]+AP44,Tbl_Long_Hydro[[#This Row],[Volume elt]]*AO$4)</f>
        <v>4400.0000000000018</v>
      </c>
      <c r="AQ45" s="893">
        <f>IF(ISNUMBER(AQ44),Tbl_Long_Hydro[[#This Row],[Displacement]]*AQ$4,IF(ISNA(AQ44),NA(),0))</f>
        <v>4510.0000000000018</v>
      </c>
      <c r="AR45" s="900">
        <f>IF(ISNA(Tbl_Long_Hydro[[#This Row],[Draught]]),NA(),IFERROR(Tbl_Long_Hydro[[#This Row],[LX]]*B^3/12/Tbl_Long_Hydro[[#This Row],[Displacement]],0))</f>
        <v>9.0909090909090864</v>
      </c>
      <c r="AS45" s="903">
        <f>IF(ISNA(Tbl_Long_Hydro[[#This Row],[Draught]]),NA(),IFERROR((B*Tbl_Long_Hydro[[#This Row],[LX]]^3/12+(Tbl_Long_Hydro[[#This Row],[LCF]]-Tbl_Long_Hydro[[#This Row],[LCB]])*Tbl_Long_Hydro[[#This Row],[Waterplane area]]*Tbl_Long_Hydro[[#This Row],[LCF]]^2)/Tbl_Long_Hydro[[#This Row],[Displacement]],0))</f>
        <v>81.818181818183533</v>
      </c>
      <c r="AT45" s="900">
        <f>Tbl_Long_Hydro[[#This Row],[Aft X]]+Tbl_Long_Hydro[[#This Row],[LX]]/2</f>
        <v>30</v>
      </c>
      <c r="AU45" s="901">
        <f>IF(ISNUMBER(AU44),(AU44*AP44+Tbl_Long_Hydro[[#This Row],[X CoG elt]]*Tbl_Long_Hydro[[#This Row],[Volume elt]])/Tbl_Long_Hydro[[#This Row],[Displacement]],Tbl_Long_Hydro[[#This Row],[X CoG elt]])</f>
        <v>29.999999999999993</v>
      </c>
      <c r="AV45" s="902">
        <f>IF(ISNA(Tbl_Long_Hydro[[#This Row],[Draught]]),NA(),0)</f>
        <v>0</v>
      </c>
      <c r="AW45" s="876">
        <f>IF(ISNUMBER(AW44),(AW44*AP44+Tbl_Long_Hydro[[#This Row],[Z CoG elt]]*Tbl_Long_Hydro[[#This Row],[Volume elt]])/Tbl_Long_Hydro[[#This Row],[Displacement]],Tbl_Long_Hydro[[#This Row],[Z CoG elt]])</f>
        <v>2.0146969696969714</v>
      </c>
      <c r="AX45" s="899">
        <f>Tbl_Long_Hydro[[#This Row],[RMT]]+Tbl_Long_Hydro[[#This Row],[VCB]]</f>
        <v>11.105606060606057</v>
      </c>
      <c r="AY45" s="904">
        <f>Tbl_Long_Hydro[[#This Row],[Displacement]]*Tbl_Long_Hydro[[#This Row],[RML]]/(100*Lpp)</f>
        <v>60.000000000001279</v>
      </c>
      <c r="AZ45" s="956">
        <f>Tbl_Long_Hydro[[#This Row],[Draught]]</f>
        <v>3.9000000000000021</v>
      </c>
      <c r="BA45" s="959">
        <f>Tbl_Long_Hydro[[#This Row],[Displacement]]</f>
        <v>4400.0000000000018</v>
      </c>
      <c r="BB45" s="960">
        <f>Tbl_Long_Hydro[[#This Row],[Displac. SW]]</f>
        <v>4510.0000000000018</v>
      </c>
      <c r="BC45" s="964">
        <f>Tbl_Long_Hydro[[#This Row],[Waterplane area]]/100*$AQ$4</f>
        <v>12.299999999999999</v>
      </c>
      <c r="BD45" s="961">
        <f>Tbl_Long_Hydro[[#This Row],[MCT]]</f>
        <v>60.000000000001279</v>
      </c>
      <c r="BE45" s="962">
        <f>Tbl_Long_Hydro[[#This Row],[LCB]]</f>
        <v>29.999999999999993</v>
      </c>
      <c r="BF45" s="962">
        <f>Tbl_Long_Hydro[[#This Row],[TCB]]</f>
        <v>0</v>
      </c>
      <c r="BG45" s="962">
        <f>Tbl_Long_Hydro[[#This Row],[LCF]]</f>
        <v>30</v>
      </c>
      <c r="BH45" s="963">
        <f>Tbl_Long_Hydro[[#This Row],[KMT]]</f>
        <v>11.105606060606057</v>
      </c>
    </row>
    <row r="46" spans="11:60" x14ac:dyDescent="0.25">
      <c r="K46" s="156">
        <f t="shared" si="1"/>
        <v>40</v>
      </c>
      <c r="L46" s="164">
        <f t="shared" si="2"/>
        <v>20</v>
      </c>
      <c r="M46" s="163">
        <f>MATCH(Tbl_Long_Section[[#This Row],[X]],Tbl_Long_Definition[X],1)</f>
        <v>2</v>
      </c>
      <c r="N46" s="157">
        <f>IF(Tbl_Long_Section[[#This Row],[Nline Prev]]&lt;COUNT(Tbl_Long_Definition[X]),Tbl_Long_Section[[#This Row],[Nline Prev]]+1,Tbl_Long_Section[[#This Row],[Nline Prev]])</f>
        <v>3</v>
      </c>
      <c r="O46" s="162">
        <f>INDEX(Tbl_Long_Definition[X],Tbl_Long_Section[[#This Row],[Nline Prev]])</f>
        <v>5</v>
      </c>
      <c r="P46" s="159">
        <f>INDEX(Tbl_Long_Definition[X],Tbl_Long_Section[[#This Row],[Nline Next]])</f>
        <v>55</v>
      </c>
      <c r="Q46" s="160">
        <f>INDEX(Tbl_Long_Definition[H Deck-Bott.],Tbl_Long_Section[[#This Row],[Nline Prev]])</f>
        <v>4</v>
      </c>
      <c r="R46" s="161">
        <f>INDEX(Tbl_Long_Definition[H Deck-Bott.],Tbl_Long_Section[[#This Row],[Nline Next]])</f>
        <v>4</v>
      </c>
      <c r="S46"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46" s="8"/>
      <c r="V46" s="873">
        <f t="shared" si="4"/>
        <v>4.0000000000000018</v>
      </c>
      <c r="W46" s="885" t="e">
        <f>MATCH(Tbl_Long_Hydro[[#This Row],[Draught]],Tbl_Long_Definition[H k-bott],-1)</f>
        <v>#N/A</v>
      </c>
      <c r="X46"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46" s="886">
        <f>MATCH(Tbl_Long_Hydro[[#This Row],[Draught]],Tbl_Long_Definition[H k-bott],1)</f>
        <v>4</v>
      </c>
      <c r="Z46" s="887">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4</v>
      </c>
      <c r="AA46" s="888">
        <f>IF(ISNA(Tbl_Long_Hydro[[#This Row],[Draught]]),NA(),IFERROR(INDEX(Tbl_Long_Definition[X],Tbl_Long_Hydro[[#This Row],[Aft Nline prev]]),0))</f>
        <v>0</v>
      </c>
      <c r="AB46" s="889">
        <f>IF(ISNA(Tbl_Long_Hydro[[#This Row],[Draught]]),NA(),IFERROR(INDEX(Tbl_Long_Definition[X],Tbl_Long_Hydro[[#This Row],[Aft Nline next]]),0))</f>
        <v>0</v>
      </c>
      <c r="AC46" s="889" t="e">
        <f>IF(ISNA(Tbl_Long_Hydro[[#This Row],[Draught]]),NA(),INDEX(Tbl_Long_Definition[H k-bott],Tbl_Long_Hydro[[#This Row],[Aft Nline prev]]))</f>
        <v>#N/A</v>
      </c>
      <c r="AD46" s="889" t="e">
        <f>IF(ISNA(Tbl_Long_Hydro[[#This Row],[Draught]]),NA(),INDEX(Tbl_Long_Definition[H k-bott],Tbl_Long_Hydro[[#This Row],[Aft Nline next]]))</f>
        <v>#N/A</v>
      </c>
      <c r="AE46" s="888">
        <f>IF(ISNA(Tbl_Long_Hydro[[#This Row],[Draught]]),NA(),IFERROR(INDEX(Tbl_Long_Definition[X],Tbl_Long_Hydro[[#This Row],[Fore Nline prev]]),0))</f>
        <v>60</v>
      </c>
      <c r="AF46" s="889">
        <f>IF(ISNA(Tbl_Long_Hydro[[#This Row],[Draught]]),NA(),IFERROR(INDEX(Tbl_Long_Definition[X],Tbl_Long_Hydro[[#This Row],[Fore Nline next]]),0))</f>
        <v>60</v>
      </c>
      <c r="AG46" s="889">
        <f>IF(ISNA(Tbl_Long_Hydro[[#This Row],[Draught]]),NA(),INDEX(Tbl_Long_Definition[H k-bott],Tbl_Long_Hydro[[#This Row],[Fore Nline prev]]))</f>
        <v>2.8</v>
      </c>
      <c r="AH46" s="890">
        <f>IF(ISNA(Tbl_Long_Hydro[[#This Row],[Draught]]),NA(),INDEX(Tbl_Long_Definition[H k-bott],Tbl_Long_Hydro[[#This Row],[Fore Nline next]]))</f>
        <v>2.8</v>
      </c>
      <c r="AI46" s="896">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0</v>
      </c>
      <c r="AJ46" s="890">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60</v>
      </c>
      <c r="AK46" s="894">
        <f>Tbl_Long_Hydro[[#This Row],[Fore X]]-Tbl_Long_Hydro[[#This Row],[Aft X]]</f>
        <v>60</v>
      </c>
      <c r="AL46" s="884">
        <f>Tbl_Long_Hydro[[#This Row],[LX]]*B</f>
        <v>1200</v>
      </c>
      <c r="AM46" s="892">
        <f>IF(ISNUMBER(AM45),(AK45+Tbl_Long_Hydro[[#This Row],[LX]])*(Tbl_Long_Hydro[[#This Row],[Draught]]-V45)/2*B,(Tbl_Long_Hydro[[#This Row],[LX]])*Tbl_Long_Hydro[[#This Row],[Draught]]*B)</f>
        <v>119.99999999999957</v>
      </c>
      <c r="AN46" s="899">
        <f>Tbl_Long_Hydro[[#This Row],[Aft X]]+Tbl_Long_Hydro[[#This Row],[LX]]/2</f>
        <v>30</v>
      </c>
      <c r="AO46" s="876">
        <f>IF(ISNUMBER(AO45),(2*Tbl_Long_Hydro[[#This Row],[LX]]+AK45)/(Tbl_Long_Hydro[[#This Row],[LX]]+AK45)*(Tbl_Long_Hydro[[#This Row],[Draught]]-V45)/3+V45,Tbl_Long_Hydro[[#This Row],[Draught]]/2)</f>
        <v>3.950000000000002</v>
      </c>
      <c r="AP46" s="898">
        <f>IF(ISNUMBER(AP45),Tbl_Long_Hydro[[#This Row],[Volume elt]]+AP45,Tbl_Long_Hydro[[#This Row],[Volume elt]]*AO$4)</f>
        <v>4520.0000000000018</v>
      </c>
      <c r="AQ46" s="893">
        <f>IF(ISNUMBER(AQ45),Tbl_Long_Hydro[[#This Row],[Displacement]]*AQ$4,IF(ISNA(AQ45),NA(),0))</f>
        <v>4633.0000000000018</v>
      </c>
      <c r="AR46" s="900">
        <f>IF(ISNA(Tbl_Long_Hydro[[#This Row],[Draught]]),NA(),IFERROR(Tbl_Long_Hydro[[#This Row],[LX]]*B^3/12/Tbl_Long_Hydro[[#This Row],[Displacement]],0))</f>
        <v>8.8495575221238898</v>
      </c>
      <c r="AS46" s="903">
        <f>IF(ISNA(Tbl_Long_Hydro[[#This Row],[Draught]]),NA(),IFERROR((B*Tbl_Long_Hydro[[#This Row],[LX]]^3/12+(Tbl_Long_Hydro[[#This Row],[LCF]]-Tbl_Long_Hydro[[#This Row],[LCB]])*Tbl_Long_Hydro[[#This Row],[Waterplane area]]*Tbl_Long_Hydro[[#This Row],[LCF]]^2)/Tbl_Long_Hydro[[#This Row],[Displacement]],0))</f>
        <v>79.646017699116712</v>
      </c>
      <c r="AT46" s="900">
        <f>Tbl_Long_Hydro[[#This Row],[Aft X]]+Tbl_Long_Hydro[[#This Row],[LX]]/2</f>
        <v>30</v>
      </c>
      <c r="AU46" s="901">
        <f>IF(ISNUMBER(AU45),(AU45*AP45+Tbl_Long_Hydro[[#This Row],[X CoG elt]]*Tbl_Long_Hydro[[#This Row],[Volume elt]])/Tbl_Long_Hydro[[#This Row],[Displacement]],Tbl_Long_Hydro[[#This Row],[X CoG elt]])</f>
        <v>29.999999999999993</v>
      </c>
      <c r="AV46" s="902">
        <f>IF(ISNA(Tbl_Long_Hydro[[#This Row],[Draught]]),NA(),0)</f>
        <v>0</v>
      </c>
      <c r="AW46" s="876">
        <f>IF(ISNUMBER(AW45),(AW45*AP45+Tbl_Long_Hydro[[#This Row],[Z CoG elt]]*Tbl_Long_Hydro[[#This Row],[Volume elt]])/Tbl_Long_Hydro[[#This Row],[Displacement]],Tbl_Long_Hydro[[#This Row],[Z CoG elt]])</f>
        <v>2.0660766961651933</v>
      </c>
      <c r="AX46" s="899">
        <f>Tbl_Long_Hydro[[#This Row],[RMT]]+Tbl_Long_Hydro[[#This Row],[VCB]]</f>
        <v>10.915634218289084</v>
      </c>
      <c r="AY46" s="904">
        <f>Tbl_Long_Hydro[[#This Row],[Displacement]]*Tbl_Long_Hydro[[#This Row],[RML]]/(100*Lpp)</f>
        <v>60.000000000001279</v>
      </c>
      <c r="AZ46" s="956">
        <f>Tbl_Long_Hydro[[#This Row],[Draught]]</f>
        <v>4.0000000000000018</v>
      </c>
      <c r="BA46" s="959">
        <f>Tbl_Long_Hydro[[#This Row],[Displacement]]</f>
        <v>4520.0000000000018</v>
      </c>
      <c r="BB46" s="960">
        <f>Tbl_Long_Hydro[[#This Row],[Displac. SW]]</f>
        <v>4633.0000000000018</v>
      </c>
      <c r="BC46" s="964">
        <f>Tbl_Long_Hydro[[#This Row],[Waterplane area]]/100*$AQ$4</f>
        <v>12.299999999999999</v>
      </c>
      <c r="BD46" s="961">
        <f>Tbl_Long_Hydro[[#This Row],[MCT]]</f>
        <v>60.000000000001279</v>
      </c>
      <c r="BE46" s="962">
        <f>Tbl_Long_Hydro[[#This Row],[LCB]]</f>
        <v>29.999999999999993</v>
      </c>
      <c r="BF46" s="962">
        <f>Tbl_Long_Hydro[[#This Row],[TCB]]</f>
        <v>0</v>
      </c>
      <c r="BG46" s="962">
        <f>Tbl_Long_Hydro[[#This Row],[LCF]]</f>
        <v>30</v>
      </c>
      <c r="BH46" s="963">
        <f>Tbl_Long_Hydro[[#This Row],[KMT]]</f>
        <v>10.915634218289084</v>
      </c>
    </row>
    <row r="47" spans="11:60" x14ac:dyDescent="0.25">
      <c r="K47" s="156">
        <f t="shared" si="1"/>
        <v>41</v>
      </c>
      <c r="L47" s="164">
        <f t="shared" si="2"/>
        <v>20.5</v>
      </c>
      <c r="M47" s="163">
        <f>MATCH(Tbl_Long_Section[[#This Row],[X]],Tbl_Long_Definition[X],1)</f>
        <v>2</v>
      </c>
      <c r="N47" s="157">
        <f>IF(Tbl_Long_Section[[#This Row],[Nline Prev]]&lt;COUNT(Tbl_Long_Definition[X]),Tbl_Long_Section[[#This Row],[Nline Prev]]+1,Tbl_Long_Section[[#This Row],[Nline Prev]])</f>
        <v>3</v>
      </c>
      <c r="O47" s="162">
        <f>INDEX(Tbl_Long_Definition[X],Tbl_Long_Section[[#This Row],[Nline Prev]])</f>
        <v>5</v>
      </c>
      <c r="P47" s="159">
        <f>INDEX(Tbl_Long_Definition[X],Tbl_Long_Section[[#This Row],[Nline Next]])</f>
        <v>55</v>
      </c>
      <c r="Q47" s="160">
        <f>INDEX(Tbl_Long_Definition[H Deck-Bott.],Tbl_Long_Section[[#This Row],[Nline Prev]])</f>
        <v>4</v>
      </c>
      <c r="R47" s="161">
        <f>INDEX(Tbl_Long_Definition[H Deck-Bott.],Tbl_Long_Section[[#This Row],[Nline Next]])</f>
        <v>4</v>
      </c>
      <c r="S47"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47" s="8"/>
      <c r="V47" s="873" t="e">
        <f t="shared" si="4"/>
        <v>#N/A</v>
      </c>
      <c r="W47" s="885" t="e">
        <f>MATCH(Tbl_Long_Hydro[[#This Row],[Draught]],Tbl_Long_Definition[H k-bott],-1)</f>
        <v>#N/A</v>
      </c>
      <c r="X47"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47" s="886" t="e">
        <f>MATCH(Tbl_Long_Hydro[[#This Row],[Draught]],Tbl_Long_Definition[H k-bott],1)</f>
        <v>#N/A</v>
      </c>
      <c r="Z47"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47" s="888" t="e">
        <f>IF(ISNA(Tbl_Long_Hydro[[#This Row],[Draught]]),NA(),IFERROR(INDEX(Tbl_Long_Definition[X],Tbl_Long_Hydro[[#This Row],[Aft Nline prev]]),0))</f>
        <v>#N/A</v>
      </c>
      <c r="AB47" s="889" t="e">
        <f>IF(ISNA(Tbl_Long_Hydro[[#This Row],[Draught]]),NA(),IFERROR(INDEX(Tbl_Long_Definition[X],Tbl_Long_Hydro[[#This Row],[Aft Nline next]]),0))</f>
        <v>#N/A</v>
      </c>
      <c r="AC47" s="889" t="e">
        <f>IF(ISNA(Tbl_Long_Hydro[[#This Row],[Draught]]),NA(),INDEX(Tbl_Long_Definition[H k-bott],Tbl_Long_Hydro[[#This Row],[Aft Nline prev]]))</f>
        <v>#N/A</v>
      </c>
      <c r="AD47" s="889" t="e">
        <f>IF(ISNA(Tbl_Long_Hydro[[#This Row],[Draught]]),NA(),INDEX(Tbl_Long_Definition[H k-bott],Tbl_Long_Hydro[[#This Row],[Aft Nline next]]))</f>
        <v>#N/A</v>
      </c>
      <c r="AE47" s="888" t="e">
        <f>IF(ISNA(Tbl_Long_Hydro[[#This Row],[Draught]]),NA(),IFERROR(INDEX(Tbl_Long_Definition[X],Tbl_Long_Hydro[[#This Row],[Fore Nline prev]]),0))</f>
        <v>#N/A</v>
      </c>
      <c r="AF47" s="889" t="e">
        <f>IF(ISNA(Tbl_Long_Hydro[[#This Row],[Draught]]),NA(),IFERROR(INDEX(Tbl_Long_Definition[X],Tbl_Long_Hydro[[#This Row],[Fore Nline next]]),0))</f>
        <v>#N/A</v>
      </c>
      <c r="AG47" s="889" t="e">
        <f>IF(ISNA(Tbl_Long_Hydro[[#This Row],[Draught]]),NA(),INDEX(Tbl_Long_Definition[H k-bott],Tbl_Long_Hydro[[#This Row],[Fore Nline prev]]))</f>
        <v>#N/A</v>
      </c>
      <c r="AH47" s="890" t="e">
        <f>IF(ISNA(Tbl_Long_Hydro[[#This Row],[Draught]]),NA(),INDEX(Tbl_Long_Definition[H k-bott],Tbl_Long_Hydro[[#This Row],[Fore Nline next]]))</f>
        <v>#N/A</v>
      </c>
      <c r="AI47"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47"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47" s="894" t="e">
        <f>Tbl_Long_Hydro[[#This Row],[Fore X]]-Tbl_Long_Hydro[[#This Row],[Aft X]]</f>
        <v>#N/A</v>
      </c>
      <c r="AL47" s="884" t="e">
        <f>Tbl_Long_Hydro[[#This Row],[LX]]*B</f>
        <v>#N/A</v>
      </c>
      <c r="AM47" s="892" t="e">
        <f>IF(ISNUMBER(AM46),(AK46+Tbl_Long_Hydro[[#This Row],[LX]])*(Tbl_Long_Hydro[[#This Row],[Draught]]-V46)/2*B,(Tbl_Long_Hydro[[#This Row],[LX]])*Tbl_Long_Hydro[[#This Row],[Draught]]*B)</f>
        <v>#N/A</v>
      </c>
      <c r="AN47" s="899" t="e">
        <f>Tbl_Long_Hydro[[#This Row],[Aft X]]+Tbl_Long_Hydro[[#This Row],[LX]]/2</f>
        <v>#N/A</v>
      </c>
      <c r="AO47" s="876" t="e">
        <f>IF(ISNUMBER(AO46),(2*Tbl_Long_Hydro[[#This Row],[LX]]+AK46)/(Tbl_Long_Hydro[[#This Row],[LX]]+AK46)*(Tbl_Long_Hydro[[#This Row],[Draught]]-V46)/3+V46,Tbl_Long_Hydro[[#This Row],[Draught]]/2)</f>
        <v>#N/A</v>
      </c>
      <c r="AP47" s="898" t="e">
        <f>IF(ISNUMBER(AP46),Tbl_Long_Hydro[[#This Row],[Volume elt]]+AP46,Tbl_Long_Hydro[[#This Row],[Volume elt]]*AO$4)</f>
        <v>#N/A</v>
      </c>
      <c r="AQ47" s="893" t="e">
        <f>IF(ISNUMBER(AQ46),Tbl_Long_Hydro[[#This Row],[Displacement]]*AQ$4,IF(ISNA(AQ46),NA(),0))</f>
        <v>#N/A</v>
      </c>
      <c r="AR47" s="900" t="e">
        <f>IF(ISNA(Tbl_Long_Hydro[[#This Row],[Draught]]),NA(),IFERROR(Tbl_Long_Hydro[[#This Row],[LX]]*B^3/12/Tbl_Long_Hydro[[#This Row],[Displacement]],0))</f>
        <v>#N/A</v>
      </c>
      <c r="AS47" s="903" t="e">
        <f>IF(ISNA(Tbl_Long_Hydro[[#This Row],[Draught]]),NA(),IFERROR((B*Tbl_Long_Hydro[[#This Row],[LX]]^3/12+(Tbl_Long_Hydro[[#This Row],[LCF]]-Tbl_Long_Hydro[[#This Row],[LCB]])*Tbl_Long_Hydro[[#This Row],[Waterplane area]]*Tbl_Long_Hydro[[#This Row],[LCF]]^2)/Tbl_Long_Hydro[[#This Row],[Displacement]],0))</f>
        <v>#N/A</v>
      </c>
      <c r="AT47" s="900" t="e">
        <f>Tbl_Long_Hydro[[#This Row],[Aft X]]+Tbl_Long_Hydro[[#This Row],[LX]]/2</f>
        <v>#N/A</v>
      </c>
      <c r="AU47" s="901" t="e">
        <f>IF(ISNUMBER(AU46),(AU46*AP46+Tbl_Long_Hydro[[#This Row],[X CoG elt]]*Tbl_Long_Hydro[[#This Row],[Volume elt]])/Tbl_Long_Hydro[[#This Row],[Displacement]],Tbl_Long_Hydro[[#This Row],[X CoG elt]])</f>
        <v>#N/A</v>
      </c>
      <c r="AV47" s="902" t="e">
        <f>IF(ISNA(Tbl_Long_Hydro[[#This Row],[Draught]]),NA(),0)</f>
        <v>#N/A</v>
      </c>
      <c r="AW47" s="876" t="e">
        <f>IF(ISNUMBER(AW46),(AW46*AP46+Tbl_Long_Hydro[[#This Row],[Z CoG elt]]*Tbl_Long_Hydro[[#This Row],[Volume elt]])/Tbl_Long_Hydro[[#This Row],[Displacement]],Tbl_Long_Hydro[[#This Row],[Z CoG elt]])</f>
        <v>#N/A</v>
      </c>
      <c r="AX47" s="899" t="e">
        <f>Tbl_Long_Hydro[[#This Row],[RMT]]+Tbl_Long_Hydro[[#This Row],[VCB]]</f>
        <v>#N/A</v>
      </c>
      <c r="AY47" s="904" t="e">
        <f>Tbl_Long_Hydro[[#This Row],[Displacement]]*Tbl_Long_Hydro[[#This Row],[RML]]/(100*Lpp)</f>
        <v>#N/A</v>
      </c>
      <c r="AZ47" s="956" t="e">
        <f>Tbl_Long_Hydro[[#This Row],[Draught]]</f>
        <v>#N/A</v>
      </c>
      <c r="BA47" s="959" t="e">
        <f>Tbl_Long_Hydro[[#This Row],[Displacement]]</f>
        <v>#N/A</v>
      </c>
      <c r="BB47" s="960" t="e">
        <f>Tbl_Long_Hydro[[#This Row],[Displac. SW]]</f>
        <v>#N/A</v>
      </c>
      <c r="BC47" s="964" t="e">
        <f>Tbl_Long_Hydro[[#This Row],[Waterplane area]]/100*$AQ$4</f>
        <v>#N/A</v>
      </c>
      <c r="BD47" s="961" t="e">
        <f>Tbl_Long_Hydro[[#This Row],[MCT]]</f>
        <v>#N/A</v>
      </c>
      <c r="BE47" s="962" t="e">
        <f>Tbl_Long_Hydro[[#This Row],[LCB]]</f>
        <v>#N/A</v>
      </c>
      <c r="BF47" s="962" t="e">
        <f>Tbl_Long_Hydro[[#This Row],[TCB]]</f>
        <v>#N/A</v>
      </c>
      <c r="BG47" s="962" t="e">
        <f>Tbl_Long_Hydro[[#This Row],[LCF]]</f>
        <v>#N/A</v>
      </c>
      <c r="BH47" s="963" t="e">
        <f>Tbl_Long_Hydro[[#This Row],[KMT]]</f>
        <v>#N/A</v>
      </c>
    </row>
    <row r="48" spans="11:60" x14ac:dyDescent="0.25">
      <c r="K48" s="156">
        <f t="shared" si="1"/>
        <v>42</v>
      </c>
      <c r="L48" s="164">
        <f t="shared" si="2"/>
        <v>21</v>
      </c>
      <c r="M48" s="163">
        <f>MATCH(Tbl_Long_Section[[#This Row],[X]],Tbl_Long_Definition[X],1)</f>
        <v>2</v>
      </c>
      <c r="N48" s="157">
        <f>IF(Tbl_Long_Section[[#This Row],[Nline Prev]]&lt;COUNT(Tbl_Long_Definition[X]),Tbl_Long_Section[[#This Row],[Nline Prev]]+1,Tbl_Long_Section[[#This Row],[Nline Prev]])</f>
        <v>3</v>
      </c>
      <c r="O48" s="162">
        <f>INDEX(Tbl_Long_Definition[X],Tbl_Long_Section[[#This Row],[Nline Prev]])</f>
        <v>5</v>
      </c>
      <c r="P48" s="159">
        <f>INDEX(Tbl_Long_Definition[X],Tbl_Long_Section[[#This Row],[Nline Next]])</f>
        <v>55</v>
      </c>
      <c r="Q48" s="160">
        <f>INDEX(Tbl_Long_Definition[H Deck-Bott.],Tbl_Long_Section[[#This Row],[Nline Prev]])</f>
        <v>4</v>
      </c>
      <c r="R48" s="161">
        <f>INDEX(Tbl_Long_Definition[H Deck-Bott.],Tbl_Long_Section[[#This Row],[Nline Next]])</f>
        <v>4</v>
      </c>
      <c r="S48"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48" s="8"/>
      <c r="V48" s="873" t="e">
        <f t="shared" si="4"/>
        <v>#N/A</v>
      </c>
      <c r="W48" s="885" t="e">
        <f>MATCH(Tbl_Long_Hydro[[#This Row],[Draught]],Tbl_Long_Definition[H k-bott],-1)</f>
        <v>#N/A</v>
      </c>
      <c r="X48"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48" s="886" t="e">
        <f>MATCH(Tbl_Long_Hydro[[#This Row],[Draught]],Tbl_Long_Definition[H k-bott],1)</f>
        <v>#N/A</v>
      </c>
      <c r="Z48"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48" s="888" t="e">
        <f>IF(ISNA(Tbl_Long_Hydro[[#This Row],[Draught]]),NA(),IFERROR(INDEX(Tbl_Long_Definition[X],Tbl_Long_Hydro[[#This Row],[Aft Nline prev]]),0))</f>
        <v>#N/A</v>
      </c>
      <c r="AB48" s="889" t="e">
        <f>IF(ISNA(Tbl_Long_Hydro[[#This Row],[Draught]]),NA(),IFERROR(INDEX(Tbl_Long_Definition[X],Tbl_Long_Hydro[[#This Row],[Aft Nline next]]),0))</f>
        <v>#N/A</v>
      </c>
      <c r="AC48" s="889" t="e">
        <f>IF(ISNA(Tbl_Long_Hydro[[#This Row],[Draught]]),NA(),INDEX(Tbl_Long_Definition[H k-bott],Tbl_Long_Hydro[[#This Row],[Aft Nline prev]]))</f>
        <v>#N/A</v>
      </c>
      <c r="AD48" s="889" t="e">
        <f>IF(ISNA(Tbl_Long_Hydro[[#This Row],[Draught]]),NA(),INDEX(Tbl_Long_Definition[H k-bott],Tbl_Long_Hydro[[#This Row],[Aft Nline next]]))</f>
        <v>#N/A</v>
      </c>
      <c r="AE48" s="888" t="e">
        <f>IF(ISNA(Tbl_Long_Hydro[[#This Row],[Draught]]),NA(),IFERROR(INDEX(Tbl_Long_Definition[X],Tbl_Long_Hydro[[#This Row],[Fore Nline prev]]),0))</f>
        <v>#N/A</v>
      </c>
      <c r="AF48" s="889" t="e">
        <f>IF(ISNA(Tbl_Long_Hydro[[#This Row],[Draught]]),NA(),IFERROR(INDEX(Tbl_Long_Definition[X],Tbl_Long_Hydro[[#This Row],[Fore Nline next]]),0))</f>
        <v>#N/A</v>
      </c>
      <c r="AG48" s="889" t="e">
        <f>IF(ISNA(Tbl_Long_Hydro[[#This Row],[Draught]]),NA(),INDEX(Tbl_Long_Definition[H k-bott],Tbl_Long_Hydro[[#This Row],[Fore Nline prev]]))</f>
        <v>#N/A</v>
      </c>
      <c r="AH48" s="890" t="e">
        <f>IF(ISNA(Tbl_Long_Hydro[[#This Row],[Draught]]),NA(),INDEX(Tbl_Long_Definition[H k-bott],Tbl_Long_Hydro[[#This Row],[Fore Nline next]]))</f>
        <v>#N/A</v>
      </c>
      <c r="AI48"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48"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48" s="894" t="e">
        <f>Tbl_Long_Hydro[[#This Row],[Fore X]]-Tbl_Long_Hydro[[#This Row],[Aft X]]</f>
        <v>#N/A</v>
      </c>
      <c r="AL48" s="884" t="e">
        <f>Tbl_Long_Hydro[[#This Row],[LX]]*B</f>
        <v>#N/A</v>
      </c>
      <c r="AM48" s="892" t="e">
        <f>IF(ISNUMBER(AM47),(AK47+Tbl_Long_Hydro[[#This Row],[LX]])*(Tbl_Long_Hydro[[#This Row],[Draught]]-V47)/2*B,(Tbl_Long_Hydro[[#This Row],[LX]])*Tbl_Long_Hydro[[#This Row],[Draught]]*B)</f>
        <v>#N/A</v>
      </c>
      <c r="AN48" s="899" t="e">
        <f>Tbl_Long_Hydro[[#This Row],[Aft X]]+Tbl_Long_Hydro[[#This Row],[LX]]/2</f>
        <v>#N/A</v>
      </c>
      <c r="AO48" s="876" t="e">
        <f>IF(ISNUMBER(AO47),(2*Tbl_Long_Hydro[[#This Row],[LX]]+AK47)/(Tbl_Long_Hydro[[#This Row],[LX]]+AK47)*(Tbl_Long_Hydro[[#This Row],[Draught]]-V47)/3+V47,Tbl_Long_Hydro[[#This Row],[Draught]]/2)</f>
        <v>#N/A</v>
      </c>
      <c r="AP48" s="898" t="e">
        <f>IF(ISNUMBER(AP47),Tbl_Long_Hydro[[#This Row],[Volume elt]]+AP47,Tbl_Long_Hydro[[#This Row],[Volume elt]]*AO$4)</f>
        <v>#N/A</v>
      </c>
      <c r="AQ48" s="893" t="e">
        <f>IF(ISNUMBER(AQ47),Tbl_Long_Hydro[[#This Row],[Displacement]]*AQ$4,IF(ISNA(AQ47),NA(),0))</f>
        <v>#N/A</v>
      </c>
      <c r="AR48" s="900" t="e">
        <f>IF(ISNA(Tbl_Long_Hydro[[#This Row],[Draught]]),NA(),IFERROR(Tbl_Long_Hydro[[#This Row],[LX]]*B^3/12/Tbl_Long_Hydro[[#This Row],[Displacement]],0))</f>
        <v>#N/A</v>
      </c>
      <c r="AS48" s="903" t="e">
        <f>IF(ISNA(Tbl_Long_Hydro[[#This Row],[Draught]]),NA(),IFERROR((B*Tbl_Long_Hydro[[#This Row],[LX]]^3/12+(Tbl_Long_Hydro[[#This Row],[LCF]]-Tbl_Long_Hydro[[#This Row],[LCB]])*Tbl_Long_Hydro[[#This Row],[Waterplane area]]*Tbl_Long_Hydro[[#This Row],[LCF]]^2)/Tbl_Long_Hydro[[#This Row],[Displacement]],0))</f>
        <v>#N/A</v>
      </c>
      <c r="AT48" s="900" t="e">
        <f>Tbl_Long_Hydro[[#This Row],[Aft X]]+Tbl_Long_Hydro[[#This Row],[LX]]/2</f>
        <v>#N/A</v>
      </c>
      <c r="AU48" s="901" t="e">
        <f>IF(ISNUMBER(AU47),(AU47*AP47+Tbl_Long_Hydro[[#This Row],[X CoG elt]]*Tbl_Long_Hydro[[#This Row],[Volume elt]])/Tbl_Long_Hydro[[#This Row],[Displacement]],Tbl_Long_Hydro[[#This Row],[X CoG elt]])</f>
        <v>#N/A</v>
      </c>
      <c r="AV48" s="902" t="e">
        <f>IF(ISNA(Tbl_Long_Hydro[[#This Row],[Draught]]),NA(),0)</f>
        <v>#N/A</v>
      </c>
      <c r="AW48" s="876" t="e">
        <f>IF(ISNUMBER(AW47),(AW47*AP47+Tbl_Long_Hydro[[#This Row],[Z CoG elt]]*Tbl_Long_Hydro[[#This Row],[Volume elt]])/Tbl_Long_Hydro[[#This Row],[Displacement]],Tbl_Long_Hydro[[#This Row],[Z CoG elt]])</f>
        <v>#N/A</v>
      </c>
      <c r="AX48" s="899" t="e">
        <f>Tbl_Long_Hydro[[#This Row],[RMT]]+Tbl_Long_Hydro[[#This Row],[VCB]]</f>
        <v>#N/A</v>
      </c>
      <c r="AY48" s="904" t="e">
        <f>Tbl_Long_Hydro[[#This Row],[Displacement]]*Tbl_Long_Hydro[[#This Row],[RML]]/(100*Lpp)</f>
        <v>#N/A</v>
      </c>
      <c r="AZ48" s="956" t="e">
        <f>Tbl_Long_Hydro[[#This Row],[Draught]]</f>
        <v>#N/A</v>
      </c>
      <c r="BA48" s="959" t="e">
        <f>Tbl_Long_Hydro[[#This Row],[Displacement]]</f>
        <v>#N/A</v>
      </c>
      <c r="BB48" s="960" t="e">
        <f>Tbl_Long_Hydro[[#This Row],[Displac. SW]]</f>
        <v>#N/A</v>
      </c>
      <c r="BC48" s="964" t="e">
        <f>Tbl_Long_Hydro[[#This Row],[Waterplane area]]/100*$AQ$4</f>
        <v>#N/A</v>
      </c>
      <c r="BD48" s="961" t="e">
        <f>Tbl_Long_Hydro[[#This Row],[MCT]]</f>
        <v>#N/A</v>
      </c>
      <c r="BE48" s="962" t="e">
        <f>Tbl_Long_Hydro[[#This Row],[LCB]]</f>
        <v>#N/A</v>
      </c>
      <c r="BF48" s="962" t="e">
        <f>Tbl_Long_Hydro[[#This Row],[TCB]]</f>
        <v>#N/A</v>
      </c>
      <c r="BG48" s="962" t="e">
        <f>Tbl_Long_Hydro[[#This Row],[LCF]]</f>
        <v>#N/A</v>
      </c>
      <c r="BH48" s="963" t="e">
        <f>Tbl_Long_Hydro[[#This Row],[KMT]]</f>
        <v>#N/A</v>
      </c>
    </row>
    <row r="49" spans="11:60" x14ac:dyDescent="0.25">
      <c r="K49" s="156">
        <f t="shared" si="1"/>
        <v>43</v>
      </c>
      <c r="L49" s="164">
        <f t="shared" si="2"/>
        <v>21.5</v>
      </c>
      <c r="M49" s="163">
        <f>MATCH(Tbl_Long_Section[[#This Row],[X]],Tbl_Long_Definition[X],1)</f>
        <v>2</v>
      </c>
      <c r="N49" s="157">
        <f>IF(Tbl_Long_Section[[#This Row],[Nline Prev]]&lt;COUNT(Tbl_Long_Definition[X]),Tbl_Long_Section[[#This Row],[Nline Prev]]+1,Tbl_Long_Section[[#This Row],[Nline Prev]])</f>
        <v>3</v>
      </c>
      <c r="O49" s="162">
        <f>INDEX(Tbl_Long_Definition[X],Tbl_Long_Section[[#This Row],[Nline Prev]])</f>
        <v>5</v>
      </c>
      <c r="P49" s="159">
        <f>INDEX(Tbl_Long_Definition[X],Tbl_Long_Section[[#This Row],[Nline Next]])</f>
        <v>55</v>
      </c>
      <c r="Q49" s="160">
        <f>INDEX(Tbl_Long_Definition[H Deck-Bott.],Tbl_Long_Section[[#This Row],[Nline Prev]])</f>
        <v>4</v>
      </c>
      <c r="R49" s="161">
        <f>INDEX(Tbl_Long_Definition[H Deck-Bott.],Tbl_Long_Section[[#This Row],[Nline Next]])</f>
        <v>4</v>
      </c>
      <c r="S49"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49" s="8"/>
      <c r="V49" s="873" t="e">
        <f t="shared" si="4"/>
        <v>#N/A</v>
      </c>
      <c r="W49" s="885" t="e">
        <f>MATCH(Tbl_Long_Hydro[[#This Row],[Draught]],Tbl_Long_Definition[H k-bott],-1)</f>
        <v>#N/A</v>
      </c>
      <c r="X49"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49" s="886" t="e">
        <f>MATCH(Tbl_Long_Hydro[[#This Row],[Draught]],Tbl_Long_Definition[H k-bott],1)</f>
        <v>#N/A</v>
      </c>
      <c r="Z49"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49" s="888" t="e">
        <f>IF(ISNA(Tbl_Long_Hydro[[#This Row],[Draught]]),NA(),IFERROR(INDEX(Tbl_Long_Definition[X],Tbl_Long_Hydro[[#This Row],[Aft Nline prev]]),0))</f>
        <v>#N/A</v>
      </c>
      <c r="AB49" s="889" t="e">
        <f>IF(ISNA(Tbl_Long_Hydro[[#This Row],[Draught]]),NA(),IFERROR(INDEX(Tbl_Long_Definition[X],Tbl_Long_Hydro[[#This Row],[Aft Nline next]]),0))</f>
        <v>#N/A</v>
      </c>
      <c r="AC49" s="889" t="e">
        <f>IF(ISNA(Tbl_Long_Hydro[[#This Row],[Draught]]),NA(),INDEX(Tbl_Long_Definition[H k-bott],Tbl_Long_Hydro[[#This Row],[Aft Nline prev]]))</f>
        <v>#N/A</v>
      </c>
      <c r="AD49" s="889" t="e">
        <f>IF(ISNA(Tbl_Long_Hydro[[#This Row],[Draught]]),NA(),INDEX(Tbl_Long_Definition[H k-bott],Tbl_Long_Hydro[[#This Row],[Aft Nline next]]))</f>
        <v>#N/A</v>
      </c>
      <c r="AE49" s="888" t="e">
        <f>IF(ISNA(Tbl_Long_Hydro[[#This Row],[Draught]]),NA(),IFERROR(INDEX(Tbl_Long_Definition[X],Tbl_Long_Hydro[[#This Row],[Fore Nline prev]]),0))</f>
        <v>#N/A</v>
      </c>
      <c r="AF49" s="889" t="e">
        <f>IF(ISNA(Tbl_Long_Hydro[[#This Row],[Draught]]),NA(),IFERROR(INDEX(Tbl_Long_Definition[X],Tbl_Long_Hydro[[#This Row],[Fore Nline next]]),0))</f>
        <v>#N/A</v>
      </c>
      <c r="AG49" s="889" t="e">
        <f>IF(ISNA(Tbl_Long_Hydro[[#This Row],[Draught]]),NA(),INDEX(Tbl_Long_Definition[H k-bott],Tbl_Long_Hydro[[#This Row],[Fore Nline prev]]))</f>
        <v>#N/A</v>
      </c>
      <c r="AH49" s="890" t="e">
        <f>IF(ISNA(Tbl_Long_Hydro[[#This Row],[Draught]]),NA(),INDEX(Tbl_Long_Definition[H k-bott],Tbl_Long_Hydro[[#This Row],[Fore Nline next]]))</f>
        <v>#N/A</v>
      </c>
      <c r="AI49"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49"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49" s="894" t="e">
        <f>Tbl_Long_Hydro[[#This Row],[Fore X]]-Tbl_Long_Hydro[[#This Row],[Aft X]]</f>
        <v>#N/A</v>
      </c>
      <c r="AL49" s="884" t="e">
        <f>Tbl_Long_Hydro[[#This Row],[LX]]*B</f>
        <v>#N/A</v>
      </c>
      <c r="AM49" s="892" t="e">
        <f>IF(ISNUMBER(AM48),(AK48+Tbl_Long_Hydro[[#This Row],[LX]])*(Tbl_Long_Hydro[[#This Row],[Draught]]-V48)/2*B,(Tbl_Long_Hydro[[#This Row],[LX]])*Tbl_Long_Hydro[[#This Row],[Draught]]*B)</f>
        <v>#N/A</v>
      </c>
      <c r="AN49" s="899" t="e">
        <f>Tbl_Long_Hydro[[#This Row],[Aft X]]+Tbl_Long_Hydro[[#This Row],[LX]]/2</f>
        <v>#N/A</v>
      </c>
      <c r="AO49" s="876" t="e">
        <f>IF(ISNUMBER(AO48),(2*Tbl_Long_Hydro[[#This Row],[LX]]+AK48)/(Tbl_Long_Hydro[[#This Row],[LX]]+AK48)*(Tbl_Long_Hydro[[#This Row],[Draught]]-V48)/3+V48,Tbl_Long_Hydro[[#This Row],[Draught]]/2)</f>
        <v>#N/A</v>
      </c>
      <c r="AP49" s="898" t="e">
        <f>IF(ISNUMBER(AP48),Tbl_Long_Hydro[[#This Row],[Volume elt]]+AP48,Tbl_Long_Hydro[[#This Row],[Volume elt]]*AO$4)</f>
        <v>#N/A</v>
      </c>
      <c r="AQ49" s="893" t="e">
        <f>IF(ISNUMBER(AQ48),Tbl_Long_Hydro[[#This Row],[Displacement]]*AQ$4,IF(ISNA(AQ48),NA(),0))</f>
        <v>#N/A</v>
      </c>
      <c r="AR49" s="900" t="e">
        <f>IF(ISNA(Tbl_Long_Hydro[[#This Row],[Draught]]),NA(),IFERROR(Tbl_Long_Hydro[[#This Row],[LX]]*B^3/12/Tbl_Long_Hydro[[#This Row],[Displacement]],0))</f>
        <v>#N/A</v>
      </c>
      <c r="AS49" s="903" t="e">
        <f>IF(ISNA(Tbl_Long_Hydro[[#This Row],[Draught]]),NA(),IFERROR((B*Tbl_Long_Hydro[[#This Row],[LX]]^3/12+(Tbl_Long_Hydro[[#This Row],[LCF]]-Tbl_Long_Hydro[[#This Row],[LCB]])*Tbl_Long_Hydro[[#This Row],[Waterplane area]]*Tbl_Long_Hydro[[#This Row],[LCF]]^2)/Tbl_Long_Hydro[[#This Row],[Displacement]],0))</f>
        <v>#N/A</v>
      </c>
      <c r="AT49" s="900" t="e">
        <f>Tbl_Long_Hydro[[#This Row],[Aft X]]+Tbl_Long_Hydro[[#This Row],[LX]]/2</f>
        <v>#N/A</v>
      </c>
      <c r="AU49" s="901" t="e">
        <f>IF(ISNUMBER(AU48),(AU48*AP48+Tbl_Long_Hydro[[#This Row],[X CoG elt]]*Tbl_Long_Hydro[[#This Row],[Volume elt]])/Tbl_Long_Hydro[[#This Row],[Displacement]],Tbl_Long_Hydro[[#This Row],[X CoG elt]])</f>
        <v>#N/A</v>
      </c>
      <c r="AV49" s="902" t="e">
        <f>IF(ISNA(Tbl_Long_Hydro[[#This Row],[Draught]]),NA(),0)</f>
        <v>#N/A</v>
      </c>
      <c r="AW49" s="876" t="e">
        <f>IF(ISNUMBER(AW48),(AW48*AP48+Tbl_Long_Hydro[[#This Row],[Z CoG elt]]*Tbl_Long_Hydro[[#This Row],[Volume elt]])/Tbl_Long_Hydro[[#This Row],[Displacement]],Tbl_Long_Hydro[[#This Row],[Z CoG elt]])</f>
        <v>#N/A</v>
      </c>
      <c r="AX49" s="899" t="e">
        <f>Tbl_Long_Hydro[[#This Row],[RMT]]+Tbl_Long_Hydro[[#This Row],[VCB]]</f>
        <v>#N/A</v>
      </c>
      <c r="AY49" s="904" t="e">
        <f>Tbl_Long_Hydro[[#This Row],[Displacement]]*Tbl_Long_Hydro[[#This Row],[RML]]/(100*Lpp)</f>
        <v>#N/A</v>
      </c>
      <c r="AZ49" s="956" t="e">
        <f>Tbl_Long_Hydro[[#This Row],[Draught]]</f>
        <v>#N/A</v>
      </c>
      <c r="BA49" s="959" t="e">
        <f>Tbl_Long_Hydro[[#This Row],[Displacement]]</f>
        <v>#N/A</v>
      </c>
      <c r="BB49" s="960" t="e">
        <f>Tbl_Long_Hydro[[#This Row],[Displac. SW]]</f>
        <v>#N/A</v>
      </c>
      <c r="BC49" s="964" t="e">
        <f>Tbl_Long_Hydro[[#This Row],[Waterplane area]]/100*$AQ$4</f>
        <v>#N/A</v>
      </c>
      <c r="BD49" s="961" t="e">
        <f>Tbl_Long_Hydro[[#This Row],[MCT]]</f>
        <v>#N/A</v>
      </c>
      <c r="BE49" s="962" t="e">
        <f>Tbl_Long_Hydro[[#This Row],[LCB]]</f>
        <v>#N/A</v>
      </c>
      <c r="BF49" s="962" t="e">
        <f>Tbl_Long_Hydro[[#This Row],[TCB]]</f>
        <v>#N/A</v>
      </c>
      <c r="BG49" s="962" t="e">
        <f>Tbl_Long_Hydro[[#This Row],[LCF]]</f>
        <v>#N/A</v>
      </c>
      <c r="BH49" s="963" t="e">
        <f>Tbl_Long_Hydro[[#This Row],[KMT]]</f>
        <v>#N/A</v>
      </c>
    </row>
    <row r="50" spans="11:60" x14ac:dyDescent="0.25">
      <c r="K50" s="156">
        <f t="shared" si="1"/>
        <v>44</v>
      </c>
      <c r="L50" s="164">
        <f t="shared" si="2"/>
        <v>22</v>
      </c>
      <c r="M50" s="163">
        <f>MATCH(Tbl_Long_Section[[#This Row],[X]],Tbl_Long_Definition[X],1)</f>
        <v>2</v>
      </c>
      <c r="N50" s="157">
        <f>IF(Tbl_Long_Section[[#This Row],[Nline Prev]]&lt;COUNT(Tbl_Long_Definition[X]),Tbl_Long_Section[[#This Row],[Nline Prev]]+1,Tbl_Long_Section[[#This Row],[Nline Prev]])</f>
        <v>3</v>
      </c>
      <c r="O50" s="162">
        <f>INDEX(Tbl_Long_Definition[X],Tbl_Long_Section[[#This Row],[Nline Prev]])</f>
        <v>5</v>
      </c>
      <c r="P50" s="159">
        <f>INDEX(Tbl_Long_Definition[X],Tbl_Long_Section[[#This Row],[Nline Next]])</f>
        <v>55</v>
      </c>
      <c r="Q50" s="160">
        <f>INDEX(Tbl_Long_Definition[H Deck-Bott.],Tbl_Long_Section[[#This Row],[Nline Prev]])</f>
        <v>4</v>
      </c>
      <c r="R50" s="161">
        <f>INDEX(Tbl_Long_Definition[H Deck-Bott.],Tbl_Long_Section[[#This Row],[Nline Next]])</f>
        <v>4</v>
      </c>
      <c r="S50"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50" s="8"/>
      <c r="V50" s="873" t="e">
        <f t="shared" si="4"/>
        <v>#N/A</v>
      </c>
      <c r="W50" s="885" t="e">
        <f>MATCH(Tbl_Long_Hydro[[#This Row],[Draught]],Tbl_Long_Definition[H k-bott],-1)</f>
        <v>#N/A</v>
      </c>
      <c r="X50"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50" s="886" t="e">
        <f>MATCH(Tbl_Long_Hydro[[#This Row],[Draught]],Tbl_Long_Definition[H k-bott],1)</f>
        <v>#N/A</v>
      </c>
      <c r="Z50"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50" s="888" t="e">
        <f>IF(ISNA(Tbl_Long_Hydro[[#This Row],[Draught]]),NA(),IFERROR(INDEX(Tbl_Long_Definition[X],Tbl_Long_Hydro[[#This Row],[Aft Nline prev]]),0))</f>
        <v>#N/A</v>
      </c>
      <c r="AB50" s="889" t="e">
        <f>IF(ISNA(Tbl_Long_Hydro[[#This Row],[Draught]]),NA(),IFERROR(INDEX(Tbl_Long_Definition[X],Tbl_Long_Hydro[[#This Row],[Aft Nline next]]),0))</f>
        <v>#N/A</v>
      </c>
      <c r="AC50" s="889" t="e">
        <f>IF(ISNA(Tbl_Long_Hydro[[#This Row],[Draught]]),NA(),INDEX(Tbl_Long_Definition[H k-bott],Tbl_Long_Hydro[[#This Row],[Aft Nline prev]]))</f>
        <v>#N/A</v>
      </c>
      <c r="AD50" s="889" t="e">
        <f>IF(ISNA(Tbl_Long_Hydro[[#This Row],[Draught]]),NA(),INDEX(Tbl_Long_Definition[H k-bott],Tbl_Long_Hydro[[#This Row],[Aft Nline next]]))</f>
        <v>#N/A</v>
      </c>
      <c r="AE50" s="888" t="e">
        <f>IF(ISNA(Tbl_Long_Hydro[[#This Row],[Draught]]),NA(),IFERROR(INDEX(Tbl_Long_Definition[X],Tbl_Long_Hydro[[#This Row],[Fore Nline prev]]),0))</f>
        <v>#N/A</v>
      </c>
      <c r="AF50" s="889" t="e">
        <f>IF(ISNA(Tbl_Long_Hydro[[#This Row],[Draught]]),NA(),IFERROR(INDEX(Tbl_Long_Definition[X],Tbl_Long_Hydro[[#This Row],[Fore Nline next]]),0))</f>
        <v>#N/A</v>
      </c>
      <c r="AG50" s="889" t="e">
        <f>IF(ISNA(Tbl_Long_Hydro[[#This Row],[Draught]]),NA(),INDEX(Tbl_Long_Definition[H k-bott],Tbl_Long_Hydro[[#This Row],[Fore Nline prev]]))</f>
        <v>#N/A</v>
      </c>
      <c r="AH50" s="890" t="e">
        <f>IF(ISNA(Tbl_Long_Hydro[[#This Row],[Draught]]),NA(),INDEX(Tbl_Long_Definition[H k-bott],Tbl_Long_Hydro[[#This Row],[Fore Nline next]]))</f>
        <v>#N/A</v>
      </c>
      <c r="AI50"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50"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50" s="894" t="e">
        <f>Tbl_Long_Hydro[[#This Row],[Fore X]]-Tbl_Long_Hydro[[#This Row],[Aft X]]</f>
        <v>#N/A</v>
      </c>
      <c r="AL50" s="884" t="e">
        <f>Tbl_Long_Hydro[[#This Row],[LX]]*B</f>
        <v>#N/A</v>
      </c>
      <c r="AM50" s="892" t="e">
        <f>IF(ISNUMBER(AM49),(AK49+Tbl_Long_Hydro[[#This Row],[LX]])*(Tbl_Long_Hydro[[#This Row],[Draught]]-V49)/2*B,(Tbl_Long_Hydro[[#This Row],[LX]])*Tbl_Long_Hydro[[#This Row],[Draught]]*B)</f>
        <v>#N/A</v>
      </c>
      <c r="AN50" s="899" t="e">
        <f>Tbl_Long_Hydro[[#This Row],[Aft X]]+Tbl_Long_Hydro[[#This Row],[LX]]/2</f>
        <v>#N/A</v>
      </c>
      <c r="AO50" s="876" t="e">
        <f>IF(ISNUMBER(AO49),(2*Tbl_Long_Hydro[[#This Row],[LX]]+AK49)/(Tbl_Long_Hydro[[#This Row],[LX]]+AK49)*(Tbl_Long_Hydro[[#This Row],[Draught]]-V49)/3+V49,Tbl_Long_Hydro[[#This Row],[Draught]]/2)</f>
        <v>#N/A</v>
      </c>
      <c r="AP50" s="898" t="e">
        <f>IF(ISNUMBER(AP49),Tbl_Long_Hydro[[#This Row],[Volume elt]]+AP49,Tbl_Long_Hydro[[#This Row],[Volume elt]]*AO$4)</f>
        <v>#N/A</v>
      </c>
      <c r="AQ50" s="893" t="e">
        <f>IF(ISNUMBER(AQ49),Tbl_Long_Hydro[[#This Row],[Displacement]]*AQ$4,IF(ISNA(AQ49),NA(),0))</f>
        <v>#N/A</v>
      </c>
      <c r="AR50" s="900" t="e">
        <f>IF(ISNA(Tbl_Long_Hydro[[#This Row],[Draught]]),NA(),IFERROR(Tbl_Long_Hydro[[#This Row],[LX]]*B^3/12/Tbl_Long_Hydro[[#This Row],[Displacement]],0))</f>
        <v>#N/A</v>
      </c>
      <c r="AS50" s="903" t="e">
        <f>IF(ISNA(Tbl_Long_Hydro[[#This Row],[Draught]]),NA(),IFERROR((B*Tbl_Long_Hydro[[#This Row],[LX]]^3/12+(Tbl_Long_Hydro[[#This Row],[LCF]]-Tbl_Long_Hydro[[#This Row],[LCB]])*Tbl_Long_Hydro[[#This Row],[Waterplane area]]*Tbl_Long_Hydro[[#This Row],[LCF]]^2)/Tbl_Long_Hydro[[#This Row],[Displacement]],0))</f>
        <v>#N/A</v>
      </c>
      <c r="AT50" s="900" t="e">
        <f>Tbl_Long_Hydro[[#This Row],[Aft X]]+Tbl_Long_Hydro[[#This Row],[LX]]/2</f>
        <v>#N/A</v>
      </c>
      <c r="AU50" s="901" t="e">
        <f>IF(ISNUMBER(AU49),(AU49*AP49+Tbl_Long_Hydro[[#This Row],[X CoG elt]]*Tbl_Long_Hydro[[#This Row],[Volume elt]])/Tbl_Long_Hydro[[#This Row],[Displacement]],Tbl_Long_Hydro[[#This Row],[X CoG elt]])</f>
        <v>#N/A</v>
      </c>
      <c r="AV50" s="902" t="e">
        <f>IF(ISNA(Tbl_Long_Hydro[[#This Row],[Draught]]),NA(),0)</f>
        <v>#N/A</v>
      </c>
      <c r="AW50" s="876" t="e">
        <f>IF(ISNUMBER(AW49),(AW49*AP49+Tbl_Long_Hydro[[#This Row],[Z CoG elt]]*Tbl_Long_Hydro[[#This Row],[Volume elt]])/Tbl_Long_Hydro[[#This Row],[Displacement]],Tbl_Long_Hydro[[#This Row],[Z CoG elt]])</f>
        <v>#N/A</v>
      </c>
      <c r="AX50" s="899" t="e">
        <f>Tbl_Long_Hydro[[#This Row],[RMT]]+Tbl_Long_Hydro[[#This Row],[VCB]]</f>
        <v>#N/A</v>
      </c>
      <c r="AY50" s="904" t="e">
        <f>Tbl_Long_Hydro[[#This Row],[Displacement]]*Tbl_Long_Hydro[[#This Row],[RML]]/(100*Lpp)</f>
        <v>#N/A</v>
      </c>
      <c r="AZ50" s="956" t="e">
        <f>Tbl_Long_Hydro[[#This Row],[Draught]]</f>
        <v>#N/A</v>
      </c>
      <c r="BA50" s="959" t="e">
        <f>Tbl_Long_Hydro[[#This Row],[Displacement]]</f>
        <v>#N/A</v>
      </c>
      <c r="BB50" s="960" t="e">
        <f>Tbl_Long_Hydro[[#This Row],[Displac. SW]]</f>
        <v>#N/A</v>
      </c>
      <c r="BC50" s="964" t="e">
        <f>Tbl_Long_Hydro[[#This Row],[Waterplane area]]/100*$AQ$4</f>
        <v>#N/A</v>
      </c>
      <c r="BD50" s="961" t="e">
        <f>Tbl_Long_Hydro[[#This Row],[MCT]]</f>
        <v>#N/A</v>
      </c>
      <c r="BE50" s="962" t="e">
        <f>Tbl_Long_Hydro[[#This Row],[LCB]]</f>
        <v>#N/A</v>
      </c>
      <c r="BF50" s="962" t="e">
        <f>Tbl_Long_Hydro[[#This Row],[TCB]]</f>
        <v>#N/A</v>
      </c>
      <c r="BG50" s="962" t="e">
        <f>Tbl_Long_Hydro[[#This Row],[LCF]]</f>
        <v>#N/A</v>
      </c>
      <c r="BH50" s="963" t="e">
        <f>Tbl_Long_Hydro[[#This Row],[KMT]]</f>
        <v>#N/A</v>
      </c>
    </row>
    <row r="51" spans="11:60" x14ac:dyDescent="0.25">
      <c r="K51" s="156">
        <f t="shared" si="1"/>
        <v>45</v>
      </c>
      <c r="L51" s="164">
        <f t="shared" si="2"/>
        <v>22.5</v>
      </c>
      <c r="M51" s="163">
        <f>MATCH(Tbl_Long_Section[[#This Row],[X]],Tbl_Long_Definition[X],1)</f>
        <v>2</v>
      </c>
      <c r="N51" s="157">
        <f>IF(Tbl_Long_Section[[#This Row],[Nline Prev]]&lt;COUNT(Tbl_Long_Definition[X]),Tbl_Long_Section[[#This Row],[Nline Prev]]+1,Tbl_Long_Section[[#This Row],[Nline Prev]])</f>
        <v>3</v>
      </c>
      <c r="O51" s="162">
        <f>INDEX(Tbl_Long_Definition[X],Tbl_Long_Section[[#This Row],[Nline Prev]])</f>
        <v>5</v>
      </c>
      <c r="P51" s="159">
        <f>INDEX(Tbl_Long_Definition[X],Tbl_Long_Section[[#This Row],[Nline Next]])</f>
        <v>55</v>
      </c>
      <c r="Q51" s="160">
        <f>INDEX(Tbl_Long_Definition[H Deck-Bott.],Tbl_Long_Section[[#This Row],[Nline Prev]])</f>
        <v>4</v>
      </c>
      <c r="R51" s="161">
        <f>INDEX(Tbl_Long_Definition[H Deck-Bott.],Tbl_Long_Section[[#This Row],[Nline Next]])</f>
        <v>4</v>
      </c>
      <c r="S51"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51" s="8"/>
      <c r="V51" s="873" t="e">
        <f t="shared" si="4"/>
        <v>#N/A</v>
      </c>
      <c r="W51" s="885" t="e">
        <f>MATCH(Tbl_Long_Hydro[[#This Row],[Draught]],Tbl_Long_Definition[H k-bott],-1)</f>
        <v>#N/A</v>
      </c>
      <c r="X51"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51" s="886" t="e">
        <f>MATCH(Tbl_Long_Hydro[[#This Row],[Draught]],Tbl_Long_Definition[H k-bott],1)</f>
        <v>#N/A</v>
      </c>
      <c r="Z51"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51" s="888" t="e">
        <f>IF(ISNA(Tbl_Long_Hydro[[#This Row],[Draught]]),NA(),IFERROR(INDEX(Tbl_Long_Definition[X],Tbl_Long_Hydro[[#This Row],[Aft Nline prev]]),0))</f>
        <v>#N/A</v>
      </c>
      <c r="AB51" s="889" t="e">
        <f>IF(ISNA(Tbl_Long_Hydro[[#This Row],[Draught]]),NA(),IFERROR(INDEX(Tbl_Long_Definition[X],Tbl_Long_Hydro[[#This Row],[Aft Nline next]]),0))</f>
        <v>#N/A</v>
      </c>
      <c r="AC51" s="889" t="e">
        <f>IF(ISNA(Tbl_Long_Hydro[[#This Row],[Draught]]),NA(),INDEX(Tbl_Long_Definition[H k-bott],Tbl_Long_Hydro[[#This Row],[Aft Nline prev]]))</f>
        <v>#N/A</v>
      </c>
      <c r="AD51" s="889" t="e">
        <f>IF(ISNA(Tbl_Long_Hydro[[#This Row],[Draught]]),NA(),INDEX(Tbl_Long_Definition[H k-bott],Tbl_Long_Hydro[[#This Row],[Aft Nline next]]))</f>
        <v>#N/A</v>
      </c>
      <c r="AE51" s="888" t="e">
        <f>IF(ISNA(Tbl_Long_Hydro[[#This Row],[Draught]]),NA(),IFERROR(INDEX(Tbl_Long_Definition[X],Tbl_Long_Hydro[[#This Row],[Fore Nline prev]]),0))</f>
        <v>#N/A</v>
      </c>
      <c r="AF51" s="889" t="e">
        <f>IF(ISNA(Tbl_Long_Hydro[[#This Row],[Draught]]),NA(),IFERROR(INDEX(Tbl_Long_Definition[X],Tbl_Long_Hydro[[#This Row],[Fore Nline next]]),0))</f>
        <v>#N/A</v>
      </c>
      <c r="AG51" s="889" t="e">
        <f>IF(ISNA(Tbl_Long_Hydro[[#This Row],[Draught]]),NA(),INDEX(Tbl_Long_Definition[H k-bott],Tbl_Long_Hydro[[#This Row],[Fore Nline prev]]))</f>
        <v>#N/A</v>
      </c>
      <c r="AH51" s="890" t="e">
        <f>IF(ISNA(Tbl_Long_Hydro[[#This Row],[Draught]]),NA(),INDEX(Tbl_Long_Definition[H k-bott],Tbl_Long_Hydro[[#This Row],[Fore Nline next]]))</f>
        <v>#N/A</v>
      </c>
      <c r="AI51"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51"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51" s="894" t="e">
        <f>Tbl_Long_Hydro[[#This Row],[Fore X]]-Tbl_Long_Hydro[[#This Row],[Aft X]]</f>
        <v>#N/A</v>
      </c>
      <c r="AL51" s="884" t="e">
        <f>Tbl_Long_Hydro[[#This Row],[LX]]*B</f>
        <v>#N/A</v>
      </c>
      <c r="AM51" s="892" t="e">
        <f>IF(ISNUMBER(AM50),(AK50+Tbl_Long_Hydro[[#This Row],[LX]])*(Tbl_Long_Hydro[[#This Row],[Draught]]-V50)/2*B,(Tbl_Long_Hydro[[#This Row],[LX]])*Tbl_Long_Hydro[[#This Row],[Draught]]*B)</f>
        <v>#N/A</v>
      </c>
      <c r="AN51" s="899" t="e">
        <f>Tbl_Long_Hydro[[#This Row],[Aft X]]+Tbl_Long_Hydro[[#This Row],[LX]]/2</f>
        <v>#N/A</v>
      </c>
      <c r="AO51" s="876" t="e">
        <f>IF(ISNUMBER(AO50),(2*Tbl_Long_Hydro[[#This Row],[LX]]+AK50)/(Tbl_Long_Hydro[[#This Row],[LX]]+AK50)*(Tbl_Long_Hydro[[#This Row],[Draught]]-V50)/3+V50,Tbl_Long_Hydro[[#This Row],[Draught]]/2)</f>
        <v>#N/A</v>
      </c>
      <c r="AP51" s="898" t="e">
        <f>IF(ISNUMBER(AP50),Tbl_Long_Hydro[[#This Row],[Volume elt]]+AP50,Tbl_Long_Hydro[[#This Row],[Volume elt]]*AO$4)</f>
        <v>#N/A</v>
      </c>
      <c r="AQ51" s="893" t="e">
        <f>IF(ISNUMBER(AQ50),Tbl_Long_Hydro[[#This Row],[Displacement]]*AQ$4,IF(ISNA(AQ50),NA(),0))</f>
        <v>#N/A</v>
      </c>
      <c r="AR51" s="900" t="e">
        <f>IF(ISNA(Tbl_Long_Hydro[[#This Row],[Draught]]),NA(),IFERROR(Tbl_Long_Hydro[[#This Row],[LX]]*B^3/12/Tbl_Long_Hydro[[#This Row],[Displacement]],0))</f>
        <v>#N/A</v>
      </c>
      <c r="AS51" s="903" t="e">
        <f>IF(ISNA(Tbl_Long_Hydro[[#This Row],[Draught]]),NA(),IFERROR((B*Tbl_Long_Hydro[[#This Row],[LX]]^3/12+(Tbl_Long_Hydro[[#This Row],[LCF]]-Tbl_Long_Hydro[[#This Row],[LCB]])*Tbl_Long_Hydro[[#This Row],[Waterplane area]]*Tbl_Long_Hydro[[#This Row],[LCF]]^2)/Tbl_Long_Hydro[[#This Row],[Displacement]],0))</f>
        <v>#N/A</v>
      </c>
      <c r="AT51" s="900" t="e">
        <f>Tbl_Long_Hydro[[#This Row],[Aft X]]+Tbl_Long_Hydro[[#This Row],[LX]]/2</f>
        <v>#N/A</v>
      </c>
      <c r="AU51" s="901" t="e">
        <f>IF(ISNUMBER(AU50),(AU50*AP50+Tbl_Long_Hydro[[#This Row],[X CoG elt]]*Tbl_Long_Hydro[[#This Row],[Volume elt]])/Tbl_Long_Hydro[[#This Row],[Displacement]],Tbl_Long_Hydro[[#This Row],[X CoG elt]])</f>
        <v>#N/A</v>
      </c>
      <c r="AV51" s="902" t="e">
        <f>IF(ISNA(Tbl_Long_Hydro[[#This Row],[Draught]]),NA(),0)</f>
        <v>#N/A</v>
      </c>
      <c r="AW51" s="876" t="e">
        <f>IF(ISNUMBER(AW50),(AW50*AP50+Tbl_Long_Hydro[[#This Row],[Z CoG elt]]*Tbl_Long_Hydro[[#This Row],[Volume elt]])/Tbl_Long_Hydro[[#This Row],[Displacement]],Tbl_Long_Hydro[[#This Row],[Z CoG elt]])</f>
        <v>#N/A</v>
      </c>
      <c r="AX51" s="899" t="e">
        <f>Tbl_Long_Hydro[[#This Row],[RMT]]+Tbl_Long_Hydro[[#This Row],[VCB]]</f>
        <v>#N/A</v>
      </c>
      <c r="AY51" s="904" t="e">
        <f>Tbl_Long_Hydro[[#This Row],[Displacement]]*Tbl_Long_Hydro[[#This Row],[RML]]/(100*Lpp)</f>
        <v>#N/A</v>
      </c>
      <c r="AZ51" s="956" t="e">
        <f>Tbl_Long_Hydro[[#This Row],[Draught]]</f>
        <v>#N/A</v>
      </c>
      <c r="BA51" s="959" t="e">
        <f>Tbl_Long_Hydro[[#This Row],[Displacement]]</f>
        <v>#N/A</v>
      </c>
      <c r="BB51" s="960" t="e">
        <f>Tbl_Long_Hydro[[#This Row],[Displac. SW]]</f>
        <v>#N/A</v>
      </c>
      <c r="BC51" s="964" t="e">
        <f>Tbl_Long_Hydro[[#This Row],[Waterplane area]]/100*$AQ$4</f>
        <v>#N/A</v>
      </c>
      <c r="BD51" s="961" t="e">
        <f>Tbl_Long_Hydro[[#This Row],[MCT]]</f>
        <v>#N/A</v>
      </c>
      <c r="BE51" s="962" t="e">
        <f>Tbl_Long_Hydro[[#This Row],[LCB]]</f>
        <v>#N/A</v>
      </c>
      <c r="BF51" s="962" t="e">
        <f>Tbl_Long_Hydro[[#This Row],[TCB]]</f>
        <v>#N/A</v>
      </c>
      <c r="BG51" s="962" t="e">
        <f>Tbl_Long_Hydro[[#This Row],[LCF]]</f>
        <v>#N/A</v>
      </c>
      <c r="BH51" s="963" t="e">
        <f>Tbl_Long_Hydro[[#This Row],[KMT]]</f>
        <v>#N/A</v>
      </c>
    </row>
    <row r="52" spans="11:60" x14ac:dyDescent="0.25">
      <c r="K52" s="156">
        <f t="shared" si="1"/>
        <v>46</v>
      </c>
      <c r="L52" s="164">
        <f t="shared" si="2"/>
        <v>23</v>
      </c>
      <c r="M52" s="163">
        <f>MATCH(Tbl_Long_Section[[#This Row],[X]],Tbl_Long_Definition[X],1)</f>
        <v>2</v>
      </c>
      <c r="N52" s="157">
        <f>IF(Tbl_Long_Section[[#This Row],[Nline Prev]]&lt;COUNT(Tbl_Long_Definition[X]),Tbl_Long_Section[[#This Row],[Nline Prev]]+1,Tbl_Long_Section[[#This Row],[Nline Prev]])</f>
        <v>3</v>
      </c>
      <c r="O52" s="162">
        <f>INDEX(Tbl_Long_Definition[X],Tbl_Long_Section[[#This Row],[Nline Prev]])</f>
        <v>5</v>
      </c>
      <c r="P52" s="159">
        <f>INDEX(Tbl_Long_Definition[X],Tbl_Long_Section[[#This Row],[Nline Next]])</f>
        <v>55</v>
      </c>
      <c r="Q52" s="160">
        <f>INDEX(Tbl_Long_Definition[H Deck-Bott.],Tbl_Long_Section[[#This Row],[Nline Prev]])</f>
        <v>4</v>
      </c>
      <c r="R52" s="161">
        <f>INDEX(Tbl_Long_Definition[H Deck-Bott.],Tbl_Long_Section[[#This Row],[Nline Next]])</f>
        <v>4</v>
      </c>
      <c r="S52"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52" s="8"/>
      <c r="V52" s="873" t="e">
        <f t="shared" si="4"/>
        <v>#N/A</v>
      </c>
      <c r="W52" s="885" t="e">
        <f>MATCH(Tbl_Long_Hydro[[#This Row],[Draught]],Tbl_Long_Definition[H k-bott],-1)</f>
        <v>#N/A</v>
      </c>
      <c r="X52"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52" s="886" t="e">
        <f>MATCH(Tbl_Long_Hydro[[#This Row],[Draught]],Tbl_Long_Definition[H k-bott],1)</f>
        <v>#N/A</v>
      </c>
      <c r="Z52"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52" s="888" t="e">
        <f>IF(ISNA(Tbl_Long_Hydro[[#This Row],[Draught]]),NA(),IFERROR(INDEX(Tbl_Long_Definition[X],Tbl_Long_Hydro[[#This Row],[Aft Nline prev]]),0))</f>
        <v>#N/A</v>
      </c>
      <c r="AB52" s="889" t="e">
        <f>IF(ISNA(Tbl_Long_Hydro[[#This Row],[Draught]]),NA(),IFERROR(INDEX(Tbl_Long_Definition[X],Tbl_Long_Hydro[[#This Row],[Aft Nline next]]),0))</f>
        <v>#N/A</v>
      </c>
      <c r="AC52" s="889" t="e">
        <f>IF(ISNA(Tbl_Long_Hydro[[#This Row],[Draught]]),NA(),INDEX(Tbl_Long_Definition[H k-bott],Tbl_Long_Hydro[[#This Row],[Aft Nline prev]]))</f>
        <v>#N/A</v>
      </c>
      <c r="AD52" s="889" t="e">
        <f>IF(ISNA(Tbl_Long_Hydro[[#This Row],[Draught]]),NA(),INDEX(Tbl_Long_Definition[H k-bott],Tbl_Long_Hydro[[#This Row],[Aft Nline next]]))</f>
        <v>#N/A</v>
      </c>
      <c r="AE52" s="888" t="e">
        <f>IF(ISNA(Tbl_Long_Hydro[[#This Row],[Draught]]),NA(),IFERROR(INDEX(Tbl_Long_Definition[X],Tbl_Long_Hydro[[#This Row],[Fore Nline prev]]),0))</f>
        <v>#N/A</v>
      </c>
      <c r="AF52" s="889" t="e">
        <f>IF(ISNA(Tbl_Long_Hydro[[#This Row],[Draught]]),NA(),IFERROR(INDEX(Tbl_Long_Definition[X],Tbl_Long_Hydro[[#This Row],[Fore Nline next]]),0))</f>
        <v>#N/A</v>
      </c>
      <c r="AG52" s="889" t="e">
        <f>IF(ISNA(Tbl_Long_Hydro[[#This Row],[Draught]]),NA(),INDEX(Tbl_Long_Definition[H k-bott],Tbl_Long_Hydro[[#This Row],[Fore Nline prev]]))</f>
        <v>#N/A</v>
      </c>
      <c r="AH52" s="890" t="e">
        <f>IF(ISNA(Tbl_Long_Hydro[[#This Row],[Draught]]),NA(),INDEX(Tbl_Long_Definition[H k-bott],Tbl_Long_Hydro[[#This Row],[Fore Nline next]]))</f>
        <v>#N/A</v>
      </c>
      <c r="AI52"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52"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52" s="894" t="e">
        <f>Tbl_Long_Hydro[[#This Row],[Fore X]]-Tbl_Long_Hydro[[#This Row],[Aft X]]</f>
        <v>#N/A</v>
      </c>
      <c r="AL52" s="884" t="e">
        <f>Tbl_Long_Hydro[[#This Row],[LX]]*B</f>
        <v>#N/A</v>
      </c>
      <c r="AM52" s="892" t="e">
        <f>IF(ISNUMBER(AM51),(AK51+Tbl_Long_Hydro[[#This Row],[LX]])*(Tbl_Long_Hydro[[#This Row],[Draught]]-V51)/2*B,(Tbl_Long_Hydro[[#This Row],[LX]])*Tbl_Long_Hydro[[#This Row],[Draught]]*B)</f>
        <v>#N/A</v>
      </c>
      <c r="AN52" s="899" t="e">
        <f>Tbl_Long_Hydro[[#This Row],[Aft X]]+Tbl_Long_Hydro[[#This Row],[LX]]/2</f>
        <v>#N/A</v>
      </c>
      <c r="AO52" s="876" t="e">
        <f>IF(ISNUMBER(AO51),(2*Tbl_Long_Hydro[[#This Row],[LX]]+AK51)/(Tbl_Long_Hydro[[#This Row],[LX]]+AK51)*(Tbl_Long_Hydro[[#This Row],[Draught]]-V51)/3+V51,Tbl_Long_Hydro[[#This Row],[Draught]]/2)</f>
        <v>#N/A</v>
      </c>
      <c r="AP52" s="898" t="e">
        <f>IF(ISNUMBER(AP51),Tbl_Long_Hydro[[#This Row],[Volume elt]]+AP51,Tbl_Long_Hydro[[#This Row],[Volume elt]]*AO$4)</f>
        <v>#N/A</v>
      </c>
      <c r="AQ52" s="893" t="e">
        <f>IF(ISNUMBER(AQ51),Tbl_Long_Hydro[[#This Row],[Displacement]]*AQ$4,IF(ISNA(AQ51),NA(),0))</f>
        <v>#N/A</v>
      </c>
      <c r="AR52" s="900" t="e">
        <f>IF(ISNA(Tbl_Long_Hydro[[#This Row],[Draught]]),NA(),IFERROR(Tbl_Long_Hydro[[#This Row],[LX]]*B^3/12/Tbl_Long_Hydro[[#This Row],[Displacement]],0))</f>
        <v>#N/A</v>
      </c>
      <c r="AS52" s="903" t="e">
        <f>IF(ISNA(Tbl_Long_Hydro[[#This Row],[Draught]]),NA(),IFERROR((B*Tbl_Long_Hydro[[#This Row],[LX]]^3/12+(Tbl_Long_Hydro[[#This Row],[LCF]]-Tbl_Long_Hydro[[#This Row],[LCB]])*Tbl_Long_Hydro[[#This Row],[Waterplane area]]*Tbl_Long_Hydro[[#This Row],[LCF]]^2)/Tbl_Long_Hydro[[#This Row],[Displacement]],0))</f>
        <v>#N/A</v>
      </c>
      <c r="AT52" s="900" t="e">
        <f>Tbl_Long_Hydro[[#This Row],[Aft X]]+Tbl_Long_Hydro[[#This Row],[LX]]/2</f>
        <v>#N/A</v>
      </c>
      <c r="AU52" s="901" t="e">
        <f>IF(ISNUMBER(AU51),(AU51*AP51+Tbl_Long_Hydro[[#This Row],[X CoG elt]]*Tbl_Long_Hydro[[#This Row],[Volume elt]])/Tbl_Long_Hydro[[#This Row],[Displacement]],Tbl_Long_Hydro[[#This Row],[X CoG elt]])</f>
        <v>#N/A</v>
      </c>
      <c r="AV52" s="902" t="e">
        <f>IF(ISNA(Tbl_Long_Hydro[[#This Row],[Draught]]),NA(),0)</f>
        <v>#N/A</v>
      </c>
      <c r="AW52" s="876" t="e">
        <f>IF(ISNUMBER(AW51),(AW51*AP51+Tbl_Long_Hydro[[#This Row],[Z CoG elt]]*Tbl_Long_Hydro[[#This Row],[Volume elt]])/Tbl_Long_Hydro[[#This Row],[Displacement]],Tbl_Long_Hydro[[#This Row],[Z CoG elt]])</f>
        <v>#N/A</v>
      </c>
      <c r="AX52" s="899" t="e">
        <f>Tbl_Long_Hydro[[#This Row],[RMT]]+Tbl_Long_Hydro[[#This Row],[VCB]]</f>
        <v>#N/A</v>
      </c>
      <c r="AY52" s="904" t="e">
        <f>Tbl_Long_Hydro[[#This Row],[Displacement]]*Tbl_Long_Hydro[[#This Row],[RML]]/(100*Lpp)</f>
        <v>#N/A</v>
      </c>
      <c r="AZ52" s="956" t="e">
        <f>Tbl_Long_Hydro[[#This Row],[Draught]]</f>
        <v>#N/A</v>
      </c>
      <c r="BA52" s="959" t="e">
        <f>Tbl_Long_Hydro[[#This Row],[Displacement]]</f>
        <v>#N/A</v>
      </c>
      <c r="BB52" s="960" t="e">
        <f>Tbl_Long_Hydro[[#This Row],[Displac. SW]]</f>
        <v>#N/A</v>
      </c>
      <c r="BC52" s="964" t="e">
        <f>Tbl_Long_Hydro[[#This Row],[Waterplane area]]/100*$AQ$4</f>
        <v>#N/A</v>
      </c>
      <c r="BD52" s="961" t="e">
        <f>Tbl_Long_Hydro[[#This Row],[MCT]]</f>
        <v>#N/A</v>
      </c>
      <c r="BE52" s="962" t="e">
        <f>Tbl_Long_Hydro[[#This Row],[LCB]]</f>
        <v>#N/A</v>
      </c>
      <c r="BF52" s="962" t="e">
        <f>Tbl_Long_Hydro[[#This Row],[TCB]]</f>
        <v>#N/A</v>
      </c>
      <c r="BG52" s="962" t="e">
        <f>Tbl_Long_Hydro[[#This Row],[LCF]]</f>
        <v>#N/A</v>
      </c>
      <c r="BH52" s="963" t="e">
        <f>Tbl_Long_Hydro[[#This Row],[KMT]]</f>
        <v>#N/A</v>
      </c>
    </row>
    <row r="53" spans="11:60" x14ac:dyDescent="0.25">
      <c r="K53" s="156">
        <f t="shared" si="1"/>
        <v>47</v>
      </c>
      <c r="L53" s="164">
        <f t="shared" si="2"/>
        <v>23.5</v>
      </c>
      <c r="M53" s="163">
        <f>MATCH(Tbl_Long_Section[[#This Row],[X]],Tbl_Long_Definition[X],1)</f>
        <v>2</v>
      </c>
      <c r="N53" s="157">
        <f>IF(Tbl_Long_Section[[#This Row],[Nline Prev]]&lt;COUNT(Tbl_Long_Definition[X]),Tbl_Long_Section[[#This Row],[Nline Prev]]+1,Tbl_Long_Section[[#This Row],[Nline Prev]])</f>
        <v>3</v>
      </c>
      <c r="O53" s="162">
        <f>INDEX(Tbl_Long_Definition[X],Tbl_Long_Section[[#This Row],[Nline Prev]])</f>
        <v>5</v>
      </c>
      <c r="P53" s="159">
        <f>INDEX(Tbl_Long_Definition[X],Tbl_Long_Section[[#This Row],[Nline Next]])</f>
        <v>55</v>
      </c>
      <c r="Q53" s="160">
        <f>INDEX(Tbl_Long_Definition[H Deck-Bott.],Tbl_Long_Section[[#This Row],[Nline Prev]])</f>
        <v>4</v>
      </c>
      <c r="R53" s="161">
        <f>INDEX(Tbl_Long_Definition[H Deck-Bott.],Tbl_Long_Section[[#This Row],[Nline Next]])</f>
        <v>4</v>
      </c>
      <c r="S53"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53" s="8"/>
      <c r="V53" s="873" t="e">
        <f t="shared" si="4"/>
        <v>#N/A</v>
      </c>
      <c r="W53" s="885" t="e">
        <f>MATCH(Tbl_Long_Hydro[[#This Row],[Draught]],Tbl_Long_Definition[H k-bott],-1)</f>
        <v>#N/A</v>
      </c>
      <c r="X53"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53" s="886" t="e">
        <f>MATCH(Tbl_Long_Hydro[[#This Row],[Draught]],Tbl_Long_Definition[H k-bott],1)</f>
        <v>#N/A</v>
      </c>
      <c r="Z53"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53" s="888" t="e">
        <f>IF(ISNA(Tbl_Long_Hydro[[#This Row],[Draught]]),NA(),IFERROR(INDEX(Tbl_Long_Definition[X],Tbl_Long_Hydro[[#This Row],[Aft Nline prev]]),0))</f>
        <v>#N/A</v>
      </c>
      <c r="AB53" s="889" t="e">
        <f>IF(ISNA(Tbl_Long_Hydro[[#This Row],[Draught]]),NA(),IFERROR(INDEX(Tbl_Long_Definition[X],Tbl_Long_Hydro[[#This Row],[Aft Nline next]]),0))</f>
        <v>#N/A</v>
      </c>
      <c r="AC53" s="889" t="e">
        <f>IF(ISNA(Tbl_Long_Hydro[[#This Row],[Draught]]),NA(),INDEX(Tbl_Long_Definition[H k-bott],Tbl_Long_Hydro[[#This Row],[Aft Nline prev]]))</f>
        <v>#N/A</v>
      </c>
      <c r="AD53" s="889" t="e">
        <f>IF(ISNA(Tbl_Long_Hydro[[#This Row],[Draught]]),NA(),INDEX(Tbl_Long_Definition[H k-bott],Tbl_Long_Hydro[[#This Row],[Aft Nline next]]))</f>
        <v>#N/A</v>
      </c>
      <c r="AE53" s="888" t="e">
        <f>IF(ISNA(Tbl_Long_Hydro[[#This Row],[Draught]]),NA(),IFERROR(INDEX(Tbl_Long_Definition[X],Tbl_Long_Hydro[[#This Row],[Fore Nline prev]]),0))</f>
        <v>#N/A</v>
      </c>
      <c r="AF53" s="889" t="e">
        <f>IF(ISNA(Tbl_Long_Hydro[[#This Row],[Draught]]),NA(),IFERROR(INDEX(Tbl_Long_Definition[X],Tbl_Long_Hydro[[#This Row],[Fore Nline next]]),0))</f>
        <v>#N/A</v>
      </c>
      <c r="AG53" s="889" t="e">
        <f>IF(ISNA(Tbl_Long_Hydro[[#This Row],[Draught]]),NA(),INDEX(Tbl_Long_Definition[H k-bott],Tbl_Long_Hydro[[#This Row],[Fore Nline prev]]))</f>
        <v>#N/A</v>
      </c>
      <c r="AH53" s="890" t="e">
        <f>IF(ISNA(Tbl_Long_Hydro[[#This Row],[Draught]]),NA(),INDEX(Tbl_Long_Definition[H k-bott],Tbl_Long_Hydro[[#This Row],[Fore Nline next]]))</f>
        <v>#N/A</v>
      </c>
      <c r="AI53"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53"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53" s="894" t="e">
        <f>Tbl_Long_Hydro[[#This Row],[Fore X]]-Tbl_Long_Hydro[[#This Row],[Aft X]]</f>
        <v>#N/A</v>
      </c>
      <c r="AL53" s="884" t="e">
        <f>Tbl_Long_Hydro[[#This Row],[LX]]*B</f>
        <v>#N/A</v>
      </c>
      <c r="AM53" s="892" t="e">
        <f>IF(ISNUMBER(AM52),(AK52+Tbl_Long_Hydro[[#This Row],[LX]])*(Tbl_Long_Hydro[[#This Row],[Draught]]-V52)/2*B,(Tbl_Long_Hydro[[#This Row],[LX]])*Tbl_Long_Hydro[[#This Row],[Draught]]*B)</f>
        <v>#N/A</v>
      </c>
      <c r="AN53" s="899" t="e">
        <f>Tbl_Long_Hydro[[#This Row],[Aft X]]+Tbl_Long_Hydro[[#This Row],[LX]]/2</f>
        <v>#N/A</v>
      </c>
      <c r="AO53" s="876" t="e">
        <f>IF(ISNUMBER(AO52),(2*Tbl_Long_Hydro[[#This Row],[LX]]+AK52)/(Tbl_Long_Hydro[[#This Row],[LX]]+AK52)*(Tbl_Long_Hydro[[#This Row],[Draught]]-V52)/3+V52,Tbl_Long_Hydro[[#This Row],[Draught]]/2)</f>
        <v>#N/A</v>
      </c>
      <c r="AP53" s="898" t="e">
        <f>IF(ISNUMBER(AP52),Tbl_Long_Hydro[[#This Row],[Volume elt]]+AP52,Tbl_Long_Hydro[[#This Row],[Volume elt]]*AO$4)</f>
        <v>#N/A</v>
      </c>
      <c r="AQ53" s="893" t="e">
        <f>IF(ISNUMBER(AQ52),Tbl_Long_Hydro[[#This Row],[Displacement]]*AQ$4,IF(ISNA(AQ52),NA(),0))</f>
        <v>#N/A</v>
      </c>
      <c r="AR53" s="900" t="e">
        <f>IF(ISNA(Tbl_Long_Hydro[[#This Row],[Draught]]),NA(),IFERROR(Tbl_Long_Hydro[[#This Row],[LX]]*B^3/12/Tbl_Long_Hydro[[#This Row],[Displacement]],0))</f>
        <v>#N/A</v>
      </c>
      <c r="AS53" s="903" t="e">
        <f>IF(ISNA(Tbl_Long_Hydro[[#This Row],[Draught]]),NA(),IFERROR((B*Tbl_Long_Hydro[[#This Row],[LX]]^3/12+(Tbl_Long_Hydro[[#This Row],[LCF]]-Tbl_Long_Hydro[[#This Row],[LCB]])*Tbl_Long_Hydro[[#This Row],[Waterplane area]]*Tbl_Long_Hydro[[#This Row],[LCF]]^2)/Tbl_Long_Hydro[[#This Row],[Displacement]],0))</f>
        <v>#N/A</v>
      </c>
      <c r="AT53" s="900" t="e">
        <f>Tbl_Long_Hydro[[#This Row],[Aft X]]+Tbl_Long_Hydro[[#This Row],[LX]]/2</f>
        <v>#N/A</v>
      </c>
      <c r="AU53" s="901" t="e">
        <f>IF(ISNUMBER(AU52),(AU52*AP52+Tbl_Long_Hydro[[#This Row],[X CoG elt]]*Tbl_Long_Hydro[[#This Row],[Volume elt]])/Tbl_Long_Hydro[[#This Row],[Displacement]],Tbl_Long_Hydro[[#This Row],[X CoG elt]])</f>
        <v>#N/A</v>
      </c>
      <c r="AV53" s="902" t="e">
        <f>IF(ISNA(Tbl_Long_Hydro[[#This Row],[Draught]]),NA(),0)</f>
        <v>#N/A</v>
      </c>
      <c r="AW53" s="876" t="e">
        <f>IF(ISNUMBER(AW52),(AW52*AP52+Tbl_Long_Hydro[[#This Row],[Z CoG elt]]*Tbl_Long_Hydro[[#This Row],[Volume elt]])/Tbl_Long_Hydro[[#This Row],[Displacement]],Tbl_Long_Hydro[[#This Row],[Z CoG elt]])</f>
        <v>#N/A</v>
      </c>
      <c r="AX53" s="899" t="e">
        <f>Tbl_Long_Hydro[[#This Row],[RMT]]+Tbl_Long_Hydro[[#This Row],[VCB]]</f>
        <v>#N/A</v>
      </c>
      <c r="AY53" s="904" t="e">
        <f>Tbl_Long_Hydro[[#This Row],[Displacement]]*Tbl_Long_Hydro[[#This Row],[RML]]/(100*Lpp)</f>
        <v>#N/A</v>
      </c>
      <c r="AZ53" s="956" t="e">
        <f>Tbl_Long_Hydro[[#This Row],[Draught]]</f>
        <v>#N/A</v>
      </c>
      <c r="BA53" s="959" t="e">
        <f>Tbl_Long_Hydro[[#This Row],[Displacement]]</f>
        <v>#N/A</v>
      </c>
      <c r="BB53" s="960" t="e">
        <f>Tbl_Long_Hydro[[#This Row],[Displac. SW]]</f>
        <v>#N/A</v>
      </c>
      <c r="BC53" s="964" t="e">
        <f>Tbl_Long_Hydro[[#This Row],[Waterplane area]]/100*$AQ$4</f>
        <v>#N/A</v>
      </c>
      <c r="BD53" s="961" t="e">
        <f>Tbl_Long_Hydro[[#This Row],[MCT]]</f>
        <v>#N/A</v>
      </c>
      <c r="BE53" s="962" t="e">
        <f>Tbl_Long_Hydro[[#This Row],[LCB]]</f>
        <v>#N/A</v>
      </c>
      <c r="BF53" s="962" t="e">
        <f>Tbl_Long_Hydro[[#This Row],[TCB]]</f>
        <v>#N/A</v>
      </c>
      <c r="BG53" s="962" t="e">
        <f>Tbl_Long_Hydro[[#This Row],[LCF]]</f>
        <v>#N/A</v>
      </c>
      <c r="BH53" s="963" t="e">
        <f>Tbl_Long_Hydro[[#This Row],[KMT]]</f>
        <v>#N/A</v>
      </c>
    </row>
    <row r="54" spans="11:60" x14ac:dyDescent="0.25">
      <c r="K54" s="156">
        <f t="shared" si="1"/>
        <v>48</v>
      </c>
      <c r="L54" s="164">
        <f t="shared" si="2"/>
        <v>24</v>
      </c>
      <c r="M54" s="163">
        <f>MATCH(Tbl_Long_Section[[#This Row],[X]],Tbl_Long_Definition[X],1)</f>
        <v>2</v>
      </c>
      <c r="N54" s="157">
        <f>IF(Tbl_Long_Section[[#This Row],[Nline Prev]]&lt;COUNT(Tbl_Long_Definition[X]),Tbl_Long_Section[[#This Row],[Nline Prev]]+1,Tbl_Long_Section[[#This Row],[Nline Prev]])</f>
        <v>3</v>
      </c>
      <c r="O54" s="162">
        <f>INDEX(Tbl_Long_Definition[X],Tbl_Long_Section[[#This Row],[Nline Prev]])</f>
        <v>5</v>
      </c>
      <c r="P54" s="159">
        <f>INDEX(Tbl_Long_Definition[X],Tbl_Long_Section[[#This Row],[Nline Next]])</f>
        <v>55</v>
      </c>
      <c r="Q54" s="160">
        <f>INDEX(Tbl_Long_Definition[H Deck-Bott.],Tbl_Long_Section[[#This Row],[Nline Prev]])</f>
        <v>4</v>
      </c>
      <c r="R54" s="161">
        <f>INDEX(Tbl_Long_Definition[H Deck-Bott.],Tbl_Long_Section[[#This Row],[Nline Next]])</f>
        <v>4</v>
      </c>
      <c r="S54"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54" s="8"/>
      <c r="V54" s="873" t="e">
        <f t="shared" si="4"/>
        <v>#N/A</v>
      </c>
      <c r="W54" s="885" t="e">
        <f>MATCH(Tbl_Long_Hydro[[#This Row],[Draught]],Tbl_Long_Definition[H k-bott],-1)</f>
        <v>#N/A</v>
      </c>
      <c r="X54"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54" s="886" t="e">
        <f>MATCH(Tbl_Long_Hydro[[#This Row],[Draught]],Tbl_Long_Definition[H k-bott],1)</f>
        <v>#N/A</v>
      </c>
      <c r="Z54"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54" s="888" t="e">
        <f>IF(ISNA(Tbl_Long_Hydro[[#This Row],[Draught]]),NA(),IFERROR(INDEX(Tbl_Long_Definition[X],Tbl_Long_Hydro[[#This Row],[Aft Nline prev]]),0))</f>
        <v>#N/A</v>
      </c>
      <c r="AB54" s="889" t="e">
        <f>IF(ISNA(Tbl_Long_Hydro[[#This Row],[Draught]]),NA(),IFERROR(INDEX(Tbl_Long_Definition[X],Tbl_Long_Hydro[[#This Row],[Aft Nline next]]),0))</f>
        <v>#N/A</v>
      </c>
      <c r="AC54" s="889" t="e">
        <f>IF(ISNA(Tbl_Long_Hydro[[#This Row],[Draught]]),NA(),INDEX(Tbl_Long_Definition[H k-bott],Tbl_Long_Hydro[[#This Row],[Aft Nline prev]]))</f>
        <v>#N/A</v>
      </c>
      <c r="AD54" s="889" t="e">
        <f>IF(ISNA(Tbl_Long_Hydro[[#This Row],[Draught]]),NA(),INDEX(Tbl_Long_Definition[H k-bott],Tbl_Long_Hydro[[#This Row],[Aft Nline next]]))</f>
        <v>#N/A</v>
      </c>
      <c r="AE54" s="888" t="e">
        <f>IF(ISNA(Tbl_Long_Hydro[[#This Row],[Draught]]),NA(),IFERROR(INDEX(Tbl_Long_Definition[X],Tbl_Long_Hydro[[#This Row],[Fore Nline prev]]),0))</f>
        <v>#N/A</v>
      </c>
      <c r="AF54" s="889" t="e">
        <f>IF(ISNA(Tbl_Long_Hydro[[#This Row],[Draught]]),NA(),IFERROR(INDEX(Tbl_Long_Definition[X],Tbl_Long_Hydro[[#This Row],[Fore Nline next]]),0))</f>
        <v>#N/A</v>
      </c>
      <c r="AG54" s="889" t="e">
        <f>IF(ISNA(Tbl_Long_Hydro[[#This Row],[Draught]]),NA(),INDEX(Tbl_Long_Definition[H k-bott],Tbl_Long_Hydro[[#This Row],[Fore Nline prev]]))</f>
        <v>#N/A</v>
      </c>
      <c r="AH54" s="890" t="e">
        <f>IF(ISNA(Tbl_Long_Hydro[[#This Row],[Draught]]),NA(),INDEX(Tbl_Long_Definition[H k-bott],Tbl_Long_Hydro[[#This Row],[Fore Nline next]]))</f>
        <v>#N/A</v>
      </c>
      <c r="AI54"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54"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54" s="894" t="e">
        <f>Tbl_Long_Hydro[[#This Row],[Fore X]]-Tbl_Long_Hydro[[#This Row],[Aft X]]</f>
        <v>#N/A</v>
      </c>
      <c r="AL54" s="884" t="e">
        <f>Tbl_Long_Hydro[[#This Row],[LX]]*B</f>
        <v>#N/A</v>
      </c>
      <c r="AM54" s="892" t="e">
        <f>IF(ISNUMBER(AM53),(AK53+Tbl_Long_Hydro[[#This Row],[LX]])*(Tbl_Long_Hydro[[#This Row],[Draught]]-V53)/2*B,(Tbl_Long_Hydro[[#This Row],[LX]])*Tbl_Long_Hydro[[#This Row],[Draught]]*B)</f>
        <v>#N/A</v>
      </c>
      <c r="AN54" s="899" t="e">
        <f>Tbl_Long_Hydro[[#This Row],[Aft X]]+Tbl_Long_Hydro[[#This Row],[LX]]/2</f>
        <v>#N/A</v>
      </c>
      <c r="AO54" s="876" t="e">
        <f>IF(ISNUMBER(AO53),(2*Tbl_Long_Hydro[[#This Row],[LX]]+AK53)/(Tbl_Long_Hydro[[#This Row],[LX]]+AK53)*(Tbl_Long_Hydro[[#This Row],[Draught]]-V53)/3+V53,Tbl_Long_Hydro[[#This Row],[Draught]]/2)</f>
        <v>#N/A</v>
      </c>
      <c r="AP54" s="898" t="e">
        <f>IF(ISNUMBER(AP53),Tbl_Long_Hydro[[#This Row],[Volume elt]]+AP53,Tbl_Long_Hydro[[#This Row],[Volume elt]]*AO$4)</f>
        <v>#N/A</v>
      </c>
      <c r="AQ54" s="893" t="e">
        <f>IF(ISNUMBER(AQ53),Tbl_Long_Hydro[[#This Row],[Displacement]]*AQ$4,IF(ISNA(AQ53),NA(),0))</f>
        <v>#N/A</v>
      </c>
      <c r="AR54" s="900" t="e">
        <f>IF(ISNA(Tbl_Long_Hydro[[#This Row],[Draught]]),NA(),IFERROR(Tbl_Long_Hydro[[#This Row],[LX]]*B^3/12/Tbl_Long_Hydro[[#This Row],[Displacement]],0))</f>
        <v>#N/A</v>
      </c>
      <c r="AS54" s="903" t="e">
        <f>IF(ISNA(Tbl_Long_Hydro[[#This Row],[Draught]]),NA(),IFERROR((B*Tbl_Long_Hydro[[#This Row],[LX]]^3/12+(Tbl_Long_Hydro[[#This Row],[LCF]]-Tbl_Long_Hydro[[#This Row],[LCB]])*Tbl_Long_Hydro[[#This Row],[Waterplane area]]*Tbl_Long_Hydro[[#This Row],[LCF]]^2)/Tbl_Long_Hydro[[#This Row],[Displacement]],0))</f>
        <v>#N/A</v>
      </c>
      <c r="AT54" s="900" t="e">
        <f>Tbl_Long_Hydro[[#This Row],[Aft X]]+Tbl_Long_Hydro[[#This Row],[LX]]/2</f>
        <v>#N/A</v>
      </c>
      <c r="AU54" s="901" t="e">
        <f>IF(ISNUMBER(AU53),(AU53*AP53+Tbl_Long_Hydro[[#This Row],[X CoG elt]]*Tbl_Long_Hydro[[#This Row],[Volume elt]])/Tbl_Long_Hydro[[#This Row],[Displacement]],Tbl_Long_Hydro[[#This Row],[X CoG elt]])</f>
        <v>#N/A</v>
      </c>
      <c r="AV54" s="902" t="e">
        <f>IF(ISNA(Tbl_Long_Hydro[[#This Row],[Draught]]),NA(),0)</f>
        <v>#N/A</v>
      </c>
      <c r="AW54" s="876" t="e">
        <f>IF(ISNUMBER(AW53),(AW53*AP53+Tbl_Long_Hydro[[#This Row],[Z CoG elt]]*Tbl_Long_Hydro[[#This Row],[Volume elt]])/Tbl_Long_Hydro[[#This Row],[Displacement]],Tbl_Long_Hydro[[#This Row],[Z CoG elt]])</f>
        <v>#N/A</v>
      </c>
      <c r="AX54" s="899" t="e">
        <f>Tbl_Long_Hydro[[#This Row],[RMT]]+Tbl_Long_Hydro[[#This Row],[VCB]]</f>
        <v>#N/A</v>
      </c>
      <c r="AY54" s="904" t="e">
        <f>Tbl_Long_Hydro[[#This Row],[Displacement]]*Tbl_Long_Hydro[[#This Row],[RML]]/(100*Lpp)</f>
        <v>#N/A</v>
      </c>
      <c r="AZ54" s="956" t="e">
        <f>Tbl_Long_Hydro[[#This Row],[Draught]]</f>
        <v>#N/A</v>
      </c>
      <c r="BA54" s="959" t="e">
        <f>Tbl_Long_Hydro[[#This Row],[Displacement]]</f>
        <v>#N/A</v>
      </c>
      <c r="BB54" s="960" t="e">
        <f>Tbl_Long_Hydro[[#This Row],[Displac. SW]]</f>
        <v>#N/A</v>
      </c>
      <c r="BC54" s="964" t="e">
        <f>Tbl_Long_Hydro[[#This Row],[Waterplane area]]/100*$AQ$4</f>
        <v>#N/A</v>
      </c>
      <c r="BD54" s="961" t="e">
        <f>Tbl_Long_Hydro[[#This Row],[MCT]]</f>
        <v>#N/A</v>
      </c>
      <c r="BE54" s="962" t="e">
        <f>Tbl_Long_Hydro[[#This Row],[LCB]]</f>
        <v>#N/A</v>
      </c>
      <c r="BF54" s="962" t="e">
        <f>Tbl_Long_Hydro[[#This Row],[TCB]]</f>
        <v>#N/A</v>
      </c>
      <c r="BG54" s="962" t="e">
        <f>Tbl_Long_Hydro[[#This Row],[LCF]]</f>
        <v>#N/A</v>
      </c>
      <c r="BH54" s="963" t="e">
        <f>Tbl_Long_Hydro[[#This Row],[KMT]]</f>
        <v>#N/A</v>
      </c>
    </row>
    <row r="55" spans="11:60" x14ac:dyDescent="0.25">
      <c r="K55" s="156">
        <f t="shared" si="1"/>
        <v>49</v>
      </c>
      <c r="L55" s="164">
        <f t="shared" si="2"/>
        <v>24.5</v>
      </c>
      <c r="M55" s="163">
        <f>MATCH(Tbl_Long_Section[[#This Row],[X]],Tbl_Long_Definition[X],1)</f>
        <v>2</v>
      </c>
      <c r="N55" s="157">
        <f>IF(Tbl_Long_Section[[#This Row],[Nline Prev]]&lt;COUNT(Tbl_Long_Definition[X]),Tbl_Long_Section[[#This Row],[Nline Prev]]+1,Tbl_Long_Section[[#This Row],[Nline Prev]])</f>
        <v>3</v>
      </c>
      <c r="O55" s="162">
        <f>INDEX(Tbl_Long_Definition[X],Tbl_Long_Section[[#This Row],[Nline Prev]])</f>
        <v>5</v>
      </c>
      <c r="P55" s="159">
        <f>INDEX(Tbl_Long_Definition[X],Tbl_Long_Section[[#This Row],[Nline Next]])</f>
        <v>55</v>
      </c>
      <c r="Q55" s="160">
        <f>INDEX(Tbl_Long_Definition[H Deck-Bott.],Tbl_Long_Section[[#This Row],[Nline Prev]])</f>
        <v>4</v>
      </c>
      <c r="R55" s="161">
        <f>INDEX(Tbl_Long_Definition[H Deck-Bott.],Tbl_Long_Section[[#This Row],[Nline Next]])</f>
        <v>4</v>
      </c>
      <c r="S55"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55" s="8"/>
      <c r="V55" s="873" t="e">
        <f t="shared" si="4"/>
        <v>#N/A</v>
      </c>
      <c r="W55" s="885" t="e">
        <f>MATCH(Tbl_Long_Hydro[[#This Row],[Draught]],Tbl_Long_Definition[H k-bott],-1)</f>
        <v>#N/A</v>
      </c>
      <c r="X55"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55" s="886" t="e">
        <f>MATCH(Tbl_Long_Hydro[[#This Row],[Draught]],Tbl_Long_Definition[H k-bott],1)</f>
        <v>#N/A</v>
      </c>
      <c r="Z55"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55" s="888" t="e">
        <f>IF(ISNA(Tbl_Long_Hydro[[#This Row],[Draught]]),NA(),IFERROR(INDEX(Tbl_Long_Definition[X],Tbl_Long_Hydro[[#This Row],[Aft Nline prev]]),0))</f>
        <v>#N/A</v>
      </c>
      <c r="AB55" s="889" t="e">
        <f>IF(ISNA(Tbl_Long_Hydro[[#This Row],[Draught]]),NA(),IFERROR(INDEX(Tbl_Long_Definition[X],Tbl_Long_Hydro[[#This Row],[Aft Nline next]]),0))</f>
        <v>#N/A</v>
      </c>
      <c r="AC55" s="889" t="e">
        <f>IF(ISNA(Tbl_Long_Hydro[[#This Row],[Draught]]),NA(),INDEX(Tbl_Long_Definition[H k-bott],Tbl_Long_Hydro[[#This Row],[Aft Nline prev]]))</f>
        <v>#N/A</v>
      </c>
      <c r="AD55" s="889" t="e">
        <f>IF(ISNA(Tbl_Long_Hydro[[#This Row],[Draught]]),NA(),INDEX(Tbl_Long_Definition[H k-bott],Tbl_Long_Hydro[[#This Row],[Aft Nline next]]))</f>
        <v>#N/A</v>
      </c>
      <c r="AE55" s="888" t="e">
        <f>IF(ISNA(Tbl_Long_Hydro[[#This Row],[Draught]]),NA(),IFERROR(INDEX(Tbl_Long_Definition[X],Tbl_Long_Hydro[[#This Row],[Fore Nline prev]]),0))</f>
        <v>#N/A</v>
      </c>
      <c r="AF55" s="889" t="e">
        <f>IF(ISNA(Tbl_Long_Hydro[[#This Row],[Draught]]),NA(),IFERROR(INDEX(Tbl_Long_Definition[X],Tbl_Long_Hydro[[#This Row],[Fore Nline next]]),0))</f>
        <v>#N/A</v>
      </c>
      <c r="AG55" s="889" t="e">
        <f>IF(ISNA(Tbl_Long_Hydro[[#This Row],[Draught]]),NA(),INDEX(Tbl_Long_Definition[H k-bott],Tbl_Long_Hydro[[#This Row],[Fore Nline prev]]))</f>
        <v>#N/A</v>
      </c>
      <c r="AH55" s="890" t="e">
        <f>IF(ISNA(Tbl_Long_Hydro[[#This Row],[Draught]]),NA(),INDEX(Tbl_Long_Definition[H k-bott],Tbl_Long_Hydro[[#This Row],[Fore Nline next]]))</f>
        <v>#N/A</v>
      </c>
      <c r="AI55"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55"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55" s="894" t="e">
        <f>Tbl_Long_Hydro[[#This Row],[Fore X]]-Tbl_Long_Hydro[[#This Row],[Aft X]]</f>
        <v>#N/A</v>
      </c>
      <c r="AL55" s="884" t="e">
        <f>Tbl_Long_Hydro[[#This Row],[LX]]*B</f>
        <v>#N/A</v>
      </c>
      <c r="AM55" s="892" t="e">
        <f>IF(ISNUMBER(AM54),(AK54+Tbl_Long_Hydro[[#This Row],[LX]])*(Tbl_Long_Hydro[[#This Row],[Draught]]-V54)/2*B,(Tbl_Long_Hydro[[#This Row],[LX]])*Tbl_Long_Hydro[[#This Row],[Draught]]*B)</f>
        <v>#N/A</v>
      </c>
      <c r="AN55" s="899" t="e">
        <f>Tbl_Long_Hydro[[#This Row],[Aft X]]+Tbl_Long_Hydro[[#This Row],[LX]]/2</f>
        <v>#N/A</v>
      </c>
      <c r="AO55" s="876" t="e">
        <f>IF(ISNUMBER(AO54),(2*Tbl_Long_Hydro[[#This Row],[LX]]+AK54)/(Tbl_Long_Hydro[[#This Row],[LX]]+AK54)*(Tbl_Long_Hydro[[#This Row],[Draught]]-V54)/3+V54,Tbl_Long_Hydro[[#This Row],[Draught]]/2)</f>
        <v>#N/A</v>
      </c>
      <c r="AP55" s="898" t="e">
        <f>IF(ISNUMBER(AP54),Tbl_Long_Hydro[[#This Row],[Volume elt]]+AP54,Tbl_Long_Hydro[[#This Row],[Volume elt]]*AO$4)</f>
        <v>#N/A</v>
      </c>
      <c r="AQ55" s="893" t="e">
        <f>IF(ISNUMBER(AQ54),Tbl_Long_Hydro[[#This Row],[Displacement]]*AQ$4,IF(ISNA(AQ54),NA(),0))</f>
        <v>#N/A</v>
      </c>
      <c r="AR55" s="900" t="e">
        <f>IF(ISNA(Tbl_Long_Hydro[[#This Row],[Draught]]),NA(),IFERROR(Tbl_Long_Hydro[[#This Row],[LX]]*B^3/12/Tbl_Long_Hydro[[#This Row],[Displacement]],0))</f>
        <v>#N/A</v>
      </c>
      <c r="AS55" s="903" t="e">
        <f>IF(ISNA(Tbl_Long_Hydro[[#This Row],[Draught]]),NA(),IFERROR((B*Tbl_Long_Hydro[[#This Row],[LX]]^3/12+(Tbl_Long_Hydro[[#This Row],[LCF]]-Tbl_Long_Hydro[[#This Row],[LCB]])*Tbl_Long_Hydro[[#This Row],[Waterplane area]]*Tbl_Long_Hydro[[#This Row],[LCF]]^2)/Tbl_Long_Hydro[[#This Row],[Displacement]],0))</f>
        <v>#N/A</v>
      </c>
      <c r="AT55" s="900" t="e">
        <f>Tbl_Long_Hydro[[#This Row],[Aft X]]+Tbl_Long_Hydro[[#This Row],[LX]]/2</f>
        <v>#N/A</v>
      </c>
      <c r="AU55" s="901" t="e">
        <f>IF(ISNUMBER(AU54),(AU54*AP54+Tbl_Long_Hydro[[#This Row],[X CoG elt]]*Tbl_Long_Hydro[[#This Row],[Volume elt]])/Tbl_Long_Hydro[[#This Row],[Displacement]],Tbl_Long_Hydro[[#This Row],[X CoG elt]])</f>
        <v>#N/A</v>
      </c>
      <c r="AV55" s="902" t="e">
        <f>IF(ISNA(Tbl_Long_Hydro[[#This Row],[Draught]]),NA(),0)</f>
        <v>#N/A</v>
      </c>
      <c r="AW55" s="876" t="e">
        <f>IF(ISNUMBER(AW54),(AW54*AP54+Tbl_Long_Hydro[[#This Row],[Z CoG elt]]*Tbl_Long_Hydro[[#This Row],[Volume elt]])/Tbl_Long_Hydro[[#This Row],[Displacement]],Tbl_Long_Hydro[[#This Row],[Z CoG elt]])</f>
        <v>#N/A</v>
      </c>
      <c r="AX55" s="899" t="e">
        <f>Tbl_Long_Hydro[[#This Row],[RMT]]+Tbl_Long_Hydro[[#This Row],[VCB]]</f>
        <v>#N/A</v>
      </c>
      <c r="AY55" s="904" t="e">
        <f>Tbl_Long_Hydro[[#This Row],[Displacement]]*Tbl_Long_Hydro[[#This Row],[RML]]/(100*Lpp)</f>
        <v>#N/A</v>
      </c>
      <c r="AZ55" s="956" t="e">
        <f>Tbl_Long_Hydro[[#This Row],[Draught]]</f>
        <v>#N/A</v>
      </c>
      <c r="BA55" s="959" t="e">
        <f>Tbl_Long_Hydro[[#This Row],[Displacement]]</f>
        <v>#N/A</v>
      </c>
      <c r="BB55" s="960" t="e">
        <f>Tbl_Long_Hydro[[#This Row],[Displac. SW]]</f>
        <v>#N/A</v>
      </c>
      <c r="BC55" s="964" t="e">
        <f>Tbl_Long_Hydro[[#This Row],[Waterplane area]]/100*$AQ$4</f>
        <v>#N/A</v>
      </c>
      <c r="BD55" s="961" t="e">
        <f>Tbl_Long_Hydro[[#This Row],[MCT]]</f>
        <v>#N/A</v>
      </c>
      <c r="BE55" s="962" t="e">
        <f>Tbl_Long_Hydro[[#This Row],[LCB]]</f>
        <v>#N/A</v>
      </c>
      <c r="BF55" s="962" t="e">
        <f>Tbl_Long_Hydro[[#This Row],[TCB]]</f>
        <v>#N/A</v>
      </c>
      <c r="BG55" s="962" t="e">
        <f>Tbl_Long_Hydro[[#This Row],[LCF]]</f>
        <v>#N/A</v>
      </c>
      <c r="BH55" s="963" t="e">
        <f>Tbl_Long_Hydro[[#This Row],[KMT]]</f>
        <v>#N/A</v>
      </c>
    </row>
    <row r="56" spans="11:60" x14ac:dyDescent="0.25">
      <c r="K56" s="156">
        <f t="shared" si="1"/>
        <v>50</v>
      </c>
      <c r="L56" s="164">
        <f t="shared" si="2"/>
        <v>25</v>
      </c>
      <c r="M56" s="163">
        <f>MATCH(Tbl_Long_Section[[#This Row],[X]],Tbl_Long_Definition[X],1)</f>
        <v>2</v>
      </c>
      <c r="N56" s="157">
        <f>IF(Tbl_Long_Section[[#This Row],[Nline Prev]]&lt;COUNT(Tbl_Long_Definition[X]),Tbl_Long_Section[[#This Row],[Nline Prev]]+1,Tbl_Long_Section[[#This Row],[Nline Prev]])</f>
        <v>3</v>
      </c>
      <c r="O56" s="162">
        <f>INDEX(Tbl_Long_Definition[X],Tbl_Long_Section[[#This Row],[Nline Prev]])</f>
        <v>5</v>
      </c>
      <c r="P56" s="159">
        <f>INDEX(Tbl_Long_Definition[X],Tbl_Long_Section[[#This Row],[Nline Next]])</f>
        <v>55</v>
      </c>
      <c r="Q56" s="160">
        <f>INDEX(Tbl_Long_Definition[H Deck-Bott.],Tbl_Long_Section[[#This Row],[Nline Prev]])</f>
        <v>4</v>
      </c>
      <c r="R56" s="161">
        <f>INDEX(Tbl_Long_Definition[H Deck-Bott.],Tbl_Long_Section[[#This Row],[Nline Next]])</f>
        <v>4</v>
      </c>
      <c r="S56"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56" s="8"/>
      <c r="V56" s="873" t="e">
        <f t="shared" si="4"/>
        <v>#N/A</v>
      </c>
      <c r="W56" s="885" t="e">
        <f>MATCH(Tbl_Long_Hydro[[#This Row],[Draught]],Tbl_Long_Definition[H k-bott],-1)</f>
        <v>#N/A</v>
      </c>
      <c r="X56"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56" s="886" t="e">
        <f>MATCH(Tbl_Long_Hydro[[#This Row],[Draught]],Tbl_Long_Definition[H k-bott],1)</f>
        <v>#N/A</v>
      </c>
      <c r="Z56"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56" s="888" t="e">
        <f>IF(ISNA(Tbl_Long_Hydro[[#This Row],[Draught]]),NA(),IFERROR(INDEX(Tbl_Long_Definition[X],Tbl_Long_Hydro[[#This Row],[Aft Nline prev]]),0))</f>
        <v>#N/A</v>
      </c>
      <c r="AB56" s="889" t="e">
        <f>IF(ISNA(Tbl_Long_Hydro[[#This Row],[Draught]]),NA(),IFERROR(INDEX(Tbl_Long_Definition[X],Tbl_Long_Hydro[[#This Row],[Aft Nline next]]),0))</f>
        <v>#N/A</v>
      </c>
      <c r="AC56" s="889" t="e">
        <f>IF(ISNA(Tbl_Long_Hydro[[#This Row],[Draught]]),NA(),INDEX(Tbl_Long_Definition[H k-bott],Tbl_Long_Hydro[[#This Row],[Aft Nline prev]]))</f>
        <v>#N/A</v>
      </c>
      <c r="AD56" s="889" t="e">
        <f>IF(ISNA(Tbl_Long_Hydro[[#This Row],[Draught]]),NA(),INDEX(Tbl_Long_Definition[H k-bott],Tbl_Long_Hydro[[#This Row],[Aft Nline next]]))</f>
        <v>#N/A</v>
      </c>
      <c r="AE56" s="888" t="e">
        <f>IF(ISNA(Tbl_Long_Hydro[[#This Row],[Draught]]),NA(),IFERROR(INDEX(Tbl_Long_Definition[X],Tbl_Long_Hydro[[#This Row],[Fore Nline prev]]),0))</f>
        <v>#N/A</v>
      </c>
      <c r="AF56" s="889" t="e">
        <f>IF(ISNA(Tbl_Long_Hydro[[#This Row],[Draught]]),NA(),IFERROR(INDEX(Tbl_Long_Definition[X],Tbl_Long_Hydro[[#This Row],[Fore Nline next]]),0))</f>
        <v>#N/A</v>
      </c>
      <c r="AG56" s="889" t="e">
        <f>IF(ISNA(Tbl_Long_Hydro[[#This Row],[Draught]]),NA(),INDEX(Tbl_Long_Definition[H k-bott],Tbl_Long_Hydro[[#This Row],[Fore Nline prev]]))</f>
        <v>#N/A</v>
      </c>
      <c r="AH56" s="890" t="e">
        <f>IF(ISNA(Tbl_Long_Hydro[[#This Row],[Draught]]),NA(),INDEX(Tbl_Long_Definition[H k-bott],Tbl_Long_Hydro[[#This Row],[Fore Nline next]]))</f>
        <v>#N/A</v>
      </c>
      <c r="AI56"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56"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56" s="894" t="e">
        <f>Tbl_Long_Hydro[[#This Row],[Fore X]]-Tbl_Long_Hydro[[#This Row],[Aft X]]</f>
        <v>#N/A</v>
      </c>
      <c r="AL56" s="884" t="e">
        <f>Tbl_Long_Hydro[[#This Row],[LX]]*B</f>
        <v>#N/A</v>
      </c>
      <c r="AM56" s="892" t="e">
        <f>IF(ISNUMBER(AM55),(AK55+Tbl_Long_Hydro[[#This Row],[LX]])*(Tbl_Long_Hydro[[#This Row],[Draught]]-V55)/2*B,(Tbl_Long_Hydro[[#This Row],[LX]])*Tbl_Long_Hydro[[#This Row],[Draught]]*B)</f>
        <v>#N/A</v>
      </c>
      <c r="AN56" s="899" t="e">
        <f>Tbl_Long_Hydro[[#This Row],[Aft X]]+Tbl_Long_Hydro[[#This Row],[LX]]/2</f>
        <v>#N/A</v>
      </c>
      <c r="AO56" s="876" t="e">
        <f>IF(ISNUMBER(AO55),(2*Tbl_Long_Hydro[[#This Row],[LX]]+AK55)/(Tbl_Long_Hydro[[#This Row],[LX]]+AK55)*(Tbl_Long_Hydro[[#This Row],[Draught]]-V55)/3+V55,Tbl_Long_Hydro[[#This Row],[Draught]]/2)</f>
        <v>#N/A</v>
      </c>
      <c r="AP56" s="898" t="e">
        <f>IF(ISNUMBER(AP55),Tbl_Long_Hydro[[#This Row],[Volume elt]]+AP55,Tbl_Long_Hydro[[#This Row],[Volume elt]]*AO$4)</f>
        <v>#N/A</v>
      </c>
      <c r="AQ56" s="893" t="e">
        <f>IF(ISNUMBER(AQ55),Tbl_Long_Hydro[[#This Row],[Displacement]]*AQ$4,IF(ISNA(AQ55),NA(),0))</f>
        <v>#N/A</v>
      </c>
      <c r="AR56" s="900" t="e">
        <f>IF(ISNA(Tbl_Long_Hydro[[#This Row],[Draught]]),NA(),IFERROR(Tbl_Long_Hydro[[#This Row],[LX]]*B^3/12/Tbl_Long_Hydro[[#This Row],[Displacement]],0))</f>
        <v>#N/A</v>
      </c>
      <c r="AS56" s="903" t="e">
        <f>IF(ISNA(Tbl_Long_Hydro[[#This Row],[Draught]]),NA(),IFERROR((B*Tbl_Long_Hydro[[#This Row],[LX]]^3/12+(Tbl_Long_Hydro[[#This Row],[LCF]]-Tbl_Long_Hydro[[#This Row],[LCB]])*Tbl_Long_Hydro[[#This Row],[Waterplane area]]*Tbl_Long_Hydro[[#This Row],[LCF]]^2)/Tbl_Long_Hydro[[#This Row],[Displacement]],0))</f>
        <v>#N/A</v>
      </c>
      <c r="AT56" s="900" t="e">
        <f>Tbl_Long_Hydro[[#This Row],[Aft X]]+Tbl_Long_Hydro[[#This Row],[LX]]/2</f>
        <v>#N/A</v>
      </c>
      <c r="AU56" s="901" t="e">
        <f>IF(ISNUMBER(AU55),(AU55*AP55+Tbl_Long_Hydro[[#This Row],[X CoG elt]]*Tbl_Long_Hydro[[#This Row],[Volume elt]])/Tbl_Long_Hydro[[#This Row],[Displacement]],Tbl_Long_Hydro[[#This Row],[X CoG elt]])</f>
        <v>#N/A</v>
      </c>
      <c r="AV56" s="902" t="e">
        <f>IF(ISNA(Tbl_Long_Hydro[[#This Row],[Draught]]),NA(),0)</f>
        <v>#N/A</v>
      </c>
      <c r="AW56" s="876" t="e">
        <f>IF(ISNUMBER(AW55),(AW55*AP55+Tbl_Long_Hydro[[#This Row],[Z CoG elt]]*Tbl_Long_Hydro[[#This Row],[Volume elt]])/Tbl_Long_Hydro[[#This Row],[Displacement]],Tbl_Long_Hydro[[#This Row],[Z CoG elt]])</f>
        <v>#N/A</v>
      </c>
      <c r="AX56" s="899" t="e">
        <f>Tbl_Long_Hydro[[#This Row],[RMT]]+Tbl_Long_Hydro[[#This Row],[VCB]]</f>
        <v>#N/A</v>
      </c>
      <c r="AY56" s="904" t="e">
        <f>Tbl_Long_Hydro[[#This Row],[Displacement]]*Tbl_Long_Hydro[[#This Row],[RML]]/(100*Lpp)</f>
        <v>#N/A</v>
      </c>
      <c r="AZ56" s="956" t="e">
        <f>Tbl_Long_Hydro[[#This Row],[Draught]]</f>
        <v>#N/A</v>
      </c>
      <c r="BA56" s="959" t="e">
        <f>Tbl_Long_Hydro[[#This Row],[Displacement]]</f>
        <v>#N/A</v>
      </c>
      <c r="BB56" s="960" t="e">
        <f>Tbl_Long_Hydro[[#This Row],[Displac. SW]]</f>
        <v>#N/A</v>
      </c>
      <c r="BC56" s="964" t="e">
        <f>Tbl_Long_Hydro[[#This Row],[Waterplane area]]/100*$AQ$4</f>
        <v>#N/A</v>
      </c>
      <c r="BD56" s="961" t="e">
        <f>Tbl_Long_Hydro[[#This Row],[MCT]]</f>
        <v>#N/A</v>
      </c>
      <c r="BE56" s="962" t="e">
        <f>Tbl_Long_Hydro[[#This Row],[LCB]]</f>
        <v>#N/A</v>
      </c>
      <c r="BF56" s="962" t="e">
        <f>Tbl_Long_Hydro[[#This Row],[TCB]]</f>
        <v>#N/A</v>
      </c>
      <c r="BG56" s="962" t="e">
        <f>Tbl_Long_Hydro[[#This Row],[LCF]]</f>
        <v>#N/A</v>
      </c>
      <c r="BH56" s="963" t="e">
        <f>Tbl_Long_Hydro[[#This Row],[KMT]]</f>
        <v>#N/A</v>
      </c>
    </row>
    <row r="57" spans="11:60" x14ac:dyDescent="0.25">
      <c r="K57" s="156">
        <f t="shared" si="1"/>
        <v>51</v>
      </c>
      <c r="L57" s="164">
        <f t="shared" si="2"/>
        <v>25.5</v>
      </c>
      <c r="M57" s="163">
        <f>MATCH(Tbl_Long_Section[[#This Row],[X]],Tbl_Long_Definition[X],1)</f>
        <v>2</v>
      </c>
      <c r="N57" s="157">
        <f>IF(Tbl_Long_Section[[#This Row],[Nline Prev]]&lt;COUNT(Tbl_Long_Definition[X]),Tbl_Long_Section[[#This Row],[Nline Prev]]+1,Tbl_Long_Section[[#This Row],[Nline Prev]])</f>
        <v>3</v>
      </c>
      <c r="O57" s="162">
        <f>INDEX(Tbl_Long_Definition[X],Tbl_Long_Section[[#This Row],[Nline Prev]])</f>
        <v>5</v>
      </c>
      <c r="P57" s="159">
        <f>INDEX(Tbl_Long_Definition[X],Tbl_Long_Section[[#This Row],[Nline Next]])</f>
        <v>55</v>
      </c>
      <c r="Q57" s="160">
        <f>INDEX(Tbl_Long_Definition[H Deck-Bott.],Tbl_Long_Section[[#This Row],[Nline Prev]])</f>
        <v>4</v>
      </c>
      <c r="R57" s="161">
        <f>INDEX(Tbl_Long_Definition[H Deck-Bott.],Tbl_Long_Section[[#This Row],[Nline Next]])</f>
        <v>4</v>
      </c>
      <c r="S57"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57" s="8"/>
      <c r="V57" s="873" t="e">
        <f t="shared" si="4"/>
        <v>#N/A</v>
      </c>
      <c r="W57" s="885" t="e">
        <f>MATCH(Tbl_Long_Hydro[[#This Row],[Draught]],Tbl_Long_Definition[H k-bott],-1)</f>
        <v>#N/A</v>
      </c>
      <c r="X57"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57" s="886" t="e">
        <f>MATCH(Tbl_Long_Hydro[[#This Row],[Draught]],Tbl_Long_Definition[H k-bott],1)</f>
        <v>#N/A</v>
      </c>
      <c r="Z57"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57" s="888" t="e">
        <f>IF(ISNA(Tbl_Long_Hydro[[#This Row],[Draught]]),NA(),IFERROR(INDEX(Tbl_Long_Definition[X],Tbl_Long_Hydro[[#This Row],[Aft Nline prev]]),0))</f>
        <v>#N/A</v>
      </c>
      <c r="AB57" s="889" t="e">
        <f>IF(ISNA(Tbl_Long_Hydro[[#This Row],[Draught]]),NA(),IFERROR(INDEX(Tbl_Long_Definition[X],Tbl_Long_Hydro[[#This Row],[Aft Nline next]]),0))</f>
        <v>#N/A</v>
      </c>
      <c r="AC57" s="889" t="e">
        <f>IF(ISNA(Tbl_Long_Hydro[[#This Row],[Draught]]),NA(),INDEX(Tbl_Long_Definition[H k-bott],Tbl_Long_Hydro[[#This Row],[Aft Nline prev]]))</f>
        <v>#N/A</v>
      </c>
      <c r="AD57" s="889" t="e">
        <f>IF(ISNA(Tbl_Long_Hydro[[#This Row],[Draught]]),NA(),INDEX(Tbl_Long_Definition[H k-bott],Tbl_Long_Hydro[[#This Row],[Aft Nline next]]))</f>
        <v>#N/A</v>
      </c>
      <c r="AE57" s="888" t="e">
        <f>IF(ISNA(Tbl_Long_Hydro[[#This Row],[Draught]]),NA(),IFERROR(INDEX(Tbl_Long_Definition[X],Tbl_Long_Hydro[[#This Row],[Fore Nline prev]]),0))</f>
        <v>#N/A</v>
      </c>
      <c r="AF57" s="889" t="e">
        <f>IF(ISNA(Tbl_Long_Hydro[[#This Row],[Draught]]),NA(),IFERROR(INDEX(Tbl_Long_Definition[X],Tbl_Long_Hydro[[#This Row],[Fore Nline next]]),0))</f>
        <v>#N/A</v>
      </c>
      <c r="AG57" s="889" t="e">
        <f>IF(ISNA(Tbl_Long_Hydro[[#This Row],[Draught]]),NA(),INDEX(Tbl_Long_Definition[H k-bott],Tbl_Long_Hydro[[#This Row],[Fore Nline prev]]))</f>
        <v>#N/A</v>
      </c>
      <c r="AH57" s="890" t="e">
        <f>IF(ISNA(Tbl_Long_Hydro[[#This Row],[Draught]]),NA(),INDEX(Tbl_Long_Definition[H k-bott],Tbl_Long_Hydro[[#This Row],[Fore Nline next]]))</f>
        <v>#N/A</v>
      </c>
      <c r="AI57"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57"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57" s="894" t="e">
        <f>Tbl_Long_Hydro[[#This Row],[Fore X]]-Tbl_Long_Hydro[[#This Row],[Aft X]]</f>
        <v>#N/A</v>
      </c>
      <c r="AL57" s="884" t="e">
        <f>Tbl_Long_Hydro[[#This Row],[LX]]*B</f>
        <v>#N/A</v>
      </c>
      <c r="AM57" s="892" t="e">
        <f>IF(ISNUMBER(AM56),(AK56+Tbl_Long_Hydro[[#This Row],[LX]])*(Tbl_Long_Hydro[[#This Row],[Draught]]-V56)/2*B,(Tbl_Long_Hydro[[#This Row],[LX]])*Tbl_Long_Hydro[[#This Row],[Draught]]*B)</f>
        <v>#N/A</v>
      </c>
      <c r="AN57" s="899" t="e">
        <f>Tbl_Long_Hydro[[#This Row],[Aft X]]+Tbl_Long_Hydro[[#This Row],[LX]]/2</f>
        <v>#N/A</v>
      </c>
      <c r="AO57" s="876" t="e">
        <f>IF(ISNUMBER(AO56),(2*Tbl_Long_Hydro[[#This Row],[LX]]+AK56)/(Tbl_Long_Hydro[[#This Row],[LX]]+AK56)*(Tbl_Long_Hydro[[#This Row],[Draught]]-V56)/3+V56,Tbl_Long_Hydro[[#This Row],[Draught]]/2)</f>
        <v>#N/A</v>
      </c>
      <c r="AP57" s="898" t="e">
        <f>IF(ISNUMBER(AP56),Tbl_Long_Hydro[[#This Row],[Volume elt]]+AP56,Tbl_Long_Hydro[[#This Row],[Volume elt]]*AO$4)</f>
        <v>#N/A</v>
      </c>
      <c r="AQ57" s="893" t="e">
        <f>IF(ISNUMBER(AQ56),Tbl_Long_Hydro[[#This Row],[Displacement]]*AQ$4,IF(ISNA(AQ56),NA(),0))</f>
        <v>#N/A</v>
      </c>
      <c r="AR57" s="900" t="e">
        <f>IF(ISNA(Tbl_Long_Hydro[[#This Row],[Draught]]),NA(),IFERROR(Tbl_Long_Hydro[[#This Row],[LX]]*B^3/12/Tbl_Long_Hydro[[#This Row],[Displacement]],0))</f>
        <v>#N/A</v>
      </c>
      <c r="AS57" s="903" t="e">
        <f>IF(ISNA(Tbl_Long_Hydro[[#This Row],[Draught]]),NA(),IFERROR((B*Tbl_Long_Hydro[[#This Row],[LX]]^3/12+(Tbl_Long_Hydro[[#This Row],[LCF]]-Tbl_Long_Hydro[[#This Row],[LCB]])*Tbl_Long_Hydro[[#This Row],[Waterplane area]]*Tbl_Long_Hydro[[#This Row],[LCF]]^2)/Tbl_Long_Hydro[[#This Row],[Displacement]],0))</f>
        <v>#N/A</v>
      </c>
      <c r="AT57" s="900" t="e">
        <f>Tbl_Long_Hydro[[#This Row],[Aft X]]+Tbl_Long_Hydro[[#This Row],[LX]]/2</f>
        <v>#N/A</v>
      </c>
      <c r="AU57" s="901" t="e">
        <f>IF(ISNUMBER(AU56),(AU56*AP56+Tbl_Long_Hydro[[#This Row],[X CoG elt]]*Tbl_Long_Hydro[[#This Row],[Volume elt]])/Tbl_Long_Hydro[[#This Row],[Displacement]],Tbl_Long_Hydro[[#This Row],[X CoG elt]])</f>
        <v>#N/A</v>
      </c>
      <c r="AV57" s="902" t="e">
        <f>IF(ISNA(Tbl_Long_Hydro[[#This Row],[Draught]]),NA(),0)</f>
        <v>#N/A</v>
      </c>
      <c r="AW57" s="876" t="e">
        <f>IF(ISNUMBER(AW56),(AW56*AP56+Tbl_Long_Hydro[[#This Row],[Z CoG elt]]*Tbl_Long_Hydro[[#This Row],[Volume elt]])/Tbl_Long_Hydro[[#This Row],[Displacement]],Tbl_Long_Hydro[[#This Row],[Z CoG elt]])</f>
        <v>#N/A</v>
      </c>
      <c r="AX57" s="899" t="e">
        <f>Tbl_Long_Hydro[[#This Row],[RMT]]+Tbl_Long_Hydro[[#This Row],[VCB]]</f>
        <v>#N/A</v>
      </c>
      <c r="AY57" s="904" t="e">
        <f>Tbl_Long_Hydro[[#This Row],[Displacement]]*Tbl_Long_Hydro[[#This Row],[RML]]/(100*Lpp)</f>
        <v>#N/A</v>
      </c>
      <c r="AZ57" s="956" t="e">
        <f>Tbl_Long_Hydro[[#This Row],[Draught]]</f>
        <v>#N/A</v>
      </c>
      <c r="BA57" s="959" t="e">
        <f>Tbl_Long_Hydro[[#This Row],[Displacement]]</f>
        <v>#N/A</v>
      </c>
      <c r="BB57" s="960" t="e">
        <f>Tbl_Long_Hydro[[#This Row],[Displac. SW]]</f>
        <v>#N/A</v>
      </c>
      <c r="BC57" s="964" t="e">
        <f>Tbl_Long_Hydro[[#This Row],[Waterplane area]]/100*$AQ$4</f>
        <v>#N/A</v>
      </c>
      <c r="BD57" s="961" t="e">
        <f>Tbl_Long_Hydro[[#This Row],[MCT]]</f>
        <v>#N/A</v>
      </c>
      <c r="BE57" s="962" t="e">
        <f>Tbl_Long_Hydro[[#This Row],[LCB]]</f>
        <v>#N/A</v>
      </c>
      <c r="BF57" s="962" t="e">
        <f>Tbl_Long_Hydro[[#This Row],[TCB]]</f>
        <v>#N/A</v>
      </c>
      <c r="BG57" s="962" t="e">
        <f>Tbl_Long_Hydro[[#This Row],[LCF]]</f>
        <v>#N/A</v>
      </c>
      <c r="BH57" s="963" t="e">
        <f>Tbl_Long_Hydro[[#This Row],[KMT]]</f>
        <v>#N/A</v>
      </c>
    </row>
    <row r="58" spans="11:60" x14ac:dyDescent="0.25">
      <c r="K58" s="156">
        <f t="shared" si="1"/>
        <v>52</v>
      </c>
      <c r="L58" s="164">
        <f t="shared" si="2"/>
        <v>26</v>
      </c>
      <c r="M58" s="163">
        <f>MATCH(Tbl_Long_Section[[#This Row],[X]],Tbl_Long_Definition[X],1)</f>
        <v>2</v>
      </c>
      <c r="N58" s="157">
        <f>IF(Tbl_Long_Section[[#This Row],[Nline Prev]]&lt;COUNT(Tbl_Long_Definition[X]),Tbl_Long_Section[[#This Row],[Nline Prev]]+1,Tbl_Long_Section[[#This Row],[Nline Prev]])</f>
        <v>3</v>
      </c>
      <c r="O58" s="162">
        <f>INDEX(Tbl_Long_Definition[X],Tbl_Long_Section[[#This Row],[Nline Prev]])</f>
        <v>5</v>
      </c>
      <c r="P58" s="159">
        <f>INDEX(Tbl_Long_Definition[X],Tbl_Long_Section[[#This Row],[Nline Next]])</f>
        <v>55</v>
      </c>
      <c r="Q58" s="160">
        <f>INDEX(Tbl_Long_Definition[H Deck-Bott.],Tbl_Long_Section[[#This Row],[Nline Prev]])</f>
        <v>4</v>
      </c>
      <c r="R58" s="161">
        <f>INDEX(Tbl_Long_Definition[H Deck-Bott.],Tbl_Long_Section[[#This Row],[Nline Next]])</f>
        <v>4</v>
      </c>
      <c r="S58"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58" s="8"/>
      <c r="V58" s="873" t="e">
        <f t="shared" si="4"/>
        <v>#N/A</v>
      </c>
      <c r="W58" s="885" t="e">
        <f>MATCH(Tbl_Long_Hydro[[#This Row],[Draught]],Tbl_Long_Definition[H k-bott],-1)</f>
        <v>#N/A</v>
      </c>
      <c r="X58"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58" s="886" t="e">
        <f>MATCH(Tbl_Long_Hydro[[#This Row],[Draught]],Tbl_Long_Definition[H k-bott],1)</f>
        <v>#N/A</v>
      </c>
      <c r="Z58"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58" s="888" t="e">
        <f>IF(ISNA(Tbl_Long_Hydro[[#This Row],[Draught]]),NA(),IFERROR(INDEX(Tbl_Long_Definition[X],Tbl_Long_Hydro[[#This Row],[Aft Nline prev]]),0))</f>
        <v>#N/A</v>
      </c>
      <c r="AB58" s="889" t="e">
        <f>IF(ISNA(Tbl_Long_Hydro[[#This Row],[Draught]]),NA(),IFERROR(INDEX(Tbl_Long_Definition[X],Tbl_Long_Hydro[[#This Row],[Aft Nline next]]),0))</f>
        <v>#N/A</v>
      </c>
      <c r="AC58" s="889" t="e">
        <f>IF(ISNA(Tbl_Long_Hydro[[#This Row],[Draught]]),NA(),INDEX(Tbl_Long_Definition[H k-bott],Tbl_Long_Hydro[[#This Row],[Aft Nline prev]]))</f>
        <v>#N/A</v>
      </c>
      <c r="AD58" s="889" t="e">
        <f>IF(ISNA(Tbl_Long_Hydro[[#This Row],[Draught]]),NA(),INDEX(Tbl_Long_Definition[H k-bott],Tbl_Long_Hydro[[#This Row],[Aft Nline next]]))</f>
        <v>#N/A</v>
      </c>
      <c r="AE58" s="888" t="e">
        <f>IF(ISNA(Tbl_Long_Hydro[[#This Row],[Draught]]),NA(),IFERROR(INDEX(Tbl_Long_Definition[X],Tbl_Long_Hydro[[#This Row],[Fore Nline prev]]),0))</f>
        <v>#N/A</v>
      </c>
      <c r="AF58" s="889" t="e">
        <f>IF(ISNA(Tbl_Long_Hydro[[#This Row],[Draught]]),NA(),IFERROR(INDEX(Tbl_Long_Definition[X],Tbl_Long_Hydro[[#This Row],[Fore Nline next]]),0))</f>
        <v>#N/A</v>
      </c>
      <c r="AG58" s="889" t="e">
        <f>IF(ISNA(Tbl_Long_Hydro[[#This Row],[Draught]]),NA(),INDEX(Tbl_Long_Definition[H k-bott],Tbl_Long_Hydro[[#This Row],[Fore Nline prev]]))</f>
        <v>#N/A</v>
      </c>
      <c r="AH58" s="890" t="e">
        <f>IF(ISNA(Tbl_Long_Hydro[[#This Row],[Draught]]),NA(),INDEX(Tbl_Long_Definition[H k-bott],Tbl_Long_Hydro[[#This Row],[Fore Nline next]]))</f>
        <v>#N/A</v>
      </c>
      <c r="AI58"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58"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58" s="894" t="e">
        <f>Tbl_Long_Hydro[[#This Row],[Fore X]]-Tbl_Long_Hydro[[#This Row],[Aft X]]</f>
        <v>#N/A</v>
      </c>
      <c r="AL58" s="884" t="e">
        <f>Tbl_Long_Hydro[[#This Row],[LX]]*B</f>
        <v>#N/A</v>
      </c>
      <c r="AM58" s="892" t="e">
        <f>IF(ISNUMBER(AM57),(AK57+Tbl_Long_Hydro[[#This Row],[LX]])*(Tbl_Long_Hydro[[#This Row],[Draught]]-V57)/2*B,(Tbl_Long_Hydro[[#This Row],[LX]])*Tbl_Long_Hydro[[#This Row],[Draught]]*B)</f>
        <v>#N/A</v>
      </c>
      <c r="AN58" s="899" t="e">
        <f>Tbl_Long_Hydro[[#This Row],[Aft X]]+Tbl_Long_Hydro[[#This Row],[LX]]/2</f>
        <v>#N/A</v>
      </c>
      <c r="AO58" s="876" t="e">
        <f>IF(ISNUMBER(AO57),(2*Tbl_Long_Hydro[[#This Row],[LX]]+AK57)/(Tbl_Long_Hydro[[#This Row],[LX]]+AK57)*(Tbl_Long_Hydro[[#This Row],[Draught]]-V57)/3+V57,Tbl_Long_Hydro[[#This Row],[Draught]]/2)</f>
        <v>#N/A</v>
      </c>
      <c r="AP58" s="898" t="e">
        <f>IF(ISNUMBER(AP57),Tbl_Long_Hydro[[#This Row],[Volume elt]]+AP57,Tbl_Long_Hydro[[#This Row],[Volume elt]]*AO$4)</f>
        <v>#N/A</v>
      </c>
      <c r="AQ58" s="893" t="e">
        <f>IF(ISNUMBER(AQ57),Tbl_Long_Hydro[[#This Row],[Displacement]]*AQ$4,IF(ISNA(AQ57),NA(),0))</f>
        <v>#N/A</v>
      </c>
      <c r="AR58" s="900" t="e">
        <f>IF(ISNA(Tbl_Long_Hydro[[#This Row],[Draught]]),NA(),IFERROR(Tbl_Long_Hydro[[#This Row],[LX]]*B^3/12/Tbl_Long_Hydro[[#This Row],[Displacement]],0))</f>
        <v>#N/A</v>
      </c>
      <c r="AS58" s="903" t="e">
        <f>IF(ISNA(Tbl_Long_Hydro[[#This Row],[Draught]]),NA(),IFERROR((B*Tbl_Long_Hydro[[#This Row],[LX]]^3/12+(Tbl_Long_Hydro[[#This Row],[LCF]]-Tbl_Long_Hydro[[#This Row],[LCB]])*Tbl_Long_Hydro[[#This Row],[Waterplane area]]*Tbl_Long_Hydro[[#This Row],[LCF]]^2)/Tbl_Long_Hydro[[#This Row],[Displacement]],0))</f>
        <v>#N/A</v>
      </c>
      <c r="AT58" s="900" t="e">
        <f>Tbl_Long_Hydro[[#This Row],[Aft X]]+Tbl_Long_Hydro[[#This Row],[LX]]/2</f>
        <v>#N/A</v>
      </c>
      <c r="AU58" s="901" t="e">
        <f>IF(ISNUMBER(AU57),(AU57*AP57+Tbl_Long_Hydro[[#This Row],[X CoG elt]]*Tbl_Long_Hydro[[#This Row],[Volume elt]])/Tbl_Long_Hydro[[#This Row],[Displacement]],Tbl_Long_Hydro[[#This Row],[X CoG elt]])</f>
        <v>#N/A</v>
      </c>
      <c r="AV58" s="902" t="e">
        <f>IF(ISNA(Tbl_Long_Hydro[[#This Row],[Draught]]),NA(),0)</f>
        <v>#N/A</v>
      </c>
      <c r="AW58" s="876" t="e">
        <f>IF(ISNUMBER(AW57),(AW57*AP57+Tbl_Long_Hydro[[#This Row],[Z CoG elt]]*Tbl_Long_Hydro[[#This Row],[Volume elt]])/Tbl_Long_Hydro[[#This Row],[Displacement]],Tbl_Long_Hydro[[#This Row],[Z CoG elt]])</f>
        <v>#N/A</v>
      </c>
      <c r="AX58" s="899" t="e">
        <f>Tbl_Long_Hydro[[#This Row],[RMT]]+Tbl_Long_Hydro[[#This Row],[VCB]]</f>
        <v>#N/A</v>
      </c>
      <c r="AY58" s="904" t="e">
        <f>Tbl_Long_Hydro[[#This Row],[Displacement]]*Tbl_Long_Hydro[[#This Row],[RML]]/(100*Lpp)</f>
        <v>#N/A</v>
      </c>
      <c r="AZ58" s="956" t="e">
        <f>Tbl_Long_Hydro[[#This Row],[Draught]]</f>
        <v>#N/A</v>
      </c>
      <c r="BA58" s="959" t="e">
        <f>Tbl_Long_Hydro[[#This Row],[Displacement]]</f>
        <v>#N/A</v>
      </c>
      <c r="BB58" s="960" t="e">
        <f>Tbl_Long_Hydro[[#This Row],[Displac. SW]]</f>
        <v>#N/A</v>
      </c>
      <c r="BC58" s="964" t="e">
        <f>Tbl_Long_Hydro[[#This Row],[Waterplane area]]/100*$AQ$4</f>
        <v>#N/A</v>
      </c>
      <c r="BD58" s="961" t="e">
        <f>Tbl_Long_Hydro[[#This Row],[MCT]]</f>
        <v>#N/A</v>
      </c>
      <c r="BE58" s="962" t="e">
        <f>Tbl_Long_Hydro[[#This Row],[LCB]]</f>
        <v>#N/A</v>
      </c>
      <c r="BF58" s="962" t="e">
        <f>Tbl_Long_Hydro[[#This Row],[TCB]]</f>
        <v>#N/A</v>
      </c>
      <c r="BG58" s="962" t="e">
        <f>Tbl_Long_Hydro[[#This Row],[LCF]]</f>
        <v>#N/A</v>
      </c>
      <c r="BH58" s="963" t="e">
        <f>Tbl_Long_Hydro[[#This Row],[KMT]]</f>
        <v>#N/A</v>
      </c>
    </row>
    <row r="59" spans="11:60" x14ac:dyDescent="0.25">
      <c r="K59" s="156">
        <f t="shared" si="1"/>
        <v>53</v>
      </c>
      <c r="L59" s="164">
        <f t="shared" si="2"/>
        <v>26.5</v>
      </c>
      <c r="M59" s="163">
        <f>MATCH(Tbl_Long_Section[[#This Row],[X]],Tbl_Long_Definition[X],1)</f>
        <v>2</v>
      </c>
      <c r="N59" s="157">
        <f>IF(Tbl_Long_Section[[#This Row],[Nline Prev]]&lt;COUNT(Tbl_Long_Definition[X]),Tbl_Long_Section[[#This Row],[Nline Prev]]+1,Tbl_Long_Section[[#This Row],[Nline Prev]])</f>
        <v>3</v>
      </c>
      <c r="O59" s="162">
        <f>INDEX(Tbl_Long_Definition[X],Tbl_Long_Section[[#This Row],[Nline Prev]])</f>
        <v>5</v>
      </c>
      <c r="P59" s="159">
        <f>INDEX(Tbl_Long_Definition[X],Tbl_Long_Section[[#This Row],[Nline Next]])</f>
        <v>55</v>
      </c>
      <c r="Q59" s="160">
        <f>INDEX(Tbl_Long_Definition[H Deck-Bott.],Tbl_Long_Section[[#This Row],[Nline Prev]])</f>
        <v>4</v>
      </c>
      <c r="R59" s="161">
        <f>INDEX(Tbl_Long_Definition[H Deck-Bott.],Tbl_Long_Section[[#This Row],[Nline Next]])</f>
        <v>4</v>
      </c>
      <c r="S59"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59" s="8"/>
      <c r="V59" s="873" t="e">
        <f t="shared" si="4"/>
        <v>#N/A</v>
      </c>
      <c r="W59" s="885" t="e">
        <f>MATCH(Tbl_Long_Hydro[[#This Row],[Draught]],Tbl_Long_Definition[H k-bott],-1)</f>
        <v>#N/A</v>
      </c>
      <c r="X59"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59" s="886" t="e">
        <f>MATCH(Tbl_Long_Hydro[[#This Row],[Draught]],Tbl_Long_Definition[H k-bott],1)</f>
        <v>#N/A</v>
      </c>
      <c r="Z59"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59" s="888" t="e">
        <f>IF(ISNA(Tbl_Long_Hydro[[#This Row],[Draught]]),NA(),IFERROR(INDEX(Tbl_Long_Definition[X],Tbl_Long_Hydro[[#This Row],[Aft Nline prev]]),0))</f>
        <v>#N/A</v>
      </c>
      <c r="AB59" s="889" t="e">
        <f>IF(ISNA(Tbl_Long_Hydro[[#This Row],[Draught]]),NA(),IFERROR(INDEX(Tbl_Long_Definition[X],Tbl_Long_Hydro[[#This Row],[Aft Nline next]]),0))</f>
        <v>#N/A</v>
      </c>
      <c r="AC59" s="889" t="e">
        <f>IF(ISNA(Tbl_Long_Hydro[[#This Row],[Draught]]),NA(),INDEX(Tbl_Long_Definition[H k-bott],Tbl_Long_Hydro[[#This Row],[Aft Nline prev]]))</f>
        <v>#N/A</v>
      </c>
      <c r="AD59" s="889" t="e">
        <f>IF(ISNA(Tbl_Long_Hydro[[#This Row],[Draught]]),NA(),INDEX(Tbl_Long_Definition[H k-bott],Tbl_Long_Hydro[[#This Row],[Aft Nline next]]))</f>
        <v>#N/A</v>
      </c>
      <c r="AE59" s="888" t="e">
        <f>IF(ISNA(Tbl_Long_Hydro[[#This Row],[Draught]]),NA(),IFERROR(INDEX(Tbl_Long_Definition[X],Tbl_Long_Hydro[[#This Row],[Fore Nline prev]]),0))</f>
        <v>#N/A</v>
      </c>
      <c r="AF59" s="889" t="e">
        <f>IF(ISNA(Tbl_Long_Hydro[[#This Row],[Draught]]),NA(),IFERROR(INDEX(Tbl_Long_Definition[X],Tbl_Long_Hydro[[#This Row],[Fore Nline next]]),0))</f>
        <v>#N/A</v>
      </c>
      <c r="AG59" s="889" t="e">
        <f>IF(ISNA(Tbl_Long_Hydro[[#This Row],[Draught]]),NA(),INDEX(Tbl_Long_Definition[H k-bott],Tbl_Long_Hydro[[#This Row],[Fore Nline prev]]))</f>
        <v>#N/A</v>
      </c>
      <c r="AH59" s="890" t="e">
        <f>IF(ISNA(Tbl_Long_Hydro[[#This Row],[Draught]]),NA(),INDEX(Tbl_Long_Definition[H k-bott],Tbl_Long_Hydro[[#This Row],[Fore Nline next]]))</f>
        <v>#N/A</v>
      </c>
      <c r="AI59"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59"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59" s="894" t="e">
        <f>Tbl_Long_Hydro[[#This Row],[Fore X]]-Tbl_Long_Hydro[[#This Row],[Aft X]]</f>
        <v>#N/A</v>
      </c>
      <c r="AL59" s="884" t="e">
        <f>Tbl_Long_Hydro[[#This Row],[LX]]*B</f>
        <v>#N/A</v>
      </c>
      <c r="AM59" s="892" t="e">
        <f>IF(ISNUMBER(AM58),(AK58+Tbl_Long_Hydro[[#This Row],[LX]])*(Tbl_Long_Hydro[[#This Row],[Draught]]-V58)/2*B,(Tbl_Long_Hydro[[#This Row],[LX]])*Tbl_Long_Hydro[[#This Row],[Draught]]*B)</f>
        <v>#N/A</v>
      </c>
      <c r="AN59" s="899" t="e">
        <f>Tbl_Long_Hydro[[#This Row],[Aft X]]+Tbl_Long_Hydro[[#This Row],[LX]]/2</f>
        <v>#N/A</v>
      </c>
      <c r="AO59" s="876" t="e">
        <f>IF(ISNUMBER(AO58),(2*Tbl_Long_Hydro[[#This Row],[LX]]+AK58)/(Tbl_Long_Hydro[[#This Row],[LX]]+AK58)*(Tbl_Long_Hydro[[#This Row],[Draught]]-V58)/3+V58,Tbl_Long_Hydro[[#This Row],[Draught]]/2)</f>
        <v>#N/A</v>
      </c>
      <c r="AP59" s="898" t="e">
        <f>IF(ISNUMBER(AP58),Tbl_Long_Hydro[[#This Row],[Volume elt]]+AP58,Tbl_Long_Hydro[[#This Row],[Volume elt]]*AO$4)</f>
        <v>#N/A</v>
      </c>
      <c r="AQ59" s="893" t="e">
        <f>IF(ISNUMBER(AQ58),Tbl_Long_Hydro[[#This Row],[Displacement]]*AQ$4,IF(ISNA(AQ58),NA(),0))</f>
        <v>#N/A</v>
      </c>
      <c r="AR59" s="900" t="e">
        <f>IF(ISNA(Tbl_Long_Hydro[[#This Row],[Draught]]),NA(),IFERROR(Tbl_Long_Hydro[[#This Row],[LX]]*B^3/12/Tbl_Long_Hydro[[#This Row],[Displacement]],0))</f>
        <v>#N/A</v>
      </c>
      <c r="AS59" s="903" t="e">
        <f>IF(ISNA(Tbl_Long_Hydro[[#This Row],[Draught]]),NA(),IFERROR((B*Tbl_Long_Hydro[[#This Row],[LX]]^3/12+(Tbl_Long_Hydro[[#This Row],[LCF]]-Tbl_Long_Hydro[[#This Row],[LCB]])*Tbl_Long_Hydro[[#This Row],[Waterplane area]]*Tbl_Long_Hydro[[#This Row],[LCF]]^2)/Tbl_Long_Hydro[[#This Row],[Displacement]],0))</f>
        <v>#N/A</v>
      </c>
      <c r="AT59" s="900" t="e">
        <f>Tbl_Long_Hydro[[#This Row],[Aft X]]+Tbl_Long_Hydro[[#This Row],[LX]]/2</f>
        <v>#N/A</v>
      </c>
      <c r="AU59" s="901" t="e">
        <f>IF(ISNUMBER(AU58),(AU58*AP58+Tbl_Long_Hydro[[#This Row],[X CoG elt]]*Tbl_Long_Hydro[[#This Row],[Volume elt]])/Tbl_Long_Hydro[[#This Row],[Displacement]],Tbl_Long_Hydro[[#This Row],[X CoG elt]])</f>
        <v>#N/A</v>
      </c>
      <c r="AV59" s="902" t="e">
        <f>IF(ISNA(Tbl_Long_Hydro[[#This Row],[Draught]]),NA(),0)</f>
        <v>#N/A</v>
      </c>
      <c r="AW59" s="876" t="e">
        <f>IF(ISNUMBER(AW58),(AW58*AP58+Tbl_Long_Hydro[[#This Row],[Z CoG elt]]*Tbl_Long_Hydro[[#This Row],[Volume elt]])/Tbl_Long_Hydro[[#This Row],[Displacement]],Tbl_Long_Hydro[[#This Row],[Z CoG elt]])</f>
        <v>#N/A</v>
      </c>
      <c r="AX59" s="899" t="e">
        <f>Tbl_Long_Hydro[[#This Row],[RMT]]+Tbl_Long_Hydro[[#This Row],[VCB]]</f>
        <v>#N/A</v>
      </c>
      <c r="AY59" s="904" t="e">
        <f>Tbl_Long_Hydro[[#This Row],[Displacement]]*Tbl_Long_Hydro[[#This Row],[RML]]/(100*Lpp)</f>
        <v>#N/A</v>
      </c>
      <c r="AZ59" s="956" t="e">
        <f>Tbl_Long_Hydro[[#This Row],[Draught]]</f>
        <v>#N/A</v>
      </c>
      <c r="BA59" s="959" t="e">
        <f>Tbl_Long_Hydro[[#This Row],[Displacement]]</f>
        <v>#N/A</v>
      </c>
      <c r="BB59" s="960" t="e">
        <f>Tbl_Long_Hydro[[#This Row],[Displac. SW]]</f>
        <v>#N/A</v>
      </c>
      <c r="BC59" s="964" t="e">
        <f>Tbl_Long_Hydro[[#This Row],[Waterplane area]]/100*$AQ$4</f>
        <v>#N/A</v>
      </c>
      <c r="BD59" s="961" t="e">
        <f>Tbl_Long_Hydro[[#This Row],[MCT]]</f>
        <v>#N/A</v>
      </c>
      <c r="BE59" s="962" t="e">
        <f>Tbl_Long_Hydro[[#This Row],[LCB]]</f>
        <v>#N/A</v>
      </c>
      <c r="BF59" s="962" t="e">
        <f>Tbl_Long_Hydro[[#This Row],[TCB]]</f>
        <v>#N/A</v>
      </c>
      <c r="BG59" s="962" t="e">
        <f>Tbl_Long_Hydro[[#This Row],[LCF]]</f>
        <v>#N/A</v>
      </c>
      <c r="BH59" s="963" t="e">
        <f>Tbl_Long_Hydro[[#This Row],[KMT]]</f>
        <v>#N/A</v>
      </c>
    </row>
    <row r="60" spans="11:60" x14ac:dyDescent="0.25">
      <c r="K60" s="156">
        <f t="shared" si="1"/>
        <v>54</v>
      </c>
      <c r="L60" s="164">
        <f t="shared" si="2"/>
        <v>27</v>
      </c>
      <c r="M60" s="163">
        <f>MATCH(Tbl_Long_Section[[#This Row],[X]],Tbl_Long_Definition[X],1)</f>
        <v>2</v>
      </c>
      <c r="N60" s="157">
        <f>IF(Tbl_Long_Section[[#This Row],[Nline Prev]]&lt;COUNT(Tbl_Long_Definition[X]),Tbl_Long_Section[[#This Row],[Nline Prev]]+1,Tbl_Long_Section[[#This Row],[Nline Prev]])</f>
        <v>3</v>
      </c>
      <c r="O60" s="162">
        <f>INDEX(Tbl_Long_Definition[X],Tbl_Long_Section[[#This Row],[Nline Prev]])</f>
        <v>5</v>
      </c>
      <c r="P60" s="159">
        <f>INDEX(Tbl_Long_Definition[X],Tbl_Long_Section[[#This Row],[Nline Next]])</f>
        <v>55</v>
      </c>
      <c r="Q60" s="160">
        <f>INDEX(Tbl_Long_Definition[H Deck-Bott.],Tbl_Long_Section[[#This Row],[Nline Prev]])</f>
        <v>4</v>
      </c>
      <c r="R60" s="161">
        <f>INDEX(Tbl_Long_Definition[H Deck-Bott.],Tbl_Long_Section[[#This Row],[Nline Next]])</f>
        <v>4</v>
      </c>
      <c r="S60"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60" s="8"/>
      <c r="V60" s="873" t="e">
        <f t="shared" si="4"/>
        <v>#N/A</v>
      </c>
      <c r="W60" s="885" t="e">
        <f>MATCH(Tbl_Long_Hydro[[#This Row],[Draught]],Tbl_Long_Definition[H k-bott],-1)</f>
        <v>#N/A</v>
      </c>
      <c r="X60"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60" s="886" t="e">
        <f>MATCH(Tbl_Long_Hydro[[#This Row],[Draught]],Tbl_Long_Definition[H k-bott],1)</f>
        <v>#N/A</v>
      </c>
      <c r="Z60"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60" s="888" t="e">
        <f>IF(ISNA(Tbl_Long_Hydro[[#This Row],[Draught]]),NA(),IFERROR(INDEX(Tbl_Long_Definition[X],Tbl_Long_Hydro[[#This Row],[Aft Nline prev]]),0))</f>
        <v>#N/A</v>
      </c>
      <c r="AB60" s="889" t="e">
        <f>IF(ISNA(Tbl_Long_Hydro[[#This Row],[Draught]]),NA(),IFERROR(INDEX(Tbl_Long_Definition[X],Tbl_Long_Hydro[[#This Row],[Aft Nline next]]),0))</f>
        <v>#N/A</v>
      </c>
      <c r="AC60" s="889" t="e">
        <f>IF(ISNA(Tbl_Long_Hydro[[#This Row],[Draught]]),NA(),INDEX(Tbl_Long_Definition[H k-bott],Tbl_Long_Hydro[[#This Row],[Aft Nline prev]]))</f>
        <v>#N/A</v>
      </c>
      <c r="AD60" s="889" t="e">
        <f>IF(ISNA(Tbl_Long_Hydro[[#This Row],[Draught]]),NA(),INDEX(Tbl_Long_Definition[H k-bott],Tbl_Long_Hydro[[#This Row],[Aft Nline next]]))</f>
        <v>#N/A</v>
      </c>
      <c r="AE60" s="888" t="e">
        <f>IF(ISNA(Tbl_Long_Hydro[[#This Row],[Draught]]),NA(),IFERROR(INDEX(Tbl_Long_Definition[X],Tbl_Long_Hydro[[#This Row],[Fore Nline prev]]),0))</f>
        <v>#N/A</v>
      </c>
      <c r="AF60" s="889" t="e">
        <f>IF(ISNA(Tbl_Long_Hydro[[#This Row],[Draught]]),NA(),IFERROR(INDEX(Tbl_Long_Definition[X],Tbl_Long_Hydro[[#This Row],[Fore Nline next]]),0))</f>
        <v>#N/A</v>
      </c>
      <c r="AG60" s="889" t="e">
        <f>IF(ISNA(Tbl_Long_Hydro[[#This Row],[Draught]]),NA(),INDEX(Tbl_Long_Definition[H k-bott],Tbl_Long_Hydro[[#This Row],[Fore Nline prev]]))</f>
        <v>#N/A</v>
      </c>
      <c r="AH60" s="890" t="e">
        <f>IF(ISNA(Tbl_Long_Hydro[[#This Row],[Draught]]),NA(),INDEX(Tbl_Long_Definition[H k-bott],Tbl_Long_Hydro[[#This Row],[Fore Nline next]]))</f>
        <v>#N/A</v>
      </c>
      <c r="AI60"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60"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60" s="894" t="e">
        <f>Tbl_Long_Hydro[[#This Row],[Fore X]]-Tbl_Long_Hydro[[#This Row],[Aft X]]</f>
        <v>#N/A</v>
      </c>
      <c r="AL60" s="884" t="e">
        <f>Tbl_Long_Hydro[[#This Row],[LX]]*B</f>
        <v>#N/A</v>
      </c>
      <c r="AM60" s="892" t="e">
        <f>IF(ISNUMBER(AM59),(AK59+Tbl_Long_Hydro[[#This Row],[LX]])*(Tbl_Long_Hydro[[#This Row],[Draught]]-V59)/2*B,(Tbl_Long_Hydro[[#This Row],[LX]])*Tbl_Long_Hydro[[#This Row],[Draught]]*B)</f>
        <v>#N/A</v>
      </c>
      <c r="AN60" s="899" t="e">
        <f>Tbl_Long_Hydro[[#This Row],[Aft X]]+Tbl_Long_Hydro[[#This Row],[LX]]/2</f>
        <v>#N/A</v>
      </c>
      <c r="AO60" s="876" t="e">
        <f>IF(ISNUMBER(AO59),(2*Tbl_Long_Hydro[[#This Row],[LX]]+AK59)/(Tbl_Long_Hydro[[#This Row],[LX]]+AK59)*(Tbl_Long_Hydro[[#This Row],[Draught]]-V59)/3+V59,Tbl_Long_Hydro[[#This Row],[Draught]]/2)</f>
        <v>#N/A</v>
      </c>
      <c r="AP60" s="898" t="e">
        <f>IF(ISNUMBER(AP59),Tbl_Long_Hydro[[#This Row],[Volume elt]]+AP59,Tbl_Long_Hydro[[#This Row],[Volume elt]]*AO$4)</f>
        <v>#N/A</v>
      </c>
      <c r="AQ60" s="893" t="e">
        <f>IF(ISNUMBER(AQ59),Tbl_Long_Hydro[[#This Row],[Displacement]]*AQ$4,IF(ISNA(AQ59),NA(),0))</f>
        <v>#N/A</v>
      </c>
      <c r="AR60" s="900" t="e">
        <f>IF(ISNA(Tbl_Long_Hydro[[#This Row],[Draught]]),NA(),IFERROR(Tbl_Long_Hydro[[#This Row],[LX]]*B^3/12/Tbl_Long_Hydro[[#This Row],[Displacement]],0))</f>
        <v>#N/A</v>
      </c>
      <c r="AS60" s="903" t="e">
        <f>IF(ISNA(Tbl_Long_Hydro[[#This Row],[Draught]]),NA(),IFERROR((B*Tbl_Long_Hydro[[#This Row],[LX]]^3/12+(Tbl_Long_Hydro[[#This Row],[LCF]]-Tbl_Long_Hydro[[#This Row],[LCB]])*Tbl_Long_Hydro[[#This Row],[Waterplane area]]*Tbl_Long_Hydro[[#This Row],[LCF]]^2)/Tbl_Long_Hydro[[#This Row],[Displacement]],0))</f>
        <v>#N/A</v>
      </c>
      <c r="AT60" s="900" t="e">
        <f>Tbl_Long_Hydro[[#This Row],[Aft X]]+Tbl_Long_Hydro[[#This Row],[LX]]/2</f>
        <v>#N/A</v>
      </c>
      <c r="AU60" s="901" t="e">
        <f>IF(ISNUMBER(AU59),(AU59*AP59+Tbl_Long_Hydro[[#This Row],[X CoG elt]]*Tbl_Long_Hydro[[#This Row],[Volume elt]])/Tbl_Long_Hydro[[#This Row],[Displacement]],Tbl_Long_Hydro[[#This Row],[X CoG elt]])</f>
        <v>#N/A</v>
      </c>
      <c r="AV60" s="902" t="e">
        <f>IF(ISNA(Tbl_Long_Hydro[[#This Row],[Draught]]),NA(),0)</f>
        <v>#N/A</v>
      </c>
      <c r="AW60" s="876" t="e">
        <f>IF(ISNUMBER(AW59),(AW59*AP59+Tbl_Long_Hydro[[#This Row],[Z CoG elt]]*Tbl_Long_Hydro[[#This Row],[Volume elt]])/Tbl_Long_Hydro[[#This Row],[Displacement]],Tbl_Long_Hydro[[#This Row],[Z CoG elt]])</f>
        <v>#N/A</v>
      </c>
      <c r="AX60" s="899" t="e">
        <f>Tbl_Long_Hydro[[#This Row],[RMT]]+Tbl_Long_Hydro[[#This Row],[VCB]]</f>
        <v>#N/A</v>
      </c>
      <c r="AY60" s="904" t="e">
        <f>Tbl_Long_Hydro[[#This Row],[Displacement]]*Tbl_Long_Hydro[[#This Row],[RML]]/(100*Lpp)</f>
        <v>#N/A</v>
      </c>
      <c r="AZ60" s="956" t="e">
        <f>Tbl_Long_Hydro[[#This Row],[Draught]]</f>
        <v>#N/A</v>
      </c>
      <c r="BA60" s="959" t="e">
        <f>Tbl_Long_Hydro[[#This Row],[Displacement]]</f>
        <v>#N/A</v>
      </c>
      <c r="BB60" s="960" t="e">
        <f>Tbl_Long_Hydro[[#This Row],[Displac. SW]]</f>
        <v>#N/A</v>
      </c>
      <c r="BC60" s="964" t="e">
        <f>Tbl_Long_Hydro[[#This Row],[Waterplane area]]/100*$AQ$4</f>
        <v>#N/A</v>
      </c>
      <c r="BD60" s="961" t="e">
        <f>Tbl_Long_Hydro[[#This Row],[MCT]]</f>
        <v>#N/A</v>
      </c>
      <c r="BE60" s="962" t="e">
        <f>Tbl_Long_Hydro[[#This Row],[LCB]]</f>
        <v>#N/A</v>
      </c>
      <c r="BF60" s="962" t="e">
        <f>Tbl_Long_Hydro[[#This Row],[TCB]]</f>
        <v>#N/A</v>
      </c>
      <c r="BG60" s="962" t="e">
        <f>Tbl_Long_Hydro[[#This Row],[LCF]]</f>
        <v>#N/A</v>
      </c>
      <c r="BH60" s="963" t="e">
        <f>Tbl_Long_Hydro[[#This Row],[KMT]]</f>
        <v>#N/A</v>
      </c>
    </row>
    <row r="61" spans="11:60" x14ac:dyDescent="0.25">
      <c r="K61" s="156">
        <f t="shared" si="1"/>
        <v>55</v>
      </c>
      <c r="L61" s="164">
        <f t="shared" si="2"/>
        <v>27.5</v>
      </c>
      <c r="M61" s="163">
        <f>MATCH(Tbl_Long_Section[[#This Row],[X]],Tbl_Long_Definition[X],1)</f>
        <v>2</v>
      </c>
      <c r="N61" s="157">
        <f>IF(Tbl_Long_Section[[#This Row],[Nline Prev]]&lt;COUNT(Tbl_Long_Definition[X]),Tbl_Long_Section[[#This Row],[Nline Prev]]+1,Tbl_Long_Section[[#This Row],[Nline Prev]])</f>
        <v>3</v>
      </c>
      <c r="O61" s="162">
        <f>INDEX(Tbl_Long_Definition[X],Tbl_Long_Section[[#This Row],[Nline Prev]])</f>
        <v>5</v>
      </c>
      <c r="P61" s="159">
        <f>INDEX(Tbl_Long_Definition[X],Tbl_Long_Section[[#This Row],[Nline Next]])</f>
        <v>55</v>
      </c>
      <c r="Q61" s="160">
        <f>INDEX(Tbl_Long_Definition[H Deck-Bott.],Tbl_Long_Section[[#This Row],[Nline Prev]])</f>
        <v>4</v>
      </c>
      <c r="R61" s="161">
        <f>INDEX(Tbl_Long_Definition[H Deck-Bott.],Tbl_Long_Section[[#This Row],[Nline Next]])</f>
        <v>4</v>
      </c>
      <c r="S61"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61" s="8"/>
      <c r="V61" s="873" t="e">
        <f t="shared" si="4"/>
        <v>#N/A</v>
      </c>
      <c r="W61" s="885" t="e">
        <f>MATCH(Tbl_Long_Hydro[[#This Row],[Draught]],Tbl_Long_Definition[H k-bott],-1)</f>
        <v>#N/A</v>
      </c>
      <c r="X61"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61" s="886" t="e">
        <f>MATCH(Tbl_Long_Hydro[[#This Row],[Draught]],Tbl_Long_Definition[H k-bott],1)</f>
        <v>#N/A</v>
      </c>
      <c r="Z61"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61" s="888" t="e">
        <f>IF(ISNA(Tbl_Long_Hydro[[#This Row],[Draught]]),NA(),IFERROR(INDEX(Tbl_Long_Definition[X],Tbl_Long_Hydro[[#This Row],[Aft Nline prev]]),0))</f>
        <v>#N/A</v>
      </c>
      <c r="AB61" s="889" t="e">
        <f>IF(ISNA(Tbl_Long_Hydro[[#This Row],[Draught]]),NA(),IFERROR(INDEX(Tbl_Long_Definition[X],Tbl_Long_Hydro[[#This Row],[Aft Nline next]]),0))</f>
        <v>#N/A</v>
      </c>
      <c r="AC61" s="889" t="e">
        <f>IF(ISNA(Tbl_Long_Hydro[[#This Row],[Draught]]),NA(),INDEX(Tbl_Long_Definition[H k-bott],Tbl_Long_Hydro[[#This Row],[Aft Nline prev]]))</f>
        <v>#N/A</v>
      </c>
      <c r="AD61" s="889" t="e">
        <f>IF(ISNA(Tbl_Long_Hydro[[#This Row],[Draught]]),NA(),INDEX(Tbl_Long_Definition[H k-bott],Tbl_Long_Hydro[[#This Row],[Aft Nline next]]))</f>
        <v>#N/A</v>
      </c>
      <c r="AE61" s="888" t="e">
        <f>IF(ISNA(Tbl_Long_Hydro[[#This Row],[Draught]]),NA(),IFERROR(INDEX(Tbl_Long_Definition[X],Tbl_Long_Hydro[[#This Row],[Fore Nline prev]]),0))</f>
        <v>#N/A</v>
      </c>
      <c r="AF61" s="889" t="e">
        <f>IF(ISNA(Tbl_Long_Hydro[[#This Row],[Draught]]),NA(),IFERROR(INDEX(Tbl_Long_Definition[X],Tbl_Long_Hydro[[#This Row],[Fore Nline next]]),0))</f>
        <v>#N/A</v>
      </c>
      <c r="AG61" s="889" t="e">
        <f>IF(ISNA(Tbl_Long_Hydro[[#This Row],[Draught]]),NA(),INDEX(Tbl_Long_Definition[H k-bott],Tbl_Long_Hydro[[#This Row],[Fore Nline prev]]))</f>
        <v>#N/A</v>
      </c>
      <c r="AH61" s="890" t="e">
        <f>IF(ISNA(Tbl_Long_Hydro[[#This Row],[Draught]]),NA(),INDEX(Tbl_Long_Definition[H k-bott],Tbl_Long_Hydro[[#This Row],[Fore Nline next]]))</f>
        <v>#N/A</v>
      </c>
      <c r="AI61"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61"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61" s="894" t="e">
        <f>Tbl_Long_Hydro[[#This Row],[Fore X]]-Tbl_Long_Hydro[[#This Row],[Aft X]]</f>
        <v>#N/A</v>
      </c>
      <c r="AL61" s="884" t="e">
        <f>Tbl_Long_Hydro[[#This Row],[LX]]*B</f>
        <v>#N/A</v>
      </c>
      <c r="AM61" s="892" t="e">
        <f>IF(ISNUMBER(AM60),(AK60+Tbl_Long_Hydro[[#This Row],[LX]])*(Tbl_Long_Hydro[[#This Row],[Draught]]-V60)/2*B,(Tbl_Long_Hydro[[#This Row],[LX]])*Tbl_Long_Hydro[[#This Row],[Draught]]*B)</f>
        <v>#N/A</v>
      </c>
      <c r="AN61" s="899" t="e">
        <f>Tbl_Long_Hydro[[#This Row],[Aft X]]+Tbl_Long_Hydro[[#This Row],[LX]]/2</f>
        <v>#N/A</v>
      </c>
      <c r="AO61" s="876" t="e">
        <f>IF(ISNUMBER(AO60),(2*Tbl_Long_Hydro[[#This Row],[LX]]+AK60)/(Tbl_Long_Hydro[[#This Row],[LX]]+AK60)*(Tbl_Long_Hydro[[#This Row],[Draught]]-V60)/3+V60,Tbl_Long_Hydro[[#This Row],[Draught]]/2)</f>
        <v>#N/A</v>
      </c>
      <c r="AP61" s="898" t="e">
        <f>IF(ISNUMBER(AP60),Tbl_Long_Hydro[[#This Row],[Volume elt]]+AP60,Tbl_Long_Hydro[[#This Row],[Volume elt]]*AO$4)</f>
        <v>#N/A</v>
      </c>
      <c r="AQ61" s="893" t="e">
        <f>IF(ISNUMBER(AQ60),Tbl_Long_Hydro[[#This Row],[Displacement]]*AQ$4,IF(ISNA(AQ60),NA(),0))</f>
        <v>#N/A</v>
      </c>
      <c r="AR61" s="900" t="e">
        <f>IF(ISNA(Tbl_Long_Hydro[[#This Row],[Draught]]),NA(),IFERROR(Tbl_Long_Hydro[[#This Row],[LX]]*B^3/12/Tbl_Long_Hydro[[#This Row],[Displacement]],0))</f>
        <v>#N/A</v>
      </c>
      <c r="AS61" s="903" t="e">
        <f>IF(ISNA(Tbl_Long_Hydro[[#This Row],[Draught]]),NA(),IFERROR((B*Tbl_Long_Hydro[[#This Row],[LX]]^3/12+(Tbl_Long_Hydro[[#This Row],[LCF]]-Tbl_Long_Hydro[[#This Row],[LCB]])*Tbl_Long_Hydro[[#This Row],[Waterplane area]]*Tbl_Long_Hydro[[#This Row],[LCF]]^2)/Tbl_Long_Hydro[[#This Row],[Displacement]],0))</f>
        <v>#N/A</v>
      </c>
      <c r="AT61" s="900" t="e">
        <f>Tbl_Long_Hydro[[#This Row],[Aft X]]+Tbl_Long_Hydro[[#This Row],[LX]]/2</f>
        <v>#N/A</v>
      </c>
      <c r="AU61" s="901" t="e">
        <f>IF(ISNUMBER(AU60),(AU60*AP60+Tbl_Long_Hydro[[#This Row],[X CoG elt]]*Tbl_Long_Hydro[[#This Row],[Volume elt]])/Tbl_Long_Hydro[[#This Row],[Displacement]],Tbl_Long_Hydro[[#This Row],[X CoG elt]])</f>
        <v>#N/A</v>
      </c>
      <c r="AV61" s="902" t="e">
        <f>IF(ISNA(Tbl_Long_Hydro[[#This Row],[Draught]]),NA(),0)</f>
        <v>#N/A</v>
      </c>
      <c r="AW61" s="876" t="e">
        <f>IF(ISNUMBER(AW60),(AW60*AP60+Tbl_Long_Hydro[[#This Row],[Z CoG elt]]*Tbl_Long_Hydro[[#This Row],[Volume elt]])/Tbl_Long_Hydro[[#This Row],[Displacement]],Tbl_Long_Hydro[[#This Row],[Z CoG elt]])</f>
        <v>#N/A</v>
      </c>
      <c r="AX61" s="899" t="e">
        <f>Tbl_Long_Hydro[[#This Row],[RMT]]+Tbl_Long_Hydro[[#This Row],[VCB]]</f>
        <v>#N/A</v>
      </c>
      <c r="AY61" s="904" t="e">
        <f>Tbl_Long_Hydro[[#This Row],[Displacement]]*Tbl_Long_Hydro[[#This Row],[RML]]/(100*Lpp)</f>
        <v>#N/A</v>
      </c>
      <c r="AZ61" s="956" t="e">
        <f>Tbl_Long_Hydro[[#This Row],[Draught]]</f>
        <v>#N/A</v>
      </c>
      <c r="BA61" s="959" t="e">
        <f>Tbl_Long_Hydro[[#This Row],[Displacement]]</f>
        <v>#N/A</v>
      </c>
      <c r="BB61" s="960" t="e">
        <f>Tbl_Long_Hydro[[#This Row],[Displac. SW]]</f>
        <v>#N/A</v>
      </c>
      <c r="BC61" s="964" t="e">
        <f>Tbl_Long_Hydro[[#This Row],[Waterplane area]]/100*$AQ$4</f>
        <v>#N/A</v>
      </c>
      <c r="BD61" s="961" t="e">
        <f>Tbl_Long_Hydro[[#This Row],[MCT]]</f>
        <v>#N/A</v>
      </c>
      <c r="BE61" s="962" t="e">
        <f>Tbl_Long_Hydro[[#This Row],[LCB]]</f>
        <v>#N/A</v>
      </c>
      <c r="BF61" s="962" t="e">
        <f>Tbl_Long_Hydro[[#This Row],[TCB]]</f>
        <v>#N/A</v>
      </c>
      <c r="BG61" s="962" t="e">
        <f>Tbl_Long_Hydro[[#This Row],[LCF]]</f>
        <v>#N/A</v>
      </c>
      <c r="BH61" s="963" t="e">
        <f>Tbl_Long_Hydro[[#This Row],[KMT]]</f>
        <v>#N/A</v>
      </c>
    </row>
    <row r="62" spans="11:60" x14ac:dyDescent="0.25">
      <c r="K62" s="156">
        <f t="shared" si="1"/>
        <v>56</v>
      </c>
      <c r="L62" s="164">
        <f t="shared" si="2"/>
        <v>28</v>
      </c>
      <c r="M62" s="163">
        <f>MATCH(Tbl_Long_Section[[#This Row],[X]],Tbl_Long_Definition[X],1)</f>
        <v>2</v>
      </c>
      <c r="N62" s="157">
        <f>IF(Tbl_Long_Section[[#This Row],[Nline Prev]]&lt;COUNT(Tbl_Long_Definition[X]),Tbl_Long_Section[[#This Row],[Nline Prev]]+1,Tbl_Long_Section[[#This Row],[Nline Prev]])</f>
        <v>3</v>
      </c>
      <c r="O62" s="162">
        <f>INDEX(Tbl_Long_Definition[X],Tbl_Long_Section[[#This Row],[Nline Prev]])</f>
        <v>5</v>
      </c>
      <c r="P62" s="159">
        <f>INDEX(Tbl_Long_Definition[X],Tbl_Long_Section[[#This Row],[Nline Next]])</f>
        <v>55</v>
      </c>
      <c r="Q62" s="160">
        <f>INDEX(Tbl_Long_Definition[H Deck-Bott.],Tbl_Long_Section[[#This Row],[Nline Prev]])</f>
        <v>4</v>
      </c>
      <c r="R62" s="161">
        <f>INDEX(Tbl_Long_Definition[H Deck-Bott.],Tbl_Long_Section[[#This Row],[Nline Next]])</f>
        <v>4</v>
      </c>
      <c r="S62"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62" s="8"/>
      <c r="V62" s="873" t="e">
        <f t="shared" si="4"/>
        <v>#N/A</v>
      </c>
      <c r="W62" s="885" t="e">
        <f>MATCH(Tbl_Long_Hydro[[#This Row],[Draught]],Tbl_Long_Definition[H k-bott],-1)</f>
        <v>#N/A</v>
      </c>
      <c r="X62"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62" s="886" t="e">
        <f>MATCH(Tbl_Long_Hydro[[#This Row],[Draught]],Tbl_Long_Definition[H k-bott],1)</f>
        <v>#N/A</v>
      </c>
      <c r="Z62"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62" s="888" t="e">
        <f>IF(ISNA(Tbl_Long_Hydro[[#This Row],[Draught]]),NA(),IFERROR(INDEX(Tbl_Long_Definition[X],Tbl_Long_Hydro[[#This Row],[Aft Nline prev]]),0))</f>
        <v>#N/A</v>
      </c>
      <c r="AB62" s="889" t="e">
        <f>IF(ISNA(Tbl_Long_Hydro[[#This Row],[Draught]]),NA(),IFERROR(INDEX(Tbl_Long_Definition[X],Tbl_Long_Hydro[[#This Row],[Aft Nline next]]),0))</f>
        <v>#N/A</v>
      </c>
      <c r="AC62" s="889" t="e">
        <f>IF(ISNA(Tbl_Long_Hydro[[#This Row],[Draught]]),NA(),INDEX(Tbl_Long_Definition[H k-bott],Tbl_Long_Hydro[[#This Row],[Aft Nline prev]]))</f>
        <v>#N/A</v>
      </c>
      <c r="AD62" s="889" t="e">
        <f>IF(ISNA(Tbl_Long_Hydro[[#This Row],[Draught]]),NA(),INDEX(Tbl_Long_Definition[H k-bott],Tbl_Long_Hydro[[#This Row],[Aft Nline next]]))</f>
        <v>#N/A</v>
      </c>
      <c r="AE62" s="888" t="e">
        <f>IF(ISNA(Tbl_Long_Hydro[[#This Row],[Draught]]),NA(),IFERROR(INDEX(Tbl_Long_Definition[X],Tbl_Long_Hydro[[#This Row],[Fore Nline prev]]),0))</f>
        <v>#N/A</v>
      </c>
      <c r="AF62" s="889" t="e">
        <f>IF(ISNA(Tbl_Long_Hydro[[#This Row],[Draught]]),NA(),IFERROR(INDEX(Tbl_Long_Definition[X],Tbl_Long_Hydro[[#This Row],[Fore Nline next]]),0))</f>
        <v>#N/A</v>
      </c>
      <c r="AG62" s="889" t="e">
        <f>IF(ISNA(Tbl_Long_Hydro[[#This Row],[Draught]]),NA(),INDEX(Tbl_Long_Definition[H k-bott],Tbl_Long_Hydro[[#This Row],[Fore Nline prev]]))</f>
        <v>#N/A</v>
      </c>
      <c r="AH62" s="890" t="e">
        <f>IF(ISNA(Tbl_Long_Hydro[[#This Row],[Draught]]),NA(),INDEX(Tbl_Long_Definition[H k-bott],Tbl_Long_Hydro[[#This Row],[Fore Nline next]]))</f>
        <v>#N/A</v>
      </c>
      <c r="AI62"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62"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62" s="894" t="e">
        <f>Tbl_Long_Hydro[[#This Row],[Fore X]]-Tbl_Long_Hydro[[#This Row],[Aft X]]</f>
        <v>#N/A</v>
      </c>
      <c r="AL62" s="884" t="e">
        <f>Tbl_Long_Hydro[[#This Row],[LX]]*B</f>
        <v>#N/A</v>
      </c>
      <c r="AM62" s="892" t="e">
        <f>IF(ISNUMBER(AM61),(AK61+Tbl_Long_Hydro[[#This Row],[LX]])*(Tbl_Long_Hydro[[#This Row],[Draught]]-V61)/2*B,(Tbl_Long_Hydro[[#This Row],[LX]])*Tbl_Long_Hydro[[#This Row],[Draught]]*B)</f>
        <v>#N/A</v>
      </c>
      <c r="AN62" s="899" t="e">
        <f>Tbl_Long_Hydro[[#This Row],[Aft X]]+Tbl_Long_Hydro[[#This Row],[LX]]/2</f>
        <v>#N/A</v>
      </c>
      <c r="AO62" s="876" t="e">
        <f>IF(ISNUMBER(AO61),(2*Tbl_Long_Hydro[[#This Row],[LX]]+AK61)/(Tbl_Long_Hydro[[#This Row],[LX]]+AK61)*(Tbl_Long_Hydro[[#This Row],[Draught]]-V61)/3+V61,Tbl_Long_Hydro[[#This Row],[Draught]]/2)</f>
        <v>#N/A</v>
      </c>
      <c r="AP62" s="898" t="e">
        <f>IF(ISNUMBER(AP61),Tbl_Long_Hydro[[#This Row],[Volume elt]]+AP61,Tbl_Long_Hydro[[#This Row],[Volume elt]]*AO$4)</f>
        <v>#N/A</v>
      </c>
      <c r="AQ62" s="893" t="e">
        <f>IF(ISNUMBER(AQ61),Tbl_Long_Hydro[[#This Row],[Displacement]]*AQ$4,IF(ISNA(AQ61),NA(),0))</f>
        <v>#N/A</v>
      </c>
      <c r="AR62" s="900" t="e">
        <f>IF(ISNA(Tbl_Long_Hydro[[#This Row],[Draught]]),NA(),IFERROR(Tbl_Long_Hydro[[#This Row],[LX]]*B^3/12/Tbl_Long_Hydro[[#This Row],[Displacement]],0))</f>
        <v>#N/A</v>
      </c>
      <c r="AS62" s="903" t="e">
        <f>IF(ISNA(Tbl_Long_Hydro[[#This Row],[Draught]]),NA(),IFERROR((B*Tbl_Long_Hydro[[#This Row],[LX]]^3/12+(Tbl_Long_Hydro[[#This Row],[LCF]]-Tbl_Long_Hydro[[#This Row],[LCB]])*Tbl_Long_Hydro[[#This Row],[Waterplane area]]*Tbl_Long_Hydro[[#This Row],[LCF]]^2)/Tbl_Long_Hydro[[#This Row],[Displacement]],0))</f>
        <v>#N/A</v>
      </c>
      <c r="AT62" s="900" t="e">
        <f>Tbl_Long_Hydro[[#This Row],[Aft X]]+Tbl_Long_Hydro[[#This Row],[LX]]/2</f>
        <v>#N/A</v>
      </c>
      <c r="AU62" s="901" t="e">
        <f>IF(ISNUMBER(AU61),(AU61*AP61+Tbl_Long_Hydro[[#This Row],[X CoG elt]]*Tbl_Long_Hydro[[#This Row],[Volume elt]])/Tbl_Long_Hydro[[#This Row],[Displacement]],Tbl_Long_Hydro[[#This Row],[X CoG elt]])</f>
        <v>#N/A</v>
      </c>
      <c r="AV62" s="902" t="e">
        <f>IF(ISNA(Tbl_Long_Hydro[[#This Row],[Draught]]),NA(),0)</f>
        <v>#N/A</v>
      </c>
      <c r="AW62" s="876" t="e">
        <f>IF(ISNUMBER(AW61),(AW61*AP61+Tbl_Long_Hydro[[#This Row],[Z CoG elt]]*Tbl_Long_Hydro[[#This Row],[Volume elt]])/Tbl_Long_Hydro[[#This Row],[Displacement]],Tbl_Long_Hydro[[#This Row],[Z CoG elt]])</f>
        <v>#N/A</v>
      </c>
      <c r="AX62" s="899" t="e">
        <f>Tbl_Long_Hydro[[#This Row],[RMT]]+Tbl_Long_Hydro[[#This Row],[VCB]]</f>
        <v>#N/A</v>
      </c>
      <c r="AY62" s="904" t="e">
        <f>Tbl_Long_Hydro[[#This Row],[Displacement]]*Tbl_Long_Hydro[[#This Row],[RML]]/(100*Lpp)</f>
        <v>#N/A</v>
      </c>
      <c r="AZ62" s="956" t="e">
        <f>Tbl_Long_Hydro[[#This Row],[Draught]]</f>
        <v>#N/A</v>
      </c>
      <c r="BA62" s="959" t="e">
        <f>Tbl_Long_Hydro[[#This Row],[Displacement]]</f>
        <v>#N/A</v>
      </c>
      <c r="BB62" s="960" t="e">
        <f>Tbl_Long_Hydro[[#This Row],[Displac. SW]]</f>
        <v>#N/A</v>
      </c>
      <c r="BC62" s="964" t="e">
        <f>Tbl_Long_Hydro[[#This Row],[Waterplane area]]/100*$AQ$4</f>
        <v>#N/A</v>
      </c>
      <c r="BD62" s="961" t="e">
        <f>Tbl_Long_Hydro[[#This Row],[MCT]]</f>
        <v>#N/A</v>
      </c>
      <c r="BE62" s="962" t="e">
        <f>Tbl_Long_Hydro[[#This Row],[LCB]]</f>
        <v>#N/A</v>
      </c>
      <c r="BF62" s="962" t="e">
        <f>Tbl_Long_Hydro[[#This Row],[TCB]]</f>
        <v>#N/A</v>
      </c>
      <c r="BG62" s="962" t="e">
        <f>Tbl_Long_Hydro[[#This Row],[LCF]]</f>
        <v>#N/A</v>
      </c>
      <c r="BH62" s="963" t="e">
        <f>Tbl_Long_Hydro[[#This Row],[KMT]]</f>
        <v>#N/A</v>
      </c>
    </row>
    <row r="63" spans="11:60" x14ac:dyDescent="0.25">
      <c r="K63" s="156">
        <f t="shared" si="1"/>
        <v>57</v>
      </c>
      <c r="L63" s="164">
        <f t="shared" si="2"/>
        <v>28.5</v>
      </c>
      <c r="M63" s="163">
        <f>MATCH(Tbl_Long_Section[[#This Row],[X]],Tbl_Long_Definition[X],1)</f>
        <v>2</v>
      </c>
      <c r="N63" s="157">
        <f>IF(Tbl_Long_Section[[#This Row],[Nline Prev]]&lt;COUNT(Tbl_Long_Definition[X]),Tbl_Long_Section[[#This Row],[Nline Prev]]+1,Tbl_Long_Section[[#This Row],[Nline Prev]])</f>
        <v>3</v>
      </c>
      <c r="O63" s="162">
        <f>INDEX(Tbl_Long_Definition[X],Tbl_Long_Section[[#This Row],[Nline Prev]])</f>
        <v>5</v>
      </c>
      <c r="P63" s="159">
        <f>INDEX(Tbl_Long_Definition[X],Tbl_Long_Section[[#This Row],[Nline Next]])</f>
        <v>55</v>
      </c>
      <c r="Q63" s="160">
        <f>INDEX(Tbl_Long_Definition[H Deck-Bott.],Tbl_Long_Section[[#This Row],[Nline Prev]])</f>
        <v>4</v>
      </c>
      <c r="R63" s="161">
        <f>INDEX(Tbl_Long_Definition[H Deck-Bott.],Tbl_Long_Section[[#This Row],[Nline Next]])</f>
        <v>4</v>
      </c>
      <c r="S63"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63" s="8"/>
      <c r="V63" s="873" t="e">
        <f t="shared" si="4"/>
        <v>#N/A</v>
      </c>
      <c r="W63" s="885" t="e">
        <f>MATCH(Tbl_Long_Hydro[[#This Row],[Draught]],Tbl_Long_Definition[H k-bott],-1)</f>
        <v>#N/A</v>
      </c>
      <c r="X63"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63" s="886" t="e">
        <f>MATCH(Tbl_Long_Hydro[[#This Row],[Draught]],Tbl_Long_Definition[H k-bott],1)</f>
        <v>#N/A</v>
      </c>
      <c r="Z63"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63" s="888" t="e">
        <f>IF(ISNA(Tbl_Long_Hydro[[#This Row],[Draught]]),NA(),IFERROR(INDEX(Tbl_Long_Definition[X],Tbl_Long_Hydro[[#This Row],[Aft Nline prev]]),0))</f>
        <v>#N/A</v>
      </c>
      <c r="AB63" s="889" t="e">
        <f>IF(ISNA(Tbl_Long_Hydro[[#This Row],[Draught]]),NA(),IFERROR(INDEX(Tbl_Long_Definition[X],Tbl_Long_Hydro[[#This Row],[Aft Nline next]]),0))</f>
        <v>#N/A</v>
      </c>
      <c r="AC63" s="889" t="e">
        <f>IF(ISNA(Tbl_Long_Hydro[[#This Row],[Draught]]),NA(),INDEX(Tbl_Long_Definition[H k-bott],Tbl_Long_Hydro[[#This Row],[Aft Nline prev]]))</f>
        <v>#N/A</v>
      </c>
      <c r="AD63" s="889" t="e">
        <f>IF(ISNA(Tbl_Long_Hydro[[#This Row],[Draught]]),NA(),INDEX(Tbl_Long_Definition[H k-bott],Tbl_Long_Hydro[[#This Row],[Aft Nline next]]))</f>
        <v>#N/A</v>
      </c>
      <c r="AE63" s="888" t="e">
        <f>IF(ISNA(Tbl_Long_Hydro[[#This Row],[Draught]]),NA(),IFERROR(INDEX(Tbl_Long_Definition[X],Tbl_Long_Hydro[[#This Row],[Fore Nline prev]]),0))</f>
        <v>#N/A</v>
      </c>
      <c r="AF63" s="889" t="e">
        <f>IF(ISNA(Tbl_Long_Hydro[[#This Row],[Draught]]),NA(),IFERROR(INDEX(Tbl_Long_Definition[X],Tbl_Long_Hydro[[#This Row],[Fore Nline next]]),0))</f>
        <v>#N/A</v>
      </c>
      <c r="AG63" s="889" t="e">
        <f>IF(ISNA(Tbl_Long_Hydro[[#This Row],[Draught]]),NA(),INDEX(Tbl_Long_Definition[H k-bott],Tbl_Long_Hydro[[#This Row],[Fore Nline prev]]))</f>
        <v>#N/A</v>
      </c>
      <c r="AH63" s="890" t="e">
        <f>IF(ISNA(Tbl_Long_Hydro[[#This Row],[Draught]]),NA(),INDEX(Tbl_Long_Definition[H k-bott],Tbl_Long_Hydro[[#This Row],[Fore Nline next]]))</f>
        <v>#N/A</v>
      </c>
      <c r="AI63"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63"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63" s="894" t="e">
        <f>Tbl_Long_Hydro[[#This Row],[Fore X]]-Tbl_Long_Hydro[[#This Row],[Aft X]]</f>
        <v>#N/A</v>
      </c>
      <c r="AL63" s="884" t="e">
        <f>Tbl_Long_Hydro[[#This Row],[LX]]*B</f>
        <v>#N/A</v>
      </c>
      <c r="AM63" s="892" t="e">
        <f>IF(ISNUMBER(AM62),(AK62+Tbl_Long_Hydro[[#This Row],[LX]])*(Tbl_Long_Hydro[[#This Row],[Draught]]-V62)/2*B,(Tbl_Long_Hydro[[#This Row],[LX]])*Tbl_Long_Hydro[[#This Row],[Draught]]*B)</f>
        <v>#N/A</v>
      </c>
      <c r="AN63" s="899" t="e">
        <f>Tbl_Long_Hydro[[#This Row],[Aft X]]+Tbl_Long_Hydro[[#This Row],[LX]]/2</f>
        <v>#N/A</v>
      </c>
      <c r="AO63" s="876" t="e">
        <f>IF(ISNUMBER(AO62),(2*Tbl_Long_Hydro[[#This Row],[LX]]+AK62)/(Tbl_Long_Hydro[[#This Row],[LX]]+AK62)*(Tbl_Long_Hydro[[#This Row],[Draught]]-V62)/3+V62,Tbl_Long_Hydro[[#This Row],[Draught]]/2)</f>
        <v>#N/A</v>
      </c>
      <c r="AP63" s="898" t="e">
        <f>IF(ISNUMBER(AP62),Tbl_Long_Hydro[[#This Row],[Volume elt]]+AP62,Tbl_Long_Hydro[[#This Row],[Volume elt]]*AO$4)</f>
        <v>#N/A</v>
      </c>
      <c r="AQ63" s="893" t="e">
        <f>IF(ISNUMBER(AQ62),Tbl_Long_Hydro[[#This Row],[Displacement]]*AQ$4,IF(ISNA(AQ62),NA(),0))</f>
        <v>#N/A</v>
      </c>
      <c r="AR63" s="900" t="e">
        <f>IF(ISNA(Tbl_Long_Hydro[[#This Row],[Draught]]),NA(),IFERROR(Tbl_Long_Hydro[[#This Row],[LX]]*B^3/12/Tbl_Long_Hydro[[#This Row],[Displacement]],0))</f>
        <v>#N/A</v>
      </c>
      <c r="AS63" s="903" t="e">
        <f>IF(ISNA(Tbl_Long_Hydro[[#This Row],[Draught]]),NA(),IFERROR((B*Tbl_Long_Hydro[[#This Row],[LX]]^3/12+(Tbl_Long_Hydro[[#This Row],[LCF]]-Tbl_Long_Hydro[[#This Row],[LCB]])*Tbl_Long_Hydro[[#This Row],[Waterplane area]]*Tbl_Long_Hydro[[#This Row],[LCF]]^2)/Tbl_Long_Hydro[[#This Row],[Displacement]],0))</f>
        <v>#N/A</v>
      </c>
      <c r="AT63" s="900" t="e">
        <f>Tbl_Long_Hydro[[#This Row],[Aft X]]+Tbl_Long_Hydro[[#This Row],[LX]]/2</f>
        <v>#N/A</v>
      </c>
      <c r="AU63" s="901" t="e">
        <f>IF(ISNUMBER(AU62),(AU62*AP62+Tbl_Long_Hydro[[#This Row],[X CoG elt]]*Tbl_Long_Hydro[[#This Row],[Volume elt]])/Tbl_Long_Hydro[[#This Row],[Displacement]],Tbl_Long_Hydro[[#This Row],[X CoG elt]])</f>
        <v>#N/A</v>
      </c>
      <c r="AV63" s="902" t="e">
        <f>IF(ISNA(Tbl_Long_Hydro[[#This Row],[Draught]]),NA(),0)</f>
        <v>#N/A</v>
      </c>
      <c r="AW63" s="876" t="e">
        <f>IF(ISNUMBER(AW62),(AW62*AP62+Tbl_Long_Hydro[[#This Row],[Z CoG elt]]*Tbl_Long_Hydro[[#This Row],[Volume elt]])/Tbl_Long_Hydro[[#This Row],[Displacement]],Tbl_Long_Hydro[[#This Row],[Z CoG elt]])</f>
        <v>#N/A</v>
      </c>
      <c r="AX63" s="899" t="e">
        <f>Tbl_Long_Hydro[[#This Row],[RMT]]+Tbl_Long_Hydro[[#This Row],[VCB]]</f>
        <v>#N/A</v>
      </c>
      <c r="AY63" s="904" t="e">
        <f>Tbl_Long_Hydro[[#This Row],[Displacement]]*Tbl_Long_Hydro[[#This Row],[RML]]/(100*Lpp)</f>
        <v>#N/A</v>
      </c>
      <c r="AZ63" s="956" t="e">
        <f>Tbl_Long_Hydro[[#This Row],[Draught]]</f>
        <v>#N/A</v>
      </c>
      <c r="BA63" s="959" t="e">
        <f>Tbl_Long_Hydro[[#This Row],[Displacement]]</f>
        <v>#N/A</v>
      </c>
      <c r="BB63" s="960" t="e">
        <f>Tbl_Long_Hydro[[#This Row],[Displac. SW]]</f>
        <v>#N/A</v>
      </c>
      <c r="BC63" s="964" t="e">
        <f>Tbl_Long_Hydro[[#This Row],[Waterplane area]]/100*$AQ$4</f>
        <v>#N/A</v>
      </c>
      <c r="BD63" s="961" t="e">
        <f>Tbl_Long_Hydro[[#This Row],[MCT]]</f>
        <v>#N/A</v>
      </c>
      <c r="BE63" s="962" t="e">
        <f>Tbl_Long_Hydro[[#This Row],[LCB]]</f>
        <v>#N/A</v>
      </c>
      <c r="BF63" s="962" t="e">
        <f>Tbl_Long_Hydro[[#This Row],[TCB]]</f>
        <v>#N/A</v>
      </c>
      <c r="BG63" s="962" t="e">
        <f>Tbl_Long_Hydro[[#This Row],[LCF]]</f>
        <v>#N/A</v>
      </c>
      <c r="BH63" s="963" t="e">
        <f>Tbl_Long_Hydro[[#This Row],[KMT]]</f>
        <v>#N/A</v>
      </c>
    </row>
    <row r="64" spans="11:60" x14ac:dyDescent="0.25">
      <c r="K64" s="156">
        <f t="shared" si="1"/>
        <v>58</v>
      </c>
      <c r="L64" s="164">
        <f t="shared" si="2"/>
        <v>29</v>
      </c>
      <c r="M64" s="163">
        <f>MATCH(Tbl_Long_Section[[#This Row],[X]],Tbl_Long_Definition[X],1)</f>
        <v>2</v>
      </c>
      <c r="N64" s="157">
        <f>IF(Tbl_Long_Section[[#This Row],[Nline Prev]]&lt;COUNT(Tbl_Long_Definition[X]),Tbl_Long_Section[[#This Row],[Nline Prev]]+1,Tbl_Long_Section[[#This Row],[Nline Prev]])</f>
        <v>3</v>
      </c>
      <c r="O64" s="162">
        <f>INDEX(Tbl_Long_Definition[X],Tbl_Long_Section[[#This Row],[Nline Prev]])</f>
        <v>5</v>
      </c>
      <c r="P64" s="159">
        <f>INDEX(Tbl_Long_Definition[X],Tbl_Long_Section[[#This Row],[Nline Next]])</f>
        <v>55</v>
      </c>
      <c r="Q64" s="160">
        <f>INDEX(Tbl_Long_Definition[H Deck-Bott.],Tbl_Long_Section[[#This Row],[Nline Prev]])</f>
        <v>4</v>
      </c>
      <c r="R64" s="161">
        <f>INDEX(Tbl_Long_Definition[H Deck-Bott.],Tbl_Long_Section[[#This Row],[Nline Next]])</f>
        <v>4</v>
      </c>
      <c r="S64"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64" s="8"/>
      <c r="V64" s="873" t="e">
        <f t="shared" si="4"/>
        <v>#N/A</v>
      </c>
      <c r="W64" s="885" t="e">
        <f>MATCH(Tbl_Long_Hydro[[#This Row],[Draught]],Tbl_Long_Definition[H k-bott],-1)</f>
        <v>#N/A</v>
      </c>
      <c r="X64"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64" s="886" t="e">
        <f>MATCH(Tbl_Long_Hydro[[#This Row],[Draught]],Tbl_Long_Definition[H k-bott],1)</f>
        <v>#N/A</v>
      </c>
      <c r="Z64"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64" s="888" t="e">
        <f>IF(ISNA(Tbl_Long_Hydro[[#This Row],[Draught]]),NA(),IFERROR(INDEX(Tbl_Long_Definition[X],Tbl_Long_Hydro[[#This Row],[Aft Nline prev]]),0))</f>
        <v>#N/A</v>
      </c>
      <c r="AB64" s="889" t="e">
        <f>IF(ISNA(Tbl_Long_Hydro[[#This Row],[Draught]]),NA(),IFERROR(INDEX(Tbl_Long_Definition[X],Tbl_Long_Hydro[[#This Row],[Aft Nline next]]),0))</f>
        <v>#N/A</v>
      </c>
      <c r="AC64" s="889" t="e">
        <f>IF(ISNA(Tbl_Long_Hydro[[#This Row],[Draught]]),NA(),INDEX(Tbl_Long_Definition[H k-bott],Tbl_Long_Hydro[[#This Row],[Aft Nline prev]]))</f>
        <v>#N/A</v>
      </c>
      <c r="AD64" s="889" t="e">
        <f>IF(ISNA(Tbl_Long_Hydro[[#This Row],[Draught]]),NA(),INDEX(Tbl_Long_Definition[H k-bott],Tbl_Long_Hydro[[#This Row],[Aft Nline next]]))</f>
        <v>#N/A</v>
      </c>
      <c r="AE64" s="888" t="e">
        <f>IF(ISNA(Tbl_Long_Hydro[[#This Row],[Draught]]),NA(),IFERROR(INDEX(Tbl_Long_Definition[X],Tbl_Long_Hydro[[#This Row],[Fore Nline prev]]),0))</f>
        <v>#N/A</v>
      </c>
      <c r="AF64" s="889" t="e">
        <f>IF(ISNA(Tbl_Long_Hydro[[#This Row],[Draught]]),NA(),IFERROR(INDEX(Tbl_Long_Definition[X],Tbl_Long_Hydro[[#This Row],[Fore Nline next]]),0))</f>
        <v>#N/A</v>
      </c>
      <c r="AG64" s="889" t="e">
        <f>IF(ISNA(Tbl_Long_Hydro[[#This Row],[Draught]]),NA(),INDEX(Tbl_Long_Definition[H k-bott],Tbl_Long_Hydro[[#This Row],[Fore Nline prev]]))</f>
        <v>#N/A</v>
      </c>
      <c r="AH64" s="890" t="e">
        <f>IF(ISNA(Tbl_Long_Hydro[[#This Row],[Draught]]),NA(),INDEX(Tbl_Long_Definition[H k-bott],Tbl_Long_Hydro[[#This Row],[Fore Nline next]]))</f>
        <v>#N/A</v>
      </c>
      <c r="AI64"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64"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64" s="894" t="e">
        <f>Tbl_Long_Hydro[[#This Row],[Fore X]]-Tbl_Long_Hydro[[#This Row],[Aft X]]</f>
        <v>#N/A</v>
      </c>
      <c r="AL64" s="884" t="e">
        <f>Tbl_Long_Hydro[[#This Row],[LX]]*B</f>
        <v>#N/A</v>
      </c>
      <c r="AM64" s="892" t="e">
        <f>IF(ISNUMBER(AM63),(AK63+Tbl_Long_Hydro[[#This Row],[LX]])*(Tbl_Long_Hydro[[#This Row],[Draught]]-V63)/2*B,(Tbl_Long_Hydro[[#This Row],[LX]])*Tbl_Long_Hydro[[#This Row],[Draught]]*B)</f>
        <v>#N/A</v>
      </c>
      <c r="AN64" s="899" t="e">
        <f>Tbl_Long_Hydro[[#This Row],[Aft X]]+Tbl_Long_Hydro[[#This Row],[LX]]/2</f>
        <v>#N/A</v>
      </c>
      <c r="AO64" s="876" t="e">
        <f>IF(ISNUMBER(AO63),(2*Tbl_Long_Hydro[[#This Row],[LX]]+AK63)/(Tbl_Long_Hydro[[#This Row],[LX]]+AK63)*(Tbl_Long_Hydro[[#This Row],[Draught]]-V63)/3+V63,Tbl_Long_Hydro[[#This Row],[Draught]]/2)</f>
        <v>#N/A</v>
      </c>
      <c r="AP64" s="898" t="e">
        <f>IF(ISNUMBER(AP63),Tbl_Long_Hydro[[#This Row],[Volume elt]]+AP63,Tbl_Long_Hydro[[#This Row],[Volume elt]]*AO$4)</f>
        <v>#N/A</v>
      </c>
      <c r="AQ64" s="893" t="e">
        <f>IF(ISNUMBER(AQ63),Tbl_Long_Hydro[[#This Row],[Displacement]]*AQ$4,IF(ISNA(AQ63),NA(),0))</f>
        <v>#N/A</v>
      </c>
      <c r="AR64" s="900" t="e">
        <f>IF(ISNA(Tbl_Long_Hydro[[#This Row],[Draught]]),NA(),IFERROR(Tbl_Long_Hydro[[#This Row],[LX]]*B^3/12/Tbl_Long_Hydro[[#This Row],[Displacement]],0))</f>
        <v>#N/A</v>
      </c>
      <c r="AS64" s="903" t="e">
        <f>IF(ISNA(Tbl_Long_Hydro[[#This Row],[Draught]]),NA(),IFERROR((B*Tbl_Long_Hydro[[#This Row],[LX]]^3/12+(Tbl_Long_Hydro[[#This Row],[LCF]]-Tbl_Long_Hydro[[#This Row],[LCB]])*Tbl_Long_Hydro[[#This Row],[Waterplane area]]*Tbl_Long_Hydro[[#This Row],[LCF]]^2)/Tbl_Long_Hydro[[#This Row],[Displacement]],0))</f>
        <v>#N/A</v>
      </c>
      <c r="AT64" s="900" t="e">
        <f>Tbl_Long_Hydro[[#This Row],[Aft X]]+Tbl_Long_Hydro[[#This Row],[LX]]/2</f>
        <v>#N/A</v>
      </c>
      <c r="AU64" s="901" t="e">
        <f>IF(ISNUMBER(AU63),(AU63*AP63+Tbl_Long_Hydro[[#This Row],[X CoG elt]]*Tbl_Long_Hydro[[#This Row],[Volume elt]])/Tbl_Long_Hydro[[#This Row],[Displacement]],Tbl_Long_Hydro[[#This Row],[X CoG elt]])</f>
        <v>#N/A</v>
      </c>
      <c r="AV64" s="902" t="e">
        <f>IF(ISNA(Tbl_Long_Hydro[[#This Row],[Draught]]),NA(),0)</f>
        <v>#N/A</v>
      </c>
      <c r="AW64" s="876" t="e">
        <f>IF(ISNUMBER(AW63),(AW63*AP63+Tbl_Long_Hydro[[#This Row],[Z CoG elt]]*Tbl_Long_Hydro[[#This Row],[Volume elt]])/Tbl_Long_Hydro[[#This Row],[Displacement]],Tbl_Long_Hydro[[#This Row],[Z CoG elt]])</f>
        <v>#N/A</v>
      </c>
      <c r="AX64" s="899" t="e">
        <f>Tbl_Long_Hydro[[#This Row],[RMT]]+Tbl_Long_Hydro[[#This Row],[VCB]]</f>
        <v>#N/A</v>
      </c>
      <c r="AY64" s="904" t="e">
        <f>Tbl_Long_Hydro[[#This Row],[Displacement]]*Tbl_Long_Hydro[[#This Row],[RML]]/(100*Lpp)</f>
        <v>#N/A</v>
      </c>
      <c r="AZ64" s="956" t="e">
        <f>Tbl_Long_Hydro[[#This Row],[Draught]]</f>
        <v>#N/A</v>
      </c>
      <c r="BA64" s="959" t="e">
        <f>Tbl_Long_Hydro[[#This Row],[Displacement]]</f>
        <v>#N/A</v>
      </c>
      <c r="BB64" s="960" t="e">
        <f>Tbl_Long_Hydro[[#This Row],[Displac. SW]]</f>
        <v>#N/A</v>
      </c>
      <c r="BC64" s="964" t="e">
        <f>Tbl_Long_Hydro[[#This Row],[Waterplane area]]/100*$AQ$4</f>
        <v>#N/A</v>
      </c>
      <c r="BD64" s="961" t="e">
        <f>Tbl_Long_Hydro[[#This Row],[MCT]]</f>
        <v>#N/A</v>
      </c>
      <c r="BE64" s="962" t="e">
        <f>Tbl_Long_Hydro[[#This Row],[LCB]]</f>
        <v>#N/A</v>
      </c>
      <c r="BF64" s="962" t="e">
        <f>Tbl_Long_Hydro[[#This Row],[TCB]]</f>
        <v>#N/A</v>
      </c>
      <c r="BG64" s="962" t="e">
        <f>Tbl_Long_Hydro[[#This Row],[LCF]]</f>
        <v>#N/A</v>
      </c>
      <c r="BH64" s="963" t="e">
        <f>Tbl_Long_Hydro[[#This Row],[KMT]]</f>
        <v>#N/A</v>
      </c>
    </row>
    <row r="65" spans="11:60" x14ac:dyDescent="0.25">
      <c r="K65" s="156">
        <f t="shared" si="1"/>
        <v>59</v>
      </c>
      <c r="L65" s="164">
        <f t="shared" si="2"/>
        <v>29.5</v>
      </c>
      <c r="M65" s="163">
        <f>MATCH(Tbl_Long_Section[[#This Row],[X]],Tbl_Long_Definition[X],1)</f>
        <v>2</v>
      </c>
      <c r="N65" s="157">
        <f>IF(Tbl_Long_Section[[#This Row],[Nline Prev]]&lt;COUNT(Tbl_Long_Definition[X]),Tbl_Long_Section[[#This Row],[Nline Prev]]+1,Tbl_Long_Section[[#This Row],[Nline Prev]])</f>
        <v>3</v>
      </c>
      <c r="O65" s="162">
        <f>INDEX(Tbl_Long_Definition[X],Tbl_Long_Section[[#This Row],[Nline Prev]])</f>
        <v>5</v>
      </c>
      <c r="P65" s="159">
        <f>INDEX(Tbl_Long_Definition[X],Tbl_Long_Section[[#This Row],[Nline Next]])</f>
        <v>55</v>
      </c>
      <c r="Q65" s="160">
        <f>INDEX(Tbl_Long_Definition[H Deck-Bott.],Tbl_Long_Section[[#This Row],[Nline Prev]])</f>
        <v>4</v>
      </c>
      <c r="R65" s="161">
        <f>INDEX(Tbl_Long_Definition[H Deck-Bott.],Tbl_Long_Section[[#This Row],[Nline Next]])</f>
        <v>4</v>
      </c>
      <c r="S65"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65" s="8"/>
      <c r="V65" s="873" t="e">
        <f t="shared" si="4"/>
        <v>#N/A</v>
      </c>
      <c r="W65" s="885" t="e">
        <f>MATCH(Tbl_Long_Hydro[[#This Row],[Draught]],Tbl_Long_Definition[H k-bott],-1)</f>
        <v>#N/A</v>
      </c>
      <c r="X65"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65" s="886" t="e">
        <f>MATCH(Tbl_Long_Hydro[[#This Row],[Draught]],Tbl_Long_Definition[H k-bott],1)</f>
        <v>#N/A</v>
      </c>
      <c r="Z65"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65" s="888" t="e">
        <f>IF(ISNA(Tbl_Long_Hydro[[#This Row],[Draught]]),NA(),IFERROR(INDEX(Tbl_Long_Definition[X],Tbl_Long_Hydro[[#This Row],[Aft Nline prev]]),0))</f>
        <v>#N/A</v>
      </c>
      <c r="AB65" s="889" t="e">
        <f>IF(ISNA(Tbl_Long_Hydro[[#This Row],[Draught]]),NA(),IFERROR(INDEX(Tbl_Long_Definition[X],Tbl_Long_Hydro[[#This Row],[Aft Nline next]]),0))</f>
        <v>#N/A</v>
      </c>
      <c r="AC65" s="889" t="e">
        <f>IF(ISNA(Tbl_Long_Hydro[[#This Row],[Draught]]),NA(),INDEX(Tbl_Long_Definition[H k-bott],Tbl_Long_Hydro[[#This Row],[Aft Nline prev]]))</f>
        <v>#N/A</v>
      </c>
      <c r="AD65" s="889" t="e">
        <f>IF(ISNA(Tbl_Long_Hydro[[#This Row],[Draught]]),NA(),INDEX(Tbl_Long_Definition[H k-bott],Tbl_Long_Hydro[[#This Row],[Aft Nline next]]))</f>
        <v>#N/A</v>
      </c>
      <c r="AE65" s="888" t="e">
        <f>IF(ISNA(Tbl_Long_Hydro[[#This Row],[Draught]]),NA(),IFERROR(INDEX(Tbl_Long_Definition[X],Tbl_Long_Hydro[[#This Row],[Fore Nline prev]]),0))</f>
        <v>#N/A</v>
      </c>
      <c r="AF65" s="889" t="e">
        <f>IF(ISNA(Tbl_Long_Hydro[[#This Row],[Draught]]),NA(),IFERROR(INDEX(Tbl_Long_Definition[X],Tbl_Long_Hydro[[#This Row],[Fore Nline next]]),0))</f>
        <v>#N/A</v>
      </c>
      <c r="AG65" s="889" t="e">
        <f>IF(ISNA(Tbl_Long_Hydro[[#This Row],[Draught]]),NA(),INDEX(Tbl_Long_Definition[H k-bott],Tbl_Long_Hydro[[#This Row],[Fore Nline prev]]))</f>
        <v>#N/A</v>
      </c>
      <c r="AH65" s="890" t="e">
        <f>IF(ISNA(Tbl_Long_Hydro[[#This Row],[Draught]]),NA(),INDEX(Tbl_Long_Definition[H k-bott],Tbl_Long_Hydro[[#This Row],[Fore Nline next]]))</f>
        <v>#N/A</v>
      </c>
      <c r="AI65"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65"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65" s="894" t="e">
        <f>Tbl_Long_Hydro[[#This Row],[Fore X]]-Tbl_Long_Hydro[[#This Row],[Aft X]]</f>
        <v>#N/A</v>
      </c>
      <c r="AL65" s="884" t="e">
        <f>Tbl_Long_Hydro[[#This Row],[LX]]*B</f>
        <v>#N/A</v>
      </c>
      <c r="AM65" s="892" t="e">
        <f>IF(ISNUMBER(AM64),(AK64+Tbl_Long_Hydro[[#This Row],[LX]])*(Tbl_Long_Hydro[[#This Row],[Draught]]-V64)/2*B,(Tbl_Long_Hydro[[#This Row],[LX]])*Tbl_Long_Hydro[[#This Row],[Draught]]*B)</f>
        <v>#N/A</v>
      </c>
      <c r="AN65" s="899" t="e">
        <f>Tbl_Long_Hydro[[#This Row],[Aft X]]+Tbl_Long_Hydro[[#This Row],[LX]]/2</f>
        <v>#N/A</v>
      </c>
      <c r="AO65" s="876" t="e">
        <f>IF(ISNUMBER(AO64),(2*Tbl_Long_Hydro[[#This Row],[LX]]+AK64)/(Tbl_Long_Hydro[[#This Row],[LX]]+AK64)*(Tbl_Long_Hydro[[#This Row],[Draught]]-V64)/3+V64,Tbl_Long_Hydro[[#This Row],[Draught]]/2)</f>
        <v>#N/A</v>
      </c>
      <c r="AP65" s="898" t="e">
        <f>IF(ISNUMBER(AP64),Tbl_Long_Hydro[[#This Row],[Volume elt]]+AP64,Tbl_Long_Hydro[[#This Row],[Volume elt]]*AO$4)</f>
        <v>#N/A</v>
      </c>
      <c r="AQ65" s="893" t="e">
        <f>IF(ISNUMBER(AQ64),Tbl_Long_Hydro[[#This Row],[Displacement]]*AQ$4,IF(ISNA(AQ64),NA(),0))</f>
        <v>#N/A</v>
      </c>
      <c r="AR65" s="900" t="e">
        <f>IF(ISNA(Tbl_Long_Hydro[[#This Row],[Draught]]),NA(),IFERROR(Tbl_Long_Hydro[[#This Row],[LX]]*B^3/12/Tbl_Long_Hydro[[#This Row],[Displacement]],0))</f>
        <v>#N/A</v>
      </c>
      <c r="AS65" s="903" t="e">
        <f>IF(ISNA(Tbl_Long_Hydro[[#This Row],[Draught]]),NA(),IFERROR((B*Tbl_Long_Hydro[[#This Row],[LX]]^3/12+(Tbl_Long_Hydro[[#This Row],[LCF]]-Tbl_Long_Hydro[[#This Row],[LCB]])*Tbl_Long_Hydro[[#This Row],[Waterplane area]]*Tbl_Long_Hydro[[#This Row],[LCF]]^2)/Tbl_Long_Hydro[[#This Row],[Displacement]],0))</f>
        <v>#N/A</v>
      </c>
      <c r="AT65" s="900" t="e">
        <f>Tbl_Long_Hydro[[#This Row],[Aft X]]+Tbl_Long_Hydro[[#This Row],[LX]]/2</f>
        <v>#N/A</v>
      </c>
      <c r="AU65" s="901" t="e">
        <f>IF(ISNUMBER(AU64),(AU64*AP64+Tbl_Long_Hydro[[#This Row],[X CoG elt]]*Tbl_Long_Hydro[[#This Row],[Volume elt]])/Tbl_Long_Hydro[[#This Row],[Displacement]],Tbl_Long_Hydro[[#This Row],[X CoG elt]])</f>
        <v>#N/A</v>
      </c>
      <c r="AV65" s="902" t="e">
        <f>IF(ISNA(Tbl_Long_Hydro[[#This Row],[Draught]]),NA(),0)</f>
        <v>#N/A</v>
      </c>
      <c r="AW65" s="876" t="e">
        <f>IF(ISNUMBER(AW64),(AW64*AP64+Tbl_Long_Hydro[[#This Row],[Z CoG elt]]*Tbl_Long_Hydro[[#This Row],[Volume elt]])/Tbl_Long_Hydro[[#This Row],[Displacement]],Tbl_Long_Hydro[[#This Row],[Z CoG elt]])</f>
        <v>#N/A</v>
      </c>
      <c r="AX65" s="899" t="e">
        <f>Tbl_Long_Hydro[[#This Row],[RMT]]+Tbl_Long_Hydro[[#This Row],[VCB]]</f>
        <v>#N/A</v>
      </c>
      <c r="AY65" s="904" t="e">
        <f>Tbl_Long_Hydro[[#This Row],[Displacement]]*Tbl_Long_Hydro[[#This Row],[RML]]/(100*Lpp)</f>
        <v>#N/A</v>
      </c>
      <c r="AZ65" s="956" t="e">
        <f>Tbl_Long_Hydro[[#This Row],[Draught]]</f>
        <v>#N/A</v>
      </c>
      <c r="BA65" s="959" t="e">
        <f>Tbl_Long_Hydro[[#This Row],[Displacement]]</f>
        <v>#N/A</v>
      </c>
      <c r="BB65" s="960" t="e">
        <f>Tbl_Long_Hydro[[#This Row],[Displac. SW]]</f>
        <v>#N/A</v>
      </c>
      <c r="BC65" s="964" t="e">
        <f>Tbl_Long_Hydro[[#This Row],[Waterplane area]]/100*$AQ$4</f>
        <v>#N/A</v>
      </c>
      <c r="BD65" s="961" t="e">
        <f>Tbl_Long_Hydro[[#This Row],[MCT]]</f>
        <v>#N/A</v>
      </c>
      <c r="BE65" s="962" t="e">
        <f>Tbl_Long_Hydro[[#This Row],[LCB]]</f>
        <v>#N/A</v>
      </c>
      <c r="BF65" s="962" t="e">
        <f>Tbl_Long_Hydro[[#This Row],[TCB]]</f>
        <v>#N/A</v>
      </c>
      <c r="BG65" s="962" t="e">
        <f>Tbl_Long_Hydro[[#This Row],[LCF]]</f>
        <v>#N/A</v>
      </c>
      <c r="BH65" s="963" t="e">
        <f>Tbl_Long_Hydro[[#This Row],[KMT]]</f>
        <v>#N/A</v>
      </c>
    </row>
    <row r="66" spans="11:60" x14ac:dyDescent="0.25">
      <c r="K66" s="156">
        <f t="shared" si="1"/>
        <v>60</v>
      </c>
      <c r="L66" s="164">
        <f t="shared" si="2"/>
        <v>30</v>
      </c>
      <c r="M66" s="163">
        <f>MATCH(Tbl_Long_Section[[#This Row],[X]],Tbl_Long_Definition[X],1)</f>
        <v>2</v>
      </c>
      <c r="N66" s="157">
        <f>IF(Tbl_Long_Section[[#This Row],[Nline Prev]]&lt;COUNT(Tbl_Long_Definition[X]),Tbl_Long_Section[[#This Row],[Nline Prev]]+1,Tbl_Long_Section[[#This Row],[Nline Prev]])</f>
        <v>3</v>
      </c>
      <c r="O66" s="162">
        <f>INDEX(Tbl_Long_Definition[X],Tbl_Long_Section[[#This Row],[Nline Prev]])</f>
        <v>5</v>
      </c>
      <c r="P66" s="159">
        <f>INDEX(Tbl_Long_Definition[X],Tbl_Long_Section[[#This Row],[Nline Next]])</f>
        <v>55</v>
      </c>
      <c r="Q66" s="160">
        <f>INDEX(Tbl_Long_Definition[H Deck-Bott.],Tbl_Long_Section[[#This Row],[Nline Prev]])</f>
        <v>4</v>
      </c>
      <c r="R66" s="161">
        <f>INDEX(Tbl_Long_Definition[H Deck-Bott.],Tbl_Long_Section[[#This Row],[Nline Next]])</f>
        <v>4</v>
      </c>
      <c r="S66"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66" s="8"/>
      <c r="V66" s="873" t="e">
        <f t="shared" si="4"/>
        <v>#N/A</v>
      </c>
      <c r="W66" s="885" t="e">
        <f>MATCH(Tbl_Long_Hydro[[#This Row],[Draught]],Tbl_Long_Definition[H k-bott],-1)</f>
        <v>#N/A</v>
      </c>
      <c r="X66"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66" s="886" t="e">
        <f>MATCH(Tbl_Long_Hydro[[#This Row],[Draught]],Tbl_Long_Definition[H k-bott],1)</f>
        <v>#N/A</v>
      </c>
      <c r="Z66"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66" s="888" t="e">
        <f>IF(ISNA(Tbl_Long_Hydro[[#This Row],[Draught]]),NA(),IFERROR(INDEX(Tbl_Long_Definition[X],Tbl_Long_Hydro[[#This Row],[Aft Nline prev]]),0))</f>
        <v>#N/A</v>
      </c>
      <c r="AB66" s="889" t="e">
        <f>IF(ISNA(Tbl_Long_Hydro[[#This Row],[Draught]]),NA(),IFERROR(INDEX(Tbl_Long_Definition[X],Tbl_Long_Hydro[[#This Row],[Aft Nline next]]),0))</f>
        <v>#N/A</v>
      </c>
      <c r="AC66" s="889" t="e">
        <f>IF(ISNA(Tbl_Long_Hydro[[#This Row],[Draught]]),NA(),INDEX(Tbl_Long_Definition[H k-bott],Tbl_Long_Hydro[[#This Row],[Aft Nline prev]]))</f>
        <v>#N/A</v>
      </c>
      <c r="AD66" s="889" t="e">
        <f>IF(ISNA(Tbl_Long_Hydro[[#This Row],[Draught]]),NA(),INDEX(Tbl_Long_Definition[H k-bott],Tbl_Long_Hydro[[#This Row],[Aft Nline next]]))</f>
        <v>#N/A</v>
      </c>
      <c r="AE66" s="888" t="e">
        <f>IF(ISNA(Tbl_Long_Hydro[[#This Row],[Draught]]),NA(),IFERROR(INDEX(Tbl_Long_Definition[X],Tbl_Long_Hydro[[#This Row],[Fore Nline prev]]),0))</f>
        <v>#N/A</v>
      </c>
      <c r="AF66" s="889" t="e">
        <f>IF(ISNA(Tbl_Long_Hydro[[#This Row],[Draught]]),NA(),IFERROR(INDEX(Tbl_Long_Definition[X],Tbl_Long_Hydro[[#This Row],[Fore Nline next]]),0))</f>
        <v>#N/A</v>
      </c>
      <c r="AG66" s="889" t="e">
        <f>IF(ISNA(Tbl_Long_Hydro[[#This Row],[Draught]]),NA(),INDEX(Tbl_Long_Definition[H k-bott],Tbl_Long_Hydro[[#This Row],[Fore Nline prev]]))</f>
        <v>#N/A</v>
      </c>
      <c r="AH66" s="890" t="e">
        <f>IF(ISNA(Tbl_Long_Hydro[[#This Row],[Draught]]),NA(),INDEX(Tbl_Long_Definition[H k-bott],Tbl_Long_Hydro[[#This Row],[Fore Nline next]]))</f>
        <v>#N/A</v>
      </c>
      <c r="AI66"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66"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66" s="894" t="e">
        <f>Tbl_Long_Hydro[[#This Row],[Fore X]]-Tbl_Long_Hydro[[#This Row],[Aft X]]</f>
        <v>#N/A</v>
      </c>
      <c r="AL66" s="884" t="e">
        <f>Tbl_Long_Hydro[[#This Row],[LX]]*B</f>
        <v>#N/A</v>
      </c>
      <c r="AM66" s="892" t="e">
        <f>IF(ISNUMBER(AM65),(AK65+Tbl_Long_Hydro[[#This Row],[LX]])*(Tbl_Long_Hydro[[#This Row],[Draught]]-V65)/2*B,(Tbl_Long_Hydro[[#This Row],[LX]])*Tbl_Long_Hydro[[#This Row],[Draught]]*B)</f>
        <v>#N/A</v>
      </c>
      <c r="AN66" s="899" t="e">
        <f>Tbl_Long_Hydro[[#This Row],[Aft X]]+Tbl_Long_Hydro[[#This Row],[LX]]/2</f>
        <v>#N/A</v>
      </c>
      <c r="AO66" s="876" t="e">
        <f>IF(ISNUMBER(AO65),(2*Tbl_Long_Hydro[[#This Row],[LX]]+AK65)/(Tbl_Long_Hydro[[#This Row],[LX]]+AK65)*(Tbl_Long_Hydro[[#This Row],[Draught]]-V65)/3+V65,Tbl_Long_Hydro[[#This Row],[Draught]]/2)</f>
        <v>#N/A</v>
      </c>
      <c r="AP66" s="898" t="e">
        <f>IF(ISNUMBER(AP65),Tbl_Long_Hydro[[#This Row],[Volume elt]]+AP65,Tbl_Long_Hydro[[#This Row],[Volume elt]]*AO$4)</f>
        <v>#N/A</v>
      </c>
      <c r="AQ66" s="893" t="e">
        <f>IF(ISNUMBER(AQ65),Tbl_Long_Hydro[[#This Row],[Displacement]]*AQ$4,IF(ISNA(AQ65),NA(),0))</f>
        <v>#N/A</v>
      </c>
      <c r="AR66" s="900" t="e">
        <f>IF(ISNA(Tbl_Long_Hydro[[#This Row],[Draught]]),NA(),IFERROR(Tbl_Long_Hydro[[#This Row],[LX]]*B^3/12/Tbl_Long_Hydro[[#This Row],[Displacement]],0))</f>
        <v>#N/A</v>
      </c>
      <c r="AS66" s="903" t="e">
        <f>IF(ISNA(Tbl_Long_Hydro[[#This Row],[Draught]]),NA(),IFERROR((B*Tbl_Long_Hydro[[#This Row],[LX]]^3/12+(Tbl_Long_Hydro[[#This Row],[LCF]]-Tbl_Long_Hydro[[#This Row],[LCB]])*Tbl_Long_Hydro[[#This Row],[Waterplane area]]*Tbl_Long_Hydro[[#This Row],[LCF]]^2)/Tbl_Long_Hydro[[#This Row],[Displacement]],0))</f>
        <v>#N/A</v>
      </c>
      <c r="AT66" s="900" t="e">
        <f>Tbl_Long_Hydro[[#This Row],[Aft X]]+Tbl_Long_Hydro[[#This Row],[LX]]/2</f>
        <v>#N/A</v>
      </c>
      <c r="AU66" s="901" t="e">
        <f>IF(ISNUMBER(AU65),(AU65*AP65+Tbl_Long_Hydro[[#This Row],[X CoG elt]]*Tbl_Long_Hydro[[#This Row],[Volume elt]])/Tbl_Long_Hydro[[#This Row],[Displacement]],Tbl_Long_Hydro[[#This Row],[X CoG elt]])</f>
        <v>#N/A</v>
      </c>
      <c r="AV66" s="902" t="e">
        <f>IF(ISNA(Tbl_Long_Hydro[[#This Row],[Draught]]),NA(),0)</f>
        <v>#N/A</v>
      </c>
      <c r="AW66" s="876" t="e">
        <f>IF(ISNUMBER(AW65),(AW65*AP65+Tbl_Long_Hydro[[#This Row],[Z CoG elt]]*Tbl_Long_Hydro[[#This Row],[Volume elt]])/Tbl_Long_Hydro[[#This Row],[Displacement]],Tbl_Long_Hydro[[#This Row],[Z CoG elt]])</f>
        <v>#N/A</v>
      </c>
      <c r="AX66" s="899" t="e">
        <f>Tbl_Long_Hydro[[#This Row],[RMT]]+Tbl_Long_Hydro[[#This Row],[VCB]]</f>
        <v>#N/A</v>
      </c>
      <c r="AY66" s="904" t="e">
        <f>Tbl_Long_Hydro[[#This Row],[Displacement]]*Tbl_Long_Hydro[[#This Row],[RML]]/(100*Lpp)</f>
        <v>#N/A</v>
      </c>
      <c r="AZ66" s="956" t="e">
        <f>Tbl_Long_Hydro[[#This Row],[Draught]]</f>
        <v>#N/A</v>
      </c>
      <c r="BA66" s="959" t="e">
        <f>Tbl_Long_Hydro[[#This Row],[Displacement]]</f>
        <v>#N/A</v>
      </c>
      <c r="BB66" s="960" t="e">
        <f>Tbl_Long_Hydro[[#This Row],[Displac. SW]]</f>
        <v>#N/A</v>
      </c>
      <c r="BC66" s="964" t="e">
        <f>Tbl_Long_Hydro[[#This Row],[Waterplane area]]/100*$AQ$4</f>
        <v>#N/A</v>
      </c>
      <c r="BD66" s="961" t="e">
        <f>Tbl_Long_Hydro[[#This Row],[MCT]]</f>
        <v>#N/A</v>
      </c>
      <c r="BE66" s="962" t="e">
        <f>Tbl_Long_Hydro[[#This Row],[LCB]]</f>
        <v>#N/A</v>
      </c>
      <c r="BF66" s="962" t="e">
        <f>Tbl_Long_Hydro[[#This Row],[TCB]]</f>
        <v>#N/A</v>
      </c>
      <c r="BG66" s="962" t="e">
        <f>Tbl_Long_Hydro[[#This Row],[LCF]]</f>
        <v>#N/A</v>
      </c>
      <c r="BH66" s="963" t="e">
        <f>Tbl_Long_Hydro[[#This Row],[KMT]]</f>
        <v>#N/A</v>
      </c>
    </row>
    <row r="67" spans="11:60" x14ac:dyDescent="0.25">
      <c r="K67" s="156">
        <f t="shared" si="1"/>
        <v>61</v>
      </c>
      <c r="L67" s="164">
        <f t="shared" si="2"/>
        <v>30.5</v>
      </c>
      <c r="M67" s="163">
        <f>MATCH(Tbl_Long_Section[[#This Row],[X]],Tbl_Long_Definition[X],1)</f>
        <v>2</v>
      </c>
      <c r="N67" s="157">
        <f>IF(Tbl_Long_Section[[#This Row],[Nline Prev]]&lt;COUNT(Tbl_Long_Definition[X]),Tbl_Long_Section[[#This Row],[Nline Prev]]+1,Tbl_Long_Section[[#This Row],[Nline Prev]])</f>
        <v>3</v>
      </c>
      <c r="O67" s="162">
        <f>INDEX(Tbl_Long_Definition[X],Tbl_Long_Section[[#This Row],[Nline Prev]])</f>
        <v>5</v>
      </c>
      <c r="P67" s="159">
        <f>INDEX(Tbl_Long_Definition[X],Tbl_Long_Section[[#This Row],[Nline Next]])</f>
        <v>55</v>
      </c>
      <c r="Q67" s="160">
        <f>INDEX(Tbl_Long_Definition[H Deck-Bott.],Tbl_Long_Section[[#This Row],[Nline Prev]])</f>
        <v>4</v>
      </c>
      <c r="R67" s="161">
        <f>INDEX(Tbl_Long_Definition[H Deck-Bott.],Tbl_Long_Section[[#This Row],[Nline Next]])</f>
        <v>4</v>
      </c>
      <c r="S67"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67" s="8"/>
      <c r="V67" s="873" t="e">
        <f t="shared" si="4"/>
        <v>#N/A</v>
      </c>
      <c r="W67" s="885" t="e">
        <f>MATCH(Tbl_Long_Hydro[[#This Row],[Draught]],Tbl_Long_Definition[H k-bott],-1)</f>
        <v>#N/A</v>
      </c>
      <c r="X67"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67" s="886" t="e">
        <f>MATCH(Tbl_Long_Hydro[[#This Row],[Draught]],Tbl_Long_Definition[H k-bott],1)</f>
        <v>#N/A</v>
      </c>
      <c r="Z67"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67" s="888" t="e">
        <f>IF(ISNA(Tbl_Long_Hydro[[#This Row],[Draught]]),NA(),IFERROR(INDEX(Tbl_Long_Definition[X],Tbl_Long_Hydro[[#This Row],[Aft Nline prev]]),0))</f>
        <v>#N/A</v>
      </c>
      <c r="AB67" s="889" t="e">
        <f>IF(ISNA(Tbl_Long_Hydro[[#This Row],[Draught]]),NA(),IFERROR(INDEX(Tbl_Long_Definition[X],Tbl_Long_Hydro[[#This Row],[Aft Nline next]]),0))</f>
        <v>#N/A</v>
      </c>
      <c r="AC67" s="889" t="e">
        <f>IF(ISNA(Tbl_Long_Hydro[[#This Row],[Draught]]),NA(),INDEX(Tbl_Long_Definition[H k-bott],Tbl_Long_Hydro[[#This Row],[Aft Nline prev]]))</f>
        <v>#N/A</v>
      </c>
      <c r="AD67" s="889" t="e">
        <f>IF(ISNA(Tbl_Long_Hydro[[#This Row],[Draught]]),NA(),INDEX(Tbl_Long_Definition[H k-bott],Tbl_Long_Hydro[[#This Row],[Aft Nline next]]))</f>
        <v>#N/A</v>
      </c>
      <c r="AE67" s="888" t="e">
        <f>IF(ISNA(Tbl_Long_Hydro[[#This Row],[Draught]]),NA(),IFERROR(INDEX(Tbl_Long_Definition[X],Tbl_Long_Hydro[[#This Row],[Fore Nline prev]]),0))</f>
        <v>#N/A</v>
      </c>
      <c r="AF67" s="889" t="e">
        <f>IF(ISNA(Tbl_Long_Hydro[[#This Row],[Draught]]),NA(),IFERROR(INDEX(Tbl_Long_Definition[X],Tbl_Long_Hydro[[#This Row],[Fore Nline next]]),0))</f>
        <v>#N/A</v>
      </c>
      <c r="AG67" s="889" t="e">
        <f>IF(ISNA(Tbl_Long_Hydro[[#This Row],[Draught]]),NA(),INDEX(Tbl_Long_Definition[H k-bott],Tbl_Long_Hydro[[#This Row],[Fore Nline prev]]))</f>
        <v>#N/A</v>
      </c>
      <c r="AH67" s="890" t="e">
        <f>IF(ISNA(Tbl_Long_Hydro[[#This Row],[Draught]]),NA(),INDEX(Tbl_Long_Definition[H k-bott],Tbl_Long_Hydro[[#This Row],[Fore Nline next]]))</f>
        <v>#N/A</v>
      </c>
      <c r="AI67"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67"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67" s="894" t="e">
        <f>Tbl_Long_Hydro[[#This Row],[Fore X]]-Tbl_Long_Hydro[[#This Row],[Aft X]]</f>
        <v>#N/A</v>
      </c>
      <c r="AL67" s="884" t="e">
        <f>Tbl_Long_Hydro[[#This Row],[LX]]*B</f>
        <v>#N/A</v>
      </c>
      <c r="AM67" s="892" t="e">
        <f>IF(ISNUMBER(AM66),(AK66+Tbl_Long_Hydro[[#This Row],[LX]])*(Tbl_Long_Hydro[[#This Row],[Draught]]-V66)/2*B,(Tbl_Long_Hydro[[#This Row],[LX]])*Tbl_Long_Hydro[[#This Row],[Draught]]*B)</f>
        <v>#N/A</v>
      </c>
      <c r="AN67" s="899" t="e">
        <f>Tbl_Long_Hydro[[#This Row],[Aft X]]+Tbl_Long_Hydro[[#This Row],[LX]]/2</f>
        <v>#N/A</v>
      </c>
      <c r="AO67" s="876" t="e">
        <f>IF(ISNUMBER(AO66),(2*Tbl_Long_Hydro[[#This Row],[LX]]+AK66)/(Tbl_Long_Hydro[[#This Row],[LX]]+AK66)*(Tbl_Long_Hydro[[#This Row],[Draught]]-V66)/3+V66,Tbl_Long_Hydro[[#This Row],[Draught]]/2)</f>
        <v>#N/A</v>
      </c>
      <c r="AP67" s="898" t="e">
        <f>IF(ISNUMBER(AP66),Tbl_Long_Hydro[[#This Row],[Volume elt]]+AP66,Tbl_Long_Hydro[[#This Row],[Volume elt]]*AO$4)</f>
        <v>#N/A</v>
      </c>
      <c r="AQ67" s="893" t="e">
        <f>IF(ISNUMBER(AQ66),Tbl_Long_Hydro[[#This Row],[Displacement]]*AQ$4,IF(ISNA(AQ66),NA(),0))</f>
        <v>#N/A</v>
      </c>
      <c r="AR67" s="900" t="e">
        <f>IF(ISNA(Tbl_Long_Hydro[[#This Row],[Draught]]),NA(),IFERROR(Tbl_Long_Hydro[[#This Row],[LX]]*B^3/12/Tbl_Long_Hydro[[#This Row],[Displacement]],0))</f>
        <v>#N/A</v>
      </c>
      <c r="AS67" s="903" t="e">
        <f>IF(ISNA(Tbl_Long_Hydro[[#This Row],[Draught]]),NA(),IFERROR((B*Tbl_Long_Hydro[[#This Row],[LX]]^3/12+(Tbl_Long_Hydro[[#This Row],[LCF]]-Tbl_Long_Hydro[[#This Row],[LCB]])*Tbl_Long_Hydro[[#This Row],[Waterplane area]]*Tbl_Long_Hydro[[#This Row],[LCF]]^2)/Tbl_Long_Hydro[[#This Row],[Displacement]],0))</f>
        <v>#N/A</v>
      </c>
      <c r="AT67" s="900" t="e">
        <f>Tbl_Long_Hydro[[#This Row],[Aft X]]+Tbl_Long_Hydro[[#This Row],[LX]]/2</f>
        <v>#N/A</v>
      </c>
      <c r="AU67" s="901" t="e">
        <f>IF(ISNUMBER(AU66),(AU66*AP66+Tbl_Long_Hydro[[#This Row],[X CoG elt]]*Tbl_Long_Hydro[[#This Row],[Volume elt]])/Tbl_Long_Hydro[[#This Row],[Displacement]],Tbl_Long_Hydro[[#This Row],[X CoG elt]])</f>
        <v>#N/A</v>
      </c>
      <c r="AV67" s="902" t="e">
        <f>IF(ISNA(Tbl_Long_Hydro[[#This Row],[Draught]]),NA(),0)</f>
        <v>#N/A</v>
      </c>
      <c r="AW67" s="876" t="e">
        <f>IF(ISNUMBER(AW66),(AW66*AP66+Tbl_Long_Hydro[[#This Row],[Z CoG elt]]*Tbl_Long_Hydro[[#This Row],[Volume elt]])/Tbl_Long_Hydro[[#This Row],[Displacement]],Tbl_Long_Hydro[[#This Row],[Z CoG elt]])</f>
        <v>#N/A</v>
      </c>
      <c r="AX67" s="899" t="e">
        <f>Tbl_Long_Hydro[[#This Row],[RMT]]+Tbl_Long_Hydro[[#This Row],[VCB]]</f>
        <v>#N/A</v>
      </c>
      <c r="AY67" s="904" t="e">
        <f>Tbl_Long_Hydro[[#This Row],[Displacement]]*Tbl_Long_Hydro[[#This Row],[RML]]/(100*Lpp)</f>
        <v>#N/A</v>
      </c>
      <c r="AZ67" s="956" t="e">
        <f>Tbl_Long_Hydro[[#This Row],[Draught]]</f>
        <v>#N/A</v>
      </c>
      <c r="BA67" s="959" t="e">
        <f>Tbl_Long_Hydro[[#This Row],[Displacement]]</f>
        <v>#N/A</v>
      </c>
      <c r="BB67" s="960" t="e">
        <f>Tbl_Long_Hydro[[#This Row],[Displac. SW]]</f>
        <v>#N/A</v>
      </c>
      <c r="BC67" s="964" t="e">
        <f>Tbl_Long_Hydro[[#This Row],[Waterplane area]]/100*$AQ$4</f>
        <v>#N/A</v>
      </c>
      <c r="BD67" s="961" t="e">
        <f>Tbl_Long_Hydro[[#This Row],[MCT]]</f>
        <v>#N/A</v>
      </c>
      <c r="BE67" s="962" t="e">
        <f>Tbl_Long_Hydro[[#This Row],[LCB]]</f>
        <v>#N/A</v>
      </c>
      <c r="BF67" s="962" t="e">
        <f>Tbl_Long_Hydro[[#This Row],[TCB]]</f>
        <v>#N/A</v>
      </c>
      <c r="BG67" s="962" t="e">
        <f>Tbl_Long_Hydro[[#This Row],[LCF]]</f>
        <v>#N/A</v>
      </c>
      <c r="BH67" s="963" t="e">
        <f>Tbl_Long_Hydro[[#This Row],[KMT]]</f>
        <v>#N/A</v>
      </c>
    </row>
    <row r="68" spans="11:60" x14ac:dyDescent="0.25">
      <c r="K68" s="156">
        <f t="shared" si="1"/>
        <v>62</v>
      </c>
      <c r="L68" s="164">
        <f t="shared" si="2"/>
        <v>31</v>
      </c>
      <c r="M68" s="163">
        <f>MATCH(Tbl_Long_Section[[#This Row],[X]],Tbl_Long_Definition[X],1)</f>
        <v>2</v>
      </c>
      <c r="N68" s="157">
        <f>IF(Tbl_Long_Section[[#This Row],[Nline Prev]]&lt;COUNT(Tbl_Long_Definition[X]),Tbl_Long_Section[[#This Row],[Nline Prev]]+1,Tbl_Long_Section[[#This Row],[Nline Prev]])</f>
        <v>3</v>
      </c>
      <c r="O68" s="162">
        <f>INDEX(Tbl_Long_Definition[X],Tbl_Long_Section[[#This Row],[Nline Prev]])</f>
        <v>5</v>
      </c>
      <c r="P68" s="159">
        <f>INDEX(Tbl_Long_Definition[X],Tbl_Long_Section[[#This Row],[Nline Next]])</f>
        <v>55</v>
      </c>
      <c r="Q68" s="160">
        <f>INDEX(Tbl_Long_Definition[H Deck-Bott.],Tbl_Long_Section[[#This Row],[Nline Prev]])</f>
        <v>4</v>
      </c>
      <c r="R68" s="161">
        <f>INDEX(Tbl_Long_Definition[H Deck-Bott.],Tbl_Long_Section[[#This Row],[Nline Next]])</f>
        <v>4</v>
      </c>
      <c r="S68"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68" s="8"/>
      <c r="V68" s="873" t="e">
        <f t="shared" si="4"/>
        <v>#N/A</v>
      </c>
      <c r="W68" s="885" t="e">
        <f>MATCH(Tbl_Long_Hydro[[#This Row],[Draught]],Tbl_Long_Definition[H k-bott],-1)</f>
        <v>#N/A</v>
      </c>
      <c r="X68"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68" s="886" t="e">
        <f>MATCH(Tbl_Long_Hydro[[#This Row],[Draught]],Tbl_Long_Definition[H k-bott],1)</f>
        <v>#N/A</v>
      </c>
      <c r="Z68"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68" s="888" t="e">
        <f>IF(ISNA(Tbl_Long_Hydro[[#This Row],[Draught]]),NA(),IFERROR(INDEX(Tbl_Long_Definition[X],Tbl_Long_Hydro[[#This Row],[Aft Nline prev]]),0))</f>
        <v>#N/A</v>
      </c>
      <c r="AB68" s="889" t="e">
        <f>IF(ISNA(Tbl_Long_Hydro[[#This Row],[Draught]]),NA(),IFERROR(INDEX(Tbl_Long_Definition[X],Tbl_Long_Hydro[[#This Row],[Aft Nline next]]),0))</f>
        <v>#N/A</v>
      </c>
      <c r="AC68" s="889" t="e">
        <f>IF(ISNA(Tbl_Long_Hydro[[#This Row],[Draught]]),NA(),INDEX(Tbl_Long_Definition[H k-bott],Tbl_Long_Hydro[[#This Row],[Aft Nline prev]]))</f>
        <v>#N/A</v>
      </c>
      <c r="AD68" s="889" t="e">
        <f>IF(ISNA(Tbl_Long_Hydro[[#This Row],[Draught]]),NA(),INDEX(Tbl_Long_Definition[H k-bott],Tbl_Long_Hydro[[#This Row],[Aft Nline next]]))</f>
        <v>#N/A</v>
      </c>
      <c r="AE68" s="888" t="e">
        <f>IF(ISNA(Tbl_Long_Hydro[[#This Row],[Draught]]),NA(),IFERROR(INDEX(Tbl_Long_Definition[X],Tbl_Long_Hydro[[#This Row],[Fore Nline prev]]),0))</f>
        <v>#N/A</v>
      </c>
      <c r="AF68" s="889" t="e">
        <f>IF(ISNA(Tbl_Long_Hydro[[#This Row],[Draught]]),NA(),IFERROR(INDEX(Tbl_Long_Definition[X],Tbl_Long_Hydro[[#This Row],[Fore Nline next]]),0))</f>
        <v>#N/A</v>
      </c>
      <c r="AG68" s="889" t="e">
        <f>IF(ISNA(Tbl_Long_Hydro[[#This Row],[Draught]]),NA(),INDEX(Tbl_Long_Definition[H k-bott],Tbl_Long_Hydro[[#This Row],[Fore Nline prev]]))</f>
        <v>#N/A</v>
      </c>
      <c r="AH68" s="890" t="e">
        <f>IF(ISNA(Tbl_Long_Hydro[[#This Row],[Draught]]),NA(),INDEX(Tbl_Long_Definition[H k-bott],Tbl_Long_Hydro[[#This Row],[Fore Nline next]]))</f>
        <v>#N/A</v>
      </c>
      <c r="AI68"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68"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68" s="894" t="e">
        <f>Tbl_Long_Hydro[[#This Row],[Fore X]]-Tbl_Long_Hydro[[#This Row],[Aft X]]</f>
        <v>#N/A</v>
      </c>
      <c r="AL68" s="884" t="e">
        <f>Tbl_Long_Hydro[[#This Row],[LX]]*B</f>
        <v>#N/A</v>
      </c>
      <c r="AM68" s="892" t="e">
        <f>IF(ISNUMBER(AM67),(AK67+Tbl_Long_Hydro[[#This Row],[LX]])*(Tbl_Long_Hydro[[#This Row],[Draught]]-V67)/2*B,(Tbl_Long_Hydro[[#This Row],[LX]])*Tbl_Long_Hydro[[#This Row],[Draught]]*B)</f>
        <v>#N/A</v>
      </c>
      <c r="AN68" s="899" t="e">
        <f>Tbl_Long_Hydro[[#This Row],[Aft X]]+Tbl_Long_Hydro[[#This Row],[LX]]/2</f>
        <v>#N/A</v>
      </c>
      <c r="AO68" s="876" t="e">
        <f>IF(ISNUMBER(AO67),(2*Tbl_Long_Hydro[[#This Row],[LX]]+AK67)/(Tbl_Long_Hydro[[#This Row],[LX]]+AK67)*(Tbl_Long_Hydro[[#This Row],[Draught]]-V67)/3+V67,Tbl_Long_Hydro[[#This Row],[Draught]]/2)</f>
        <v>#N/A</v>
      </c>
      <c r="AP68" s="898" t="e">
        <f>IF(ISNUMBER(AP67),Tbl_Long_Hydro[[#This Row],[Volume elt]]+AP67,Tbl_Long_Hydro[[#This Row],[Volume elt]]*AO$4)</f>
        <v>#N/A</v>
      </c>
      <c r="AQ68" s="893" t="e">
        <f>IF(ISNUMBER(AQ67),Tbl_Long_Hydro[[#This Row],[Displacement]]*AQ$4,IF(ISNA(AQ67),NA(),0))</f>
        <v>#N/A</v>
      </c>
      <c r="AR68" s="900" t="e">
        <f>IF(ISNA(Tbl_Long_Hydro[[#This Row],[Draught]]),NA(),IFERROR(Tbl_Long_Hydro[[#This Row],[LX]]*B^3/12/Tbl_Long_Hydro[[#This Row],[Displacement]],0))</f>
        <v>#N/A</v>
      </c>
      <c r="AS68" s="903" t="e">
        <f>IF(ISNA(Tbl_Long_Hydro[[#This Row],[Draught]]),NA(),IFERROR((B*Tbl_Long_Hydro[[#This Row],[LX]]^3/12+(Tbl_Long_Hydro[[#This Row],[LCF]]-Tbl_Long_Hydro[[#This Row],[LCB]])*Tbl_Long_Hydro[[#This Row],[Waterplane area]]*Tbl_Long_Hydro[[#This Row],[LCF]]^2)/Tbl_Long_Hydro[[#This Row],[Displacement]],0))</f>
        <v>#N/A</v>
      </c>
      <c r="AT68" s="900" t="e">
        <f>Tbl_Long_Hydro[[#This Row],[Aft X]]+Tbl_Long_Hydro[[#This Row],[LX]]/2</f>
        <v>#N/A</v>
      </c>
      <c r="AU68" s="901" t="e">
        <f>IF(ISNUMBER(AU67),(AU67*AP67+Tbl_Long_Hydro[[#This Row],[X CoG elt]]*Tbl_Long_Hydro[[#This Row],[Volume elt]])/Tbl_Long_Hydro[[#This Row],[Displacement]],Tbl_Long_Hydro[[#This Row],[X CoG elt]])</f>
        <v>#N/A</v>
      </c>
      <c r="AV68" s="902" t="e">
        <f>IF(ISNA(Tbl_Long_Hydro[[#This Row],[Draught]]),NA(),0)</f>
        <v>#N/A</v>
      </c>
      <c r="AW68" s="876" t="e">
        <f>IF(ISNUMBER(AW67),(AW67*AP67+Tbl_Long_Hydro[[#This Row],[Z CoG elt]]*Tbl_Long_Hydro[[#This Row],[Volume elt]])/Tbl_Long_Hydro[[#This Row],[Displacement]],Tbl_Long_Hydro[[#This Row],[Z CoG elt]])</f>
        <v>#N/A</v>
      </c>
      <c r="AX68" s="899" t="e">
        <f>Tbl_Long_Hydro[[#This Row],[RMT]]+Tbl_Long_Hydro[[#This Row],[VCB]]</f>
        <v>#N/A</v>
      </c>
      <c r="AY68" s="904" t="e">
        <f>Tbl_Long_Hydro[[#This Row],[Displacement]]*Tbl_Long_Hydro[[#This Row],[RML]]/(100*Lpp)</f>
        <v>#N/A</v>
      </c>
      <c r="AZ68" s="956" t="e">
        <f>Tbl_Long_Hydro[[#This Row],[Draught]]</f>
        <v>#N/A</v>
      </c>
      <c r="BA68" s="959" t="e">
        <f>Tbl_Long_Hydro[[#This Row],[Displacement]]</f>
        <v>#N/A</v>
      </c>
      <c r="BB68" s="960" t="e">
        <f>Tbl_Long_Hydro[[#This Row],[Displac. SW]]</f>
        <v>#N/A</v>
      </c>
      <c r="BC68" s="964" t="e">
        <f>Tbl_Long_Hydro[[#This Row],[Waterplane area]]/100*$AQ$4</f>
        <v>#N/A</v>
      </c>
      <c r="BD68" s="961" t="e">
        <f>Tbl_Long_Hydro[[#This Row],[MCT]]</f>
        <v>#N/A</v>
      </c>
      <c r="BE68" s="962" t="e">
        <f>Tbl_Long_Hydro[[#This Row],[LCB]]</f>
        <v>#N/A</v>
      </c>
      <c r="BF68" s="962" t="e">
        <f>Tbl_Long_Hydro[[#This Row],[TCB]]</f>
        <v>#N/A</v>
      </c>
      <c r="BG68" s="962" t="e">
        <f>Tbl_Long_Hydro[[#This Row],[LCF]]</f>
        <v>#N/A</v>
      </c>
      <c r="BH68" s="963" t="e">
        <f>Tbl_Long_Hydro[[#This Row],[KMT]]</f>
        <v>#N/A</v>
      </c>
    </row>
    <row r="69" spans="11:60" x14ac:dyDescent="0.25">
      <c r="K69" s="156">
        <f t="shared" si="1"/>
        <v>63</v>
      </c>
      <c r="L69" s="164">
        <f t="shared" si="2"/>
        <v>31.5</v>
      </c>
      <c r="M69" s="163">
        <f>MATCH(Tbl_Long_Section[[#This Row],[X]],Tbl_Long_Definition[X],1)</f>
        <v>2</v>
      </c>
      <c r="N69" s="157">
        <f>IF(Tbl_Long_Section[[#This Row],[Nline Prev]]&lt;COUNT(Tbl_Long_Definition[X]),Tbl_Long_Section[[#This Row],[Nline Prev]]+1,Tbl_Long_Section[[#This Row],[Nline Prev]])</f>
        <v>3</v>
      </c>
      <c r="O69" s="162">
        <f>INDEX(Tbl_Long_Definition[X],Tbl_Long_Section[[#This Row],[Nline Prev]])</f>
        <v>5</v>
      </c>
      <c r="P69" s="159">
        <f>INDEX(Tbl_Long_Definition[X],Tbl_Long_Section[[#This Row],[Nline Next]])</f>
        <v>55</v>
      </c>
      <c r="Q69" s="160">
        <f>INDEX(Tbl_Long_Definition[H Deck-Bott.],Tbl_Long_Section[[#This Row],[Nline Prev]])</f>
        <v>4</v>
      </c>
      <c r="R69" s="161">
        <f>INDEX(Tbl_Long_Definition[H Deck-Bott.],Tbl_Long_Section[[#This Row],[Nline Next]])</f>
        <v>4</v>
      </c>
      <c r="S69"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69" s="8"/>
      <c r="V69" s="873" t="e">
        <f t="shared" si="4"/>
        <v>#N/A</v>
      </c>
      <c r="W69" s="885" t="e">
        <f>MATCH(Tbl_Long_Hydro[[#This Row],[Draught]],Tbl_Long_Definition[H k-bott],-1)</f>
        <v>#N/A</v>
      </c>
      <c r="X69"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69" s="886" t="e">
        <f>MATCH(Tbl_Long_Hydro[[#This Row],[Draught]],Tbl_Long_Definition[H k-bott],1)</f>
        <v>#N/A</v>
      </c>
      <c r="Z69"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69" s="888" t="e">
        <f>IF(ISNA(Tbl_Long_Hydro[[#This Row],[Draught]]),NA(),IFERROR(INDEX(Tbl_Long_Definition[X],Tbl_Long_Hydro[[#This Row],[Aft Nline prev]]),0))</f>
        <v>#N/A</v>
      </c>
      <c r="AB69" s="889" t="e">
        <f>IF(ISNA(Tbl_Long_Hydro[[#This Row],[Draught]]),NA(),IFERROR(INDEX(Tbl_Long_Definition[X],Tbl_Long_Hydro[[#This Row],[Aft Nline next]]),0))</f>
        <v>#N/A</v>
      </c>
      <c r="AC69" s="889" t="e">
        <f>IF(ISNA(Tbl_Long_Hydro[[#This Row],[Draught]]),NA(),INDEX(Tbl_Long_Definition[H k-bott],Tbl_Long_Hydro[[#This Row],[Aft Nline prev]]))</f>
        <v>#N/A</v>
      </c>
      <c r="AD69" s="889" t="e">
        <f>IF(ISNA(Tbl_Long_Hydro[[#This Row],[Draught]]),NA(),INDEX(Tbl_Long_Definition[H k-bott],Tbl_Long_Hydro[[#This Row],[Aft Nline next]]))</f>
        <v>#N/A</v>
      </c>
      <c r="AE69" s="888" t="e">
        <f>IF(ISNA(Tbl_Long_Hydro[[#This Row],[Draught]]),NA(),IFERROR(INDEX(Tbl_Long_Definition[X],Tbl_Long_Hydro[[#This Row],[Fore Nline prev]]),0))</f>
        <v>#N/A</v>
      </c>
      <c r="AF69" s="889" t="e">
        <f>IF(ISNA(Tbl_Long_Hydro[[#This Row],[Draught]]),NA(),IFERROR(INDEX(Tbl_Long_Definition[X],Tbl_Long_Hydro[[#This Row],[Fore Nline next]]),0))</f>
        <v>#N/A</v>
      </c>
      <c r="AG69" s="889" t="e">
        <f>IF(ISNA(Tbl_Long_Hydro[[#This Row],[Draught]]),NA(),INDEX(Tbl_Long_Definition[H k-bott],Tbl_Long_Hydro[[#This Row],[Fore Nline prev]]))</f>
        <v>#N/A</v>
      </c>
      <c r="AH69" s="890" t="e">
        <f>IF(ISNA(Tbl_Long_Hydro[[#This Row],[Draught]]),NA(),INDEX(Tbl_Long_Definition[H k-bott],Tbl_Long_Hydro[[#This Row],[Fore Nline next]]))</f>
        <v>#N/A</v>
      </c>
      <c r="AI69"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69"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69" s="894" t="e">
        <f>Tbl_Long_Hydro[[#This Row],[Fore X]]-Tbl_Long_Hydro[[#This Row],[Aft X]]</f>
        <v>#N/A</v>
      </c>
      <c r="AL69" s="884" t="e">
        <f>Tbl_Long_Hydro[[#This Row],[LX]]*B</f>
        <v>#N/A</v>
      </c>
      <c r="AM69" s="892" t="e">
        <f>IF(ISNUMBER(AM68),(AK68+Tbl_Long_Hydro[[#This Row],[LX]])*(Tbl_Long_Hydro[[#This Row],[Draught]]-V68)/2*B,(Tbl_Long_Hydro[[#This Row],[LX]])*Tbl_Long_Hydro[[#This Row],[Draught]]*B)</f>
        <v>#N/A</v>
      </c>
      <c r="AN69" s="899" t="e">
        <f>Tbl_Long_Hydro[[#This Row],[Aft X]]+Tbl_Long_Hydro[[#This Row],[LX]]/2</f>
        <v>#N/A</v>
      </c>
      <c r="AO69" s="876" t="e">
        <f>IF(ISNUMBER(AO68),(2*Tbl_Long_Hydro[[#This Row],[LX]]+AK68)/(Tbl_Long_Hydro[[#This Row],[LX]]+AK68)*(Tbl_Long_Hydro[[#This Row],[Draught]]-V68)/3+V68,Tbl_Long_Hydro[[#This Row],[Draught]]/2)</f>
        <v>#N/A</v>
      </c>
      <c r="AP69" s="898" t="e">
        <f>IF(ISNUMBER(AP68),Tbl_Long_Hydro[[#This Row],[Volume elt]]+AP68,Tbl_Long_Hydro[[#This Row],[Volume elt]]*AO$4)</f>
        <v>#N/A</v>
      </c>
      <c r="AQ69" s="893" t="e">
        <f>IF(ISNUMBER(AQ68),Tbl_Long_Hydro[[#This Row],[Displacement]]*AQ$4,IF(ISNA(AQ68),NA(),0))</f>
        <v>#N/A</v>
      </c>
      <c r="AR69" s="900" t="e">
        <f>IF(ISNA(Tbl_Long_Hydro[[#This Row],[Draught]]),NA(),IFERROR(Tbl_Long_Hydro[[#This Row],[LX]]*B^3/12/Tbl_Long_Hydro[[#This Row],[Displacement]],0))</f>
        <v>#N/A</v>
      </c>
      <c r="AS69" s="903" t="e">
        <f>IF(ISNA(Tbl_Long_Hydro[[#This Row],[Draught]]),NA(),IFERROR((B*Tbl_Long_Hydro[[#This Row],[LX]]^3/12+(Tbl_Long_Hydro[[#This Row],[LCF]]-Tbl_Long_Hydro[[#This Row],[LCB]])*Tbl_Long_Hydro[[#This Row],[Waterplane area]]*Tbl_Long_Hydro[[#This Row],[LCF]]^2)/Tbl_Long_Hydro[[#This Row],[Displacement]],0))</f>
        <v>#N/A</v>
      </c>
      <c r="AT69" s="900" t="e">
        <f>Tbl_Long_Hydro[[#This Row],[Aft X]]+Tbl_Long_Hydro[[#This Row],[LX]]/2</f>
        <v>#N/A</v>
      </c>
      <c r="AU69" s="901" t="e">
        <f>IF(ISNUMBER(AU68),(AU68*AP68+Tbl_Long_Hydro[[#This Row],[X CoG elt]]*Tbl_Long_Hydro[[#This Row],[Volume elt]])/Tbl_Long_Hydro[[#This Row],[Displacement]],Tbl_Long_Hydro[[#This Row],[X CoG elt]])</f>
        <v>#N/A</v>
      </c>
      <c r="AV69" s="902" t="e">
        <f>IF(ISNA(Tbl_Long_Hydro[[#This Row],[Draught]]),NA(),0)</f>
        <v>#N/A</v>
      </c>
      <c r="AW69" s="876" t="e">
        <f>IF(ISNUMBER(AW68),(AW68*AP68+Tbl_Long_Hydro[[#This Row],[Z CoG elt]]*Tbl_Long_Hydro[[#This Row],[Volume elt]])/Tbl_Long_Hydro[[#This Row],[Displacement]],Tbl_Long_Hydro[[#This Row],[Z CoG elt]])</f>
        <v>#N/A</v>
      </c>
      <c r="AX69" s="899" t="e">
        <f>Tbl_Long_Hydro[[#This Row],[RMT]]+Tbl_Long_Hydro[[#This Row],[VCB]]</f>
        <v>#N/A</v>
      </c>
      <c r="AY69" s="904" t="e">
        <f>Tbl_Long_Hydro[[#This Row],[Displacement]]*Tbl_Long_Hydro[[#This Row],[RML]]/(100*Lpp)</f>
        <v>#N/A</v>
      </c>
      <c r="AZ69" s="956" t="e">
        <f>Tbl_Long_Hydro[[#This Row],[Draught]]</f>
        <v>#N/A</v>
      </c>
      <c r="BA69" s="959" t="e">
        <f>Tbl_Long_Hydro[[#This Row],[Displacement]]</f>
        <v>#N/A</v>
      </c>
      <c r="BB69" s="960" t="e">
        <f>Tbl_Long_Hydro[[#This Row],[Displac. SW]]</f>
        <v>#N/A</v>
      </c>
      <c r="BC69" s="964" t="e">
        <f>Tbl_Long_Hydro[[#This Row],[Waterplane area]]/100*$AQ$4</f>
        <v>#N/A</v>
      </c>
      <c r="BD69" s="961" t="e">
        <f>Tbl_Long_Hydro[[#This Row],[MCT]]</f>
        <v>#N/A</v>
      </c>
      <c r="BE69" s="962" t="e">
        <f>Tbl_Long_Hydro[[#This Row],[LCB]]</f>
        <v>#N/A</v>
      </c>
      <c r="BF69" s="962" t="e">
        <f>Tbl_Long_Hydro[[#This Row],[TCB]]</f>
        <v>#N/A</v>
      </c>
      <c r="BG69" s="962" t="e">
        <f>Tbl_Long_Hydro[[#This Row],[LCF]]</f>
        <v>#N/A</v>
      </c>
      <c r="BH69" s="963" t="e">
        <f>Tbl_Long_Hydro[[#This Row],[KMT]]</f>
        <v>#N/A</v>
      </c>
    </row>
    <row r="70" spans="11:60" x14ac:dyDescent="0.25">
      <c r="K70" s="156">
        <f t="shared" ref="K70:K133" si="5">IF(ISTEXT($K69),0,IF($K69+1&gt;Last_Frame,NA(),$K69+1))</f>
        <v>64</v>
      </c>
      <c r="L70" s="164">
        <f t="shared" ref="L70:L133" si="6">IF(ISTEXT($L69),0,IF($L69+FE_size&gt;Lpp,IF($L69&lt;&gt;Lpp,Lpp,NA()),$L69+FE_size))</f>
        <v>32</v>
      </c>
      <c r="M70" s="163">
        <f>MATCH(Tbl_Long_Section[[#This Row],[X]],Tbl_Long_Definition[X],1)</f>
        <v>2</v>
      </c>
      <c r="N70" s="157">
        <f>IF(Tbl_Long_Section[[#This Row],[Nline Prev]]&lt;COUNT(Tbl_Long_Definition[X]),Tbl_Long_Section[[#This Row],[Nline Prev]]+1,Tbl_Long_Section[[#This Row],[Nline Prev]])</f>
        <v>3</v>
      </c>
      <c r="O70" s="162">
        <f>INDEX(Tbl_Long_Definition[X],Tbl_Long_Section[[#This Row],[Nline Prev]])</f>
        <v>5</v>
      </c>
      <c r="P70" s="159">
        <f>INDEX(Tbl_Long_Definition[X],Tbl_Long_Section[[#This Row],[Nline Next]])</f>
        <v>55</v>
      </c>
      <c r="Q70" s="160">
        <f>INDEX(Tbl_Long_Definition[H Deck-Bott.],Tbl_Long_Section[[#This Row],[Nline Prev]])</f>
        <v>4</v>
      </c>
      <c r="R70" s="161">
        <f>INDEX(Tbl_Long_Definition[H Deck-Bott.],Tbl_Long_Section[[#This Row],[Nline Next]])</f>
        <v>4</v>
      </c>
      <c r="S70"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70" s="8"/>
      <c r="V70" s="873" t="e">
        <f t="shared" ref="V70:V101" si="7">IF(ISTEXT(V69),0,IF(V69+Δhydro&gt;M_depth,NA(),V69+Δhydro))</f>
        <v>#N/A</v>
      </c>
      <c r="W70" s="885" t="e">
        <f>MATCH(Tbl_Long_Hydro[[#This Row],[Draught]],Tbl_Long_Definition[H k-bott],-1)</f>
        <v>#N/A</v>
      </c>
      <c r="X70"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70" s="886" t="e">
        <f>MATCH(Tbl_Long_Hydro[[#This Row],[Draught]],Tbl_Long_Definition[H k-bott],1)</f>
        <v>#N/A</v>
      </c>
      <c r="Z70"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70" s="888" t="e">
        <f>IF(ISNA(Tbl_Long_Hydro[[#This Row],[Draught]]),NA(),IFERROR(INDEX(Tbl_Long_Definition[X],Tbl_Long_Hydro[[#This Row],[Aft Nline prev]]),0))</f>
        <v>#N/A</v>
      </c>
      <c r="AB70" s="889" t="e">
        <f>IF(ISNA(Tbl_Long_Hydro[[#This Row],[Draught]]),NA(),IFERROR(INDEX(Tbl_Long_Definition[X],Tbl_Long_Hydro[[#This Row],[Aft Nline next]]),0))</f>
        <v>#N/A</v>
      </c>
      <c r="AC70" s="889" t="e">
        <f>IF(ISNA(Tbl_Long_Hydro[[#This Row],[Draught]]),NA(),INDEX(Tbl_Long_Definition[H k-bott],Tbl_Long_Hydro[[#This Row],[Aft Nline prev]]))</f>
        <v>#N/A</v>
      </c>
      <c r="AD70" s="889" t="e">
        <f>IF(ISNA(Tbl_Long_Hydro[[#This Row],[Draught]]),NA(),INDEX(Tbl_Long_Definition[H k-bott],Tbl_Long_Hydro[[#This Row],[Aft Nline next]]))</f>
        <v>#N/A</v>
      </c>
      <c r="AE70" s="888" t="e">
        <f>IF(ISNA(Tbl_Long_Hydro[[#This Row],[Draught]]),NA(),IFERROR(INDEX(Tbl_Long_Definition[X],Tbl_Long_Hydro[[#This Row],[Fore Nline prev]]),0))</f>
        <v>#N/A</v>
      </c>
      <c r="AF70" s="889" t="e">
        <f>IF(ISNA(Tbl_Long_Hydro[[#This Row],[Draught]]),NA(),IFERROR(INDEX(Tbl_Long_Definition[X],Tbl_Long_Hydro[[#This Row],[Fore Nline next]]),0))</f>
        <v>#N/A</v>
      </c>
      <c r="AG70" s="889" t="e">
        <f>IF(ISNA(Tbl_Long_Hydro[[#This Row],[Draught]]),NA(),INDEX(Tbl_Long_Definition[H k-bott],Tbl_Long_Hydro[[#This Row],[Fore Nline prev]]))</f>
        <v>#N/A</v>
      </c>
      <c r="AH70" s="890" t="e">
        <f>IF(ISNA(Tbl_Long_Hydro[[#This Row],[Draught]]),NA(),INDEX(Tbl_Long_Definition[H k-bott],Tbl_Long_Hydro[[#This Row],[Fore Nline next]]))</f>
        <v>#N/A</v>
      </c>
      <c r="AI70"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70"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70" s="894" t="e">
        <f>Tbl_Long_Hydro[[#This Row],[Fore X]]-Tbl_Long_Hydro[[#This Row],[Aft X]]</f>
        <v>#N/A</v>
      </c>
      <c r="AL70" s="884" t="e">
        <f>Tbl_Long_Hydro[[#This Row],[LX]]*B</f>
        <v>#N/A</v>
      </c>
      <c r="AM70" s="892" t="e">
        <f>IF(ISNUMBER(AM69),(AK69+Tbl_Long_Hydro[[#This Row],[LX]])*(Tbl_Long_Hydro[[#This Row],[Draught]]-V69)/2*B,(Tbl_Long_Hydro[[#This Row],[LX]])*Tbl_Long_Hydro[[#This Row],[Draught]]*B)</f>
        <v>#N/A</v>
      </c>
      <c r="AN70" s="899" t="e">
        <f>Tbl_Long_Hydro[[#This Row],[Aft X]]+Tbl_Long_Hydro[[#This Row],[LX]]/2</f>
        <v>#N/A</v>
      </c>
      <c r="AO70" s="876" t="e">
        <f>IF(ISNUMBER(AO69),(2*Tbl_Long_Hydro[[#This Row],[LX]]+AK69)/(Tbl_Long_Hydro[[#This Row],[LX]]+AK69)*(Tbl_Long_Hydro[[#This Row],[Draught]]-V69)/3+V69,Tbl_Long_Hydro[[#This Row],[Draught]]/2)</f>
        <v>#N/A</v>
      </c>
      <c r="AP70" s="898" t="e">
        <f>IF(ISNUMBER(AP69),Tbl_Long_Hydro[[#This Row],[Volume elt]]+AP69,Tbl_Long_Hydro[[#This Row],[Volume elt]]*AO$4)</f>
        <v>#N/A</v>
      </c>
      <c r="AQ70" s="893" t="e">
        <f>IF(ISNUMBER(AQ69),Tbl_Long_Hydro[[#This Row],[Displacement]]*AQ$4,IF(ISNA(AQ69),NA(),0))</f>
        <v>#N/A</v>
      </c>
      <c r="AR70" s="900" t="e">
        <f>IF(ISNA(Tbl_Long_Hydro[[#This Row],[Draught]]),NA(),IFERROR(Tbl_Long_Hydro[[#This Row],[LX]]*B^3/12/Tbl_Long_Hydro[[#This Row],[Displacement]],0))</f>
        <v>#N/A</v>
      </c>
      <c r="AS70" s="903" t="e">
        <f>IF(ISNA(Tbl_Long_Hydro[[#This Row],[Draught]]),NA(),IFERROR((B*Tbl_Long_Hydro[[#This Row],[LX]]^3/12+(Tbl_Long_Hydro[[#This Row],[LCF]]-Tbl_Long_Hydro[[#This Row],[LCB]])*Tbl_Long_Hydro[[#This Row],[Waterplane area]]*Tbl_Long_Hydro[[#This Row],[LCF]]^2)/Tbl_Long_Hydro[[#This Row],[Displacement]],0))</f>
        <v>#N/A</v>
      </c>
      <c r="AT70" s="900" t="e">
        <f>Tbl_Long_Hydro[[#This Row],[Aft X]]+Tbl_Long_Hydro[[#This Row],[LX]]/2</f>
        <v>#N/A</v>
      </c>
      <c r="AU70" s="901" t="e">
        <f>IF(ISNUMBER(AU69),(AU69*AP69+Tbl_Long_Hydro[[#This Row],[X CoG elt]]*Tbl_Long_Hydro[[#This Row],[Volume elt]])/Tbl_Long_Hydro[[#This Row],[Displacement]],Tbl_Long_Hydro[[#This Row],[X CoG elt]])</f>
        <v>#N/A</v>
      </c>
      <c r="AV70" s="902" t="e">
        <f>IF(ISNA(Tbl_Long_Hydro[[#This Row],[Draught]]),NA(),0)</f>
        <v>#N/A</v>
      </c>
      <c r="AW70" s="876" t="e">
        <f>IF(ISNUMBER(AW69),(AW69*AP69+Tbl_Long_Hydro[[#This Row],[Z CoG elt]]*Tbl_Long_Hydro[[#This Row],[Volume elt]])/Tbl_Long_Hydro[[#This Row],[Displacement]],Tbl_Long_Hydro[[#This Row],[Z CoG elt]])</f>
        <v>#N/A</v>
      </c>
      <c r="AX70" s="899" t="e">
        <f>Tbl_Long_Hydro[[#This Row],[RMT]]+Tbl_Long_Hydro[[#This Row],[VCB]]</f>
        <v>#N/A</v>
      </c>
      <c r="AY70" s="904" t="e">
        <f>Tbl_Long_Hydro[[#This Row],[Displacement]]*Tbl_Long_Hydro[[#This Row],[RML]]/(100*Lpp)</f>
        <v>#N/A</v>
      </c>
      <c r="AZ70" s="956" t="e">
        <f>Tbl_Long_Hydro[[#This Row],[Draught]]</f>
        <v>#N/A</v>
      </c>
      <c r="BA70" s="959" t="e">
        <f>Tbl_Long_Hydro[[#This Row],[Displacement]]</f>
        <v>#N/A</v>
      </c>
      <c r="BB70" s="960" t="e">
        <f>Tbl_Long_Hydro[[#This Row],[Displac. SW]]</f>
        <v>#N/A</v>
      </c>
      <c r="BC70" s="964" t="e">
        <f>Tbl_Long_Hydro[[#This Row],[Waterplane area]]/100*$AQ$4</f>
        <v>#N/A</v>
      </c>
      <c r="BD70" s="961" t="e">
        <f>Tbl_Long_Hydro[[#This Row],[MCT]]</f>
        <v>#N/A</v>
      </c>
      <c r="BE70" s="962" t="e">
        <f>Tbl_Long_Hydro[[#This Row],[LCB]]</f>
        <v>#N/A</v>
      </c>
      <c r="BF70" s="962" t="e">
        <f>Tbl_Long_Hydro[[#This Row],[TCB]]</f>
        <v>#N/A</v>
      </c>
      <c r="BG70" s="962" t="e">
        <f>Tbl_Long_Hydro[[#This Row],[LCF]]</f>
        <v>#N/A</v>
      </c>
      <c r="BH70" s="963" t="e">
        <f>Tbl_Long_Hydro[[#This Row],[KMT]]</f>
        <v>#N/A</v>
      </c>
    </row>
    <row r="71" spans="11:60" x14ac:dyDescent="0.25">
      <c r="K71" s="156">
        <f t="shared" si="5"/>
        <v>65</v>
      </c>
      <c r="L71" s="164">
        <f t="shared" si="6"/>
        <v>32.5</v>
      </c>
      <c r="M71" s="163">
        <f>MATCH(Tbl_Long_Section[[#This Row],[X]],Tbl_Long_Definition[X],1)</f>
        <v>2</v>
      </c>
      <c r="N71" s="157">
        <f>IF(Tbl_Long_Section[[#This Row],[Nline Prev]]&lt;COUNT(Tbl_Long_Definition[X]),Tbl_Long_Section[[#This Row],[Nline Prev]]+1,Tbl_Long_Section[[#This Row],[Nline Prev]])</f>
        <v>3</v>
      </c>
      <c r="O71" s="162">
        <f>INDEX(Tbl_Long_Definition[X],Tbl_Long_Section[[#This Row],[Nline Prev]])</f>
        <v>5</v>
      </c>
      <c r="P71" s="159">
        <f>INDEX(Tbl_Long_Definition[X],Tbl_Long_Section[[#This Row],[Nline Next]])</f>
        <v>55</v>
      </c>
      <c r="Q71" s="160">
        <f>INDEX(Tbl_Long_Definition[H Deck-Bott.],Tbl_Long_Section[[#This Row],[Nline Prev]])</f>
        <v>4</v>
      </c>
      <c r="R71" s="161">
        <f>INDEX(Tbl_Long_Definition[H Deck-Bott.],Tbl_Long_Section[[#This Row],[Nline Next]])</f>
        <v>4</v>
      </c>
      <c r="S71"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71" s="8"/>
      <c r="V71" s="873" t="e">
        <f t="shared" si="7"/>
        <v>#N/A</v>
      </c>
      <c r="W71" s="885" t="e">
        <f>MATCH(Tbl_Long_Hydro[[#This Row],[Draught]],Tbl_Long_Definition[H k-bott],-1)</f>
        <v>#N/A</v>
      </c>
      <c r="X71"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71" s="886" t="e">
        <f>MATCH(Tbl_Long_Hydro[[#This Row],[Draught]],Tbl_Long_Definition[H k-bott],1)</f>
        <v>#N/A</v>
      </c>
      <c r="Z71"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71" s="888" t="e">
        <f>IF(ISNA(Tbl_Long_Hydro[[#This Row],[Draught]]),NA(),IFERROR(INDEX(Tbl_Long_Definition[X],Tbl_Long_Hydro[[#This Row],[Aft Nline prev]]),0))</f>
        <v>#N/A</v>
      </c>
      <c r="AB71" s="889" t="e">
        <f>IF(ISNA(Tbl_Long_Hydro[[#This Row],[Draught]]),NA(),IFERROR(INDEX(Tbl_Long_Definition[X],Tbl_Long_Hydro[[#This Row],[Aft Nline next]]),0))</f>
        <v>#N/A</v>
      </c>
      <c r="AC71" s="889" t="e">
        <f>IF(ISNA(Tbl_Long_Hydro[[#This Row],[Draught]]),NA(),INDEX(Tbl_Long_Definition[H k-bott],Tbl_Long_Hydro[[#This Row],[Aft Nline prev]]))</f>
        <v>#N/A</v>
      </c>
      <c r="AD71" s="889" t="e">
        <f>IF(ISNA(Tbl_Long_Hydro[[#This Row],[Draught]]),NA(),INDEX(Tbl_Long_Definition[H k-bott],Tbl_Long_Hydro[[#This Row],[Aft Nline next]]))</f>
        <v>#N/A</v>
      </c>
      <c r="AE71" s="888" t="e">
        <f>IF(ISNA(Tbl_Long_Hydro[[#This Row],[Draught]]),NA(),IFERROR(INDEX(Tbl_Long_Definition[X],Tbl_Long_Hydro[[#This Row],[Fore Nline prev]]),0))</f>
        <v>#N/A</v>
      </c>
      <c r="AF71" s="889" t="e">
        <f>IF(ISNA(Tbl_Long_Hydro[[#This Row],[Draught]]),NA(),IFERROR(INDEX(Tbl_Long_Definition[X],Tbl_Long_Hydro[[#This Row],[Fore Nline next]]),0))</f>
        <v>#N/A</v>
      </c>
      <c r="AG71" s="889" t="e">
        <f>IF(ISNA(Tbl_Long_Hydro[[#This Row],[Draught]]),NA(),INDEX(Tbl_Long_Definition[H k-bott],Tbl_Long_Hydro[[#This Row],[Fore Nline prev]]))</f>
        <v>#N/A</v>
      </c>
      <c r="AH71" s="890" t="e">
        <f>IF(ISNA(Tbl_Long_Hydro[[#This Row],[Draught]]),NA(),INDEX(Tbl_Long_Definition[H k-bott],Tbl_Long_Hydro[[#This Row],[Fore Nline next]]))</f>
        <v>#N/A</v>
      </c>
      <c r="AI71"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71"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71" s="894" t="e">
        <f>Tbl_Long_Hydro[[#This Row],[Fore X]]-Tbl_Long_Hydro[[#This Row],[Aft X]]</f>
        <v>#N/A</v>
      </c>
      <c r="AL71" s="884" t="e">
        <f>Tbl_Long_Hydro[[#This Row],[LX]]*B</f>
        <v>#N/A</v>
      </c>
      <c r="AM71" s="892" t="e">
        <f>IF(ISNUMBER(AM70),(AK70+Tbl_Long_Hydro[[#This Row],[LX]])*(Tbl_Long_Hydro[[#This Row],[Draught]]-V70)/2*B,(Tbl_Long_Hydro[[#This Row],[LX]])*Tbl_Long_Hydro[[#This Row],[Draught]]*B)</f>
        <v>#N/A</v>
      </c>
      <c r="AN71" s="899" t="e">
        <f>Tbl_Long_Hydro[[#This Row],[Aft X]]+Tbl_Long_Hydro[[#This Row],[LX]]/2</f>
        <v>#N/A</v>
      </c>
      <c r="AO71" s="876" t="e">
        <f>IF(ISNUMBER(AO70),(2*Tbl_Long_Hydro[[#This Row],[LX]]+AK70)/(Tbl_Long_Hydro[[#This Row],[LX]]+AK70)*(Tbl_Long_Hydro[[#This Row],[Draught]]-V70)/3+V70,Tbl_Long_Hydro[[#This Row],[Draught]]/2)</f>
        <v>#N/A</v>
      </c>
      <c r="AP71" s="898" t="e">
        <f>IF(ISNUMBER(AP70),Tbl_Long_Hydro[[#This Row],[Volume elt]]+AP70,Tbl_Long_Hydro[[#This Row],[Volume elt]]*AO$4)</f>
        <v>#N/A</v>
      </c>
      <c r="AQ71" s="893" t="e">
        <f>IF(ISNUMBER(AQ70),Tbl_Long_Hydro[[#This Row],[Displacement]]*AQ$4,IF(ISNA(AQ70),NA(),0))</f>
        <v>#N/A</v>
      </c>
      <c r="AR71" s="900" t="e">
        <f>IF(ISNA(Tbl_Long_Hydro[[#This Row],[Draught]]),NA(),IFERROR(Tbl_Long_Hydro[[#This Row],[LX]]*B^3/12/Tbl_Long_Hydro[[#This Row],[Displacement]],0))</f>
        <v>#N/A</v>
      </c>
      <c r="AS71" s="903" t="e">
        <f>IF(ISNA(Tbl_Long_Hydro[[#This Row],[Draught]]),NA(),IFERROR((B*Tbl_Long_Hydro[[#This Row],[LX]]^3/12+(Tbl_Long_Hydro[[#This Row],[LCF]]-Tbl_Long_Hydro[[#This Row],[LCB]])*Tbl_Long_Hydro[[#This Row],[Waterplane area]]*Tbl_Long_Hydro[[#This Row],[LCF]]^2)/Tbl_Long_Hydro[[#This Row],[Displacement]],0))</f>
        <v>#N/A</v>
      </c>
      <c r="AT71" s="900" t="e">
        <f>Tbl_Long_Hydro[[#This Row],[Aft X]]+Tbl_Long_Hydro[[#This Row],[LX]]/2</f>
        <v>#N/A</v>
      </c>
      <c r="AU71" s="901" t="e">
        <f>IF(ISNUMBER(AU70),(AU70*AP70+Tbl_Long_Hydro[[#This Row],[X CoG elt]]*Tbl_Long_Hydro[[#This Row],[Volume elt]])/Tbl_Long_Hydro[[#This Row],[Displacement]],Tbl_Long_Hydro[[#This Row],[X CoG elt]])</f>
        <v>#N/A</v>
      </c>
      <c r="AV71" s="902" t="e">
        <f>IF(ISNA(Tbl_Long_Hydro[[#This Row],[Draught]]),NA(),0)</f>
        <v>#N/A</v>
      </c>
      <c r="AW71" s="876" t="e">
        <f>IF(ISNUMBER(AW70),(AW70*AP70+Tbl_Long_Hydro[[#This Row],[Z CoG elt]]*Tbl_Long_Hydro[[#This Row],[Volume elt]])/Tbl_Long_Hydro[[#This Row],[Displacement]],Tbl_Long_Hydro[[#This Row],[Z CoG elt]])</f>
        <v>#N/A</v>
      </c>
      <c r="AX71" s="899" t="e">
        <f>Tbl_Long_Hydro[[#This Row],[RMT]]+Tbl_Long_Hydro[[#This Row],[VCB]]</f>
        <v>#N/A</v>
      </c>
      <c r="AY71" s="904" t="e">
        <f>Tbl_Long_Hydro[[#This Row],[Displacement]]*Tbl_Long_Hydro[[#This Row],[RML]]/(100*Lpp)</f>
        <v>#N/A</v>
      </c>
      <c r="AZ71" s="956" t="e">
        <f>Tbl_Long_Hydro[[#This Row],[Draught]]</f>
        <v>#N/A</v>
      </c>
      <c r="BA71" s="959" t="e">
        <f>Tbl_Long_Hydro[[#This Row],[Displacement]]</f>
        <v>#N/A</v>
      </c>
      <c r="BB71" s="960" t="e">
        <f>Tbl_Long_Hydro[[#This Row],[Displac. SW]]</f>
        <v>#N/A</v>
      </c>
      <c r="BC71" s="964" t="e">
        <f>Tbl_Long_Hydro[[#This Row],[Waterplane area]]/100*$AQ$4</f>
        <v>#N/A</v>
      </c>
      <c r="BD71" s="961" t="e">
        <f>Tbl_Long_Hydro[[#This Row],[MCT]]</f>
        <v>#N/A</v>
      </c>
      <c r="BE71" s="962" t="e">
        <f>Tbl_Long_Hydro[[#This Row],[LCB]]</f>
        <v>#N/A</v>
      </c>
      <c r="BF71" s="962" t="e">
        <f>Tbl_Long_Hydro[[#This Row],[TCB]]</f>
        <v>#N/A</v>
      </c>
      <c r="BG71" s="962" t="e">
        <f>Tbl_Long_Hydro[[#This Row],[LCF]]</f>
        <v>#N/A</v>
      </c>
      <c r="BH71" s="963" t="e">
        <f>Tbl_Long_Hydro[[#This Row],[KMT]]</f>
        <v>#N/A</v>
      </c>
    </row>
    <row r="72" spans="11:60" x14ac:dyDescent="0.25">
      <c r="K72" s="156">
        <f t="shared" si="5"/>
        <v>66</v>
      </c>
      <c r="L72" s="164">
        <f t="shared" si="6"/>
        <v>33</v>
      </c>
      <c r="M72" s="163">
        <f>MATCH(Tbl_Long_Section[[#This Row],[X]],Tbl_Long_Definition[X],1)</f>
        <v>2</v>
      </c>
      <c r="N72" s="157">
        <f>IF(Tbl_Long_Section[[#This Row],[Nline Prev]]&lt;COUNT(Tbl_Long_Definition[X]),Tbl_Long_Section[[#This Row],[Nline Prev]]+1,Tbl_Long_Section[[#This Row],[Nline Prev]])</f>
        <v>3</v>
      </c>
      <c r="O72" s="162">
        <f>INDEX(Tbl_Long_Definition[X],Tbl_Long_Section[[#This Row],[Nline Prev]])</f>
        <v>5</v>
      </c>
      <c r="P72" s="159">
        <f>INDEX(Tbl_Long_Definition[X],Tbl_Long_Section[[#This Row],[Nline Next]])</f>
        <v>55</v>
      </c>
      <c r="Q72" s="160">
        <f>INDEX(Tbl_Long_Definition[H Deck-Bott.],Tbl_Long_Section[[#This Row],[Nline Prev]])</f>
        <v>4</v>
      </c>
      <c r="R72" s="161">
        <f>INDEX(Tbl_Long_Definition[H Deck-Bott.],Tbl_Long_Section[[#This Row],[Nline Next]])</f>
        <v>4</v>
      </c>
      <c r="S72"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72" s="8"/>
      <c r="V72" s="873" t="e">
        <f t="shared" si="7"/>
        <v>#N/A</v>
      </c>
      <c r="W72" s="885" t="e">
        <f>MATCH(Tbl_Long_Hydro[[#This Row],[Draught]],Tbl_Long_Definition[H k-bott],-1)</f>
        <v>#N/A</v>
      </c>
      <c r="X72"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72" s="886" t="e">
        <f>MATCH(Tbl_Long_Hydro[[#This Row],[Draught]],Tbl_Long_Definition[H k-bott],1)</f>
        <v>#N/A</v>
      </c>
      <c r="Z72"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72" s="888" t="e">
        <f>IF(ISNA(Tbl_Long_Hydro[[#This Row],[Draught]]),NA(),IFERROR(INDEX(Tbl_Long_Definition[X],Tbl_Long_Hydro[[#This Row],[Aft Nline prev]]),0))</f>
        <v>#N/A</v>
      </c>
      <c r="AB72" s="889" t="e">
        <f>IF(ISNA(Tbl_Long_Hydro[[#This Row],[Draught]]),NA(),IFERROR(INDEX(Tbl_Long_Definition[X],Tbl_Long_Hydro[[#This Row],[Aft Nline next]]),0))</f>
        <v>#N/A</v>
      </c>
      <c r="AC72" s="889" t="e">
        <f>IF(ISNA(Tbl_Long_Hydro[[#This Row],[Draught]]),NA(),INDEX(Tbl_Long_Definition[H k-bott],Tbl_Long_Hydro[[#This Row],[Aft Nline prev]]))</f>
        <v>#N/A</v>
      </c>
      <c r="AD72" s="889" t="e">
        <f>IF(ISNA(Tbl_Long_Hydro[[#This Row],[Draught]]),NA(),INDEX(Tbl_Long_Definition[H k-bott],Tbl_Long_Hydro[[#This Row],[Aft Nline next]]))</f>
        <v>#N/A</v>
      </c>
      <c r="AE72" s="888" t="e">
        <f>IF(ISNA(Tbl_Long_Hydro[[#This Row],[Draught]]),NA(),IFERROR(INDEX(Tbl_Long_Definition[X],Tbl_Long_Hydro[[#This Row],[Fore Nline prev]]),0))</f>
        <v>#N/A</v>
      </c>
      <c r="AF72" s="889" t="e">
        <f>IF(ISNA(Tbl_Long_Hydro[[#This Row],[Draught]]),NA(),IFERROR(INDEX(Tbl_Long_Definition[X],Tbl_Long_Hydro[[#This Row],[Fore Nline next]]),0))</f>
        <v>#N/A</v>
      </c>
      <c r="AG72" s="889" t="e">
        <f>IF(ISNA(Tbl_Long_Hydro[[#This Row],[Draught]]),NA(),INDEX(Tbl_Long_Definition[H k-bott],Tbl_Long_Hydro[[#This Row],[Fore Nline prev]]))</f>
        <v>#N/A</v>
      </c>
      <c r="AH72" s="890" t="e">
        <f>IF(ISNA(Tbl_Long_Hydro[[#This Row],[Draught]]),NA(),INDEX(Tbl_Long_Definition[H k-bott],Tbl_Long_Hydro[[#This Row],[Fore Nline next]]))</f>
        <v>#N/A</v>
      </c>
      <c r="AI72"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72"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72" s="894" t="e">
        <f>Tbl_Long_Hydro[[#This Row],[Fore X]]-Tbl_Long_Hydro[[#This Row],[Aft X]]</f>
        <v>#N/A</v>
      </c>
      <c r="AL72" s="884" t="e">
        <f>Tbl_Long_Hydro[[#This Row],[LX]]*B</f>
        <v>#N/A</v>
      </c>
      <c r="AM72" s="892" t="e">
        <f>IF(ISNUMBER(AM71),(AK71+Tbl_Long_Hydro[[#This Row],[LX]])*(Tbl_Long_Hydro[[#This Row],[Draught]]-V71)/2*B,(Tbl_Long_Hydro[[#This Row],[LX]])*Tbl_Long_Hydro[[#This Row],[Draught]]*B)</f>
        <v>#N/A</v>
      </c>
      <c r="AN72" s="899" t="e">
        <f>Tbl_Long_Hydro[[#This Row],[Aft X]]+Tbl_Long_Hydro[[#This Row],[LX]]/2</f>
        <v>#N/A</v>
      </c>
      <c r="AO72" s="876" t="e">
        <f>IF(ISNUMBER(AO71),(2*Tbl_Long_Hydro[[#This Row],[LX]]+AK71)/(Tbl_Long_Hydro[[#This Row],[LX]]+AK71)*(Tbl_Long_Hydro[[#This Row],[Draught]]-V71)/3+V71,Tbl_Long_Hydro[[#This Row],[Draught]]/2)</f>
        <v>#N/A</v>
      </c>
      <c r="AP72" s="898" t="e">
        <f>IF(ISNUMBER(AP71),Tbl_Long_Hydro[[#This Row],[Volume elt]]+AP71,Tbl_Long_Hydro[[#This Row],[Volume elt]]*AO$4)</f>
        <v>#N/A</v>
      </c>
      <c r="AQ72" s="893" t="e">
        <f>IF(ISNUMBER(AQ71),Tbl_Long_Hydro[[#This Row],[Displacement]]*AQ$4,IF(ISNA(AQ71),NA(),0))</f>
        <v>#N/A</v>
      </c>
      <c r="AR72" s="900" t="e">
        <f>IF(ISNA(Tbl_Long_Hydro[[#This Row],[Draught]]),NA(),IFERROR(Tbl_Long_Hydro[[#This Row],[LX]]*B^3/12/Tbl_Long_Hydro[[#This Row],[Displacement]],0))</f>
        <v>#N/A</v>
      </c>
      <c r="AS72" s="903" t="e">
        <f>IF(ISNA(Tbl_Long_Hydro[[#This Row],[Draught]]),NA(),IFERROR((B*Tbl_Long_Hydro[[#This Row],[LX]]^3/12+(Tbl_Long_Hydro[[#This Row],[LCF]]-Tbl_Long_Hydro[[#This Row],[LCB]])*Tbl_Long_Hydro[[#This Row],[Waterplane area]]*Tbl_Long_Hydro[[#This Row],[LCF]]^2)/Tbl_Long_Hydro[[#This Row],[Displacement]],0))</f>
        <v>#N/A</v>
      </c>
      <c r="AT72" s="900" t="e">
        <f>Tbl_Long_Hydro[[#This Row],[Aft X]]+Tbl_Long_Hydro[[#This Row],[LX]]/2</f>
        <v>#N/A</v>
      </c>
      <c r="AU72" s="901" t="e">
        <f>IF(ISNUMBER(AU71),(AU71*AP71+Tbl_Long_Hydro[[#This Row],[X CoG elt]]*Tbl_Long_Hydro[[#This Row],[Volume elt]])/Tbl_Long_Hydro[[#This Row],[Displacement]],Tbl_Long_Hydro[[#This Row],[X CoG elt]])</f>
        <v>#N/A</v>
      </c>
      <c r="AV72" s="902" t="e">
        <f>IF(ISNA(Tbl_Long_Hydro[[#This Row],[Draught]]),NA(),0)</f>
        <v>#N/A</v>
      </c>
      <c r="AW72" s="876" t="e">
        <f>IF(ISNUMBER(AW71),(AW71*AP71+Tbl_Long_Hydro[[#This Row],[Z CoG elt]]*Tbl_Long_Hydro[[#This Row],[Volume elt]])/Tbl_Long_Hydro[[#This Row],[Displacement]],Tbl_Long_Hydro[[#This Row],[Z CoG elt]])</f>
        <v>#N/A</v>
      </c>
      <c r="AX72" s="899" t="e">
        <f>Tbl_Long_Hydro[[#This Row],[RMT]]+Tbl_Long_Hydro[[#This Row],[VCB]]</f>
        <v>#N/A</v>
      </c>
      <c r="AY72" s="904" t="e">
        <f>Tbl_Long_Hydro[[#This Row],[Displacement]]*Tbl_Long_Hydro[[#This Row],[RML]]/(100*Lpp)</f>
        <v>#N/A</v>
      </c>
      <c r="AZ72" s="956" t="e">
        <f>Tbl_Long_Hydro[[#This Row],[Draught]]</f>
        <v>#N/A</v>
      </c>
      <c r="BA72" s="959" t="e">
        <f>Tbl_Long_Hydro[[#This Row],[Displacement]]</f>
        <v>#N/A</v>
      </c>
      <c r="BB72" s="960" t="e">
        <f>Tbl_Long_Hydro[[#This Row],[Displac. SW]]</f>
        <v>#N/A</v>
      </c>
      <c r="BC72" s="964" t="e">
        <f>Tbl_Long_Hydro[[#This Row],[Waterplane area]]/100*$AQ$4</f>
        <v>#N/A</v>
      </c>
      <c r="BD72" s="961" t="e">
        <f>Tbl_Long_Hydro[[#This Row],[MCT]]</f>
        <v>#N/A</v>
      </c>
      <c r="BE72" s="962" t="e">
        <f>Tbl_Long_Hydro[[#This Row],[LCB]]</f>
        <v>#N/A</v>
      </c>
      <c r="BF72" s="962" t="e">
        <f>Tbl_Long_Hydro[[#This Row],[TCB]]</f>
        <v>#N/A</v>
      </c>
      <c r="BG72" s="962" t="e">
        <f>Tbl_Long_Hydro[[#This Row],[LCF]]</f>
        <v>#N/A</v>
      </c>
      <c r="BH72" s="963" t="e">
        <f>Tbl_Long_Hydro[[#This Row],[KMT]]</f>
        <v>#N/A</v>
      </c>
    </row>
    <row r="73" spans="11:60" x14ac:dyDescent="0.25">
      <c r="K73" s="156">
        <f t="shared" si="5"/>
        <v>67</v>
      </c>
      <c r="L73" s="164">
        <f t="shared" si="6"/>
        <v>33.5</v>
      </c>
      <c r="M73" s="163">
        <f>MATCH(Tbl_Long_Section[[#This Row],[X]],Tbl_Long_Definition[X],1)</f>
        <v>2</v>
      </c>
      <c r="N73" s="157">
        <f>IF(Tbl_Long_Section[[#This Row],[Nline Prev]]&lt;COUNT(Tbl_Long_Definition[X]),Tbl_Long_Section[[#This Row],[Nline Prev]]+1,Tbl_Long_Section[[#This Row],[Nline Prev]])</f>
        <v>3</v>
      </c>
      <c r="O73" s="162">
        <f>INDEX(Tbl_Long_Definition[X],Tbl_Long_Section[[#This Row],[Nline Prev]])</f>
        <v>5</v>
      </c>
      <c r="P73" s="159">
        <f>INDEX(Tbl_Long_Definition[X],Tbl_Long_Section[[#This Row],[Nline Next]])</f>
        <v>55</v>
      </c>
      <c r="Q73" s="160">
        <f>INDEX(Tbl_Long_Definition[H Deck-Bott.],Tbl_Long_Section[[#This Row],[Nline Prev]])</f>
        <v>4</v>
      </c>
      <c r="R73" s="161">
        <f>INDEX(Tbl_Long_Definition[H Deck-Bott.],Tbl_Long_Section[[#This Row],[Nline Next]])</f>
        <v>4</v>
      </c>
      <c r="S73"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73" s="8"/>
      <c r="V73" s="873" t="e">
        <f t="shared" si="7"/>
        <v>#N/A</v>
      </c>
      <c r="W73" s="885" t="e">
        <f>MATCH(Tbl_Long_Hydro[[#This Row],[Draught]],Tbl_Long_Definition[H k-bott],-1)</f>
        <v>#N/A</v>
      </c>
      <c r="X73"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73" s="886" t="e">
        <f>MATCH(Tbl_Long_Hydro[[#This Row],[Draught]],Tbl_Long_Definition[H k-bott],1)</f>
        <v>#N/A</v>
      </c>
      <c r="Z73"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73" s="888" t="e">
        <f>IF(ISNA(Tbl_Long_Hydro[[#This Row],[Draught]]),NA(),IFERROR(INDEX(Tbl_Long_Definition[X],Tbl_Long_Hydro[[#This Row],[Aft Nline prev]]),0))</f>
        <v>#N/A</v>
      </c>
      <c r="AB73" s="889" t="e">
        <f>IF(ISNA(Tbl_Long_Hydro[[#This Row],[Draught]]),NA(),IFERROR(INDEX(Tbl_Long_Definition[X],Tbl_Long_Hydro[[#This Row],[Aft Nline next]]),0))</f>
        <v>#N/A</v>
      </c>
      <c r="AC73" s="889" t="e">
        <f>IF(ISNA(Tbl_Long_Hydro[[#This Row],[Draught]]),NA(),INDEX(Tbl_Long_Definition[H k-bott],Tbl_Long_Hydro[[#This Row],[Aft Nline prev]]))</f>
        <v>#N/A</v>
      </c>
      <c r="AD73" s="889" t="e">
        <f>IF(ISNA(Tbl_Long_Hydro[[#This Row],[Draught]]),NA(),INDEX(Tbl_Long_Definition[H k-bott],Tbl_Long_Hydro[[#This Row],[Aft Nline next]]))</f>
        <v>#N/A</v>
      </c>
      <c r="AE73" s="888" t="e">
        <f>IF(ISNA(Tbl_Long_Hydro[[#This Row],[Draught]]),NA(),IFERROR(INDEX(Tbl_Long_Definition[X],Tbl_Long_Hydro[[#This Row],[Fore Nline prev]]),0))</f>
        <v>#N/A</v>
      </c>
      <c r="AF73" s="889" t="e">
        <f>IF(ISNA(Tbl_Long_Hydro[[#This Row],[Draught]]),NA(),IFERROR(INDEX(Tbl_Long_Definition[X],Tbl_Long_Hydro[[#This Row],[Fore Nline next]]),0))</f>
        <v>#N/A</v>
      </c>
      <c r="AG73" s="889" t="e">
        <f>IF(ISNA(Tbl_Long_Hydro[[#This Row],[Draught]]),NA(),INDEX(Tbl_Long_Definition[H k-bott],Tbl_Long_Hydro[[#This Row],[Fore Nline prev]]))</f>
        <v>#N/A</v>
      </c>
      <c r="AH73" s="890" t="e">
        <f>IF(ISNA(Tbl_Long_Hydro[[#This Row],[Draught]]),NA(),INDEX(Tbl_Long_Definition[H k-bott],Tbl_Long_Hydro[[#This Row],[Fore Nline next]]))</f>
        <v>#N/A</v>
      </c>
      <c r="AI73"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73"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73" s="894" t="e">
        <f>Tbl_Long_Hydro[[#This Row],[Fore X]]-Tbl_Long_Hydro[[#This Row],[Aft X]]</f>
        <v>#N/A</v>
      </c>
      <c r="AL73" s="884" t="e">
        <f>Tbl_Long_Hydro[[#This Row],[LX]]*B</f>
        <v>#N/A</v>
      </c>
      <c r="AM73" s="892" t="e">
        <f>IF(ISNUMBER(AM72),(AK72+Tbl_Long_Hydro[[#This Row],[LX]])*(Tbl_Long_Hydro[[#This Row],[Draught]]-V72)/2*B,(Tbl_Long_Hydro[[#This Row],[LX]])*Tbl_Long_Hydro[[#This Row],[Draught]]*B)</f>
        <v>#N/A</v>
      </c>
      <c r="AN73" s="899" t="e">
        <f>Tbl_Long_Hydro[[#This Row],[Aft X]]+Tbl_Long_Hydro[[#This Row],[LX]]/2</f>
        <v>#N/A</v>
      </c>
      <c r="AO73" s="876" t="e">
        <f>IF(ISNUMBER(AO72),(2*Tbl_Long_Hydro[[#This Row],[LX]]+AK72)/(Tbl_Long_Hydro[[#This Row],[LX]]+AK72)*(Tbl_Long_Hydro[[#This Row],[Draught]]-V72)/3+V72,Tbl_Long_Hydro[[#This Row],[Draught]]/2)</f>
        <v>#N/A</v>
      </c>
      <c r="AP73" s="898" t="e">
        <f>IF(ISNUMBER(AP72),Tbl_Long_Hydro[[#This Row],[Volume elt]]+AP72,Tbl_Long_Hydro[[#This Row],[Volume elt]]*AO$4)</f>
        <v>#N/A</v>
      </c>
      <c r="AQ73" s="893" t="e">
        <f>IF(ISNUMBER(AQ72),Tbl_Long_Hydro[[#This Row],[Displacement]]*AQ$4,IF(ISNA(AQ72),NA(),0))</f>
        <v>#N/A</v>
      </c>
      <c r="AR73" s="900" t="e">
        <f>IF(ISNA(Tbl_Long_Hydro[[#This Row],[Draught]]),NA(),IFERROR(Tbl_Long_Hydro[[#This Row],[LX]]*B^3/12/Tbl_Long_Hydro[[#This Row],[Displacement]],0))</f>
        <v>#N/A</v>
      </c>
      <c r="AS73" s="903" t="e">
        <f>IF(ISNA(Tbl_Long_Hydro[[#This Row],[Draught]]),NA(),IFERROR((B*Tbl_Long_Hydro[[#This Row],[LX]]^3/12+(Tbl_Long_Hydro[[#This Row],[LCF]]-Tbl_Long_Hydro[[#This Row],[LCB]])*Tbl_Long_Hydro[[#This Row],[Waterplane area]]*Tbl_Long_Hydro[[#This Row],[LCF]]^2)/Tbl_Long_Hydro[[#This Row],[Displacement]],0))</f>
        <v>#N/A</v>
      </c>
      <c r="AT73" s="900" t="e">
        <f>Tbl_Long_Hydro[[#This Row],[Aft X]]+Tbl_Long_Hydro[[#This Row],[LX]]/2</f>
        <v>#N/A</v>
      </c>
      <c r="AU73" s="901" t="e">
        <f>IF(ISNUMBER(AU72),(AU72*AP72+Tbl_Long_Hydro[[#This Row],[X CoG elt]]*Tbl_Long_Hydro[[#This Row],[Volume elt]])/Tbl_Long_Hydro[[#This Row],[Displacement]],Tbl_Long_Hydro[[#This Row],[X CoG elt]])</f>
        <v>#N/A</v>
      </c>
      <c r="AV73" s="902" t="e">
        <f>IF(ISNA(Tbl_Long_Hydro[[#This Row],[Draught]]),NA(),0)</f>
        <v>#N/A</v>
      </c>
      <c r="AW73" s="876" t="e">
        <f>IF(ISNUMBER(AW72),(AW72*AP72+Tbl_Long_Hydro[[#This Row],[Z CoG elt]]*Tbl_Long_Hydro[[#This Row],[Volume elt]])/Tbl_Long_Hydro[[#This Row],[Displacement]],Tbl_Long_Hydro[[#This Row],[Z CoG elt]])</f>
        <v>#N/A</v>
      </c>
      <c r="AX73" s="899" t="e">
        <f>Tbl_Long_Hydro[[#This Row],[RMT]]+Tbl_Long_Hydro[[#This Row],[VCB]]</f>
        <v>#N/A</v>
      </c>
      <c r="AY73" s="904" t="e">
        <f>Tbl_Long_Hydro[[#This Row],[Displacement]]*Tbl_Long_Hydro[[#This Row],[RML]]/(100*Lpp)</f>
        <v>#N/A</v>
      </c>
      <c r="AZ73" s="956" t="e">
        <f>Tbl_Long_Hydro[[#This Row],[Draught]]</f>
        <v>#N/A</v>
      </c>
      <c r="BA73" s="959" t="e">
        <f>Tbl_Long_Hydro[[#This Row],[Displacement]]</f>
        <v>#N/A</v>
      </c>
      <c r="BB73" s="960" t="e">
        <f>Tbl_Long_Hydro[[#This Row],[Displac. SW]]</f>
        <v>#N/A</v>
      </c>
      <c r="BC73" s="964" t="e">
        <f>Tbl_Long_Hydro[[#This Row],[Waterplane area]]/100*$AQ$4</f>
        <v>#N/A</v>
      </c>
      <c r="BD73" s="961" t="e">
        <f>Tbl_Long_Hydro[[#This Row],[MCT]]</f>
        <v>#N/A</v>
      </c>
      <c r="BE73" s="962" t="e">
        <f>Tbl_Long_Hydro[[#This Row],[LCB]]</f>
        <v>#N/A</v>
      </c>
      <c r="BF73" s="962" t="e">
        <f>Tbl_Long_Hydro[[#This Row],[TCB]]</f>
        <v>#N/A</v>
      </c>
      <c r="BG73" s="962" t="e">
        <f>Tbl_Long_Hydro[[#This Row],[LCF]]</f>
        <v>#N/A</v>
      </c>
      <c r="BH73" s="963" t="e">
        <f>Tbl_Long_Hydro[[#This Row],[KMT]]</f>
        <v>#N/A</v>
      </c>
    </row>
    <row r="74" spans="11:60" x14ac:dyDescent="0.25">
      <c r="K74" s="156">
        <f t="shared" si="5"/>
        <v>68</v>
      </c>
      <c r="L74" s="164">
        <f t="shared" si="6"/>
        <v>34</v>
      </c>
      <c r="M74" s="163">
        <f>MATCH(Tbl_Long_Section[[#This Row],[X]],Tbl_Long_Definition[X],1)</f>
        <v>2</v>
      </c>
      <c r="N74" s="157">
        <f>IF(Tbl_Long_Section[[#This Row],[Nline Prev]]&lt;COUNT(Tbl_Long_Definition[X]),Tbl_Long_Section[[#This Row],[Nline Prev]]+1,Tbl_Long_Section[[#This Row],[Nline Prev]])</f>
        <v>3</v>
      </c>
      <c r="O74" s="162">
        <f>INDEX(Tbl_Long_Definition[X],Tbl_Long_Section[[#This Row],[Nline Prev]])</f>
        <v>5</v>
      </c>
      <c r="P74" s="159">
        <f>INDEX(Tbl_Long_Definition[X],Tbl_Long_Section[[#This Row],[Nline Next]])</f>
        <v>55</v>
      </c>
      <c r="Q74" s="160">
        <f>INDEX(Tbl_Long_Definition[H Deck-Bott.],Tbl_Long_Section[[#This Row],[Nline Prev]])</f>
        <v>4</v>
      </c>
      <c r="R74" s="161">
        <f>INDEX(Tbl_Long_Definition[H Deck-Bott.],Tbl_Long_Section[[#This Row],[Nline Next]])</f>
        <v>4</v>
      </c>
      <c r="S74"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74" s="8"/>
      <c r="V74" s="873" t="e">
        <f t="shared" si="7"/>
        <v>#N/A</v>
      </c>
      <c r="W74" s="885" t="e">
        <f>MATCH(Tbl_Long_Hydro[[#This Row],[Draught]],Tbl_Long_Definition[H k-bott],-1)</f>
        <v>#N/A</v>
      </c>
      <c r="X74"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74" s="886" t="e">
        <f>MATCH(Tbl_Long_Hydro[[#This Row],[Draught]],Tbl_Long_Definition[H k-bott],1)</f>
        <v>#N/A</v>
      </c>
      <c r="Z74"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74" s="888" t="e">
        <f>IF(ISNA(Tbl_Long_Hydro[[#This Row],[Draught]]),NA(),IFERROR(INDEX(Tbl_Long_Definition[X],Tbl_Long_Hydro[[#This Row],[Aft Nline prev]]),0))</f>
        <v>#N/A</v>
      </c>
      <c r="AB74" s="889" t="e">
        <f>IF(ISNA(Tbl_Long_Hydro[[#This Row],[Draught]]),NA(),IFERROR(INDEX(Tbl_Long_Definition[X],Tbl_Long_Hydro[[#This Row],[Aft Nline next]]),0))</f>
        <v>#N/A</v>
      </c>
      <c r="AC74" s="889" t="e">
        <f>IF(ISNA(Tbl_Long_Hydro[[#This Row],[Draught]]),NA(),INDEX(Tbl_Long_Definition[H k-bott],Tbl_Long_Hydro[[#This Row],[Aft Nline prev]]))</f>
        <v>#N/A</v>
      </c>
      <c r="AD74" s="889" t="e">
        <f>IF(ISNA(Tbl_Long_Hydro[[#This Row],[Draught]]),NA(),INDEX(Tbl_Long_Definition[H k-bott],Tbl_Long_Hydro[[#This Row],[Aft Nline next]]))</f>
        <v>#N/A</v>
      </c>
      <c r="AE74" s="888" t="e">
        <f>IF(ISNA(Tbl_Long_Hydro[[#This Row],[Draught]]),NA(),IFERROR(INDEX(Tbl_Long_Definition[X],Tbl_Long_Hydro[[#This Row],[Fore Nline prev]]),0))</f>
        <v>#N/A</v>
      </c>
      <c r="AF74" s="889" t="e">
        <f>IF(ISNA(Tbl_Long_Hydro[[#This Row],[Draught]]),NA(),IFERROR(INDEX(Tbl_Long_Definition[X],Tbl_Long_Hydro[[#This Row],[Fore Nline next]]),0))</f>
        <v>#N/A</v>
      </c>
      <c r="AG74" s="889" t="e">
        <f>IF(ISNA(Tbl_Long_Hydro[[#This Row],[Draught]]),NA(),INDEX(Tbl_Long_Definition[H k-bott],Tbl_Long_Hydro[[#This Row],[Fore Nline prev]]))</f>
        <v>#N/A</v>
      </c>
      <c r="AH74" s="890" t="e">
        <f>IF(ISNA(Tbl_Long_Hydro[[#This Row],[Draught]]),NA(),INDEX(Tbl_Long_Definition[H k-bott],Tbl_Long_Hydro[[#This Row],[Fore Nline next]]))</f>
        <v>#N/A</v>
      </c>
      <c r="AI74"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74"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74" s="894" t="e">
        <f>Tbl_Long_Hydro[[#This Row],[Fore X]]-Tbl_Long_Hydro[[#This Row],[Aft X]]</f>
        <v>#N/A</v>
      </c>
      <c r="AL74" s="884" t="e">
        <f>Tbl_Long_Hydro[[#This Row],[LX]]*B</f>
        <v>#N/A</v>
      </c>
      <c r="AM74" s="892" t="e">
        <f>IF(ISNUMBER(AM73),(AK73+Tbl_Long_Hydro[[#This Row],[LX]])*(Tbl_Long_Hydro[[#This Row],[Draught]]-V73)/2*B,(Tbl_Long_Hydro[[#This Row],[LX]])*Tbl_Long_Hydro[[#This Row],[Draught]]*B)</f>
        <v>#N/A</v>
      </c>
      <c r="AN74" s="899" t="e">
        <f>Tbl_Long_Hydro[[#This Row],[Aft X]]+Tbl_Long_Hydro[[#This Row],[LX]]/2</f>
        <v>#N/A</v>
      </c>
      <c r="AO74" s="876" t="e">
        <f>IF(ISNUMBER(AO73),(2*Tbl_Long_Hydro[[#This Row],[LX]]+AK73)/(Tbl_Long_Hydro[[#This Row],[LX]]+AK73)*(Tbl_Long_Hydro[[#This Row],[Draught]]-V73)/3+V73,Tbl_Long_Hydro[[#This Row],[Draught]]/2)</f>
        <v>#N/A</v>
      </c>
      <c r="AP74" s="898" t="e">
        <f>IF(ISNUMBER(AP73),Tbl_Long_Hydro[[#This Row],[Volume elt]]+AP73,Tbl_Long_Hydro[[#This Row],[Volume elt]]*AO$4)</f>
        <v>#N/A</v>
      </c>
      <c r="AQ74" s="893" t="e">
        <f>IF(ISNUMBER(AQ73),Tbl_Long_Hydro[[#This Row],[Displacement]]*AQ$4,IF(ISNA(AQ73),NA(),0))</f>
        <v>#N/A</v>
      </c>
      <c r="AR74" s="900" t="e">
        <f>IF(ISNA(Tbl_Long_Hydro[[#This Row],[Draught]]),NA(),IFERROR(Tbl_Long_Hydro[[#This Row],[LX]]*B^3/12/Tbl_Long_Hydro[[#This Row],[Displacement]],0))</f>
        <v>#N/A</v>
      </c>
      <c r="AS74" s="903" t="e">
        <f>IF(ISNA(Tbl_Long_Hydro[[#This Row],[Draught]]),NA(),IFERROR((B*Tbl_Long_Hydro[[#This Row],[LX]]^3/12+(Tbl_Long_Hydro[[#This Row],[LCF]]-Tbl_Long_Hydro[[#This Row],[LCB]])*Tbl_Long_Hydro[[#This Row],[Waterplane area]]*Tbl_Long_Hydro[[#This Row],[LCF]]^2)/Tbl_Long_Hydro[[#This Row],[Displacement]],0))</f>
        <v>#N/A</v>
      </c>
      <c r="AT74" s="900" t="e">
        <f>Tbl_Long_Hydro[[#This Row],[Aft X]]+Tbl_Long_Hydro[[#This Row],[LX]]/2</f>
        <v>#N/A</v>
      </c>
      <c r="AU74" s="901" t="e">
        <f>IF(ISNUMBER(AU73),(AU73*AP73+Tbl_Long_Hydro[[#This Row],[X CoG elt]]*Tbl_Long_Hydro[[#This Row],[Volume elt]])/Tbl_Long_Hydro[[#This Row],[Displacement]],Tbl_Long_Hydro[[#This Row],[X CoG elt]])</f>
        <v>#N/A</v>
      </c>
      <c r="AV74" s="902" t="e">
        <f>IF(ISNA(Tbl_Long_Hydro[[#This Row],[Draught]]),NA(),0)</f>
        <v>#N/A</v>
      </c>
      <c r="AW74" s="876" t="e">
        <f>IF(ISNUMBER(AW73),(AW73*AP73+Tbl_Long_Hydro[[#This Row],[Z CoG elt]]*Tbl_Long_Hydro[[#This Row],[Volume elt]])/Tbl_Long_Hydro[[#This Row],[Displacement]],Tbl_Long_Hydro[[#This Row],[Z CoG elt]])</f>
        <v>#N/A</v>
      </c>
      <c r="AX74" s="899" t="e">
        <f>Tbl_Long_Hydro[[#This Row],[RMT]]+Tbl_Long_Hydro[[#This Row],[VCB]]</f>
        <v>#N/A</v>
      </c>
      <c r="AY74" s="904" t="e">
        <f>Tbl_Long_Hydro[[#This Row],[Displacement]]*Tbl_Long_Hydro[[#This Row],[RML]]/(100*Lpp)</f>
        <v>#N/A</v>
      </c>
      <c r="AZ74" s="956" t="e">
        <f>Tbl_Long_Hydro[[#This Row],[Draught]]</f>
        <v>#N/A</v>
      </c>
      <c r="BA74" s="959" t="e">
        <f>Tbl_Long_Hydro[[#This Row],[Displacement]]</f>
        <v>#N/A</v>
      </c>
      <c r="BB74" s="960" t="e">
        <f>Tbl_Long_Hydro[[#This Row],[Displac. SW]]</f>
        <v>#N/A</v>
      </c>
      <c r="BC74" s="964" t="e">
        <f>Tbl_Long_Hydro[[#This Row],[Waterplane area]]/100*$AQ$4</f>
        <v>#N/A</v>
      </c>
      <c r="BD74" s="961" t="e">
        <f>Tbl_Long_Hydro[[#This Row],[MCT]]</f>
        <v>#N/A</v>
      </c>
      <c r="BE74" s="962" t="e">
        <f>Tbl_Long_Hydro[[#This Row],[LCB]]</f>
        <v>#N/A</v>
      </c>
      <c r="BF74" s="962" t="e">
        <f>Tbl_Long_Hydro[[#This Row],[TCB]]</f>
        <v>#N/A</v>
      </c>
      <c r="BG74" s="962" t="e">
        <f>Tbl_Long_Hydro[[#This Row],[LCF]]</f>
        <v>#N/A</v>
      </c>
      <c r="BH74" s="963" t="e">
        <f>Tbl_Long_Hydro[[#This Row],[KMT]]</f>
        <v>#N/A</v>
      </c>
    </row>
    <row r="75" spans="11:60" x14ac:dyDescent="0.25">
      <c r="K75" s="156">
        <f t="shared" si="5"/>
        <v>69</v>
      </c>
      <c r="L75" s="164">
        <f t="shared" si="6"/>
        <v>34.5</v>
      </c>
      <c r="M75" s="163">
        <f>MATCH(Tbl_Long_Section[[#This Row],[X]],Tbl_Long_Definition[X],1)</f>
        <v>2</v>
      </c>
      <c r="N75" s="157">
        <f>IF(Tbl_Long_Section[[#This Row],[Nline Prev]]&lt;COUNT(Tbl_Long_Definition[X]),Tbl_Long_Section[[#This Row],[Nline Prev]]+1,Tbl_Long_Section[[#This Row],[Nline Prev]])</f>
        <v>3</v>
      </c>
      <c r="O75" s="162">
        <f>INDEX(Tbl_Long_Definition[X],Tbl_Long_Section[[#This Row],[Nline Prev]])</f>
        <v>5</v>
      </c>
      <c r="P75" s="159">
        <f>INDEX(Tbl_Long_Definition[X],Tbl_Long_Section[[#This Row],[Nline Next]])</f>
        <v>55</v>
      </c>
      <c r="Q75" s="160">
        <f>INDEX(Tbl_Long_Definition[H Deck-Bott.],Tbl_Long_Section[[#This Row],[Nline Prev]])</f>
        <v>4</v>
      </c>
      <c r="R75" s="161">
        <f>INDEX(Tbl_Long_Definition[H Deck-Bott.],Tbl_Long_Section[[#This Row],[Nline Next]])</f>
        <v>4</v>
      </c>
      <c r="S75"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75" s="8"/>
      <c r="V75" s="873" t="e">
        <f t="shared" si="7"/>
        <v>#N/A</v>
      </c>
      <c r="W75" s="885" t="e">
        <f>MATCH(Tbl_Long_Hydro[[#This Row],[Draught]],Tbl_Long_Definition[H k-bott],-1)</f>
        <v>#N/A</v>
      </c>
      <c r="X75"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75" s="886" t="e">
        <f>MATCH(Tbl_Long_Hydro[[#This Row],[Draught]],Tbl_Long_Definition[H k-bott],1)</f>
        <v>#N/A</v>
      </c>
      <c r="Z75"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75" s="888" t="e">
        <f>IF(ISNA(Tbl_Long_Hydro[[#This Row],[Draught]]),NA(),IFERROR(INDEX(Tbl_Long_Definition[X],Tbl_Long_Hydro[[#This Row],[Aft Nline prev]]),0))</f>
        <v>#N/A</v>
      </c>
      <c r="AB75" s="889" t="e">
        <f>IF(ISNA(Tbl_Long_Hydro[[#This Row],[Draught]]),NA(),IFERROR(INDEX(Tbl_Long_Definition[X],Tbl_Long_Hydro[[#This Row],[Aft Nline next]]),0))</f>
        <v>#N/A</v>
      </c>
      <c r="AC75" s="889" t="e">
        <f>IF(ISNA(Tbl_Long_Hydro[[#This Row],[Draught]]),NA(),INDEX(Tbl_Long_Definition[H k-bott],Tbl_Long_Hydro[[#This Row],[Aft Nline prev]]))</f>
        <v>#N/A</v>
      </c>
      <c r="AD75" s="889" t="e">
        <f>IF(ISNA(Tbl_Long_Hydro[[#This Row],[Draught]]),NA(),INDEX(Tbl_Long_Definition[H k-bott],Tbl_Long_Hydro[[#This Row],[Aft Nline next]]))</f>
        <v>#N/A</v>
      </c>
      <c r="AE75" s="888" t="e">
        <f>IF(ISNA(Tbl_Long_Hydro[[#This Row],[Draught]]),NA(),IFERROR(INDEX(Tbl_Long_Definition[X],Tbl_Long_Hydro[[#This Row],[Fore Nline prev]]),0))</f>
        <v>#N/A</v>
      </c>
      <c r="AF75" s="889" t="e">
        <f>IF(ISNA(Tbl_Long_Hydro[[#This Row],[Draught]]),NA(),IFERROR(INDEX(Tbl_Long_Definition[X],Tbl_Long_Hydro[[#This Row],[Fore Nline next]]),0))</f>
        <v>#N/A</v>
      </c>
      <c r="AG75" s="889" t="e">
        <f>IF(ISNA(Tbl_Long_Hydro[[#This Row],[Draught]]),NA(),INDEX(Tbl_Long_Definition[H k-bott],Tbl_Long_Hydro[[#This Row],[Fore Nline prev]]))</f>
        <v>#N/A</v>
      </c>
      <c r="AH75" s="890" t="e">
        <f>IF(ISNA(Tbl_Long_Hydro[[#This Row],[Draught]]),NA(),INDEX(Tbl_Long_Definition[H k-bott],Tbl_Long_Hydro[[#This Row],[Fore Nline next]]))</f>
        <v>#N/A</v>
      </c>
      <c r="AI75"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75"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75" s="894" t="e">
        <f>Tbl_Long_Hydro[[#This Row],[Fore X]]-Tbl_Long_Hydro[[#This Row],[Aft X]]</f>
        <v>#N/A</v>
      </c>
      <c r="AL75" s="884" t="e">
        <f>Tbl_Long_Hydro[[#This Row],[LX]]*B</f>
        <v>#N/A</v>
      </c>
      <c r="AM75" s="892" t="e">
        <f>IF(ISNUMBER(AM74),(AK74+Tbl_Long_Hydro[[#This Row],[LX]])*(Tbl_Long_Hydro[[#This Row],[Draught]]-V74)/2*B,(Tbl_Long_Hydro[[#This Row],[LX]])*Tbl_Long_Hydro[[#This Row],[Draught]]*B)</f>
        <v>#N/A</v>
      </c>
      <c r="AN75" s="899" t="e">
        <f>Tbl_Long_Hydro[[#This Row],[Aft X]]+Tbl_Long_Hydro[[#This Row],[LX]]/2</f>
        <v>#N/A</v>
      </c>
      <c r="AO75" s="876" t="e">
        <f>IF(ISNUMBER(AO74),(2*Tbl_Long_Hydro[[#This Row],[LX]]+AK74)/(Tbl_Long_Hydro[[#This Row],[LX]]+AK74)*(Tbl_Long_Hydro[[#This Row],[Draught]]-V74)/3+V74,Tbl_Long_Hydro[[#This Row],[Draught]]/2)</f>
        <v>#N/A</v>
      </c>
      <c r="AP75" s="898" t="e">
        <f>IF(ISNUMBER(AP74),Tbl_Long_Hydro[[#This Row],[Volume elt]]+AP74,Tbl_Long_Hydro[[#This Row],[Volume elt]]*AO$4)</f>
        <v>#N/A</v>
      </c>
      <c r="AQ75" s="893" t="e">
        <f>IF(ISNUMBER(AQ74),Tbl_Long_Hydro[[#This Row],[Displacement]]*AQ$4,IF(ISNA(AQ74),NA(),0))</f>
        <v>#N/A</v>
      </c>
      <c r="AR75" s="900" t="e">
        <f>IF(ISNA(Tbl_Long_Hydro[[#This Row],[Draught]]),NA(),IFERROR(Tbl_Long_Hydro[[#This Row],[LX]]*B^3/12/Tbl_Long_Hydro[[#This Row],[Displacement]],0))</f>
        <v>#N/A</v>
      </c>
      <c r="AS75" s="903" t="e">
        <f>IF(ISNA(Tbl_Long_Hydro[[#This Row],[Draught]]),NA(),IFERROR((B*Tbl_Long_Hydro[[#This Row],[LX]]^3/12+(Tbl_Long_Hydro[[#This Row],[LCF]]-Tbl_Long_Hydro[[#This Row],[LCB]])*Tbl_Long_Hydro[[#This Row],[Waterplane area]]*Tbl_Long_Hydro[[#This Row],[LCF]]^2)/Tbl_Long_Hydro[[#This Row],[Displacement]],0))</f>
        <v>#N/A</v>
      </c>
      <c r="AT75" s="900" t="e">
        <f>Tbl_Long_Hydro[[#This Row],[Aft X]]+Tbl_Long_Hydro[[#This Row],[LX]]/2</f>
        <v>#N/A</v>
      </c>
      <c r="AU75" s="901" t="e">
        <f>IF(ISNUMBER(AU74),(AU74*AP74+Tbl_Long_Hydro[[#This Row],[X CoG elt]]*Tbl_Long_Hydro[[#This Row],[Volume elt]])/Tbl_Long_Hydro[[#This Row],[Displacement]],Tbl_Long_Hydro[[#This Row],[X CoG elt]])</f>
        <v>#N/A</v>
      </c>
      <c r="AV75" s="902" t="e">
        <f>IF(ISNA(Tbl_Long_Hydro[[#This Row],[Draught]]),NA(),0)</f>
        <v>#N/A</v>
      </c>
      <c r="AW75" s="876" t="e">
        <f>IF(ISNUMBER(AW74),(AW74*AP74+Tbl_Long_Hydro[[#This Row],[Z CoG elt]]*Tbl_Long_Hydro[[#This Row],[Volume elt]])/Tbl_Long_Hydro[[#This Row],[Displacement]],Tbl_Long_Hydro[[#This Row],[Z CoG elt]])</f>
        <v>#N/A</v>
      </c>
      <c r="AX75" s="899" t="e">
        <f>Tbl_Long_Hydro[[#This Row],[RMT]]+Tbl_Long_Hydro[[#This Row],[VCB]]</f>
        <v>#N/A</v>
      </c>
      <c r="AY75" s="904" t="e">
        <f>Tbl_Long_Hydro[[#This Row],[Displacement]]*Tbl_Long_Hydro[[#This Row],[RML]]/(100*Lpp)</f>
        <v>#N/A</v>
      </c>
      <c r="AZ75" s="956" t="e">
        <f>Tbl_Long_Hydro[[#This Row],[Draught]]</f>
        <v>#N/A</v>
      </c>
      <c r="BA75" s="959" t="e">
        <f>Tbl_Long_Hydro[[#This Row],[Displacement]]</f>
        <v>#N/A</v>
      </c>
      <c r="BB75" s="960" t="e">
        <f>Tbl_Long_Hydro[[#This Row],[Displac. SW]]</f>
        <v>#N/A</v>
      </c>
      <c r="BC75" s="964" t="e">
        <f>Tbl_Long_Hydro[[#This Row],[Waterplane area]]/100*$AQ$4</f>
        <v>#N/A</v>
      </c>
      <c r="BD75" s="961" t="e">
        <f>Tbl_Long_Hydro[[#This Row],[MCT]]</f>
        <v>#N/A</v>
      </c>
      <c r="BE75" s="962" t="e">
        <f>Tbl_Long_Hydro[[#This Row],[LCB]]</f>
        <v>#N/A</v>
      </c>
      <c r="BF75" s="962" t="e">
        <f>Tbl_Long_Hydro[[#This Row],[TCB]]</f>
        <v>#N/A</v>
      </c>
      <c r="BG75" s="962" t="e">
        <f>Tbl_Long_Hydro[[#This Row],[LCF]]</f>
        <v>#N/A</v>
      </c>
      <c r="BH75" s="963" t="e">
        <f>Tbl_Long_Hydro[[#This Row],[KMT]]</f>
        <v>#N/A</v>
      </c>
    </row>
    <row r="76" spans="11:60" x14ac:dyDescent="0.25">
      <c r="K76" s="156">
        <f t="shared" si="5"/>
        <v>70</v>
      </c>
      <c r="L76" s="164">
        <f t="shared" si="6"/>
        <v>35</v>
      </c>
      <c r="M76" s="163">
        <f>MATCH(Tbl_Long_Section[[#This Row],[X]],Tbl_Long_Definition[X],1)</f>
        <v>2</v>
      </c>
      <c r="N76" s="157">
        <f>IF(Tbl_Long_Section[[#This Row],[Nline Prev]]&lt;COUNT(Tbl_Long_Definition[X]),Tbl_Long_Section[[#This Row],[Nline Prev]]+1,Tbl_Long_Section[[#This Row],[Nline Prev]])</f>
        <v>3</v>
      </c>
      <c r="O76" s="162">
        <f>INDEX(Tbl_Long_Definition[X],Tbl_Long_Section[[#This Row],[Nline Prev]])</f>
        <v>5</v>
      </c>
      <c r="P76" s="159">
        <f>INDEX(Tbl_Long_Definition[X],Tbl_Long_Section[[#This Row],[Nline Next]])</f>
        <v>55</v>
      </c>
      <c r="Q76" s="160">
        <f>INDEX(Tbl_Long_Definition[H Deck-Bott.],Tbl_Long_Section[[#This Row],[Nline Prev]])</f>
        <v>4</v>
      </c>
      <c r="R76" s="161">
        <f>INDEX(Tbl_Long_Definition[H Deck-Bott.],Tbl_Long_Section[[#This Row],[Nline Next]])</f>
        <v>4</v>
      </c>
      <c r="S76"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76" s="8"/>
      <c r="V76" s="873" t="e">
        <f t="shared" si="7"/>
        <v>#N/A</v>
      </c>
      <c r="W76" s="885" t="e">
        <f>MATCH(Tbl_Long_Hydro[[#This Row],[Draught]],Tbl_Long_Definition[H k-bott],-1)</f>
        <v>#N/A</v>
      </c>
      <c r="X76"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76" s="886" t="e">
        <f>MATCH(Tbl_Long_Hydro[[#This Row],[Draught]],Tbl_Long_Definition[H k-bott],1)</f>
        <v>#N/A</v>
      </c>
      <c r="Z76"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76" s="888" t="e">
        <f>IF(ISNA(Tbl_Long_Hydro[[#This Row],[Draught]]),NA(),IFERROR(INDEX(Tbl_Long_Definition[X],Tbl_Long_Hydro[[#This Row],[Aft Nline prev]]),0))</f>
        <v>#N/A</v>
      </c>
      <c r="AB76" s="889" t="e">
        <f>IF(ISNA(Tbl_Long_Hydro[[#This Row],[Draught]]),NA(),IFERROR(INDEX(Tbl_Long_Definition[X],Tbl_Long_Hydro[[#This Row],[Aft Nline next]]),0))</f>
        <v>#N/A</v>
      </c>
      <c r="AC76" s="889" t="e">
        <f>IF(ISNA(Tbl_Long_Hydro[[#This Row],[Draught]]),NA(),INDEX(Tbl_Long_Definition[H k-bott],Tbl_Long_Hydro[[#This Row],[Aft Nline prev]]))</f>
        <v>#N/A</v>
      </c>
      <c r="AD76" s="889" t="e">
        <f>IF(ISNA(Tbl_Long_Hydro[[#This Row],[Draught]]),NA(),INDEX(Tbl_Long_Definition[H k-bott],Tbl_Long_Hydro[[#This Row],[Aft Nline next]]))</f>
        <v>#N/A</v>
      </c>
      <c r="AE76" s="888" t="e">
        <f>IF(ISNA(Tbl_Long_Hydro[[#This Row],[Draught]]),NA(),IFERROR(INDEX(Tbl_Long_Definition[X],Tbl_Long_Hydro[[#This Row],[Fore Nline prev]]),0))</f>
        <v>#N/A</v>
      </c>
      <c r="AF76" s="889" t="e">
        <f>IF(ISNA(Tbl_Long_Hydro[[#This Row],[Draught]]),NA(),IFERROR(INDEX(Tbl_Long_Definition[X],Tbl_Long_Hydro[[#This Row],[Fore Nline next]]),0))</f>
        <v>#N/A</v>
      </c>
      <c r="AG76" s="889" t="e">
        <f>IF(ISNA(Tbl_Long_Hydro[[#This Row],[Draught]]),NA(),INDEX(Tbl_Long_Definition[H k-bott],Tbl_Long_Hydro[[#This Row],[Fore Nline prev]]))</f>
        <v>#N/A</v>
      </c>
      <c r="AH76" s="890" t="e">
        <f>IF(ISNA(Tbl_Long_Hydro[[#This Row],[Draught]]),NA(),INDEX(Tbl_Long_Definition[H k-bott],Tbl_Long_Hydro[[#This Row],[Fore Nline next]]))</f>
        <v>#N/A</v>
      </c>
      <c r="AI76"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76"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76" s="894" t="e">
        <f>Tbl_Long_Hydro[[#This Row],[Fore X]]-Tbl_Long_Hydro[[#This Row],[Aft X]]</f>
        <v>#N/A</v>
      </c>
      <c r="AL76" s="884" t="e">
        <f>Tbl_Long_Hydro[[#This Row],[LX]]*B</f>
        <v>#N/A</v>
      </c>
      <c r="AM76" s="892" t="e">
        <f>IF(ISNUMBER(AM75),(AK75+Tbl_Long_Hydro[[#This Row],[LX]])*(Tbl_Long_Hydro[[#This Row],[Draught]]-V75)/2*B,(Tbl_Long_Hydro[[#This Row],[LX]])*Tbl_Long_Hydro[[#This Row],[Draught]]*B)</f>
        <v>#N/A</v>
      </c>
      <c r="AN76" s="899" t="e">
        <f>Tbl_Long_Hydro[[#This Row],[Aft X]]+Tbl_Long_Hydro[[#This Row],[LX]]/2</f>
        <v>#N/A</v>
      </c>
      <c r="AO76" s="876" t="e">
        <f>IF(ISNUMBER(AO75),(2*Tbl_Long_Hydro[[#This Row],[LX]]+AK75)/(Tbl_Long_Hydro[[#This Row],[LX]]+AK75)*(Tbl_Long_Hydro[[#This Row],[Draught]]-V75)/3+V75,Tbl_Long_Hydro[[#This Row],[Draught]]/2)</f>
        <v>#N/A</v>
      </c>
      <c r="AP76" s="898" t="e">
        <f>IF(ISNUMBER(AP75),Tbl_Long_Hydro[[#This Row],[Volume elt]]+AP75,Tbl_Long_Hydro[[#This Row],[Volume elt]]*AO$4)</f>
        <v>#N/A</v>
      </c>
      <c r="AQ76" s="893" t="e">
        <f>IF(ISNUMBER(AQ75),Tbl_Long_Hydro[[#This Row],[Displacement]]*AQ$4,IF(ISNA(AQ75),NA(),0))</f>
        <v>#N/A</v>
      </c>
      <c r="AR76" s="900" t="e">
        <f>IF(ISNA(Tbl_Long_Hydro[[#This Row],[Draught]]),NA(),IFERROR(Tbl_Long_Hydro[[#This Row],[LX]]*B^3/12/Tbl_Long_Hydro[[#This Row],[Displacement]],0))</f>
        <v>#N/A</v>
      </c>
      <c r="AS76" s="903" t="e">
        <f>IF(ISNA(Tbl_Long_Hydro[[#This Row],[Draught]]),NA(),IFERROR((B*Tbl_Long_Hydro[[#This Row],[LX]]^3/12+(Tbl_Long_Hydro[[#This Row],[LCF]]-Tbl_Long_Hydro[[#This Row],[LCB]])*Tbl_Long_Hydro[[#This Row],[Waterplane area]]*Tbl_Long_Hydro[[#This Row],[LCF]]^2)/Tbl_Long_Hydro[[#This Row],[Displacement]],0))</f>
        <v>#N/A</v>
      </c>
      <c r="AT76" s="900" t="e">
        <f>Tbl_Long_Hydro[[#This Row],[Aft X]]+Tbl_Long_Hydro[[#This Row],[LX]]/2</f>
        <v>#N/A</v>
      </c>
      <c r="AU76" s="901" t="e">
        <f>IF(ISNUMBER(AU75),(AU75*AP75+Tbl_Long_Hydro[[#This Row],[X CoG elt]]*Tbl_Long_Hydro[[#This Row],[Volume elt]])/Tbl_Long_Hydro[[#This Row],[Displacement]],Tbl_Long_Hydro[[#This Row],[X CoG elt]])</f>
        <v>#N/A</v>
      </c>
      <c r="AV76" s="902" t="e">
        <f>IF(ISNA(Tbl_Long_Hydro[[#This Row],[Draught]]),NA(),0)</f>
        <v>#N/A</v>
      </c>
      <c r="AW76" s="876" t="e">
        <f>IF(ISNUMBER(AW75),(AW75*AP75+Tbl_Long_Hydro[[#This Row],[Z CoG elt]]*Tbl_Long_Hydro[[#This Row],[Volume elt]])/Tbl_Long_Hydro[[#This Row],[Displacement]],Tbl_Long_Hydro[[#This Row],[Z CoG elt]])</f>
        <v>#N/A</v>
      </c>
      <c r="AX76" s="899" t="e">
        <f>Tbl_Long_Hydro[[#This Row],[RMT]]+Tbl_Long_Hydro[[#This Row],[VCB]]</f>
        <v>#N/A</v>
      </c>
      <c r="AY76" s="904" t="e">
        <f>Tbl_Long_Hydro[[#This Row],[Displacement]]*Tbl_Long_Hydro[[#This Row],[RML]]/(100*Lpp)</f>
        <v>#N/A</v>
      </c>
      <c r="AZ76" s="956" t="e">
        <f>Tbl_Long_Hydro[[#This Row],[Draught]]</f>
        <v>#N/A</v>
      </c>
      <c r="BA76" s="959" t="e">
        <f>Tbl_Long_Hydro[[#This Row],[Displacement]]</f>
        <v>#N/A</v>
      </c>
      <c r="BB76" s="960" t="e">
        <f>Tbl_Long_Hydro[[#This Row],[Displac. SW]]</f>
        <v>#N/A</v>
      </c>
      <c r="BC76" s="964" t="e">
        <f>Tbl_Long_Hydro[[#This Row],[Waterplane area]]/100*$AQ$4</f>
        <v>#N/A</v>
      </c>
      <c r="BD76" s="961" t="e">
        <f>Tbl_Long_Hydro[[#This Row],[MCT]]</f>
        <v>#N/A</v>
      </c>
      <c r="BE76" s="962" t="e">
        <f>Tbl_Long_Hydro[[#This Row],[LCB]]</f>
        <v>#N/A</v>
      </c>
      <c r="BF76" s="962" t="e">
        <f>Tbl_Long_Hydro[[#This Row],[TCB]]</f>
        <v>#N/A</v>
      </c>
      <c r="BG76" s="962" t="e">
        <f>Tbl_Long_Hydro[[#This Row],[LCF]]</f>
        <v>#N/A</v>
      </c>
      <c r="BH76" s="963" t="e">
        <f>Tbl_Long_Hydro[[#This Row],[KMT]]</f>
        <v>#N/A</v>
      </c>
    </row>
    <row r="77" spans="11:60" x14ac:dyDescent="0.25">
      <c r="K77" s="156">
        <f t="shared" si="5"/>
        <v>71</v>
      </c>
      <c r="L77" s="164">
        <f t="shared" si="6"/>
        <v>35.5</v>
      </c>
      <c r="M77" s="163">
        <f>MATCH(Tbl_Long_Section[[#This Row],[X]],Tbl_Long_Definition[X],1)</f>
        <v>2</v>
      </c>
      <c r="N77" s="157">
        <f>IF(Tbl_Long_Section[[#This Row],[Nline Prev]]&lt;COUNT(Tbl_Long_Definition[X]),Tbl_Long_Section[[#This Row],[Nline Prev]]+1,Tbl_Long_Section[[#This Row],[Nline Prev]])</f>
        <v>3</v>
      </c>
      <c r="O77" s="162">
        <f>INDEX(Tbl_Long_Definition[X],Tbl_Long_Section[[#This Row],[Nline Prev]])</f>
        <v>5</v>
      </c>
      <c r="P77" s="159">
        <f>INDEX(Tbl_Long_Definition[X],Tbl_Long_Section[[#This Row],[Nline Next]])</f>
        <v>55</v>
      </c>
      <c r="Q77" s="160">
        <f>INDEX(Tbl_Long_Definition[H Deck-Bott.],Tbl_Long_Section[[#This Row],[Nline Prev]])</f>
        <v>4</v>
      </c>
      <c r="R77" s="161">
        <f>INDEX(Tbl_Long_Definition[H Deck-Bott.],Tbl_Long_Section[[#This Row],[Nline Next]])</f>
        <v>4</v>
      </c>
      <c r="S77"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77" s="8"/>
      <c r="V77" s="873" t="e">
        <f t="shared" si="7"/>
        <v>#N/A</v>
      </c>
      <c r="W77" s="885" t="e">
        <f>MATCH(Tbl_Long_Hydro[[#This Row],[Draught]],Tbl_Long_Definition[H k-bott],-1)</f>
        <v>#N/A</v>
      </c>
      <c r="X77"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77" s="886" t="e">
        <f>MATCH(Tbl_Long_Hydro[[#This Row],[Draught]],Tbl_Long_Definition[H k-bott],1)</f>
        <v>#N/A</v>
      </c>
      <c r="Z77"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77" s="888" t="e">
        <f>IF(ISNA(Tbl_Long_Hydro[[#This Row],[Draught]]),NA(),IFERROR(INDEX(Tbl_Long_Definition[X],Tbl_Long_Hydro[[#This Row],[Aft Nline prev]]),0))</f>
        <v>#N/A</v>
      </c>
      <c r="AB77" s="889" t="e">
        <f>IF(ISNA(Tbl_Long_Hydro[[#This Row],[Draught]]),NA(),IFERROR(INDEX(Tbl_Long_Definition[X],Tbl_Long_Hydro[[#This Row],[Aft Nline next]]),0))</f>
        <v>#N/A</v>
      </c>
      <c r="AC77" s="889" t="e">
        <f>IF(ISNA(Tbl_Long_Hydro[[#This Row],[Draught]]),NA(),INDEX(Tbl_Long_Definition[H k-bott],Tbl_Long_Hydro[[#This Row],[Aft Nline prev]]))</f>
        <v>#N/A</v>
      </c>
      <c r="AD77" s="889" t="e">
        <f>IF(ISNA(Tbl_Long_Hydro[[#This Row],[Draught]]),NA(),INDEX(Tbl_Long_Definition[H k-bott],Tbl_Long_Hydro[[#This Row],[Aft Nline next]]))</f>
        <v>#N/A</v>
      </c>
      <c r="AE77" s="888" t="e">
        <f>IF(ISNA(Tbl_Long_Hydro[[#This Row],[Draught]]),NA(),IFERROR(INDEX(Tbl_Long_Definition[X],Tbl_Long_Hydro[[#This Row],[Fore Nline prev]]),0))</f>
        <v>#N/A</v>
      </c>
      <c r="AF77" s="889" t="e">
        <f>IF(ISNA(Tbl_Long_Hydro[[#This Row],[Draught]]),NA(),IFERROR(INDEX(Tbl_Long_Definition[X],Tbl_Long_Hydro[[#This Row],[Fore Nline next]]),0))</f>
        <v>#N/A</v>
      </c>
      <c r="AG77" s="889" t="e">
        <f>IF(ISNA(Tbl_Long_Hydro[[#This Row],[Draught]]),NA(),INDEX(Tbl_Long_Definition[H k-bott],Tbl_Long_Hydro[[#This Row],[Fore Nline prev]]))</f>
        <v>#N/A</v>
      </c>
      <c r="AH77" s="890" t="e">
        <f>IF(ISNA(Tbl_Long_Hydro[[#This Row],[Draught]]),NA(),INDEX(Tbl_Long_Definition[H k-bott],Tbl_Long_Hydro[[#This Row],[Fore Nline next]]))</f>
        <v>#N/A</v>
      </c>
      <c r="AI77"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77"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77" s="894" t="e">
        <f>Tbl_Long_Hydro[[#This Row],[Fore X]]-Tbl_Long_Hydro[[#This Row],[Aft X]]</f>
        <v>#N/A</v>
      </c>
      <c r="AL77" s="884" t="e">
        <f>Tbl_Long_Hydro[[#This Row],[LX]]*B</f>
        <v>#N/A</v>
      </c>
      <c r="AM77" s="892" t="e">
        <f>IF(ISNUMBER(AM76),(AK76+Tbl_Long_Hydro[[#This Row],[LX]])*(Tbl_Long_Hydro[[#This Row],[Draught]]-V76)/2*B,(Tbl_Long_Hydro[[#This Row],[LX]])*Tbl_Long_Hydro[[#This Row],[Draught]]*B)</f>
        <v>#N/A</v>
      </c>
      <c r="AN77" s="899" t="e">
        <f>Tbl_Long_Hydro[[#This Row],[Aft X]]+Tbl_Long_Hydro[[#This Row],[LX]]/2</f>
        <v>#N/A</v>
      </c>
      <c r="AO77" s="876" t="e">
        <f>IF(ISNUMBER(AO76),(2*Tbl_Long_Hydro[[#This Row],[LX]]+AK76)/(Tbl_Long_Hydro[[#This Row],[LX]]+AK76)*(Tbl_Long_Hydro[[#This Row],[Draught]]-V76)/3+V76,Tbl_Long_Hydro[[#This Row],[Draught]]/2)</f>
        <v>#N/A</v>
      </c>
      <c r="AP77" s="898" t="e">
        <f>IF(ISNUMBER(AP76),Tbl_Long_Hydro[[#This Row],[Volume elt]]+AP76,Tbl_Long_Hydro[[#This Row],[Volume elt]]*AO$4)</f>
        <v>#N/A</v>
      </c>
      <c r="AQ77" s="893" t="e">
        <f>IF(ISNUMBER(AQ76),Tbl_Long_Hydro[[#This Row],[Displacement]]*AQ$4,IF(ISNA(AQ76),NA(),0))</f>
        <v>#N/A</v>
      </c>
      <c r="AR77" s="900" t="e">
        <f>IF(ISNA(Tbl_Long_Hydro[[#This Row],[Draught]]),NA(),IFERROR(Tbl_Long_Hydro[[#This Row],[LX]]*B^3/12/Tbl_Long_Hydro[[#This Row],[Displacement]],0))</f>
        <v>#N/A</v>
      </c>
      <c r="AS77" s="903" t="e">
        <f>IF(ISNA(Tbl_Long_Hydro[[#This Row],[Draught]]),NA(),IFERROR((B*Tbl_Long_Hydro[[#This Row],[LX]]^3/12+(Tbl_Long_Hydro[[#This Row],[LCF]]-Tbl_Long_Hydro[[#This Row],[LCB]])*Tbl_Long_Hydro[[#This Row],[Waterplane area]]*Tbl_Long_Hydro[[#This Row],[LCF]]^2)/Tbl_Long_Hydro[[#This Row],[Displacement]],0))</f>
        <v>#N/A</v>
      </c>
      <c r="AT77" s="900" t="e">
        <f>Tbl_Long_Hydro[[#This Row],[Aft X]]+Tbl_Long_Hydro[[#This Row],[LX]]/2</f>
        <v>#N/A</v>
      </c>
      <c r="AU77" s="901" t="e">
        <f>IF(ISNUMBER(AU76),(AU76*AP76+Tbl_Long_Hydro[[#This Row],[X CoG elt]]*Tbl_Long_Hydro[[#This Row],[Volume elt]])/Tbl_Long_Hydro[[#This Row],[Displacement]],Tbl_Long_Hydro[[#This Row],[X CoG elt]])</f>
        <v>#N/A</v>
      </c>
      <c r="AV77" s="902" t="e">
        <f>IF(ISNA(Tbl_Long_Hydro[[#This Row],[Draught]]),NA(),0)</f>
        <v>#N/A</v>
      </c>
      <c r="AW77" s="876" t="e">
        <f>IF(ISNUMBER(AW76),(AW76*AP76+Tbl_Long_Hydro[[#This Row],[Z CoG elt]]*Tbl_Long_Hydro[[#This Row],[Volume elt]])/Tbl_Long_Hydro[[#This Row],[Displacement]],Tbl_Long_Hydro[[#This Row],[Z CoG elt]])</f>
        <v>#N/A</v>
      </c>
      <c r="AX77" s="899" t="e">
        <f>Tbl_Long_Hydro[[#This Row],[RMT]]+Tbl_Long_Hydro[[#This Row],[VCB]]</f>
        <v>#N/A</v>
      </c>
      <c r="AY77" s="904" t="e">
        <f>Tbl_Long_Hydro[[#This Row],[Displacement]]*Tbl_Long_Hydro[[#This Row],[RML]]/(100*Lpp)</f>
        <v>#N/A</v>
      </c>
      <c r="AZ77" s="956" t="e">
        <f>Tbl_Long_Hydro[[#This Row],[Draught]]</f>
        <v>#N/A</v>
      </c>
      <c r="BA77" s="959" t="e">
        <f>Tbl_Long_Hydro[[#This Row],[Displacement]]</f>
        <v>#N/A</v>
      </c>
      <c r="BB77" s="960" t="e">
        <f>Tbl_Long_Hydro[[#This Row],[Displac. SW]]</f>
        <v>#N/A</v>
      </c>
      <c r="BC77" s="964" t="e">
        <f>Tbl_Long_Hydro[[#This Row],[Waterplane area]]/100*$AQ$4</f>
        <v>#N/A</v>
      </c>
      <c r="BD77" s="961" t="e">
        <f>Tbl_Long_Hydro[[#This Row],[MCT]]</f>
        <v>#N/A</v>
      </c>
      <c r="BE77" s="962" t="e">
        <f>Tbl_Long_Hydro[[#This Row],[LCB]]</f>
        <v>#N/A</v>
      </c>
      <c r="BF77" s="962" t="e">
        <f>Tbl_Long_Hydro[[#This Row],[TCB]]</f>
        <v>#N/A</v>
      </c>
      <c r="BG77" s="962" t="e">
        <f>Tbl_Long_Hydro[[#This Row],[LCF]]</f>
        <v>#N/A</v>
      </c>
      <c r="BH77" s="963" t="e">
        <f>Tbl_Long_Hydro[[#This Row],[KMT]]</f>
        <v>#N/A</v>
      </c>
    </row>
    <row r="78" spans="11:60" x14ac:dyDescent="0.25">
      <c r="K78" s="156">
        <f t="shared" si="5"/>
        <v>72</v>
      </c>
      <c r="L78" s="164">
        <f t="shared" si="6"/>
        <v>36</v>
      </c>
      <c r="M78" s="163">
        <f>MATCH(Tbl_Long_Section[[#This Row],[X]],Tbl_Long_Definition[X],1)</f>
        <v>2</v>
      </c>
      <c r="N78" s="157">
        <f>IF(Tbl_Long_Section[[#This Row],[Nline Prev]]&lt;COUNT(Tbl_Long_Definition[X]),Tbl_Long_Section[[#This Row],[Nline Prev]]+1,Tbl_Long_Section[[#This Row],[Nline Prev]])</f>
        <v>3</v>
      </c>
      <c r="O78" s="162">
        <f>INDEX(Tbl_Long_Definition[X],Tbl_Long_Section[[#This Row],[Nline Prev]])</f>
        <v>5</v>
      </c>
      <c r="P78" s="159">
        <f>INDEX(Tbl_Long_Definition[X],Tbl_Long_Section[[#This Row],[Nline Next]])</f>
        <v>55</v>
      </c>
      <c r="Q78" s="160">
        <f>INDEX(Tbl_Long_Definition[H Deck-Bott.],Tbl_Long_Section[[#This Row],[Nline Prev]])</f>
        <v>4</v>
      </c>
      <c r="R78" s="161">
        <f>INDEX(Tbl_Long_Definition[H Deck-Bott.],Tbl_Long_Section[[#This Row],[Nline Next]])</f>
        <v>4</v>
      </c>
      <c r="S78"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78" s="8"/>
      <c r="V78" s="873" t="e">
        <f t="shared" si="7"/>
        <v>#N/A</v>
      </c>
      <c r="W78" s="885" t="e">
        <f>MATCH(Tbl_Long_Hydro[[#This Row],[Draught]],Tbl_Long_Definition[H k-bott],-1)</f>
        <v>#N/A</v>
      </c>
      <c r="X78"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78" s="886" t="e">
        <f>MATCH(Tbl_Long_Hydro[[#This Row],[Draught]],Tbl_Long_Definition[H k-bott],1)</f>
        <v>#N/A</v>
      </c>
      <c r="Z78"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78" s="888" t="e">
        <f>IF(ISNA(Tbl_Long_Hydro[[#This Row],[Draught]]),NA(),IFERROR(INDEX(Tbl_Long_Definition[X],Tbl_Long_Hydro[[#This Row],[Aft Nline prev]]),0))</f>
        <v>#N/A</v>
      </c>
      <c r="AB78" s="889" t="e">
        <f>IF(ISNA(Tbl_Long_Hydro[[#This Row],[Draught]]),NA(),IFERROR(INDEX(Tbl_Long_Definition[X],Tbl_Long_Hydro[[#This Row],[Aft Nline next]]),0))</f>
        <v>#N/A</v>
      </c>
      <c r="AC78" s="889" t="e">
        <f>IF(ISNA(Tbl_Long_Hydro[[#This Row],[Draught]]),NA(),INDEX(Tbl_Long_Definition[H k-bott],Tbl_Long_Hydro[[#This Row],[Aft Nline prev]]))</f>
        <v>#N/A</v>
      </c>
      <c r="AD78" s="889" t="e">
        <f>IF(ISNA(Tbl_Long_Hydro[[#This Row],[Draught]]),NA(),INDEX(Tbl_Long_Definition[H k-bott],Tbl_Long_Hydro[[#This Row],[Aft Nline next]]))</f>
        <v>#N/A</v>
      </c>
      <c r="AE78" s="888" t="e">
        <f>IF(ISNA(Tbl_Long_Hydro[[#This Row],[Draught]]),NA(),IFERROR(INDEX(Tbl_Long_Definition[X],Tbl_Long_Hydro[[#This Row],[Fore Nline prev]]),0))</f>
        <v>#N/A</v>
      </c>
      <c r="AF78" s="889" t="e">
        <f>IF(ISNA(Tbl_Long_Hydro[[#This Row],[Draught]]),NA(),IFERROR(INDEX(Tbl_Long_Definition[X],Tbl_Long_Hydro[[#This Row],[Fore Nline next]]),0))</f>
        <v>#N/A</v>
      </c>
      <c r="AG78" s="889" t="e">
        <f>IF(ISNA(Tbl_Long_Hydro[[#This Row],[Draught]]),NA(),INDEX(Tbl_Long_Definition[H k-bott],Tbl_Long_Hydro[[#This Row],[Fore Nline prev]]))</f>
        <v>#N/A</v>
      </c>
      <c r="AH78" s="890" t="e">
        <f>IF(ISNA(Tbl_Long_Hydro[[#This Row],[Draught]]),NA(),INDEX(Tbl_Long_Definition[H k-bott],Tbl_Long_Hydro[[#This Row],[Fore Nline next]]))</f>
        <v>#N/A</v>
      </c>
      <c r="AI78"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78"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78" s="894" t="e">
        <f>Tbl_Long_Hydro[[#This Row],[Fore X]]-Tbl_Long_Hydro[[#This Row],[Aft X]]</f>
        <v>#N/A</v>
      </c>
      <c r="AL78" s="884" t="e">
        <f>Tbl_Long_Hydro[[#This Row],[LX]]*B</f>
        <v>#N/A</v>
      </c>
      <c r="AM78" s="892" t="e">
        <f>IF(ISNUMBER(AM77),(AK77+Tbl_Long_Hydro[[#This Row],[LX]])*(Tbl_Long_Hydro[[#This Row],[Draught]]-V77)/2*B,(Tbl_Long_Hydro[[#This Row],[LX]])*Tbl_Long_Hydro[[#This Row],[Draught]]*B)</f>
        <v>#N/A</v>
      </c>
      <c r="AN78" s="899" t="e">
        <f>Tbl_Long_Hydro[[#This Row],[Aft X]]+Tbl_Long_Hydro[[#This Row],[LX]]/2</f>
        <v>#N/A</v>
      </c>
      <c r="AO78" s="876" t="e">
        <f>IF(ISNUMBER(AO77),(2*Tbl_Long_Hydro[[#This Row],[LX]]+AK77)/(Tbl_Long_Hydro[[#This Row],[LX]]+AK77)*(Tbl_Long_Hydro[[#This Row],[Draught]]-V77)/3+V77,Tbl_Long_Hydro[[#This Row],[Draught]]/2)</f>
        <v>#N/A</v>
      </c>
      <c r="AP78" s="898" t="e">
        <f>IF(ISNUMBER(AP77),Tbl_Long_Hydro[[#This Row],[Volume elt]]+AP77,Tbl_Long_Hydro[[#This Row],[Volume elt]]*AO$4)</f>
        <v>#N/A</v>
      </c>
      <c r="AQ78" s="893" t="e">
        <f>IF(ISNUMBER(AQ77),Tbl_Long_Hydro[[#This Row],[Displacement]]*AQ$4,IF(ISNA(AQ77),NA(),0))</f>
        <v>#N/A</v>
      </c>
      <c r="AR78" s="900" t="e">
        <f>IF(ISNA(Tbl_Long_Hydro[[#This Row],[Draught]]),NA(),IFERROR(Tbl_Long_Hydro[[#This Row],[LX]]*B^3/12/Tbl_Long_Hydro[[#This Row],[Displacement]],0))</f>
        <v>#N/A</v>
      </c>
      <c r="AS78" s="903" t="e">
        <f>IF(ISNA(Tbl_Long_Hydro[[#This Row],[Draught]]),NA(),IFERROR((B*Tbl_Long_Hydro[[#This Row],[LX]]^3/12+(Tbl_Long_Hydro[[#This Row],[LCF]]-Tbl_Long_Hydro[[#This Row],[LCB]])*Tbl_Long_Hydro[[#This Row],[Waterplane area]]*Tbl_Long_Hydro[[#This Row],[LCF]]^2)/Tbl_Long_Hydro[[#This Row],[Displacement]],0))</f>
        <v>#N/A</v>
      </c>
      <c r="AT78" s="900" t="e">
        <f>Tbl_Long_Hydro[[#This Row],[Aft X]]+Tbl_Long_Hydro[[#This Row],[LX]]/2</f>
        <v>#N/A</v>
      </c>
      <c r="AU78" s="901" t="e">
        <f>IF(ISNUMBER(AU77),(AU77*AP77+Tbl_Long_Hydro[[#This Row],[X CoG elt]]*Tbl_Long_Hydro[[#This Row],[Volume elt]])/Tbl_Long_Hydro[[#This Row],[Displacement]],Tbl_Long_Hydro[[#This Row],[X CoG elt]])</f>
        <v>#N/A</v>
      </c>
      <c r="AV78" s="902" t="e">
        <f>IF(ISNA(Tbl_Long_Hydro[[#This Row],[Draught]]),NA(),0)</f>
        <v>#N/A</v>
      </c>
      <c r="AW78" s="876" t="e">
        <f>IF(ISNUMBER(AW77),(AW77*AP77+Tbl_Long_Hydro[[#This Row],[Z CoG elt]]*Tbl_Long_Hydro[[#This Row],[Volume elt]])/Tbl_Long_Hydro[[#This Row],[Displacement]],Tbl_Long_Hydro[[#This Row],[Z CoG elt]])</f>
        <v>#N/A</v>
      </c>
      <c r="AX78" s="899" t="e">
        <f>Tbl_Long_Hydro[[#This Row],[RMT]]+Tbl_Long_Hydro[[#This Row],[VCB]]</f>
        <v>#N/A</v>
      </c>
      <c r="AY78" s="904" t="e">
        <f>Tbl_Long_Hydro[[#This Row],[Displacement]]*Tbl_Long_Hydro[[#This Row],[RML]]/(100*Lpp)</f>
        <v>#N/A</v>
      </c>
      <c r="AZ78" s="956" t="e">
        <f>Tbl_Long_Hydro[[#This Row],[Draught]]</f>
        <v>#N/A</v>
      </c>
      <c r="BA78" s="959" t="e">
        <f>Tbl_Long_Hydro[[#This Row],[Displacement]]</f>
        <v>#N/A</v>
      </c>
      <c r="BB78" s="960" t="e">
        <f>Tbl_Long_Hydro[[#This Row],[Displac. SW]]</f>
        <v>#N/A</v>
      </c>
      <c r="BC78" s="964" t="e">
        <f>Tbl_Long_Hydro[[#This Row],[Waterplane area]]/100*$AQ$4</f>
        <v>#N/A</v>
      </c>
      <c r="BD78" s="961" t="e">
        <f>Tbl_Long_Hydro[[#This Row],[MCT]]</f>
        <v>#N/A</v>
      </c>
      <c r="BE78" s="962" t="e">
        <f>Tbl_Long_Hydro[[#This Row],[LCB]]</f>
        <v>#N/A</v>
      </c>
      <c r="BF78" s="962" t="e">
        <f>Tbl_Long_Hydro[[#This Row],[TCB]]</f>
        <v>#N/A</v>
      </c>
      <c r="BG78" s="962" t="e">
        <f>Tbl_Long_Hydro[[#This Row],[LCF]]</f>
        <v>#N/A</v>
      </c>
      <c r="BH78" s="963" t="e">
        <f>Tbl_Long_Hydro[[#This Row],[KMT]]</f>
        <v>#N/A</v>
      </c>
    </row>
    <row r="79" spans="11:60" x14ac:dyDescent="0.25">
      <c r="K79" s="156">
        <f t="shared" si="5"/>
        <v>73</v>
      </c>
      <c r="L79" s="164">
        <f t="shared" si="6"/>
        <v>36.5</v>
      </c>
      <c r="M79" s="163">
        <f>MATCH(Tbl_Long_Section[[#This Row],[X]],Tbl_Long_Definition[X],1)</f>
        <v>2</v>
      </c>
      <c r="N79" s="157">
        <f>IF(Tbl_Long_Section[[#This Row],[Nline Prev]]&lt;COUNT(Tbl_Long_Definition[X]),Tbl_Long_Section[[#This Row],[Nline Prev]]+1,Tbl_Long_Section[[#This Row],[Nline Prev]])</f>
        <v>3</v>
      </c>
      <c r="O79" s="162">
        <f>INDEX(Tbl_Long_Definition[X],Tbl_Long_Section[[#This Row],[Nline Prev]])</f>
        <v>5</v>
      </c>
      <c r="P79" s="159">
        <f>INDEX(Tbl_Long_Definition[X],Tbl_Long_Section[[#This Row],[Nline Next]])</f>
        <v>55</v>
      </c>
      <c r="Q79" s="160">
        <f>INDEX(Tbl_Long_Definition[H Deck-Bott.],Tbl_Long_Section[[#This Row],[Nline Prev]])</f>
        <v>4</v>
      </c>
      <c r="R79" s="161">
        <f>INDEX(Tbl_Long_Definition[H Deck-Bott.],Tbl_Long_Section[[#This Row],[Nline Next]])</f>
        <v>4</v>
      </c>
      <c r="S79"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79" s="8"/>
      <c r="V79" s="873" t="e">
        <f t="shared" si="7"/>
        <v>#N/A</v>
      </c>
      <c r="W79" s="885" t="e">
        <f>MATCH(Tbl_Long_Hydro[[#This Row],[Draught]],Tbl_Long_Definition[H k-bott],-1)</f>
        <v>#N/A</v>
      </c>
      <c r="X79"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79" s="886" t="e">
        <f>MATCH(Tbl_Long_Hydro[[#This Row],[Draught]],Tbl_Long_Definition[H k-bott],1)</f>
        <v>#N/A</v>
      </c>
      <c r="Z79"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79" s="888" t="e">
        <f>IF(ISNA(Tbl_Long_Hydro[[#This Row],[Draught]]),NA(),IFERROR(INDEX(Tbl_Long_Definition[X],Tbl_Long_Hydro[[#This Row],[Aft Nline prev]]),0))</f>
        <v>#N/A</v>
      </c>
      <c r="AB79" s="889" t="e">
        <f>IF(ISNA(Tbl_Long_Hydro[[#This Row],[Draught]]),NA(),IFERROR(INDEX(Tbl_Long_Definition[X],Tbl_Long_Hydro[[#This Row],[Aft Nline next]]),0))</f>
        <v>#N/A</v>
      </c>
      <c r="AC79" s="889" t="e">
        <f>IF(ISNA(Tbl_Long_Hydro[[#This Row],[Draught]]),NA(),INDEX(Tbl_Long_Definition[H k-bott],Tbl_Long_Hydro[[#This Row],[Aft Nline prev]]))</f>
        <v>#N/A</v>
      </c>
      <c r="AD79" s="889" t="e">
        <f>IF(ISNA(Tbl_Long_Hydro[[#This Row],[Draught]]),NA(),INDEX(Tbl_Long_Definition[H k-bott],Tbl_Long_Hydro[[#This Row],[Aft Nline next]]))</f>
        <v>#N/A</v>
      </c>
      <c r="AE79" s="888" t="e">
        <f>IF(ISNA(Tbl_Long_Hydro[[#This Row],[Draught]]),NA(),IFERROR(INDEX(Tbl_Long_Definition[X],Tbl_Long_Hydro[[#This Row],[Fore Nline prev]]),0))</f>
        <v>#N/A</v>
      </c>
      <c r="AF79" s="889" t="e">
        <f>IF(ISNA(Tbl_Long_Hydro[[#This Row],[Draught]]),NA(),IFERROR(INDEX(Tbl_Long_Definition[X],Tbl_Long_Hydro[[#This Row],[Fore Nline next]]),0))</f>
        <v>#N/A</v>
      </c>
      <c r="AG79" s="889" t="e">
        <f>IF(ISNA(Tbl_Long_Hydro[[#This Row],[Draught]]),NA(),INDEX(Tbl_Long_Definition[H k-bott],Tbl_Long_Hydro[[#This Row],[Fore Nline prev]]))</f>
        <v>#N/A</v>
      </c>
      <c r="AH79" s="890" t="e">
        <f>IF(ISNA(Tbl_Long_Hydro[[#This Row],[Draught]]),NA(),INDEX(Tbl_Long_Definition[H k-bott],Tbl_Long_Hydro[[#This Row],[Fore Nline next]]))</f>
        <v>#N/A</v>
      </c>
      <c r="AI79"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79"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79" s="894" t="e">
        <f>Tbl_Long_Hydro[[#This Row],[Fore X]]-Tbl_Long_Hydro[[#This Row],[Aft X]]</f>
        <v>#N/A</v>
      </c>
      <c r="AL79" s="884" t="e">
        <f>Tbl_Long_Hydro[[#This Row],[LX]]*B</f>
        <v>#N/A</v>
      </c>
      <c r="AM79" s="892" t="e">
        <f>IF(ISNUMBER(AM78),(AK78+Tbl_Long_Hydro[[#This Row],[LX]])*(Tbl_Long_Hydro[[#This Row],[Draught]]-V78)/2*B,(Tbl_Long_Hydro[[#This Row],[LX]])*Tbl_Long_Hydro[[#This Row],[Draught]]*B)</f>
        <v>#N/A</v>
      </c>
      <c r="AN79" s="899" t="e">
        <f>Tbl_Long_Hydro[[#This Row],[Aft X]]+Tbl_Long_Hydro[[#This Row],[LX]]/2</f>
        <v>#N/A</v>
      </c>
      <c r="AO79" s="876" t="e">
        <f>IF(ISNUMBER(AO78),(2*Tbl_Long_Hydro[[#This Row],[LX]]+AK78)/(Tbl_Long_Hydro[[#This Row],[LX]]+AK78)*(Tbl_Long_Hydro[[#This Row],[Draught]]-V78)/3+V78,Tbl_Long_Hydro[[#This Row],[Draught]]/2)</f>
        <v>#N/A</v>
      </c>
      <c r="AP79" s="898" t="e">
        <f>IF(ISNUMBER(AP78),Tbl_Long_Hydro[[#This Row],[Volume elt]]+AP78,Tbl_Long_Hydro[[#This Row],[Volume elt]]*AO$4)</f>
        <v>#N/A</v>
      </c>
      <c r="AQ79" s="893" t="e">
        <f>IF(ISNUMBER(AQ78),Tbl_Long_Hydro[[#This Row],[Displacement]]*AQ$4,IF(ISNA(AQ78),NA(),0))</f>
        <v>#N/A</v>
      </c>
      <c r="AR79" s="900" t="e">
        <f>IF(ISNA(Tbl_Long_Hydro[[#This Row],[Draught]]),NA(),IFERROR(Tbl_Long_Hydro[[#This Row],[LX]]*B^3/12/Tbl_Long_Hydro[[#This Row],[Displacement]],0))</f>
        <v>#N/A</v>
      </c>
      <c r="AS79" s="903" t="e">
        <f>IF(ISNA(Tbl_Long_Hydro[[#This Row],[Draught]]),NA(),IFERROR((B*Tbl_Long_Hydro[[#This Row],[LX]]^3/12+(Tbl_Long_Hydro[[#This Row],[LCF]]-Tbl_Long_Hydro[[#This Row],[LCB]])*Tbl_Long_Hydro[[#This Row],[Waterplane area]]*Tbl_Long_Hydro[[#This Row],[LCF]]^2)/Tbl_Long_Hydro[[#This Row],[Displacement]],0))</f>
        <v>#N/A</v>
      </c>
      <c r="AT79" s="900" t="e">
        <f>Tbl_Long_Hydro[[#This Row],[Aft X]]+Tbl_Long_Hydro[[#This Row],[LX]]/2</f>
        <v>#N/A</v>
      </c>
      <c r="AU79" s="901" t="e">
        <f>IF(ISNUMBER(AU78),(AU78*AP78+Tbl_Long_Hydro[[#This Row],[X CoG elt]]*Tbl_Long_Hydro[[#This Row],[Volume elt]])/Tbl_Long_Hydro[[#This Row],[Displacement]],Tbl_Long_Hydro[[#This Row],[X CoG elt]])</f>
        <v>#N/A</v>
      </c>
      <c r="AV79" s="902" t="e">
        <f>IF(ISNA(Tbl_Long_Hydro[[#This Row],[Draught]]),NA(),0)</f>
        <v>#N/A</v>
      </c>
      <c r="AW79" s="876" t="e">
        <f>IF(ISNUMBER(AW78),(AW78*AP78+Tbl_Long_Hydro[[#This Row],[Z CoG elt]]*Tbl_Long_Hydro[[#This Row],[Volume elt]])/Tbl_Long_Hydro[[#This Row],[Displacement]],Tbl_Long_Hydro[[#This Row],[Z CoG elt]])</f>
        <v>#N/A</v>
      </c>
      <c r="AX79" s="899" t="e">
        <f>Tbl_Long_Hydro[[#This Row],[RMT]]+Tbl_Long_Hydro[[#This Row],[VCB]]</f>
        <v>#N/A</v>
      </c>
      <c r="AY79" s="904" t="e">
        <f>Tbl_Long_Hydro[[#This Row],[Displacement]]*Tbl_Long_Hydro[[#This Row],[RML]]/(100*Lpp)</f>
        <v>#N/A</v>
      </c>
      <c r="AZ79" s="956" t="e">
        <f>Tbl_Long_Hydro[[#This Row],[Draught]]</f>
        <v>#N/A</v>
      </c>
      <c r="BA79" s="959" t="e">
        <f>Tbl_Long_Hydro[[#This Row],[Displacement]]</f>
        <v>#N/A</v>
      </c>
      <c r="BB79" s="960" t="e">
        <f>Tbl_Long_Hydro[[#This Row],[Displac. SW]]</f>
        <v>#N/A</v>
      </c>
      <c r="BC79" s="964" t="e">
        <f>Tbl_Long_Hydro[[#This Row],[Waterplane area]]/100*$AQ$4</f>
        <v>#N/A</v>
      </c>
      <c r="BD79" s="961" t="e">
        <f>Tbl_Long_Hydro[[#This Row],[MCT]]</f>
        <v>#N/A</v>
      </c>
      <c r="BE79" s="962" t="e">
        <f>Tbl_Long_Hydro[[#This Row],[LCB]]</f>
        <v>#N/A</v>
      </c>
      <c r="BF79" s="962" t="e">
        <f>Tbl_Long_Hydro[[#This Row],[TCB]]</f>
        <v>#N/A</v>
      </c>
      <c r="BG79" s="962" t="e">
        <f>Tbl_Long_Hydro[[#This Row],[LCF]]</f>
        <v>#N/A</v>
      </c>
      <c r="BH79" s="963" t="e">
        <f>Tbl_Long_Hydro[[#This Row],[KMT]]</f>
        <v>#N/A</v>
      </c>
    </row>
    <row r="80" spans="11:60" x14ac:dyDescent="0.25">
      <c r="K80" s="156">
        <f t="shared" si="5"/>
        <v>74</v>
      </c>
      <c r="L80" s="164">
        <f t="shared" si="6"/>
        <v>37</v>
      </c>
      <c r="M80" s="163">
        <f>MATCH(Tbl_Long_Section[[#This Row],[X]],Tbl_Long_Definition[X],1)</f>
        <v>2</v>
      </c>
      <c r="N80" s="157">
        <f>IF(Tbl_Long_Section[[#This Row],[Nline Prev]]&lt;COUNT(Tbl_Long_Definition[X]),Tbl_Long_Section[[#This Row],[Nline Prev]]+1,Tbl_Long_Section[[#This Row],[Nline Prev]])</f>
        <v>3</v>
      </c>
      <c r="O80" s="162">
        <f>INDEX(Tbl_Long_Definition[X],Tbl_Long_Section[[#This Row],[Nline Prev]])</f>
        <v>5</v>
      </c>
      <c r="P80" s="159">
        <f>INDEX(Tbl_Long_Definition[X],Tbl_Long_Section[[#This Row],[Nline Next]])</f>
        <v>55</v>
      </c>
      <c r="Q80" s="160">
        <f>INDEX(Tbl_Long_Definition[H Deck-Bott.],Tbl_Long_Section[[#This Row],[Nline Prev]])</f>
        <v>4</v>
      </c>
      <c r="R80" s="161">
        <f>INDEX(Tbl_Long_Definition[H Deck-Bott.],Tbl_Long_Section[[#This Row],[Nline Next]])</f>
        <v>4</v>
      </c>
      <c r="S80"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80" s="8"/>
      <c r="V80" s="873" t="e">
        <f t="shared" si="7"/>
        <v>#N/A</v>
      </c>
      <c r="W80" s="885" t="e">
        <f>MATCH(Tbl_Long_Hydro[[#This Row],[Draught]],Tbl_Long_Definition[H k-bott],-1)</f>
        <v>#N/A</v>
      </c>
      <c r="X80"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80" s="886" t="e">
        <f>MATCH(Tbl_Long_Hydro[[#This Row],[Draught]],Tbl_Long_Definition[H k-bott],1)</f>
        <v>#N/A</v>
      </c>
      <c r="Z80" s="887"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80" s="888" t="e">
        <f>IF(ISNA(Tbl_Long_Hydro[[#This Row],[Draught]]),NA(),IFERROR(INDEX(Tbl_Long_Definition[X],Tbl_Long_Hydro[[#This Row],[Aft Nline prev]]),0))</f>
        <v>#N/A</v>
      </c>
      <c r="AB80" s="889" t="e">
        <f>IF(ISNA(Tbl_Long_Hydro[[#This Row],[Draught]]),NA(),IFERROR(INDEX(Tbl_Long_Definition[X],Tbl_Long_Hydro[[#This Row],[Aft Nline next]]),0))</f>
        <v>#N/A</v>
      </c>
      <c r="AC80" s="889" t="e">
        <f>IF(ISNA(Tbl_Long_Hydro[[#This Row],[Draught]]),NA(),INDEX(Tbl_Long_Definition[H k-bott],Tbl_Long_Hydro[[#This Row],[Aft Nline prev]]))</f>
        <v>#N/A</v>
      </c>
      <c r="AD80" s="889" t="e">
        <f>IF(ISNA(Tbl_Long_Hydro[[#This Row],[Draught]]),NA(),INDEX(Tbl_Long_Definition[H k-bott],Tbl_Long_Hydro[[#This Row],[Aft Nline next]]))</f>
        <v>#N/A</v>
      </c>
      <c r="AE80" s="888" t="e">
        <f>IF(ISNA(Tbl_Long_Hydro[[#This Row],[Draught]]),NA(),IFERROR(INDEX(Tbl_Long_Definition[X],Tbl_Long_Hydro[[#This Row],[Fore Nline prev]]),0))</f>
        <v>#N/A</v>
      </c>
      <c r="AF80" s="889" t="e">
        <f>IF(ISNA(Tbl_Long_Hydro[[#This Row],[Draught]]),NA(),IFERROR(INDEX(Tbl_Long_Definition[X],Tbl_Long_Hydro[[#This Row],[Fore Nline next]]),0))</f>
        <v>#N/A</v>
      </c>
      <c r="AG80" s="889" t="e">
        <f>IF(ISNA(Tbl_Long_Hydro[[#This Row],[Draught]]),NA(),INDEX(Tbl_Long_Definition[H k-bott],Tbl_Long_Hydro[[#This Row],[Fore Nline prev]]))</f>
        <v>#N/A</v>
      </c>
      <c r="AH80" s="890" t="e">
        <f>IF(ISNA(Tbl_Long_Hydro[[#This Row],[Draught]]),NA(),INDEX(Tbl_Long_Definition[H k-bott],Tbl_Long_Hydro[[#This Row],[Fore Nline next]]))</f>
        <v>#N/A</v>
      </c>
      <c r="AI80" s="896"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80"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80" s="894" t="e">
        <f>Tbl_Long_Hydro[[#This Row],[Fore X]]-Tbl_Long_Hydro[[#This Row],[Aft X]]</f>
        <v>#N/A</v>
      </c>
      <c r="AL80" s="884" t="e">
        <f>Tbl_Long_Hydro[[#This Row],[LX]]*B</f>
        <v>#N/A</v>
      </c>
      <c r="AM80" s="892" t="e">
        <f>IF(ISNUMBER(AM79),(AK79+Tbl_Long_Hydro[[#This Row],[LX]])*(Tbl_Long_Hydro[[#This Row],[Draught]]-V79)/2*B,(Tbl_Long_Hydro[[#This Row],[LX]])*Tbl_Long_Hydro[[#This Row],[Draught]]*B)</f>
        <v>#N/A</v>
      </c>
      <c r="AN80" s="899" t="e">
        <f>Tbl_Long_Hydro[[#This Row],[Aft X]]+Tbl_Long_Hydro[[#This Row],[LX]]/2</f>
        <v>#N/A</v>
      </c>
      <c r="AO80" s="876" t="e">
        <f>IF(ISNUMBER(AO79),(2*Tbl_Long_Hydro[[#This Row],[LX]]+AK79)/(Tbl_Long_Hydro[[#This Row],[LX]]+AK79)*(Tbl_Long_Hydro[[#This Row],[Draught]]-V79)/3+V79,Tbl_Long_Hydro[[#This Row],[Draught]]/2)</f>
        <v>#N/A</v>
      </c>
      <c r="AP80" s="898" t="e">
        <f>IF(ISNUMBER(AP79),Tbl_Long_Hydro[[#This Row],[Volume elt]]+AP79,Tbl_Long_Hydro[[#This Row],[Volume elt]]*AO$4)</f>
        <v>#N/A</v>
      </c>
      <c r="AQ80" s="893" t="e">
        <f>IF(ISNUMBER(AQ79),Tbl_Long_Hydro[[#This Row],[Displacement]]*AQ$4,IF(ISNA(AQ79),NA(),0))</f>
        <v>#N/A</v>
      </c>
      <c r="AR80" s="900" t="e">
        <f>IF(ISNA(Tbl_Long_Hydro[[#This Row],[Draught]]),NA(),IFERROR(Tbl_Long_Hydro[[#This Row],[LX]]*B^3/12/Tbl_Long_Hydro[[#This Row],[Displacement]],0))</f>
        <v>#N/A</v>
      </c>
      <c r="AS80" s="903" t="e">
        <f>IF(ISNA(Tbl_Long_Hydro[[#This Row],[Draught]]),NA(),IFERROR((B*Tbl_Long_Hydro[[#This Row],[LX]]^3/12+(Tbl_Long_Hydro[[#This Row],[LCF]]-Tbl_Long_Hydro[[#This Row],[LCB]])*Tbl_Long_Hydro[[#This Row],[Waterplane area]]*Tbl_Long_Hydro[[#This Row],[LCF]]^2)/Tbl_Long_Hydro[[#This Row],[Displacement]],0))</f>
        <v>#N/A</v>
      </c>
      <c r="AT80" s="900" t="e">
        <f>Tbl_Long_Hydro[[#This Row],[Aft X]]+Tbl_Long_Hydro[[#This Row],[LX]]/2</f>
        <v>#N/A</v>
      </c>
      <c r="AU80" s="901" t="e">
        <f>IF(ISNUMBER(AU79),(AU79*AP79+Tbl_Long_Hydro[[#This Row],[X CoG elt]]*Tbl_Long_Hydro[[#This Row],[Volume elt]])/Tbl_Long_Hydro[[#This Row],[Displacement]],Tbl_Long_Hydro[[#This Row],[X CoG elt]])</f>
        <v>#N/A</v>
      </c>
      <c r="AV80" s="902" t="e">
        <f>IF(ISNA(Tbl_Long_Hydro[[#This Row],[Draught]]),NA(),0)</f>
        <v>#N/A</v>
      </c>
      <c r="AW80" s="876" t="e">
        <f>IF(ISNUMBER(AW79),(AW79*AP79+Tbl_Long_Hydro[[#This Row],[Z CoG elt]]*Tbl_Long_Hydro[[#This Row],[Volume elt]])/Tbl_Long_Hydro[[#This Row],[Displacement]],Tbl_Long_Hydro[[#This Row],[Z CoG elt]])</f>
        <v>#N/A</v>
      </c>
      <c r="AX80" s="899" t="e">
        <f>Tbl_Long_Hydro[[#This Row],[RMT]]+Tbl_Long_Hydro[[#This Row],[VCB]]</f>
        <v>#N/A</v>
      </c>
      <c r="AY80" s="904" t="e">
        <f>Tbl_Long_Hydro[[#This Row],[Displacement]]*Tbl_Long_Hydro[[#This Row],[RML]]/(100*Lpp)</f>
        <v>#N/A</v>
      </c>
      <c r="AZ80" s="956" t="e">
        <f>Tbl_Long_Hydro[[#This Row],[Draught]]</f>
        <v>#N/A</v>
      </c>
      <c r="BA80" s="959" t="e">
        <f>Tbl_Long_Hydro[[#This Row],[Displacement]]</f>
        <v>#N/A</v>
      </c>
      <c r="BB80" s="960" t="e">
        <f>Tbl_Long_Hydro[[#This Row],[Displac. SW]]</f>
        <v>#N/A</v>
      </c>
      <c r="BC80" s="964" t="e">
        <f>Tbl_Long_Hydro[[#This Row],[Waterplane area]]/100*$AQ$4</f>
        <v>#N/A</v>
      </c>
      <c r="BD80" s="961" t="e">
        <f>Tbl_Long_Hydro[[#This Row],[MCT]]</f>
        <v>#N/A</v>
      </c>
      <c r="BE80" s="962" t="e">
        <f>Tbl_Long_Hydro[[#This Row],[LCB]]</f>
        <v>#N/A</v>
      </c>
      <c r="BF80" s="962" t="e">
        <f>Tbl_Long_Hydro[[#This Row],[TCB]]</f>
        <v>#N/A</v>
      </c>
      <c r="BG80" s="962" t="e">
        <f>Tbl_Long_Hydro[[#This Row],[LCF]]</f>
        <v>#N/A</v>
      </c>
      <c r="BH80" s="963" t="e">
        <f>Tbl_Long_Hydro[[#This Row],[KMT]]</f>
        <v>#N/A</v>
      </c>
    </row>
    <row r="81" spans="11:60" x14ac:dyDescent="0.25">
      <c r="K81" s="156">
        <f t="shared" si="5"/>
        <v>75</v>
      </c>
      <c r="L81" s="164">
        <f t="shared" si="6"/>
        <v>37.5</v>
      </c>
      <c r="M81" s="163">
        <f>MATCH(Tbl_Long_Section[[#This Row],[X]],Tbl_Long_Definition[X],1)</f>
        <v>2</v>
      </c>
      <c r="N81" s="157">
        <f>IF(Tbl_Long_Section[[#This Row],[Nline Prev]]&lt;COUNT(Tbl_Long_Definition[X]),Tbl_Long_Section[[#This Row],[Nline Prev]]+1,Tbl_Long_Section[[#This Row],[Nline Prev]])</f>
        <v>3</v>
      </c>
      <c r="O81" s="162">
        <f>INDEX(Tbl_Long_Definition[X],Tbl_Long_Section[[#This Row],[Nline Prev]])</f>
        <v>5</v>
      </c>
      <c r="P81" s="159">
        <f>INDEX(Tbl_Long_Definition[X],Tbl_Long_Section[[#This Row],[Nline Next]])</f>
        <v>55</v>
      </c>
      <c r="Q81" s="160">
        <f>INDEX(Tbl_Long_Definition[H Deck-Bott.],Tbl_Long_Section[[#This Row],[Nline Prev]])</f>
        <v>4</v>
      </c>
      <c r="R81" s="161">
        <f>INDEX(Tbl_Long_Definition[H Deck-Bott.],Tbl_Long_Section[[#This Row],[Nline Next]])</f>
        <v>4</v>
      </c>
      <c r="S81"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81" s="8"/>
      <c r="V81" s="873" t="e">
        <f t="shared" si="7"/>
        <v>#N/A</v>
      </c>
      <c r="W81" s="885" t="e">
        <f>MATCH(Tbl_Long_Hydro[[#This Row],[Draught]],Tbl_Long_Definition[H k-bott],-1)</f>
        <v>#N/A</v>
      </c>
      <c r="X81"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81" s="886" t="e">
        <f>MATCH(Tbl_Long_Hydro[[#This Row],[Draught]],Tbl_Long_Definition[H k-bott],1)</f>
        <v>#N/A</v>
      </c>
      <c r="Z81"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81" s="888" t="e">
        <f>IF(ISNA(Tbl_Long_Hydro[[#This Row],[Draught]]),NA(),IFERROR(INDEX(Tbl_Long_Definition[X],Tbl_Long_Hydro[[#This Row],[Aft Nline prev]]),0))</f>
        <v>#N/A</v>
      </c>
      <c r="AB81" s="889" t="e">
        <f>IF(ISNA(Tbl_Long_Hydro[[#This Row],[Draught]]),NA(),IFERROR(INDEX(Tbl_Long_Definition[X],Tbl_Long_Hydro[[#This Row],[Aft Nline next]]),0))</f>
        <v>#N/A</v>
      </c>
      <c r="AC81" s="889" t="e">
        <f>IF(ISNA(Tbl_Long_Hydro[[#This Row],[Draught]]),NA(),INDEX(Tbl_Long_Definition[H k-bott],Tbl_Long_Hydro[[#This Row],[Aft Nline prev]]))</f>
        <v>#N/A</v>
      </c>
      <c r="AD81" s="889" t="e">
        <f>IF(ISNA(Tbl_Long_Hydro[[#This Row],[Draught]]),NA(),INDEX(Tbl_Long_Definition[H k-bott],Tbl_Long_Hydro[[#This Row],[Aft Nline next]]))</f>
        <v>#N/A</v>
      </c>
      <c r="AE81" s="888" t="e">
        <f>IF(ISNA(Tbl_Long_Hydro[[#This Row],[Draught]]),NA(),IFERROR(INDEX(Tbl_Long_Definition[X],Tbl_Long_Hydro[[#This Row],[Fore Nline prev]]),0))</f>
        <v>#N/A</v>
      </c>
      <c r="AF81" s="889" t="e">
        <f>IF(ISNA(Tbl_Long_Hydro[[#This Row],[Draught]]),NA(),IFERROR(INDEX(Tbl_Long_Definition[X],Tbl_Long_Hydro[[#This Row],[Fore Nline next]]),0))</f>
        <v>#N/A</v>
      </c>
      <c r="AG81" s="889" t="e">
        <f>IF(ISNA(Tbl_Long_Hydro[[#This Row],[Draught]]),NA(),INDEX(Tbl_Long_Definition[H k-bott],Tbl_Long_Hydro[[#This Row],[Fore Nline prev]]))</f>
        <v>#N/A</v>
      </c>
      <c r="AH81" s="890" t="e">
        <f>IF(ISNA(Tbl_Long_Hydro[[#This Row],[Draught]]),NA(),INDEX(Tbl_Long_Definition[H k-bott],Tbl_Long_Hydro[[#This Row],[Fore Nline next]]))</f>
        <v>#N/A</v>
      </c>
      <c r="AI81"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81"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81" s="894" t="e">
        <f>Tbl_Long_Hydro[[#This Row],[Fore X]]-Tbl_Long_Hydro[[#This Row],[Aft X]]</f>
        <v>#N/A</v>
      </c>
      <c r="AL81" s="884" t="e">
        <f>Tbl_Long_Hydro[[#This Row],[LX]]*B</f>
        <v>#N/A</v>
      </c>
      <c r="AM81" s="892" t="e">
        <f>IF(ISNUMBER(AM80),(AK80+Tbl_Long_Hydro[[#This Row],[LX]])*(Tbl_Long_Hydro[[#This Row],[Draught]]-V80)/2*B,(Tbl_Long_Hydro[[#This Row],[LX]])*Tbl_Long_Hydro[[#This Row],[Draught]]*B)</f>
        <v>#N/A</v>
      </c>
      <c r="AN81" s="899" t="e">
        <f>Tbl_Long_Hydro[[#This Row],[Aft X]]+Tbl_Long_Hydro[[#This Row],[LX]]/2</f>
        <v>#N/A</v>
      </c>
      <c r="AO81" s="876" t="e">
        <f>IF(ISNUMBER(AO80),(2*Tbl_Long_Hydro[[#This Row],[LX]]+AK80)/(Tbl_Long_Hydro[[#This Row],[LX]]+AK80)*(Tbl_Long_Hydro[[#This Row],[Draught]]-V80)/3+V80,Tbl_Long_Hydro[[#This Row],[Draught]]/2)</f>
        <v>#N/A</v>
      </c>
      <c r="AP81" s="898" t="e">
        <f>IF(ISNUMBER(AP80),Tbl_Long_Hydro[[#This Row],[Volume elt]]+AP80,Tbl_Long_Hydro[[#This Row],[Volume elt]]*AO$4)</f>
        <v>#N/A</v>
      </c>
      <c r="AQ81" s="893" t="e">
        <f>IF(ISNUMBER(AQ80),Tbl_Long_Hydro[[#This Row],[Displacement]]*AQ$4,IF(ISNA(AQ80),NA(),0))</f>
        <v>#N/A</v>
      </c>
      <c r="AR81" s="900" t="e">
        <f>IF(ISNA(Tbl_Long_Hydro[[#This Row],[Draught]]),NA(),IFERROR(Tbl_Long_Hydro[[#This Row],[LX]]*B^3/12/Tbl_Long_Hydro[[#This Row],[Displacement]],0))</f>
        <v>#N/A</v>
      </c>
      <c r="AS81" s="903" t="e">
        <f>IF(ISNA(Tbl_Long_Hydro[[#This Row],[Draught]]),NA(),IFERROR((B*Tbl_Long_Hydro[[#This Row],[LX]]^3/12+(Tbl_Long_Hydro[[#This Row],[LCF]]-Tbl_Long_Hydro[[#This Row],[LCB]])*Tbl_Long_Hydro[[#This Row],[Waterplane area]]*Tbl_Long_Hydro[[#This Row],[LCF]]^2)/Tbl_Long_Hydro[[#This Row],[Displacement]],0))</f>
        <v>#N/A</v>
      </c>
      <c r="AT81" s="900" t="e">
        <f>Tbl_Long_Hydro[[#This Row],[Aft X]]+Tbl_Long_Hydro[[#This Row],[LX]]/2</f>
        <v>#N/A</v>
      </c>
      <c r="AU81" s="901" t="e">
        <f>IF(ISNUMBER(AU80),(AU80*AP80+Tbl_Long_Hydro[[#This Row],[X CoG elt]]*Tbl_Long_Hydro[[#This Row],[Volume elt]])/Tbl_Long_Hydro[[#This Row],[Displacement]],Tbl_Long_Hydro[[#This Row],[X CoG elt]])</f>
        <v>#N/A</v>
      </c>
      <c r="AV81" s="902" t="e">
        <f>IF(ISNA(Tbl_Long_Hydro[[#This Row],[Draught]]),NA(),0)</f>
        <v>#N/A</v>
      </c>
      <c r="AW81" s="876" t="e">
        <f>IF(ISNUMBER(AW80),(AW80*AP80+Tbl_Long_Hydro[[#This Row],[Z CoG elt]]*Tbl_Long_Hydro[[#This Row],[Volume elt]])/Tbl_Long_Hydro[[#This Row],[Displacement]],Tbl_Long_Hydro[[#This Row],[Z CoG elt]])</f>
        <v>#N/A</v>
      </c>
      <c r="AX81" s="899" t="e">
        <f>Tbl_Long_Hydro[[#This Row],[RMT]]+Tbl_Long_Hydro[[#This Row],[VCB]]</f>
        <v>#N/A</v>
      </c>
      <c r="AY81" s="904" t="e">
        <f>Tbl_Long_Hydro[[#This Row],[Displacement]]*Tbl_Long_Hydro[[#This Row],[RML]]/(100*Lpp)</f>
        <v>#N/A</v>
      </c>
      <c r="AZ81" s="956" t="e">
        <f>Tbl_Long_Hydro[[#This Row],[Draught]]</f>
        <v>#N/A</v>
      </c>
      <c r="BA81" s="959" t="e">
        <f>Tbl_Long_Hydro[[#This Row],[Displacement]]</f>
        <v>#N/A</v>
      </c>
      <c r="BB81" s="960" t="e">
        <f>Tbl_Long_Hydro[[#This Row],[Displac. SW]]</f>
        <v>#N/A</v>
      </c>
      <c r="BC81" s="964" t="e">
        <f>Tbl_Long_Hydro[[#This Row],[Waterplane area]]/100*$AQ$4</f>
        <v>#N/A</v>
      </c>
      <c r="BD81" s="961" t="e">
        <f>Tbl_Long_Hydro[[#This Row],[MCT]]</f>
        <v>#N/A</v>
      </c>
      <c r="BE81" s="962" t="e">
        <f>Tbl_Long_Hydro[[#This Row],[LCB]]</f>
        <v>#N/A</v>
      </c>
      <c r="BF81" s="962" t="e">
        <f>Tbl_Long_Hydro[[#This Row],[TCB]]</f>
        <v>#N/A</v>
      </c>
      <c r="BG81" s="962" t="e">
        <f>Tbl_Long_Hydro[[#This Row],[LCF]]</f>
        <v>#N/A</v>
      </c>
      <c r="BH81" s="963" t="e">
        <f>Tbl_Long_Hydro[[#This Row],[KMT]]</f>
        <v>#N/A</v>
      </c>
    </row>
    <row r="82" spans="11:60" x14ac:dyDescent="0.25">
      <c r="K82" s="156">
        <f t="shared" si="5"/>
        <v>76</v>
      </c>
      <c r="L82" s="164">
        <f t="shared" si="6"/>
        <v>38</v>
      </c>
      <c r="M82" s="163">
        <f>MATCH(Tbl_Long_Section[[#This Row],[X]],Tbl_Long_Definition[X],1)</f>
        <v>2</v>
      </c>
      <c r="N82" s="157">
        <f>IF(Tbl_Long_Section[[#This Row],[Nline Prev]]&lt;COUNT(Tbl_Long_Definition[X]),Tbl_Long_Section[[#This Row],[Nline Prev]]+1,Tbl_Long_Section[[#This Row],[Nline Prev]])</f>
        <v>3</v>
      </c>
      <c r="O82" s="162">
        <f>INDEX(Tbl_Long_Definition[X],Tbl_Long_Section[[#This Row],[Nline Prev]])</f>
        <v>5</v>
      </c>
      <c r="P82" s="159">
        <f>INDEX(Tbl_Long_Definition[X],Tbl_Long_Section[[#This Row],[Nline Next]])</f>
        <v>55</v>
      </c>
      <c r="Q82" s="160">
        <f>INDEX(Tbl_Long_Definition[H Deck-Bott.],Tbl_Long_Section[[#This Row],[Nline Prev]])</f>
        <v>4</v>
      </c>
      <c r="R82" s="161">
        <f>INDEX(Tbl_Long_Definition[H Deck-Bott.],Tbl_Long_Section[[#This Row],[Nline Next]])</f>
        <v>4</v>
      </c>
      <c r="S82"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82" s="8"/>
      <c r="V82" s="873" t="e">
        <f t="shared" si="7"/>
        <v>#N/A</v>
      </c>
      <c r="W82" s="885" t="e">
        <f>MATCH(Tbl_Long_Hydro[[#This Row],[Draught]],Tbl_Long_Definition[H k-bott],-1)</f>
        <v>#N/A</v>
      </c>
      <c r="X82"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82" s="886" t="e">
        <f>MATCH(Tbl_Long_Hydro[[#This Row],[Draught]],Tbl_Long_Definition[H k-bott],1)</f>
        <v>#N/A</v>
      </c>
      <c r="Z82"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82" s="888" t="e">
        <f>IF(ISNA(Tbl_Long_Hydro[[#This Row],[Draught]]),NA(),IFERROR(INDEX(Tbl_Long_Definition[X],Tbl_Long_Hydro[[#This Row],[Aft Nline prev]]),0))</f>
        <v>#N/A</v>
      </c>
      <c r="AB82" s="889" t="e">
        <f>IF(ISNA(Tbl_Long_Hydro[[#This Row],[Draught]]),NA(),IFERROR(INDEX(Tbl_Long_Definition[X],Tbl_Long_Hydro[[#This Row],[Aft Nline next]]),0))</f>
        <v>#N/A</v>
      </c>
      <c r="AC82" s="889" t="e">
        <f>IF(ISNA(Tbl_Long_Hydro[[#This Row],[Draught]]),NA(),INDEX(Tbl_Long_Definition[H k-bott],Tbl_Long_Hydro[[#This Row],[Aft Nline prev]]))</f>
        <v>#N/A</v>
      </c>
      <c r="AD82" s="889" t="e">
        <f>IF(ISNA(Tbl_Long_Hydro[[#This Row],[Draught]]),NA(),INDEX(Tbl_Long_Definition[H k-bott],Tbl_Long_Hydro[[#This Row],[Aft Nline next]]))</f>
        <v>#N/A</v>
      </c>
      <c r="AE82" s="888" t="e">
        <f>IF(ISNA(Tbl_Long_Hydro[[#This Row],[Draught]]),NA(),IFERROR(INDEX(Tbl_Long_Definition[X],Tbl_Long_Hydro[[#This Row],[Fore Nline prev]]),0))</f>
        <v>#N/A</v>
      </c>
      <c r="AF82" s="889" t="e">
        <f>IF(ISNA(Tbl_Long_Hydro[[#This Row],[Draught]]),NA(),IFERROR(INDEX(Tbl_Long_Definition[X],Tbl_Long_Hydro[[#This Row],[Fore Nline next]]),0))</f>
        <v>#N/A</v>
      </c>
      <c r="AG82" s="889" t="e">
        <f>IF(ISNA(Tbl_Long_Hydro[[#This Row],[Draught]]),NA(),INDEX(Tbl_Long_Definition[H k-bott],Tbl_Long_Hydro[[#This Row],[Fore Nline prev]]))</f>
        <v>#N/A</v>
      </c>
      <c r="AH82" s="890" t="e">
        <f>IF(ISNA(Tbl_Long_Hydro[[#This Row],[Draught]]),NA(),INDEX(Tbl_Long_Definition[H k-bott],Tbl_Long_Hydro[[#This Row],[Fore Nline next]]))</f>
        <v>#N/A</v>
      </c>
      <c r="AI82"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82"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82" s="894" t="e">
        <f>Tbl_Long_Hydro[[#This Row],[Fore X]]-Tbl_Long_Hydro[[#This Row],[Aft X]]</f>
        <v>#N/A</v>
      </c>
      <c r="AL82" s="884" t="e">
        <f>Tbl_Long_Hydro[[#This Row],[LX]]*B</f>
        <v>#N/A</v>
      </c>
      <c r="AM82" s="892" t="e">
        <f>IF(ISNUMBER(AM81),(AK81+Tbl_Long_Hydro[[#This Row],[LX]])*(Tbl_Long_Hydro[[#This Row],[Draught]]-V81)/2*B,(Tbl_Long_Hydro[[#This Row],[LX]])*Tbl_Long_Hydro[[#This Row],[Draught]]*B)</f>
        <v>#N/A</v>
      </c>
      <c r="AN82" s="899" t="e">
        <f>Tbl_Long_Hydro[[#This Row],[Aft X]]+Tbl_Long_Hydro[[#This Row],[LX]]/2</f>
        <v>#N/A</v>
      </c>
      <c r="AO82" s="876" t="e">
        <f>IF(ISNUMBER(AO81),(2*Tbl_Long_Hydro[[#This Row],[LX]]+AK81)/(Tbl_Long_Hydro[[#This Row],[LX]]+AK81)*(Tbl_Long_Hydro[[#This Row],[Draught]]-V81)/3+V81,Tbl_Long_Hydro[[#This Row],[Draught]]/2)</f>
        <v>#N/A</v>
      </c>
      <c r="AP82" s="898" t="e">
        <f>IF(ISNUMBER(AP81),Tbl_Long_Hydro[[#This Row],[Volume elt]]+AP81,Tbl_Long_Hydro[[#This Row],[Volume elt]]*AO$4)</f>
        <v>#N/A</v>
      </c>
      <c r="AQ82" s="893" t="e">
        <f>IF(ISNUMBER(AQ81),Tbl_Long_Hydro[[#This Row],[Displacement]]*AQ$4,IF(ISNA(AQ81),NA(),0))</f>
        <v>#N/A</v>
      </c>
      <c r="AR82" s="900" t="e">
        <f>IF(ISNA(Tbl_Long_Hydro[[#This Row],[Draught]]),NA(),IFERROR(Tbl_Long_Hydro[[#This Row],[LX]]*B^3/12/Tbl_Long_Hydro[[#This Row],[Displacement]],0))</f>
        <v>#N/A</v>
      </c>
      <c r="AS82" s="903" t="e">
        <f>IF(ISNA(Tbl_Long_Hydro[[#This Row],[Draught]]),NA(),IFERROR((B*Tbl_Long_Hydro[[#This Row],[LX]]^3/12+(Tbl_Long_Hydro[[#This Row],[LCF]]-Tbl_Long_Hydro[[#This Row],[LCB]])*Tbl_Long_Hydro[[#This Row],[Waterplane area]]*Tbl_Long_Hydro[[#This Row],[LCF]]^2)/Tbl_Long_Hydro[[#This Row],[Displacement]],0))</f>
        <v>#N/A</v>
      </c>
      <c r="AT82" s="900" t="e">
        <f>Tbl_Long_Hydro[[#This Row],[Aft X]]+Tbl_Long_Hydro[[#This Row],[LX]]/2</f>
        <v>#N/A</v>
      </c>
      <c r="AU82" s="901" t="e">
        <f>IF(ISNUMBER(AU81),(AU81*AP81+Tbl_Long_Hydro[[#This Row],[X CoG elt]]*Tbl_Long_Hydro[[#This Row],[Volume elt]])/Tbl_Long_Hydro[[#This Row],[Displacement]],Tbl_Long_Hydro[[#This Row],[X CoG elt]])</f>
        <v>#N/A</v>
      </c>
      <c r="AV82" s="902" t="e">
        <f>IF(ISNA(Tbl_Long_Hydro[[#This Row],[Draught]]),NA(),0)</f>
        <v>#N/A</v>
      </c>
      <c r="AW82" s="876" t="e">
        <f>IF(ISNUMBER(AW81),(AW81*AP81+Tbl_Long_Hydro[[#This Row],[Z CoG elt]]*Tbl_Long_Hydro[[#This Row],[Volume elt]])/Tbl_Long_Hydro[[#This Row],[Displacement]],Tbl_Long_Hydro[[#This Row],[Z CoG elt]])</f>
        <v>#N/A</v>
      </c>
      <c r="AX82" s="899" t="e">
        <f>Tbl_Long_Hydro[[#This Row],[RMT]]+Tbl_Long_Hydro[[#This Row],[VCB]]</f>
        <v>#N/A</v>
      </c>
      <c r="AY82" s="904" t="e">
        <f>Tbl_Long_Hydro[[#This Row],[Displacement]]*Tbl_Long_Hydro[[#This Row],[RML]]/(100*Lpp)</f>
        <v>#N/A</v>
      </c>
      <c r="AZ82" s="956" t="e">
        <f>Tbl_Long_Hydro[[#This Row],[Draught]]</f>
        <v>#N/A</v>
      </c>
      <c r="BA82" s="959" t="e">
        <f>Tbl_Long_Hydro[[#This Row],[Displacement]]</f>
        <v>#N/A</v>
      </c>
      <c r="BB82" s="960" t="e">
        <f>Tbl_Long_Hydro[[#This Row],[Displac. SW]]</f>
        <v>#N/A</v>
      </c>
      <c r="BC82" s="964" t="e">
        <f>Tbl_Long_Hydro[[#This Row],[Waterplane area]]/100*$AQ$4</f>
        <v>#N/A</v>
      </c>
      <c r="BD82" s="961" t="e">
        <f>Tbl_Long_Hydro[[#This Row],[MCT]]</f>
        <v>#N/A</v>
      </c>
      <c r="BE82" s="962" t="e">
        <f>Tbl_Long_Hydro[[#This Row],[LCB]]</f>
        <v>#N/A</v>
      </c>
      <c r="BF82" s="962" t="e">
        <f>Tbl_Long_Hydro[[#This Row],[TCB]]</f>
        <v>#N/A</v>
      </c>
      <c r="BG82" s="962" t="e">
        <f>Tbl_Long_Hydro[[#This Row],[LCF]]</f>
        <v>#N/A</v>
      </c>
      <c r="BH82" s="963" t="e">
        <f>Tbl_Long_Hydro[[#This Row],[KMT]]</f>
        <v>#N/A</v>
      </c>
    </row>
    <row r="83" spans="11:60" x14ac:dyDescent="0.25">
      <c r="K83" s="156">
        <f t="shared" si="5"/>
        <v>77</v>
      </c>
      <c r="L83" s="164">
        <f t="shared" si="6"/>
        <v>38.5</v>
      </c>
      <c r="M83" s="163">
        <f>MATCH(Tbl_Long_Section[[#This Row],[X]],Tbl_Long_Definition[X],1)</f>
        <v>2</v>
      </c>
      <c r="N83" s="157">
        <f>IF(Tbl_Long_Section[[#This Row],[Nline Prev]]&lt;COUNT(Tbl_Long_Definition[X]),Tbl_Long_Section[[#This Row],[Nline Prev]]+1,Tbl_Long_Section[[#This Row],[Nline Prev]])</f>
        <v>3</v>
      </c>
      <c r="O83" s="162">
        <f>INDEX(Tbl_Long_Definition[X],Tbl_Long_Section[[#This Row],[Nline Prev]])</f>
        <v>5</v>
      </c>
      <c r="P83" s="159">
        <f>INDEX(Tbl_Long_Definition[X],Tbl_Long_Section[[#This Row],[Nline Next]])</f>
        <v>55</v>
      </c>
      <c r="Q83" s="160">
        <f>INDEX(Tbl_Long_Definition[H Deck-Bott.],Tbl_Long_Section[[#This Row],[Nline Prev]])</f>
        <v>4</v>
      </c>
      <c r="R83" s="161">
        <f>INDEX(Tbl_Long_Definition[H Deck-Bott.],Tbl_Long_Section[[#This Row],[Nline Next]])</f>
        <v>4</v>
      </c>
      <c r="S83"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83" s="8"/>
      <c r="V83" s="873" t="e">
        <f t="shared" si="7"/>
        <v>#N/A</v>
      </c>
      <c r="W83" s="885" t="e">
        <f>MATCH(Tbl_Long_Hydro[[#This Row],[Draught]],Tbl_Long_Definition[H k-bott],-1)</f>
        <v>#N/A</v>
      </c>
      <c r="X83"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83" s="886" t="e">
        <f>MATCH(Tbl_Long_Hydro[[#This Row],[Draught]],Tbl_Long_Definition[H k-bott],1)</f>
        <v>#N/A</v>
      </c>
      <c r="Z83"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83" s="888" t="e">
        <f>IF(ISNA(Tbl_Long_Hydro[[#This Row],[Draught]]),NA(),IFERROR(INDEX(Tbl_Long_Definition[X],Tbl_Long_Hydro[[#This Row],[Aft Nline prev]]),0))</f>
        <v>#N/A</v>
      </c>
      <c r="AB83" s="889" t="e">
        <f>IF(ISNA(Tbl_Long_Hydro[[#This Row],[Draught]]),NA(),IFERROR(INDEX(Tbl_Long_Definition[X],Tbl_Long_Hydro[[#This Row],[Aft Nline next]]),0))</f>
        <v>#N/A</v>
      </c>
      <c r="AC83" s="889" t="e">
        <f>IF(ISNA(Tbl_Long_Hydro[[#This Row],[Draught]]),NA(),INDEX(Tbl_Long_Definition[H k-bott],Tbl_Long_Hydro[[#This Row],[Aft Nline prev]]))</f>
        <v>#N/A</v>
      </c>
      <c r="AD83" s="889" t="e">
        <f>IF(ISNA(Tbl_Long_Hydro[[#This Row],[Draught]]),NA(),INDEX(Tbl_Long_Definition[H k-bott],Tbl_Long_Hydro[[#This Row],[Aft Nline next]]))</f>
        <v>#N/A</v>
      </c>
      <c r="AE83" s="888" t="e">
        <f>IF(ISNA(Tbl_Long_Hydro[[#This Row],[Draught]]),NA(),IFERROR(INDEX(Tbl_Long_Definition[X],Tbl_Long_Hydro[[#This Row],[Fore Nline prev]]),0))</f>
        <v>#N/A</v>
      </c>
      <c r="AF83" s="889" t="e">
        <f>IF(ISNA(Tbl_Long_Hydro[[#This Row],[Draught]]),NA(),IFERROR(INDEX(Tbl_Long_Definition[X],Tbl_Long_Hydro[[#This Row],[Fore Nline next]]),0))</f>
        <v>#N/A</v>
      </c>
      <c r="AG83" s="889" t="e">
        <f>IF(ISNA(Tbl_Long_Hydro[[#This Row],[Draught]]),NA(),INDEX(Tbl_Long_Definition[H k-bott],Tbl_Long_Hydro[[#This Row],[Fore Nline prev]]))</f>
        <v>#N/A</v>
      </c>
      <c r="AH83" s="890" t="e">
        <f>IF(ISNA(Tbl_Long_Hydro[[#This Row],[Draught]]),NA(),INDEX(Tbl_Long_Definition[H k-bott],Tbl_Long_Hydro[[#This Row],[Fore Nline next]]))</f>
        <v>#N/A</v>
      </c>
      <c r="AI83"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83"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83" s="894" t="e">
        <f>Tbl_Long_Hydro[[#This Row],[Fore X]]-Tbl_Long_Hydro[[#This Row],[Aft X]]</f>
        <v>#N/A</v>
      </c>
      <c r="AL83" s="884" t="e">
        <f>Tbl_Long_Hydro[[#This Row],[LX]]*B</f>
        <v>#N/A</v>
      </c>
      <c r="AM83" s="892" t="e">
        <f>IF(ISNUMBER(AM82),(AK82+Tbl_Long_Hydro[[#This Row],[LX]])*(Tbl_Long_Hydro[[#This Row],[Draught]]-V82)/2*B,(Tbl_Long_Hydro[[#This Row],[LX]])*Tbl_Long_Hydro[[#This Row],[Draught]]*B)</f>
        <v>#N/A</v>
      </c>
      <c r="AN83" s="899" t="e">
        <f>Tbl_Long_Hydro[[#This Row],[Aft X]]+Tbl_Long_Hydro[[#This Row],[LX]]/2</f>
        <v>#N/A</v>
      </c>
      <c r="AO83" s="876" t="e">
        <f>IF(ISNUMBER(AO82),(2*Tbl_Long_Hydro[[#This Row],[LX]]+AK82)/(Tbl_Long_Hydro[[#This Row],[LX]]+AK82)*(Tbl_Long_Hydro[[#This Row],[Draught]]-V82)/3+V82,Tbl_Long_Hydro[[#This Row],[Draught]]/2)</f>
        <v>#N/A</v>
      </c>
      <c r="AP83" s="898" t="e">
        <f>IF(ISNUMBER(AP82),Tbl_Long_Hydro[[#This Row],[Volume elt]]+AP82,Tbl_Long_Hydro[[#This Row],[Volume elt]]*AO$4)</f>
        <v>#N/A</v>
      </c>
      <c r="AQ83" s="893" t="e">
        <f>IF(ISNUMBER(AQ82),Tbl_Long_Hydro[[#This Row],[Displacement]]*AQ$4,IF(ISNA(AQ82),NA(),0))</f>
        <v>#N/A</v>
      </c>
      <c r="AR83" s="900" t="e">
        <f>IF(ISNA(Tbl_Long_Hydro[[#This Row],[Draught]]),NA(),IFERROR(Tbl_Long_Hydro[[#This Row],[LX]]*B^3/12/Tbl_Long_Hydro[[#This Row],[Displacement]],0))</f>
        <v>#N/A</v>
      </c>
      <c r="AS83" s="903" t="e">
        <f>IF(ISNA(Tbl_Long_Hydro[[#This Row],[Draught]]),NA(),IFERROR((B*Tbl_Long_Hydro[[#This Row],[LX]]^3/12+(Tbl_Long_Hydro[[#This Row],[LCF]]-Tbl_Long_Hydro[[#This Row],[LCB]])*Tbl_Long_Hydro[[#This Row],[Waterplane area]]*Tbl_Long_Hydro[[#This Row],[LCF]]^2)/Tbl_Long_Hydro[[#This Row],[Displacement]],0))</f>
        <v>#N/A</v>
      </c>
      <c r="AT83" s="900" t="e">
        <f>Tbl_Long_Hydro[[#This Row],[Aft X]]+Tbl_Long_Hydro[[#This Row],[LX]]/2</f>
        <v>#N/A</v>
      </c>
      <c r="AU83" s="901" t="e">
        <f>IF(ISNUMBER(AU82),(AU82*AP82+Tbl_Long_Hydro[[#This Row],[X CoG elt]]*Tbl_Long_Hydro[[#This Row],[Volume elt]])/Tbl_Long_Hydro[[#This Row],[Displacement]],Tbl_Long_Hydro[[#This Row],[X CoG elt]])</f>
        <v>#N/A</v>
      </c>
      <c r="AV83" s="902" t="e">
        <f>IF(ISNA(Tbl_Long_Hydro[[#This Row],[Draught]]),NA(),0)</f>
        <v>#N/A</v>
      </c>
      <c r="AW83" s="876" t="e">
        <f>IF(ISNUMBER(AW82),(AW82*AP82+Tbl_Long_Hydro[[#This Row],[Z CoG elt]]*Tbl_Long_Hydro[[#This Row],[Volume elt]])/Tbl_Long_Hydro[[#This Row],[Displacement]],Tbl_Long_Hydro[[#This Row],[Z CoG elt]])</f>
        <v>#N/A</v>
      </c>
      <c r="AX83" s="899" t="e">
        <f>Tbl_Long_Hydro[[#This Row],[RMT]]+Tbl_Long_Hydro[[#This Row],[VCB]]</f>
        <v>#N/A</v>
      </c>
      <c r="AY83" s="904" t="e">
        <f>Tbl_Long_Hydro[[#This Row],[Displacement]]*Tbl_Long_Hydro[[#This Row],[RML]]/(100*Lpp)</f>
        <v>#N/A</v>
      </c>
      <c r="AZ83" s="956" t="e">
        <f>Tbl_Long_Hydro[[#This Row],[Draught]]</f>
        <v>#N/A</v>
      </c>
      <c r="BA83" s="959" t="e">
        <f>Tbl_Long_Hydro[[#This Row],[Displacement]]</f>
        <v>#N/A</v>
      </c>
      <c r="BB83" s="960" t="e">
        <f>Tbl_Long_Hydro[[#This Row],[Displac. SW]]</f>
        <v>#N/A</v>
      </c>
      <c r="BC83" s="964" t="e">
        <f>Tbl_Long_Hydro[[#This Row],[Waterplane area]]/100*$AQ$4</f>
        <v>#N/A</v>
      </c>
      <c r="BD83" s="961" t="e">
        <f>Tbl_Long_Hydro[[#This Row],[MCT]]</f>
        <v>#N/A</v>
      </c>
      <c r="BE83" s="962" t="e">
        <f>Tbl_Long_Hydro[[#This Row],[LCB]]</f>
        <v>#N/A</v>
      </c>
      <c r="BF83" s="962" t="e">
        <f>Tbl_Long_Hydro[[#This Row],[TCB]]</f>
        <v>#N/A</v>
      </c>
      <c r="BG83" s="962" t="e">
        <f>Tbl_Long_Hydro[[#This Row],[LCF]]</f>
        <v>#N/A</v>
      </c>
      <c r="BH83" s="963" t="e">
        <f>Tbl_Long_Hydro[[#This Row],[KMT]]</f>
        <v>#N/A</v>
      </c>
    </row>
    <row r="84" spans="11:60" x14ac:dyDescent="0.25">
      <c r="K84" s="156">
        <f t="shared" si="5"/>
        <v>78</v>
      </c>
      <c r="L84" s="164">
        <f t="shared" si="6"/>
        <v>39</v>
      </c>
      <c r="M84" s="163">
        <f>MATCH(Tbl_Long_Section[[#This Row],[X]],Tbl_Long_Definition[X],1)</f>
        <v>2</v>
      </c>
      <c r="N84" s="157">
        <f>IF(Tbl_Long_Section[[#This Row],[Nline Prev]]&lt;COUNT(Tbl_Long_Definition[X]),Tbl_Long_Section[[#This Row],[Nline Prev]]+1,Tbl_Long_Section[[#This Row],[Nline Prev]])</f>
        <v>3</v>
      </c>
      <c r="O84" s="162">
        <f>INDEX(Tbl_Long_Definition[X],Tbl_Long_Section[[#This Row],[Nline Prev]])</f>
        <v>5</v>
      </c>
      <c r="P84" s="159">
        <f>INDEX(Tbl_Long_Definition[X],Tbl_Long_Section[[#This Row],[Nline Next]])</f>
        <v>55</v>
      </c>
      <c r="Q84" s="160">
        <f>INDEX(Tbl_Long_Definition[H Deck-Bott.],Tbl_Long_Section[[#This Row],[Nline Prev]])</f>
        <v>4</v>
      </c>
      <c r="R84" s="161">
        <f>INDEX(Tbl_Long_Definition[H Deck-Bott.],Tbl_Long_Section[[#This Row],[Nline Next]])</f>
        <v>4</v>
      </c>
      <c r="S84"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84" s="8"/>
      <c r="V84" s="873" t="e">
        <f t="shared" si="7"/>
        <v>#N/A</v>
      </c>
      <c r="W84" s="885" t="e">
        <f>MATCH(Tbl_Long_Hydro[[#This Row],[Draught]],Tbl_Long_Definition[H k-bott],-1)</f>
        <v>#N/A</v>
      </c>
      <c r="X84"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84" s="886" t="e">
        <f>MATCH(Tbl_Long_Hydro[[#This Row],[Draught]],Tbl_Long_Definition[H k-bott],1)</f>
        <v>#N/A</v>
      </c>
      <c r="Z84"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84" s="888" t="e">
        <f>IF(ISNA(Tbl_Long_Hydro[[#This Row],[Draught]]),NA(),IFERROR(INDEX(Tbl_Long_Definition[X],Tbl_Long_Hydro[[#This Row],[Aft Nline prev]]),0))</f>
        <v>#N/A</v>
      </c>
      <c r="AB84" s="889" t="e">
        <f>IF(ISNA(Tbl_Long_Hydro[[#This Row],[Draught]]),NA(),IFERROR(INDEX(Tbl_Long_Definition[X],Tbl_Long_Hydro[[#This Row],[Aft Nline next]]),0))</f>
        <v>#N/A</v>
      </c>
      <c r="AC84" s="889" t="e">
        <f>IF(ISNA(Tbl_Long_Hydro[[#This Row],[Draught]]),NA(),INDEX(Tbl_Long_Definition[H k-bott],Tbl_Long_Hydro[[#This Row],[Aft Nline prev]]))</f>
        <v>#N/A</v>
      </c>
      <c r="AD84" s="889" t="e">
        <f>IF(ISNA(Tbl_Long_Hydro[[#This Row],[Draught]]),NA(),INDEX(Tbl_Long_Definition[H k-bott],Tbl_Long_Hydro[[#This Row],[Aft Nline next]]))</f>
        <v>#N/A</v>
      </c>
      <c r="AE84" s="888" t="e">
        <f>IF(ISNA(Tbl_Long_Hydro[[#This Row],[Draught]]),NA(),IFERROR(INDEX(Tbl_Long_Definition[X],Tbl_Long_Hydro[[#This Row],[Fore Nline prev]]),0))</f>
        <v>#N/A</v>
      </c>
      <c r="AF84" s="889" t="e">
        <f>IF(ISNA(Tbl_Long_Hydro[[#This Row],[Draught]]),NA(),IFERROR(INDEX(Tbl_Long_Definition[X],Tbl_Long_Hydro[[#This Row],[Fore Nline next]]),0))</f>
        <v>#N/A</v>
      </c>
      <c r="AG84" s="889" t="e">
        <f>IF(ISNA(Tbl_Long_Hydro[[#This Row],[Draught]]),NA(),INDEX(Tbl_Long_Definition[H k-bott],Tbl_Long_Hydro[[#This Row],[Fore Nline prev]]))</f>
        <v>#N/A</v>
      </c>
      <c r="AH84" s="890" t="e">
        <f>IF(ISNA(Tbl_Long_Hydro[[#This Row],[Draught]]),NA(),INDEX(Tbl_Long_Definition[H k-bott],Tbl_Long_Hydro[[#This Row],[Fore Nline next]]))</f>
        <v>#N/A</v>
      </c>
      <c r="AI84"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84"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84" s="894" t="e">
        <f>Tbl_Long_Hydro[[#This Row],[Fore X]]-Tbl_Long_Hydro[[#This Row],[Aft X]]</f>
        <v>#N/A</v>
      </c>
      <c r="AL84" s="884" t="e">
        <f>Tbl_Long_Hydro[[#This Row],[LX]]*B</f>
        <v>#N/A</v>
      </c>
      <c r="AM84" s="892" t="e">
        <f>IF(ISNUMBER(AM83),(AK83+Tbl_Long_Hydro[[#This Row],[LX]])*(Tbl_Long_Hydro[[#This Row],[Draught]]-V83)/2*B,(Tbl_Long_Hydro[[#This Row],[LX]])*Tbl_Long_Hydro[[#This Row],[Draught]]*B)</f>
        <v>#N/A</v>
      </c>
      <c r="AN84" s="899" t="e">
        <f>Tbl_Long_Hydro[[#This Row],[Aft X]]+Tbl_Long_Hydro[[#This Row],[LX]]/2</f>
        <v>#N/A</v>
      </c>
      <c r="AO84" s="876" t="e">
        <f>IF(ISNUMBER(AO83),(2*Tbl_Long_Hydro[[#This Row],[LX]]+AK83)/(Tbl_Long_Hydro[[#This Row],[LX]]+AK83)*(Tbl_Long_Hydro[[#This Row],[Draught]]-V83)/3+V83,Tbl_Long_Hydro[[#This Row],[Draught]]/2)</f>
        <v>#N/A</v>
      </c>
      <c r="AP84" s="898" t="e">
        <f>IF(ISNUMBER(AP83),Tbl_Long_Hydro[[#This Row],[Volume elt]]+AP83,Tbl_Long_Hydro[[#This Row],[Volume elt]]*AO$4)</f>
        <v>#N/A</v>
      </c>
      <c r="AQ84" s="893" t="e">
        <f>IF(ISNUMBER(AQ83),Tbl_Long_Hydro[[#This Row],[Displacement]]*AQ$4,IF(ISNA(AQ83),NA(),0))</f>
        <v>#N/A</v>
      </c>
      <c r="AR84" s="900" t="e">
        <f>IF(ISNA(Tbl_Long_Hydro[[#This Row],[Draught]]),NA(),IFERROR(Tbl_Long_Hydro[[#This Row],[LX]]*B^3/12/Tbl_Long_Hydro[[#This Row],[Displacement]],0))</f>
        <v>#N/A</v>
      </c>
      <c r="AS84" s="903" t="e">
        <f>IF(ISNA(Tbl_Long_Hydro[[#This Row],[Draught]]),NA(),IFERROR((B*Tbl_Long_Hydro[[#This Row],[LX]]^3/12+(Tbl_Long_Hydro[[#This Row],[LCF]]-Tbl_Long_Hydro[[#This Row],[LCB]])*Tbl_Long_Hydro[[#This Row],[Waterplane area]]*Tbl_Long_Hydro[[#This Row],[LCF]]^2)/Tbl_Long_Hydro[[#This Row],[Displacement]],0))</f>
        <v>#N/A</v>
      </c>
      <c r="AT84" s="900" t="e">
        <f>Tbl_Long_Hydro[[#This Row],[Aft X]]+Tbl_Long_Hydro[[#This Row],[LX]]/2</f>
        <v>#N/A</v>
      </c>
      <c r="AU84" s="901" t="e">
        <f>IF(ISNUMBER(AU83),(AU83*AP83+Tbl_Long_Hydro[[#This Row],[X CoG elt]]*Tbl_Long_Hydro[[#This Row],[Volume elt]])/Tbl_Long_Hydro[[#This Row],[Displacement]],Tbl_Long_Hydro[[#This Row],[X CoG elt]])</f>
        <v>#N/A</v>
      </c>
      <c r="AV84" s="902" t="e">
        <f>IF(ISNA(Tbl_Long_Hydro[[#This Row],[Draught]]),NA(),0)</f>
        <v>#N/A</v>
      </c>
      <c r="AW84" s="876" t="e">
        <f>IF(ISNUMBER(AW83),(AW83*AP83+Tbl_Long_Hydro[[#This Row],[Z CoG elt]]*Tbl_Long_Hydro[[#This Row],[Volume elt]])/Tbl_Long_Hydro[[#This Row],[Displacement]],Tbl_Long_Hydro[[#This Row],[Z CoG elt]])</f>
        <v>#N/A</v>
      </c>
      <c r="AX84" s="899" t="e">
        <f>Tbl_Long_Hydro[[#This Row],[RMT]]+Tbl_Long_Hydro[[#This Row],[VCB]]</f>
        <v>#N/A</v>
      </c>
      <c r="AY84" s="904" t="e">
        <f>Tbl_Long_Hydro[[#This Row],[Displacement]]*Tbl_Long_Hydro[[#This Row],[RML]]/(100*Lpp)</f>
        <v>#N/A</v>
      </c>
      <c r="AZ84" s="956" t="e">
        <f>Tbl_Long_Hydro[[#This Row],[Draught]]</f>
        <v>#N/A</v>
      </c>
      <c r="BA84" s="959" t="e">
        <f>Tbl_Long_Hydro[[#This Row],[Displacement]]</f>
        <v>#N/A</v>
      </c>
      <c r="BB84" s="960" t="e">
        <f>Tbl_Long_Hydro[[#This Row],[Displac. SW]]</f>
        <v>#N/A</v>
      </c>
      <c r="BC84" s="964" t="e">
        <f>Tbl_Long_Hydro[[#This Row],[Waterplane area]]/100*$AQ$4</f>
        <v>#N/A</v>
      </c>
      <c r="BD84" s="961" t="e">
        <f>Tbl_Long_Hydro[[#This Row],[MCT]]</f>
        <v>#N/A</v>
      </c>
      <c r="BE84" s="962" t="e">
        <f>Tbl_Long_Hydro[[#This Row],[LCB]]</f>
        <v>#N/A</v>
      </c>
      <c r="BF84" s="962" t="e">
        <f>Tbl_Long_Hydro[[#This Row],[TCB]]</f>
        <v>#N/A</v>
      </c>
      <c r="BG84" s="962" t="e">
        <f>Tbl_Long_Hydro[[#This Row],[LCF]]</f>
        <v>#N/A</v>
      </c>
      <c r="BH84" s="963" t="e">
        <f>Tbl_Long_Hydro[[#This Row],[KMT]]</f>
        <v>#N/A</v>
      </c>
    </row>
    <row r="85" spans="11:60" x14ac:dyDescent="0.25">
      <c r="K85" s="156">
        <f t="shared" si="5"/>
        <v>79</v>
      </c>
      <c r="L85" s="164">
        <f t="shared" si="6"/>
        <v>39.5</v>
      </c>
      <c r="M85" s="163">
        <f>MATCH(Tbl_Long_Section[[#This Row],[X]],Tbl_Long_Definition[X],1)</f>
        <v>2</v>
      </c>
      <c r="N85" s="157">
        <f>IF(Tbl_Long_Section[[#This Row],[Nline Prev]]&lt;COUNT(Tbl_Long_Definition[X]),Tbl_Long_Section[[#This Row],[Nline Prev]]+1,Tbl_Long_Section[[#This Row],[Nline Prev]])</f>
        <v>3</v>
      </c>
      <c r="O85" s="162">
        <f>INDEX(Tbl_Long_Definition[X],Tbl_Long_Section[[#This Row],[Nline Prev]])</f>
        <v>5</v>
      </c>
      <c r="P85" s="159">
        <f>INDEX(Tbl_Long_Definition[X],Tbl_Long_Section[[#This Row],[Nline Next]])</f>
        <v>55</v>
      </c>
      <c r="Q85" s="160">
        <f>INDEX(Tbl_Long_Definition[H Deck-Bott.],Tbl_Long_Section[[#This Row],[Nline Prev]])</f>
        <v>4</v>
      </c>
      <c r="R85" s="161">
        <f>INDEX(Tbl_Long_Definition[H Deck-Bott.],Tbl_Long_Section[[#This Row],[Nline Next]])</f>
        <v>4</v>
      </c>
      <c r="S85"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85" s="8"/>
      <c r="V85" s="873" t="e">
        <f t="shared" si="7"/>
        <v>#N/A</v>
      </c>
      <c r="W85" s="885" t="e">
        <f>MATCH(Tbl_Long_Hydro[[#This Row],[Draught]],Tbl_Long_Definition[H k-bott],-1)</f>
        <v>#N/A</v>
      </c>
      <c r="X85"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85" s="886" t="e">
        <f>MATCH(Tbl_Long_Hydro[[#This Row],[Draught]],Tbl_Long_Definition[H k-bott],1)</f>
        <v>#N/A</v>
      </c>
      <c r="Z85"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85" s="888" t="e">
        <f>IF(ISNA(Tbl_Long_Hydro[[#This Row],[Draught]]),NA(),IFERROR(INDEX(Tbl_Long_Definition[X],Tbl_Long_Hydro[[#This Row],[Aft Nline prev]]),0))</f>
        <v>#N/A</v>
      </c>
      <c r="AB85" s="889" t="e">
        <f>IF(ISNA(Tbl_Long_Hydro[[#This Row],[Draught]]),NA(),IFERROR(INDEX(Tbl_Long_Definition[X],Tbl_Long_Hydro[[#This Row],[Aft Nline next]]),0))</f>
        <v>#N/A</v>
      </c>
      <c r="AC85" s="889" t="e">
        <f>IF(ISNA(Tbl_Long_Hydro[[#This Row],[Draught]]),NA(),INDEX(Tbl_Long_Definition[H k-bott],Tbl_Long_Hydro[[#This Row],[Aft Nline prev]]))</f>
        <v>#N/A</v>
      </c>
      <c r="AD85" s="889" t="e">
        <f>IF(ISNA(Tbl_Long_Hydro[[#This Row],[Draught]]),NA(),INDEX(Tbl_Long_Definition[H k-bott],Tbl_Long_Hydro[[#This Row],[Aft Nline next]]))</f>
        <v>#N/A</v>
      </c>
      <c r="AE85" s="888" t="e">
        <f>IF(ISNA(Tbl_Long_Hydro[[#This Row],[Draught]]),NA(),IFERROR(INDEX(Tbl_Long_Definition[X],Tbl_Long_Hydro[[#This Row],[Fore Nline prev]]),0))</f>
        <v>#N/A</v>
      </c>
      <c r="AF85" s="889" t="e">
        <f>IF(ISNA(Tbl_Long_Hydro[[#This Row],[Draught]]),NA(),IFERROR(INDEX(Tbl_Long_Definition[X],Tbl_Long_Hydro[[#This Row],[Fore Nline next]]),0))</f>
        <v>#N/A</v>
      </c>
      <c r="AG85" s="889" t="e">
        <f>IF(ISNA(Tbl_Long_Hydro[[#This Row],[Draught]]),NA(),INDEX(Tbl_Long_Definition[H k-bott],Tbl_Long_Hydro[[#This Row],[Fore Nline prev]]))</f>
        <v>#N/A</v>
      </c>
      <c r="AH85" s="890" t="e">
        <f>IF(ISNA(Tbl_Long_Hydro[[#This Row],[Draught]]),NA(),INDEX(Tbl_Long_Definition[H k-bott],Tbl_Long_Hydro[[#This Row],[Fore Nline next]]))</f>
        <v>#N/A</v>
      </c>
      <c r="AI85"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85"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85" s="894" t="e">
        <f>Tbl_Long_Hydro[[#This Row],[Fore X]]-Tbl_Long_Hydro[[#This Row],[Aft X]]</f>
        <v>#N/A</v>
      </c>
      <c r="AL85" s="884" t="e">
        <f>Tbl_Long_Hydro[[#This Row],[LX]]*B</f>
        <v>#N/A</v>
      </c>
      <c r="AM85" s="892" t="e">
        <f>IF(ISNUMBER(AM84),(AK84+Tbl_Long_Hydro[[#This Row],[LX]])*(Tbl_Long_Hydro[[#This Row],[Draught]]-V84)/2*B,(Tbl_Long_Hydro[[#This Row],[LX]])*Tbl_Long_Hydro[[#This Row],[Draught]]*B)</f>
        <v>#N/A</v>
      </c>
      <c r="AN85" s="899" t="e">
        <f>Tbl_Long_Hydro[[#This Row],[Aft X]]+Tbl_Long_Hydro[[#This Row],[LX]]/2</f>
        <v>#N/A</v>
      </c>
      <c r="AO85" s="876" t="e">
        <f>IF(ISNUMBER(AO84),(2*Tbl_Long_Hydro[[#This Row],[LX]]+AK84)/(Tbl_Long_Hydro[[#This Row],[LX]]+AK84)*(Tbl_Long_Hydro[[#This Row],[Draught]]-V84)/3+V84,Tbl_Long_Hydro[[#This Row],[Draught]]/2)</f>
        <v>#N/A</v>
      </c>
      <c r="AP85" s="898" t="e">
        <f>IF(ISNUMBER(AP84),Tbl_Long_Hydro[[#This Row],[Volume elt]]+AP84,Tbl_Long_Hydro[[#This Row],[Volume elt]]*AO$4)</f>
        <v>#N/A</v>
      </c>
      <c r="AQ85" s="893" t="e">
        <f>IF(ISNUMBER(AQ84),Tbl_Long_Hydro[[#This Row],[Displacement]]*AQ$4,IF(ISNA(AQ84),NA(),0))</f>
        <v>#N/A</v>
      </c>
      <c r="AR85" s="900" t="e">
        <f>IF(ISNA(Tbl_Long_Hydro[[#This Row],[Draught]]),NA(),IFERROR(Tbl_Long_Hydro[[#This Row],[LX]]*B^3/12/Tbl_Long_Hydro[[#This Row],[Displacement]],0))</f>
        <v>#N/A</v>
      </c>
      <c r="AS85" s="903" t="e">
        <f>IF(ISNA(Tbl_Long_Hydro[[#This Row],[Draught]]),NA(),IFERROR((B*Tbl_Long_Hydro[[#This Row],[LX]]^3/12+(Tbl_Long_Hydro[[#This Row],[LCF]]-Tbl_Long_Hydro[[#This Row],[LCB]])*Tbl_Long_Hydro[[#This Row],[Waterplane area]]*Tbl_Long_Hydro[[#This Row],[LCF]]^2)/Tbl_Long_Hydro[[#This Row],[Displacement]],0))</f>
        <v>#N/A</v>
      </c>
      <c r="AT85" s="900" t="e">
        <f>Tbl_Long_Hydro[[#This Row],[Aft X]]+Tbl_Long_Hydro[[#This Row],[LX]]/2</f>
        <v>#N/A</v>
      </c>
      <c r="AU85" s="901" t="e">
        <f>IF(ISNUMBER(AU84),(AU84*AP84+Tbl_Long_Hydro[[#This Row],[X CoG elt]]*Tbl_Long_Hydro[[#This Row],[Volume elt]])/Tbl_Long_Hydro[[#This Row],[Displacement]],Tbl_Long_Hydro[[#This Row],[X CoG elt]])</f>
        <v>#N/A</v>
      </c>
      <c r="AV85" s="902" t="e">
        <f>IF(ISNA(Tbl_Long_Hydro[[#This Row],[Draught]]),NA(),0)</f>
        <v>#N/A</v>
      </c>
      <c r="AW85" s="876" t="e">
        <f>IF(ISNUMBER(AW84),(AW84*AP84+Tbl_Long_Hydro[[#This Row],[Z CoG elt]]*Tbl_Long_Hydro[[#This Row],[Volume elt]])/Tbl_Long_Hydro[[#This Row],[Displacement]],Tbl_Long_Hydro[[#This Row],[Z CoG elt]])</f>
        <v>#N/A</v>
      </c>
      <c r="AX85" s="899" t="e">
        <f>Tbl_Long_Hydro[[#This Row],[RMT]]+Tbl_Long_Hydro[[#This Row],[VCB]]</f>
        <v>#N/A</v>
      </c>
      <c r="AY85" s="904" t="e">
        <f>Tbl_Long_Hydro[[#This Row],[Displacement]]*Tbl_Long_Hydro[[#This Row],[RML]]/(100*Lpp)</f>
        <v>#N/A</v>
      </c>
      <c r="AZ85" s="956" t="e">
        <f>Tbl_Long_Hydro[[#This Row],[Draught]]</f>
        <v>#N/A</v>
      </c>
      <c r="BA85" s="959" t="e">
        <f>Tbl_Long_Hydro[[#This Row],[Displacement]]</f>
        <v>#N/A</v>
      </c>
      <c r="BB85" s="960" t="e">
        <f>Tbl_Long_Hydro[[#This Row],[Displac. SW]]</f>
        <v>#N/A</v>
      </c>
      <c r="BC85" s="964" t="e">
        <f>Tbl_Long_Hydro[[#This Row],[Waterplane area]]/100*$AQ$4</f>
        <v>#N/A</v>
      </c>
      <c r="BD85" s="961" t="e">
        <f>Tbl_Long_Hydro[[#This Row],[MCT]]</f>
        <v>#N/A</v>
      </c>
      <c r="BE85" s="962" t="e">
        <f>Tbl_Long_Hydro[[#This Row],[LCB]]</f>
        <v>#N/A</v>
      </c>
      <c r="BF85" s="962" t="e">
        <f>Tbl_Long_Hydro[[#This Row],[TCB]]</f>
        <v>#N/A</v>
      </c>
      <c r="BG85" s="962" t="e">
        <f>Tbl_Long_Hydro[[#This Row],[LCF]]</f>
        <v>#N/A</v>
      </c>
      <c r="BH85" s="963" t="e">
        <f>Tbl_Long_Hydro[[#This Row],[KMT]]</f>
        <v>#N/A</v>
      </c>
    </row>
    <row r="86" spans="11:60" x14ac:dyDescent="0.25">
      <c r="K86" s="156">
        <f t="shared" si="5"/>
        <v>80</v>
      </c>
      <c r="L86" s="164">
        <f t="shared" si="6"/>
        <v>40</v>
      </c>
      <c r="M86" s="163">
        <f>MATCH(Tbl_Long_Section[[#This Row],[X]],Tbl_Long_Definition[X],1)</f>
        <v>2</v>
      </c>
      <c r="N86" s="157">
        <f>IF(Tbl_Long_Section[[#This Row],[Nline Prev]]&lt;COUNT(Tbl_Long_Definition[X]),Tbl_Long_Section[[#This Row],[Nline Prev]]+1,Tbl_Long_Section[[#This Row],[Nline Prev]])</f>
        <v>3</v>
      </c>
      <c r="O86" s="162">
        <f>INDEX(Tbl_Long_Definition[X],Tbl_Long_Section[[#This Row],[Nline Prev]])</f>
        <v>5</v>
      </c>
      <c r="P86" s="159">
        <f>INDEX(Tbl_Long_Definition[X],Tbl_Long_Section[[#This Row],[Nline Next]])</f>
        <v>55</v>
      </c>
      <c r="Q86" s="160">
        <f>INDEX(Tbl_Long_Definition[H Deck-Bott.],Tbl_Long_Section[[#This Row],[Nline Prev]])</f>
        <v>4</v>
      </c>
      <c r="R86" s="161">
        <f>INDEX(Tbl_Long_Definition[H Deck-Bott.],Tbl_Long_Section[[#This Row],[Nline Next]])</f>
        <v>4</v>
      </c>
      <c r="S86"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86" s="8"/>
      <c r="V86" s="873" t="e">
        <f t="shared" si="7"/>
        <v>#N/A</v>
      </c>
      <c r="W86" s="885" t="e">
        <f>MATCH(Tbl_Long_Hydro[[#This Row],[Draught]],Tbl_Long_Definition[H k-bott],-1)</f>
        <v>#N/A</v>
      </c>
      <c r="X86"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86" s="886" t="e">
        <f>MATCH(Tbl_Long_Hydro[[#This Row],[Draught]],Tbl_Long_Definition[H k-bott],1)</f>
        <v>#N/A</v>
      </c>
      <c r="Z86"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86" s="888" t="e">
        <f>IF(ISNA(Tbl_Long_Hydro[[#This Row],[Draught]]),NA(),IFERROR(INDEX(Tbl_Long_Definition[X],Tbl_Long_Hydro[[#This Row],[Aft Nline prev]]),0))</f>
        <v>#N/A</v>
      </c>
      <c r="AB86" s="889" t="e">
        <f>IF(ISNA(Tbl_Long_Hydro[[#This Row],[Draught]]),NA(),IFERROR(INDEX(Tbl_Long_Definition[X],Tbl_Long_Hydro[[#This Row],[Aft Nline next]]),0))</f>
        <v>#N/A</v>
      </c>
      <c r="AC86" s="889" t="e">
        <f>IF(ISNA(Tbl_Long_Hydro[[#This Row],[Draught]]),NA(),INDEX(Tbl_Long_Definition[H k-bott],Tbl_Long_Hydro[[#This Row],[Aft Nline prev]]))</f>
        <v>#N/A</v>
      </c>
      <c r="AD86" s="889" t="e">
        <f>IF(ISNA(Tbl_Long_Hydro[[#This Row],[Draught]]),NA(),INDEX(Tbl_Long_Definition[H k-bott],Tbl_Long_Hydro[[#This Row],[Aft Nline next]]))</f>
        <v>#N/A</v>
      </c>
      <c r="AE86" s="888" t="e">
        <f>IF(ISNA(Tbl_Long_Hydro[[#This Row],[Draught]]),NA(),IFERROR(INDEX(Tbl_Long_Definition[X],Tbl_Long_Hydro[[#This Row],[Fore Nline prev]]),0))</f>
        <v>#N/A</v>
      </c>
      <c r="AF86" s="889" t="e">
        <f>IF(ISNA(Tbl_Long_Hydro[[#This Row],[Draught]]),NA(),IFERROR(INDEX(Tbl_Long_Definition[X],Tbl_Long_Hydro[[#This Row],[Fore Nline next]]),0))</f>
        <v>#N/A</v>
      </c>
      <c r="AG86" s="889" t="e">
        <f>IF(ISNA(Tbl_Long_Hydro[[#This Row],[Draught]]),NA(),INDEX(Tbl_Long_Definition[H k-bott],Tbl_Long_Hydro[[#This Row],[Fore Nline prev]]))</f>
        <v>#N/A</v>
      </c>
      <c r="AH86" s="890" t="e">
        <f>IF(ISNA(Tbl_Long_Hydro[[#This Row],[Draught]]),NA(),INDEX(Tbl_Long_Definition[H k-bott],Tbl_Long_Hydro[[#This Row],[Fore Nline next]]))</f>
        <v>#N/A</v>
      </c>
      <c r="AI86"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86"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86" s="894" t="e">
        <f>Tbl_Long_Hydro[[#This Row],[Fore X]]-Tbl_Long_Hydro[[#This Row],[Aft X]]</f>
        <v>#N/A</v>
      </c>
      <c r="AL86" s="884" t="e">
        <f>Tbl_Long_Hydro[[#This Row],[LX]]*B</f>
        <v>#N/A</v>
      </c>
      <c r="AM86" s="892" t="e">
        <f>IF(ISNUMBER(AM85),(AK85+Tbl_Long_Hydro[[#This Row],[LX]])*(Tbl_Long_Hydro[[#This Row],[Draught]]-V85)/2*B,(Tbl_Long_Hydro[[#This Row],[LX]])*Tbl_Long_Hydro[[#This Row],[Draught]]*B)</f>
        <v>#N/A</v>
      </c>
      <c r="AN86" s="899" t="e">
        <f>Tbl_Long_Hydro[[#This Row],[Aft X]]+Tbl_Long_Hydro[[#This Row],[LX]]/2</f>
        <v>#N/A</v>
      </c>
      <c r="AO86" s="876" t="e">
        <f>IF(ISNUMBER(AO85),(2*Tbl_Long_Hydro[[#This Row],[LX]]+AK85)/(Tbl_Long_Hydro[[#This Row],[LX]]+AK85)*(Tbl_Long_Hydro[[#This Row],[Draught]]-V85)/3+V85,Tbl_Long_Hydro[[#This Row],[Draught]]/2)</f>
        <v>#N/A</v>
      </c>
      <c r="AP86" s="898" t="e">
        <f>IF(ISNUMBER(AP85),Tbl_Long_Hydro[[#This Row],[Volume elt]]+AP85,Tbl_Long_Hydro[[#This Row],[Volume elt]]*AO$4)</f>
        <v>#N/A</v>
      </c>
      <c r="AQ86" s="893" t="e">
        <f>IF(ISNUMBER(AQ85),Tbl_Long_Hydro[[#This Row],[Displacement]]*AQ$4,IF(ISNA(AQ85),NA(),0))</f>
        <v>#N/A</v>
      </c>
      <c r="AR86" s="900" t="e">
        <f>IF(ISNA(Tbl_Long_Hydro[[#This Row],[Draught]]),NA(),IFERROR(Tbl_Long_Hydro[[#This Row],[LX]]*B^3/12/Tbl_Long_Hydro[[#This Row],[Displacement]],0))</f>
        <v>#N/A</v>
      </c>
      <c r="AS86" s="903" t="e">
        <f>IF(ISNA(Tbl_Long_Hydro[[#This Row],[Draught]]),NA(),IFERROR((B*Tbl_Long_Hydro[[#This Row],[LX]]^3/12+(Tbl_Long_Hydro[[#This Row],[LCF]]-Tbl_Long_Hydro[[#This Row],[LCB]])*Tbl_Long_Hydro[[#This Row],[Waterplane area]]*Tbl_Long_Hydro[[#This Row],[LCF]]^2)/Tbl_Long_Hydro[[#This Row],[Displacement]],0))</f>
        <v>#N/A</v>
      </c>
      <c r="AT86" s="900" t="e">
        <f>Tbl_Long_Hydro[[#This Row],[Aft X]]+Tbl_Long_Hydro[[#This Row],[LX]]/2</f>
        <v>#N/A</v>
      </c>
      <c r="AU86" s="901" t="e">
        <f>IF(ISNUMBER(AU85),(AU85*AP85+Tbl_Long_Hydro[[#This Row],[X CoG elt]]*Tbl_Long_Hydro[[#This Row],[Volume elt]])/Tbl_Long_Hydro[[#This Row],[Displacement]],Tbl_Long_Hydro[[#This Row],[X CoG elt]])</f>
        <v>#N/A</v>
      </c>
      <c r="AV86" s="902" t="e">
        <f>IF(ISNA(Tbl_Long_Hydro[[#This Row],[Draught]]),NA(),0)</f>
        <v>#N/A</v>
      </c>
      <c r="AW86" s="876" t="e">
        <f>IF(ISNUMBER(AW85),(AW85*AP85+Tbl_Long_Hydro[[#This Row],[Z CoG elt]]*Tbl_Long_Hydro[[#This Row],[Volume elt]])/Tbl_Long_Hydro[[#This Row],[Displacement]],Tbl_Long_Hydro[[#This Row],[Z CoG elt]])</f>
        <v>#N/A</v>
      </c>
      <c r="AX86" s="899" t="e">
        <f>Tbl_Long_Hydro[[#This Row],[RMT]]+Tbl_Long_Hydro[[#This Row],[VCB]]</f>
        <v>#N/A</v>
      </c>
      <c r="AY86" s="904" t="e">
        <f>Tbl_Long_Hydro[[#This Row],[Displacement]]*Tbl_Long_Hydro[[#This Row],[RML]]/(100*Lpp)</f>
        <v>#N/A</v>
      </c>
      <c r="AZ86" s="956" t="e">
        <f>Tbl_Long_Hydro[[#This Row],[Draught]]</f>
        <v>#N/A</v>
      </c>
      <c r="BA86" s="959" t="e">
        <f>Tbl_Long_Hydro[[#This Row],[Displacement]]</f>
        <v>#N/A</v>
      </c>
      <c r="BB86" s="960" t="e">
        <f>Tbl_Long_Hydro[[#This Row],[Displac. SW]]</f>
        <v>#N/A</v>
      </c>
      <c r="BC86" s="964" t="e">
        <f>Tbl_Long_Hydro[[#This Row],[Waterplane area]]/100*$AQ$4</f>
        <v>#N/A</v>
      </c>
      <c r="BD86" s="961" t="e">
        <f>Tbl_Long_Hydro[[#This Row],[MCT]]</f>
        <v>#N/A</v>
      </c>
      <c r="BE86" s="962" t="e">
        <f>Tbl_Long_Hydro[[#This Row],[LCB]]</f>
        <v>#N/A</v>
      </c>
      <c r="BF86" s="962" t="e">
        <f>Tbl_Long_Hydro[[#This Row],[TCB]]</f>
        <v>#N/A</v>
      </c>
      <c r="BG86" s="962" t="e">
        <f>Tbl_Long_Hydro[[#This Row],[LCF]]</f>
        <v>#N/A</v>
      </c>
      <c r="BH86" s="963" t="e">
        <f>Tbl_Long_Hydro[[#This Row],[KMT]]</f>
        <v>#N/A</v>
      </c>
    </row>
    <row r="87" spans="11:60" x14ac:dyDescent="0.25">
      <c r="K87" s="156">
        <f t="shared" si="5"/>
        <v>81</v>
      </c>
      <c r="L87" s="164">
        <f t="shared" si="6"/>
        <v>40.5</v>
      </c>
      <c r="M87" s="163">
        <f>MATCH(Tbl_Long_Section[[#This Row],[X]],Tbl_Long_Definition[X],1)</f>
        <v>2</v>
      </c>
      <c r="N87" s="157">
        <f>IF(Tbl_Long_Section[[#This Row],[Nline Prev]]&lt;COUNT(Tbl_Long_Definition[X]),Tbl_Long_Section[[#This Row],[Nline Prev]]+1,Tbl_Long_Section[[#This Row],[Nline Prev]])</f>
        <v>3</v>
      </c>
      <c r="O87" s="162">
        <f>INDEX(Tbl_Long_Definition[X],Tbl_Long_Section[[#This Row],[Nline Prev]])</f>
        <v>5</v>
      </c>
      <c r="P87" s="159">
        <f>INDEX(Tbl_Long_Definition[X],Tbl_Long_Section[[#This Row],[Nline Next]])</f>
        <v>55</v>
      </c>
      <c r="Q87" s="160">
        <f>INDEX(Tbl_Long_Definition[H Deck-Bott.],Tbl_Long_Section[[#This Row],[Nline Prev]])</f>
        <v>4</v>
      </c>
      <c r="R87" s="161">
        <f>INDEX(Tbl_Long_Definition[H Deck-Bott.],Tbl_Long_Section[[#This Row],[Nline Next]])</f>
        <v>4</v>
      </c>
      <c r="S87"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87" s="8"/>
      <c r="V87" s="873" t="e">
        <f t="shared" si="7"/>
        <v>#N/A</v>
      </c>
      <c r="W87" s="885" t="e">
        <f>MATCH(Tbl_Long_Hydro[[#This Row],[Draught]],Tbl_Long_Definition[H k-bott],-1)</f>
        <v>#N/A</v>
      </c>
      <c r="X87"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87" s="886" t="e">
        <f>MATCH(Tbl_Long_Hydro[[#This Row],[Draught]],Tbl_Long_Definition[H k-bott],1)</f>
        <v>#N/A</v>
      </c>
      <c r="Z87"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87" s="888" t="e">
        <f>IF(ISNA(Tbl_Long_Hydro[[#This Row],[Draught]]),NA(),IFERROR(INDEX(Tbl_Long_Definition[X],Tbl_Long_Hydro[[#This Row],[Aft Nline prev]]),0))</f>
        <v>#N/A</v>
      </c>
      <c r="AB87" s="889" t="e">
        <f>IF(ISNA(Tbl_Long_Hydro[[#This Row],[Draught]]),NA(),IFERROR(INDEX(Tbl_Long_Definition[X],Tbl_Long_Hydro[[#This Row],[Aft Nline next]]),0))</f>
        <v>#N/A</v>
      </c>
      <c r="AC87" s="889" t="e">
        <f>IF(ISNA(Tbl_Long_Hydro[[#This Row],[Draught]]),NA(),INDEX(Tbl_Long_Definition[H k-bott],Tbl_Long_Hydro[[#This Row],[Aft Nline prev]]))</f>
        <v>#N/A</v>
      </c>
      <c r="AD87" s="889" t="e">
        <f>IF(ISNA(Tbl_Long_Hydro[[#This Row],[Draught]]),NA(),INDEX(Tbl_Long_Definition[H k-bott],Tbl_Long_Hydro[[#This Row],[Aft Nline next]]))</f>
        <v>#N/A</v>
      </c>
      <c r="AE87" s="888" t="e">
        <f>IF(ISNA(Tbl_Long_Hydro[[#This Row],[Draught]]),NA(),IFERROR(INDEX(Tbl_Long_Definition[X],Tbl_Long_Hydro[[#This Row],[Fore Nline prev]]),0))</f>
        <v>#N/A</v>
      </c>
      <c r="AF87" s="889" t="e">
        <f>IF(ISNA(Tbl_Long_Hydro[[#This Row],[Draught]]),NA(),IFERROR(INDEX(Tbl_Long_Definition[X],Tbl_Long_Hydro[[#This Row],[Fore Nline next]]),0))</f>
        <v>#N/A</v>
      </c>
      <c r="AG87" s="889" t="e">
        <f>IF(ISNA(Tbl_Long_Hydro[[#This Row],[Draught]]),NA(),INDEX(Tbl_Long_Definition[H k-bott],Tbl_Long_Hydro[[#This Row],[Fore Nline prev]]))</f>
        <v>#N/A</v>
      </c>
      <c r="AH87" s="890" t="e">
        <f>IF(ISNA(Tbl_Long_Hydro[[#This Row],[Draught]]),NA(),INDEX(Tbl_Long_Definition[H k-bott],Tbl_Long_Hydro[[#This Row],[Fore Nline next]]))</f>
        <v>#N/A</v>
      </c>
      <c r="AI87"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87"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87" s="894" t="e">
        <f>Tbl_Long_Hydro[[#This Row],[Fore X]]-Tbl_Long_Hydro[[#This Row],[Aft X]]</f>
        <v>#N/A</v>
      </c>
      <c r="AL87" s="884" t="e">
        <f>Tbl_Long_Hydro[[#This Row],[LX]]*B</f>
        <v>#N/A</v>
      </c>
      <c r="AM87" s="892" t="e">
        <f>IF(ISNUMBER(AM86),(AK86+Tbl_Long_Hydro[[#This Row],[LX]])*(Tbl_Long_Hydro[[#This Row],[Draught]]-V86)/2*B,(Tbl_Long_Hydro[[#This Row],[LX]])*Tbl_Long_Hydro[[#This Row],[Draught]]*B)</f>
        <v>#N/A</v>
      </c>
      <c r="AN87" s="899" t="e">
        <f>Tbl_Long_Hydro[[#This Row],[Aft X]]+Tbl_Long_Hydro[[#This Row],[LX]]/2</f>
        <v>#N/A</v>
      </c>
      <c r="AO87" s="876" t="e">
        <f>IF(ISNUMBER(AO86),(2*Tbl_Long_Hydro[[#This Row],[LX]]+AK86)/(Tbl_Long_Hydro[[#This Row],[LX]]+AK86)*(Tbl_Long_Hydro[[#This Row],[Draught]]-V86)/3+V86,Tbl_Long_Hydro[[#This Row],[Draught]]/2)</f>
        <v>#N/A</v>
      </c>
      <c r="AP87" s="898" t="e">
        <f>IF(ISNUMBER(AP86),Tbl_Long_Hydro[[#This Row],[Volume elt]]+AP86,Tbl_Long_Hydro[[#This Row],[Volume elt]]*AO$4)</f>
        <v>#N/A</v>
      </c>
      <c r="AQ87" s="893" t="e">
        <f>IF(ISNUMBER(AQ86),Tbl_Long_Hydro[[#This Row],[Displacement]]*AQ$4,IF(ISNA(AQ86),NA(),0))</f>
        <v>#N/A</v>
      </c>
      <c r="AR87" s="900" t="e">
        <f>IF(ISNA(Tbl_Long_Hydro[[#This Row],[Draught]]),NA(),IFERROR(Tbl_Long_Hydro[[#This Row],[LX]]*B^3/12/Tbl_Long_Hydro[[#This Row],[Displacement]],0))</f>
        <v>#N/A</v>
      </c>
      <c r="AS87" s="903" t="e">
        <f>IF(ISNA(Tbl_Long_Hydro[[#This Row],[Draught]]),NA(),IFERROR((B*Tbl_Long_Hydro[[#This Row],[LX]]^3/12+(Tbl_Long_Hydro[[#This Row],[LCF]]-Tbl_Long_Hydro[[#This Row],[LCB]])*Tbl_Long_Hydro[[#This Row],[Waterplane area]]*Tbl_Long_Hydro[[#This Row],[LCF]]^2)/Tbl_Long_Hydro[[#This Row],[Displacement]],0))</f>
        <v>#N/A</v>
      </c>
      <c r="AT87" s="900" t="e">
        <f>Tbl_Long_Hydro[[#This Row],[Aft X]]+Tbl_Long_Hydro[[#This Row],[LX]]/2</f>
        <v>#N/A</v>
      </c>
      <c r="AU87" s="901" t="e">
        <f>IF(ISNUMBER(AU86),(AU86*AP86+Tbl_Long_Hydro[[#This Row],[X CoG elt]]*Tbl_Long_Hydro[[#This Row],[Volume elt]])/Tbl_Long_Hydro[[#This Row],[Displacement]],Tbl_Long_Hydro[[#This Row],[X CoG elt]])</f>
        <v>#N/A</v>
      </c>
      <c r="AV87" s="902" t="e">
        <f>IF(ISNA(Tbl_Long_Hydro[[#This Row],[Draught]]),NA(),0)</f>
        <v>#N/A</v>
      </c>
      <c r="AW87" s="876" t="e">
        <f>IF(ISNUMBER(AW86),(AW86*AP86+Tbl_Long_Hydro[[#This Row],[Z CoG elt]]*Tbl_Long_Hydro[[#This Row],[Volume elt]])/Tbl_Long_Hydro[[#This Row],[Displacement]],Tbl_Long_Hydro[[#This Row],[Z CoG elt]])</f>
        <v>#N/A</v>
      </c>
      <c r="AX87" s="899" t="e">
        <f>Tbl_Long_Hydro[[#This Row],[RMT]]+Tbl_Long_Hydro[[#This Row],[VCB]]</f>
        <v>#N/A</v>
      </c>
      <c r="AY87" s="904" t="e">
        <f>Tbl_Long_Hydro[[#This Row],[Displacement]]*Tbl_Long_Hydro[[#This Row],[RML]]/(100*Lpp)</f>
        <v>#N/A</v>
      </c>
      <c r="AZ87" s="956" t="e">
        <f>Tbl_Long_Hydro[[#This Row],[Draught]]</f>
        <v>#N/A</v>
      </c>
      <c r="BA87" s="959" t="e">
        <f>Tbl_Long_Hydro[[#This Row],[Displacement]]</f>
        <v>#N/A</v>
      </c>
      <c r="BB87" s="960" t="e">
        <f>Tbl_Long_Hydro[[#This Row],[Displac. SW]]</f>
        <v>#N/A</v>
      </c>
      <c r="BC87" s="964" t="e">
        <f>Tbl_Long_Hydro[[#This Row],[Waterplane area]]/100*$AQ$4</f>
        <v>#N/A</v>
      </c>
      <c r="BD87" s="961" t="e">
        <f>Tbl_Long_Hydro[[#This Row],[MCT]]</f>
        <v>#N/A</v>
      </c>
      <c r="BE87" s="962" t="e">
        <f>Tbl_Long_Hydro[[#This Row],[LCB]]</f>
        <v>#N/A</v>
      </c>
      <c r="BF87" s="962" t="e">
        <f>Tbl_Long_Hydro[[#This Row],[TCB]]</f>
        <v>#N/A</v>
      </c>
      <c r="BG87" s="962" t="e">
        <f>Tbl_Long_Hydro[[#This Row],[LCF]]</f>
        <v>#N/A</v>
      </c>
      <c r="BH87" s="963" t="e">
        <f>Tbl_Long_Hydro[[#This Row],[KMT]]</f>
        <v>#N/A</v>
      </c>
    </row>
    <row r="88" spans="11:60" x14ac:dyDescent="0.25">
      <c r="K88" s="156">
        <f t="shared" si="5"/>
        <v>82</v>
      </c>
      <c r="L88" s="164">
        <f t="shared" si="6"/>
        <v>41</v>
      </c>
      <c r="M88" s="163">
        <f>MATCH(Tbl_Long_Section[[#This Row],[X]],Tbl_Long_Definition[X],1)</f>
        <v>2</v>
      </c>
      <c r="N88" s="157">
        <f>IF(Tbl_Long_Section[[#This Row],[Nline Prev]]&lt;COUNT(Tbl_Long_Definition[X]),Tbl_Long_Section[[#This Row],[Nline Prev]]+1,Tbl_Long_Section[[#This Row],[Nline Prev]])</f>
        <v>3</v>
      </c>
      <c r="O88" s="162">
        <f>INDEX(Tbl_Long_Definition[X],Tbl_Long_Section[[#This Row],[Nline Prev]])</f>
        <v>5</v>
      </c>
      <c r="P88" s="159">
        <f>INDEX(Tbl_Long_Definition[X],Tbl_Long_Section[[#This Row],[Nline Next]])</f>
        <v>55</v>
      </c>
      <c r="Q88" s="160">
        <f>INDEX(Tbl_Long_Definition[H Deck-Bott.],Tbl_Long_Section[[#This Row],[Nline Prev]])</f>
        <v>4</v>
      </c>
      <c r="R88" s="161">
        <f>INDEX(Tbl_Long_Definition[H Deck-Bott.],Tbl_Long_Section[[#This Row],[Nline Next]])</f>
        <v>4</v>
      </c>
      <c r="S88"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88" s="8"/>
      <c r="V88" s="873" t="e">
        <f t="shared" si="7"/>
        <v>#N/A</v>
      </c>
      <c r="W88" s="885" t="e">
        <f>MATCH(Tbl_Long_Hydro[[#This Row],[Draught]],Tbl_Long_Definition[H k-bott],-1)</f>
        <v>#N/A</v>
      </c>
      <c r="X88"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88" s="886" t="e">
        <f>MATCH(Tbl_Long_Hydro[[#This Row],[Draught]],Tbl_Long_Definition[H k-bott],1)</f>
        <v>#N/A</v>
      </c>
      <c r="Z88"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88" s="888" t="e">
        <f>IF(ISNA(Tbl_Long_Hydro[[#This Row],[Draught]]),NA(),IFERROR(INDEX(Tbl_Long_Definition[X],Tbl_Long_Hydro[[#This Row],[Aft Nline prev]]),0))</f>
        <v>#N/A</v>
      </c>
      <c r="AB88" s="889" t="e">
        <f>IF(ISNA(Tbl_Long_Hydro[[#This Row],[Draught]]),NA(),IFERROR(INDEX(Tbl_Long_Definition[X],Tbl_Long_Hydro[[#This Row],[Aft Nline next]]),0))</f>
        <v>#N/A</v>
      </c>
      <c r="AC88" s="889" t="e">
        <f>IF(ISNA(Tbl_Long_Hydro[[#This Row],[Draught]]),NA(),INDEX(Tbl_Long_Definition[H k-bott],Tbl_Long_Hydro[[#This Row],[Aft Nline prev]]))</f>
        <v>#N/A</v>
      </c>
      <c r="AD88" s="889" t="e">
        <f>IF(ISNA(Tbl_Long_Hydro[[#This Row],[Draught]]),NA(),INDEX(Tbl_Long_Definition[H k-bott],Tbl_Long_Hydro[[#This Row],[Aft Nline next]]))</f>
        <v>#N/A</v>
      </c>
      <c r="AE88" s="888" t="e">
        <f>IF(ISNA(Tbl_Long_Hydro[[#This Row],[Draught]]),NA(),IFERROR(INDEX(Tbl_Long_Definition[X],Tbl_Long_Hydro[[#This Row],[Fore Nline prev]]),0))</f>
        <v>#N/A</v>
      </c>
      <c r="AF88" s="889" t="e">
        <f>IF(ISNA(Tbl_Long_Hydro[[#This Row],[Draught]]),NA(),IFERROR(INDEX(Tbl_Long_Definition[X],Tbl_Long_Hydro[[#This Row],[Fore Nline next]]),0))</f>
        <v>#N/A</v>
      </c>
      <c r="AG88" s="889" t="e">
        <f>IF(ISNA(Tbl_Long_Hydro[[#This Row],[Draught]]),NA(),INDEX(Tbl_Long_Definition[H k-bott],Tbl_Long_Hydro[[#This Row],[Fore Nline prev]]))</f>
        <v>#N/A</v>
      </c>
      <c r="AH88" s="890" t="e">
        <f>IF(ISNA(Tbl_Long_Hydro[[#This Row],[Draught]]),NA(),INDEX(Tbl_Long_Definition[H k-bott],Tbl_Long_Hydro[[#This Row],[Fore Nline next]]))</f>
        <v>#N/A</v>
      </c>
      <c r="AI88"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88"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88" s="894" t="e">
        <f>Tbl_Long_Hydro[[#This Row],[Fore X]]-Tbl_Long_Hydro[[#This Row],[Aft X]]</f>
        <v>#N/A</v>
      </c>
      <c r="AL88" s="884" t="e">
        <f>Tbl_Long_Hydro[[#This Row],[LX]]*B</f>
        <v>#N/A</v>
      </c>
      <c r="AM88" s="892" t="e">
        <f>IF(ISNUMBER(AM87),(AK87+Tbl_Long_Hydro[[#This Row],[LX]])*(Tbl_Long_Hydro[[#This Row],[Draught]]-V87)/2*B,(Tbl_Long_Hydro[[#This Row],[LX]])*Tbl_Long_Hydro[[#This Row],[Draught]]*B)</f>
        <v>#N/A</v>
      </c>
      <c r="AN88" s="899" t="e">
        <f>Tbl_Long_Hydro[[#This Row],[Aft X]]+Tbl_Long_Hydro[[#This Row],[LX]]/2</f>
        <v>#N/A</v>
      </c>
      <c r="AO88" s="876" t="e">
        <f>IF(ISNUMBER(AO87),(2*Tbl_Long_Hydro[[#This Row],[LX]]+AK87)/(Tbl_Long_Hydro[[#This Row],[LX]]+AK87)*(Tbl_Long_Hydro[[#This Row],[Draught]]-V87)/3+V87,Tbl_Long_Hydro[[#This Row],[Draught]]/2)</f>
        <v>#N/A</v>
      </c>
      <c r="AP88" s="898" t="e">
        <f>IF(ISNUMBER(AP87),Tbl_Long_Hydro[[#This Row],[Volume elt]]+AP87,Tbl_Long_Hydro[[#This Row],[Volume elt]]*AO$4)</f>
        <v>#N/A</v>
      </c>
      <c r="AQ88" s="893" t="e">
        <f>IF(ISNUMBER(AQ87),Tbl_Long_Hydro[[#This Row],[Displacement]]*AQ$4,IF(ISNA(AQ87),NA(),0))</f>
        <v>#N/A</v>
      </c>
      <c r="AR88" s="900" t="e">
        <f>IF(ISNA(Tbl_Long_Hydro[[#This Row],[Draught]]),NA(),IFERROR(Tbl_Long_Hydro[[#This Row],[LX]]*B^3/12/Tbl_Long_Hydro[[#This Row],[Displacement]],0))</f>
        <v>#N/A</v>
      </c>
      <c r="AS88" s="903" t="e">
        <f>IF(ISNA(Tbl_Long_Hydro[[#This Row],[Draught]]),NA(),IFERROR((B*Tbl_Long_Hydro[[#This Row],[LX]]^3/12+(Tbl_Long_Hydro[[#This Row],[LCF]]-Tbl_Long_Hydro[[#This Row],[LCB]])*Tbl_Long_Hydro[[#This Row],[Waterplane area]]*Tbl_Long_Hydro[[#This Row],[LCF]]^2)/Tbl_Long_Hydro[[#This Row],[Displacement]],0))</f>
        <v>#N/A</v>
      </c>
      <c r="AT88" s="900" t="e">
        <f>Tbl_Long_Hydro[[#This Row],[Aft X]]+Tbl_Long_Hydro[[#This Row],[LX]]/2</f>
        <v>#N/A</v>
      </c>
      <c r="AU88" s="901" t="e">
        <f>IF(ISNUMBER(AU87),(AU87*AP87+Tbl_Long_Hydro[[#This Row],[X CoG elt]]*Tbl_Long_Hydro[[#This Row],[Volume elt]])/Tbl_Long_Hydro[[#This Row],[Displacement]],Tbl_Long_Hydro[[#This Row],[X CoG elt]])</f>
        <v>#N/A</v>
      </c>
      <c r="AV88" s="902" t="e">
        <f>IF(ISNA(Tbl_Long_Hydro[[#This Row],[Draught]]),NA(),0)</f>
        <v>#N/A</v>
      </c>
      <c r="AW88" s="876" t="e">
        <f>IF(ISNUMBER(AW87),(AW87*AP87+Tbl_Long_Hydro[[#This Row],[Z CoG elt]]*Tbl_Long_Hydro[[#This Row],[Volume elt]])/Tbl_Long_Hydro[[#This Row],[Displacement]],Tbl_Long_Hydro[[#This Row],[Z CoG elt]])</f>
        <v>#N/A</v>
      </c>
      <c r="AX88" s="899" t="e">
        <f>Tbl_Long_Hydro[[#This Row],[RMT]]+Tbl_Long_Hydro[[#This Row],[VCB]]</f>
        <v>#N/A</v>
      </c>
      <c r="AY88" s="904" t="e">
        <f>Tbl_Long_Hydro[[#This Row],[Displacement]]*Tbl_Long_Hydro[[#This Row],[RML]]/(100*Lpp)</f>
        <v>#N/A</v>
      </c>
      <c r="AZ88" s="956" t="e">
        <f>Tbl_Long_Hydro[[#This Row],[Draught]]</f>
        <v>#N/A</v>
      </c>
      <c r="BA88" s="959" t="e">
        <f>Tbl_Long_Hydro[[#This Row],[Displacement]]</f>
        <v>#N/A</v>
      </c>
      <c r="BB88" s="960" t="e">
        <f>Tbl_Long_Hydro[[#This Row],[Displac. SW]]</f>
        <v>#N/A</v>
      </c>
      <c r="BC88" s="964" t="e">
        <f>Tbl_Long_Hydro[[#This Row],[Waterplane area]]/100*$AQ$4</f>
        <v>#N/A</v>
      </c>
      <c r="BD88" s="961" t="e">
        <f>Tbl_Long_Hydro[[#This Row],[MCT]]</f>
        <v>#N/A</v>
      </c>
      <c r="BE88" s="962" t="e">
        <f>Tbl_Long_Hydro[[#This Row],[LCB]]</f>
        <v>#N/A</v>
      </c>
      <c r="BF88" s="962" t="e">
        <f>Tbl_Long_Hydro[[#This Row],[TCB]]</f>
        <v>#N/A</v>
      </c>
      <c r="BG88" s="962" t="e">
        <f>Tbl_Long_Hydro[[#This Row],[LCF]]</f>
        <v>#N/A</v>
      </c>
      <c r="BH88" s="963" t="e">
        <f>Tbl_Long_Hydro[[#This Row],[KMT]]</f>
        <v>#N/A</v>
      </c>
    </row>
    <row r="89" spans="11:60" x14ac:dyDescent="0.25">
      <c r="K89" s="156">
        <f t="shared" si="5"/>
        <v>83</v>
      </c>
      <c r="L89" s="164">
        <f t="shared" si="6"/>
        <v>41.5</v>
      </c>
      <c r="M89" s="163">
        <f>MATCH(Tbl_Long_Section[[#This Row],[X]],Tbl_Long_Definition[X],1)</f>
        <v>2</v>
      </c>
      <c r="N89" s="157">
        <f>IF(Tbl_Long_Section[[#This Row],[Nline Prev]]&lt;COUNT(Tbl_Long_Definition[X]),Tbl_Long_Section[[#This Row],[Nline Prev]]+1,Tbl_Long_Section[[#This Row],[Nline Prev]])</f>
        <v>3</v>
      </c>
      <c r="O89" s="162">
        <f>INDEX(Tbl_Long_Definition[X],Tbl_Long_Section[[#This Row],[Nline Prev]])</f>
        <v>5</v>
      </c>
      <c r="P89" s="159">
        <f>INDEX(Tbl_Long_Definition[X],Tbl_Long_Section[[#This Row],[Nline Next]])</f>
        <v>55</v>
      </c>
      <c r="Q89" s="160">
        <f>INDEX(Tbl_Long_Definition[H Deck-Bott.],Tbl_Long_Section[[#This Row],[Nline Prev]])</f>
        <v>4</v>
      </c>
      <c r="R89" s="161">
        <f>INDEX(Tbl_Long_Definition[H Deck-Bott.],Tbl_Long_Section[[#This Row],[Nline Next]])</f>
        <v>4</v>
      </c>
      <c r="S89"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89" s="8"/>
      <c r="V89" s="873" t="e">
        <f t="shared" si="7"/>
        <v>#N/A</v>
      </c>
      <c r="W89" s="885" t="e">
        <f>MATCH(Tbl_Long_Hydro[[#This Row],[Draught]],Tbl_Long_Definition[H k-bott],-1)</f>
        <v>#N/A</v>
      </c>
      <c r="X89"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89" s="886" t="e">
        <f>MATCH(Tbl_Long_Hydro[[#This Row],[Draught]],Tbl_Long_Definition[H k-bott],1)</f>
        <v>#N/A</v>
      </c>
      <c r="Z89"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89" s="888" t="e">
        <f>IF(ISNA(Tbl_Long_Hydro[[#This Row],[Draught]]),NA(),IFERROR(INDEX(Tbl_Long_Definition[X],Tbl_Long_Hydro[[#This Row],[Aft Nline prev]]),0))</f>
        <v>#N/A</v>
      </c>
      <c r="AB89" s="889" t="e">
        <f>IF(ISNA(Tbl_Long_Hydro[[#This Row],[Draught]]),NA(),IFERROR(INDEX(Tbl_Long_Definition[X],Tbl_Long_Hydro[[#This Row],[Aft Nline next]]),0))</f>
        <v>#N/A</v>
      </c>
      <c r="AC89" s="889" t="e">
        <f>IF(ISNA(Tbl_Long_Hydro[[#This Row],[Draught]]),NA(),INDEX(Tbl_Long_Definition[H k-bott],Tbl_Long_Hydro[[#This Row],[Aft Nline prev]]))</f>
        <v>#N/A</v>
      </c>
      <c r="AD89" s="889" t="e">
        <f>IF(ISNA(Tbl_Long_Hydro[[#This Row],[Draught]]),NA(),INDEX(Tbl_Long_Definition[H k-bott],Tbl_Long_Hydro[[#This Row],[Aft Nline next]]))</f>
        <v>#N/A</v>
      </c>
      <c r="AE89" s="888" t="e">
        <f>IF(ISNA(Tbl_Long_Hydro[[#This Row],[Draught]]),NA(),IFERROR(INDEX(Tbl_Long_Definition[X],Tbl_Long_Hydro[[#This Row],[Fore Nline prev]]),0))</f>
        <v>#N/A</v>
      </c>
      <c r="AF89" s="889" t="e">
        <f>IF(ISNA(Tbl_Long_Hydro[[#This Row],[Draught]]),NA(),IFERROR(INDEX(Tbl_Long_Definition[X],Tbl_Long_Hydro[[#This Row],[Fore Nline next]]),0))</f>
        <v>#N/A</v>
      </c>
      <c r="AG89" s="889" t="e">
        <f>IF(ISNA(Tbl_Long_Hydro[[#This Row],[Draught]]),NA(),INDEX(Tbl_Long_Definition[H k-bott],Tbl_Long_Hydro[[#This Row],[Fore Nline prev]]))</f>
        <v>#N/A</v>
      </c>
      <c r="AH89" s="890" t="e">
        <f>IF(ISNA(Tbl_Long_Hydro[[#This Row],[Draught]]),NA(),INDEX(Tbl_Long_Definition[H k-bott],Tbl_Long_Hydro[[#This Row],[Fore Nline next]]))</f>
        <v>#N/A</v>
      </c>
      <c r="AI89"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89"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89" s="894" t="e">
        <f>Tbl_Long_Hydro[[#This Row],[Fore X]]-Tbl_Long_Hydro[[#This Row],[Aft X]]</f>
        <v>#N/A</v>
      </c>
      <c r="AL89" s="884" t="e">
        <f>Tbl_Long_Hydro[[#This Row],[LX]]*B</f>
        <v>#N/A</v>
      </c>
      <c r="AM89" s="892" t="e">
        <f>IF(ISNUMBER(AM88),(AK88+Tbl_Long_Hydro[[#This Row],[LX]])*(Tbl_Long_Hydro[[#This Row],[Draught]]-V88)/2*B,(Tbl_Long_Hydro[[#This Row],[LX]])*Tbl_Long_Hydro[[#This Row],[Draught]]*B)</f>
        <v>#N/A</v>
      </c>
      <c r="AN89" s="899" t="e">
        <f>Tbl_Long_Hydro[[#This Row],[Aft X]]+Tbl_Long_Hydro[[#This Row],[LX]]/2</f>
        <v>#N/A</v>
      </c>
      <c r="AO89" s="876" t="e">
        <f>IF(ISNUMBER(AO88),(2*Tbl_Long_Hydro[[#This Row],[LX]]+AK88)/(Tbl_Long_Hydro[[#This Row],[LX]]+AK88)*(Tbl_Long_Hydro[[#This Row],[Draught]]-V88)/3+V88,Tbl_Long_Hydro[[#This Row],[Draught]]/2)</f>
        <v>#N/A</v>
      </c>
      <c r="AP89" s="898" t="e">
        <f>IF(ISNUMBER(AP88),Tbl_Long_Hydro[[#This Row],[Volume elt]]+AP88,Tbl_Long_Hydro[[#This Row],[Volume elt]]*AO$4)</f>
        <v>#N/A</v>
      </c>
      <c r="AQ89" s="893" t="e">
        <f>IF(ISNUMBER(AQ88),Tbl_Long_Hydro[[#This Row],[Displacement]]*AQ$4,IF(ISNA(AQ88),NA(),0))</f>
        <v>#N/A</v>
      </c>
      <c r="AR89" s="900" t="e">
        <f>IF(ISNA(Tbl_Long_Hydro[[#This Row],[Draught]]),NA(),IFERROR(Tbl_Long_Hydro[[#This Row],[LX]]*B^3/12/Tbl_Long_Hydro[[#This Row],[Displacement]],0))</f>
        <v>#N/A</v>
      </c>
      <c r="AS89" s="903" t="e">
        <f>IF(ISNA(Tbl_Long_Hydro[[#This Row],[Draught]]),NA(),IFERROR((B*Tbl_Long_Hydro[[#This Row],[LX]]^3/12+(Tbl_Long_Hydro[[#This Row],[LCF]]-Tbl_Long_Hydro[[#This Row],[LCB]])*Tbl_Long_Hydro[[#This Row],[Waterplane area]]*Tbl_Long_Hydro[[#This Row],[LCF]]^2)/Tbl_Long_Hydro[[#This Row],[Displacement]],0))</f>
        <v>#N/A</v>
      </c>
      <c r="AT89" s="900" t="e">
        <f>Tbl_Long_Hydro[[#This Row],[Aft X]]+Tbl_Long_Hydro[[#This Row],[LX]]/2</f>
        <v>#N/A</v>
      </c>
      <c r="AU89" s="901" t="e">
        <f>IF(ISNUMBER(AU88),(AU88*AP88+Tbl_Long_Hydro[[#This Row],[X CoG elt]]*Tbl_Long_Hydro[[#This Row],[Volume elt]])/Tbl_Long_Hydro[[#This Row],[Displacement]],Tbl_Long_Hydro[[#This Row],[X CoG elt]])</f>
        <v>#N/A</v>
      </c>
      <c r="AV89" s="902" t="e">
        <f>IF(ISNA(Tbl_Long_Hydro[[#This Row],[Draught]]),NA(),0)</f>
        <v>#N/A</v>
      </c>
      <c r="AW89" s="876" t="e">
        <f>IF(ISNUMBER(AW88),(AW88*AP88+Tbl_Long_Hydro[[#This Row],[Z CoG elt]]*Tbl_Long_Hydro[[#This Row],[Volume elt]])/Tbl_Long_Hydro[[#This Row],[Displacement]],Tbl_Long_Hydro[[#This Row],[Z CoG elt]])</f>
        <v>#N/A</v>
      </c>
      <c r="AX89" s="899" t="e">
        <f>Tbl_Long_Hydro[[#This Row],[RMT]]+Tbl_Long_Hydro[[#This Row],[VCB]]</f>
        <v>#N/A</v>
      </c>
      <c r="AY89" s="904" t="e">
        <f>Tbl_Long_Hydro[[#This Row],[Displacement]]*Tbl_Long_Hydro[[#This Row],[RML]]/(100*Lpp)</f>
        <v>#N/A</v>
      </c>
      <c r="AZ89" s="956" t="e">
        <f>Tbl_Long_Hydro[[#This Row],[Draught]]</f>
        <v>#N/A</v>
      </c>
      <c r="BA89" s="959" t="e">
        <f>Tbl_Long_Hydro[[#This Row],[Displacement]]</f>
        <v>#N/A</v>
      </c>
      <c r="BB89" s="960" t="e">
        <f>Tbl_Long_Hydro[[#This Row],[Displac. SW]]</f>
        <v>#N/A</v>
      </c>
      <c r="BC89" s="964" t="e">
        <f>Tbl_Long_Hydro[[#This Row],[Waterplane area]]/100*$AQ$4</f>
        <v>#N/A</v>
      </c>
      <c r="BD89" s="961" t="e">
        <f>Tbl_Long_Hydro[[#This Row],[MCT]]</f>
        <v>#N/A</v>
      </c>
      <c r="BE89" s="962" t="e">
        <f>Tbl_Long_Hydro[[#This Row],[LCB]]</f>
        <v>#N/A</v>
      </c>
      <c r="BF89" s="962" t="e">
        <f>Tbl_Long_Hydro[[#This Row],[TCB]]</f>
        <v>#N/A</v>
      </c>
      <c r="BG89" s="962" t="e">
        <f>Tbl_Long_Hydro[[#This Row],[LCF]]</f>
        <v>#N/A</v>
      </c>
      <c r="BH89" s="963" t="e">
        <f>Tbl_Long_Hydro[[#This Row],[KMT]]</f>
        <v>#N/A</v>
      </c>
    </row>
    <row r="90" spans="11:60" x14ac:dyDescent="0.25">
      <c r="K90" s="156">
        <f t="shared" si="5"/>
        <v>84</v>
      </c>
      <c r="L90" s="164">
        <f t="shared" si="6"/>
        <v>42</v>
      </c>
      <c r="M90" s="163">
        <f>MATCH(Tbl_Long_Section[[#This Row],[X]],Tbl_Long_Definition[X],1)</f>
        <v>2</v>
      </c>
      <c r="N90" s="157">
        <f>IF(Tbl_Long_Section[[#This Row],[Nline Prev]]&lt;COUNT(Tbl_Long_Definition[X]),Tbl_Long_Section[[#This Row],[Nline Prev]]+1,Tbl_Long_Section[[#This Row],[Nline Prev]])</f>
        <v>3</v>
      </c>
      <c r="O90" s="162">
        <f>INDEX(Tbl_Long_Definition[X],Tbl_Long_Section[[#This Row],[Nline Prev]])</f>
        <v>5</v>
      </c>
      <c r="P90" s="159">
        <f>INDEX(Tbl_Long_Definition[X],Tbl_Long_Section[[#This Row],[Nline Next]])</f>
        <v>55</v>
      </c>
      <c r="Q90" s="160">
        <f>INDEX(Tbl_Long_Definition[H Deck-Bott.],Tbl_Long_Section[[#This Row],[Nline Prev]])</f>
        <v>4</v>
      </c>
      <c r="R90" s="161">
        <f>INDEX(Tbl_Long_Definition[H Deck-Bott.],Tbl_Long_Section[[#This Row],[Nline Next]])</f>
        <v>4</v>
      </c>
      <c r="S90"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90" s="8"/>
      <c r="V90" s="873" t="e">
        <f t="shared" si="7"/>
        <v>#N/A</v>
      </c>
      <c r="W90" s="885" t="e">
        <f>MATCH(Tbl_Long_Hydro[[#This Row],[Draught]],Tbl_Long_Definition[H k-bott],-1)</f>
        <v>#N/A</v>
      </c>
      <c r="X90"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90" s="886" t="e">
        <f>MATCH(Tbl_Long_Hydro[[#This Row],[Draught]],Tbl_Long_Definition[H k-bott],1)</f>
        <v>#N/A</v>
      </c>
      <c r="Z90"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90" s="888" t="e">
        <f>IF(ISNA(Tbl_Long_Hydro[[#This Row],[Draught]]),NA(),IFERROR(INDEX(Tbl_Long_Definition[X],Tbl_Long_Hydro[[#This Row],[Aft Nline prev]]),0))</f>
        <v>#N/A</v>
      </c>
      <c r="AB90" s="889" t="e">
        <f>IF(ISNA(Tbl_Long_Hydro[[#This Row],[Draught]]),NA(),IFERROR(INDEX(Tbl_Long_Definition[X],Tbl_Long_Hydro[[#This Row],[Aft Nline next]]),0))</f>
        <v>#N/A</v>
      </c>
      <c r="AC90" s="889" t="e">
        <f>IF(ISNA(Tbl_Long_Hydro[[#This Row],[Draught]]),NA(),INDEX(Tbl_Long_Definition[H k-bott],Tbl_Long_Hydro[[#This Row],[Aft Nline prev]]))</f>
        <v>#N/A</v>
      </c>
      <c r="AD90" s="889" t="e">
        <f>IF(ISNA(Tbl_Long_Hydro[[#This Row],[Draught]]),NA(),INDEX(Tbl_Long_Definition[H k-bott],Tbl_Long_Hydro[[#This Row],[Aft Nline next]]))</f>
        <v>#N/A</v>
      </c>
      <c r="AE90" s="888" t="e">
        <f>IF(ISNA(Tbl_Long_Hydro[[#This Row],[Draught]]),NA(),IFERROR(INDEX(Tbl_Long_Definition[X],Tbl_Long_Hydro[[#This Row],[Fore Nline prev]]),0))</f>
        <v>#N/A</v>
      </c>
      <c r="AF90" s="889" t="e">
        <f>IF(ISNA(Tbl_Long_Hydro[[#This Row],[Draught]]),NA(),IFERROR(INDEX(Tbl_Long_Definition[X],Tbl_Long_Hydro[[#This Row],[Fore Nline next]]),0))</f>
        <v>#N/A</v>
      </c>
      <c r="AG90" s="889" t="e">
        <f>IF(ISNA(Tbl_Long_Hydro[[#This Row],[Draught]]),NA(),INDEX(Tbl_Long_Definition[H k-bott],Tbl_Long_Hydro[[#This Row],[Fore Nline prev]]))</f>
        <v>#N/A</v>
      </c>
      <c r="AH90" s="890" t="e">
        <f>IF(ISNA(Tbl_Long_Hydro[[#This Row],[Draught]]),NA(),INDEX(Tbl_Long_Definition[H k-bott],Tbl_Long_Hydro[[#This Row],[Fore Nline next]]))</f>
        <v>#N/A</v>
      </c>
      <c r="AI90"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90"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90" s="894" t="e">
        <f>Tbl_Long_Hydro[[#This Row],[Fore X]]-Tbl_Long_Hydro[[#This Row],[Aft X]]</f>
        <v>#N/A</v>
      </c>
      <c r="AL90" s="884" t="e">
        <f>Tbl_Long_Hydro[[#This Row],[LX]]*B</f>
        <v>#N/A</v>
      </c>
      <c r="AM90" s="892" t="e">
        <f>IF(ISNUMBER(AM89),(AK89+Tbl_Long_Hydro[[#This Row],[LX]])*(Tbl_Long_Hydro[[#This Row],[Draught]]-V89)/2*B,(Tbl_Long_Hydro[[#This Row],[LX]])*Tbl_Long_Hydro[[#This Row],[Draught]]*B)</f>
        <v>#N/A</v>
      </c>
      <c r="AN90" s="899" t="e">
        <f>Tbl_Long_Hydro[[#This Row],[Aft X]]+Tbl_Long_Hydro[[#This Row],[LX]]/2</f>
        <v>#N/A</v>
      </c>
      <c r="AO90" s="876" t="e">
        <f>IF(ISNUMBER(AO89),(2*Tbl_Long_Hydro[[#This Row],[LX]]+AK89)/(Tbl_Long_Hydro[[#This Row],[LX]]+AK89)*(Tbl_Long_Hydro[[#This Row],[Draught]]-V89)/3+V89,Tbl_Long_Hydro[[#This Row],[Draught]]/2)</f>
        <v>#N/A</v>
      </c>
      <c r="AP90" s="898" t="e">
        <f>IF(ISNUMBER(AP89),Tbl_Long_Hydro[[#This Row],[Volume elt]]+AP89,Tbl_Long_Hydro[[#This Row],[Volume elt]]*AO$4)</f>
        <v>#N/A</v>
      </c>
      <c r="AQ90" s="893" t="e">
        <f>IF(ISNUMBER(AQ89),Tbl_Long_Hydro[[#This Row],[Displacement]]*AQ$4,IF(ISNA(AQ89),NA(),0))</f>
        <v>#N/A</v>
      </c>
      <c r="AR90" s="900" t="e">
        <f>IF(ISNA(Tbl_Long_Hydro[[#This Row],[Draught]]),NA(),IFERROR(Tbl_Long_Hydro[[#This Row],[LX]]*B^3/12/Tbl_Long_Hydro[[#This Row],[Displacement]],0))</f>
        <v>#N/A</v>
      </c>
      <c r="AS90" s="903" t="e">
        <f>IF(ISNA(Tbl_Long_Hydro[[#This Row],[Draught]]),NA(),IFERROR((B*Tbl_Long_Hydro[[#This Row],[LX]]^3/12+(Tbl_Long_Hydro[[#This Row],[LCF]]-Tbl_Long_Hydro[[#This Row],[LCB]])*Tbl_Long_Hydro[[#This Row],[Waterplane area]]*Tbl_Long_Hydro[[#This Row],[LCF]]^2)/Tbl_Long_Hydro[[#This Row],[Displacement]],0))</f>
        <v>#N/A</v>
      </c>
      <c r="AT90" s="900" t="e">
        <f>Tbl_Long_Hydro[[#This Row],[Aft X]]+Tbl_Long_Hydro[[#This Row],[LX]]/2</f>
        <v>#N/A</v>
      </c>
      <c r="AU90" s="901" t="e">
        <f>IF(ISNUMBER(AU89),(AU89*AP89+Tbl_Long_Hydro[[#This Row],[X CoG elt]]*Tbl_Long_Hydro[[#This Row],[Volume elt]])/Tbl_Long_Hydro[[#This Row],[Displacement]],Tbl_Long_Hydro[[#This Row],[X CoG elt]])</f>
        <v>#N/A</v>
      </c>
      <c r="AV90" s="902" t="e">
        <f>IF(ISNA(Tbl_Long_Hydro[[#This Row],[Draught]]),NA(),0)</f>
        <v>#N/A</v>
      </c>
      <c r="AW90" s="876" t="e">
        <f>IF(ISNUMBER(AW89),(AW89*AP89+Tbl_Long_Hydro[[#This Row],[Z CoG elt]]*Tbl_Long_Hydro[[#This Row],[Volume elt]])/Tbl_Long_Hydro[[#This Row],[Displacement]],Tbl_Long_Hydro[[#This Row],[Z CoG elt]])</f>
        <v>#N/A</v>
      </c>
      <c r="AX90" s="899" t="e">
        <f>Tbl_Long_Hydro[[#This Row],[RMT]]+Tbl_Long_Hydro[[#This Row],[VCB]]</f>
        <v>#N/A</v>
      </c>
      <c r="AY90" s="904" t="e">
        <f>Tbl_Long_Hydro[[#This Row],[Displacement]]*Tbl_Long_Hydro[[#This Row],[RML]]/(100*Lpp)</f>
        <v>#N/A</v>
      </c>
      <c r="AZ90" s="956" t="e">
        <f>Tbl_Long_Hydro[[#This Row],[Draught]]</f>
        <v>#N/A</v>
      </c>
      <c r="BA90" s="959" t="e">
        <f>Tbl_Long_Hydro[[#This Row],[Displacement]]</f>
        <v>#N/A</v>
      </c>
      <c r="BB90" s="960" t="e">
        <f>Tbl_Long_Hydro[[#This Row],[Displac. SW]]</f>
        <v>#N/A</v>
      </c>
      <c r="BC90" s="964" t="e">
        <f>Tbl_Long_Hydro[[#This Row],[Waterplane area]]/100*$AQ$4</f>
        <v>#N/A</v>
      </c>
      <c r="BD90" s="961" t="e">
        <f>Tbl_Long_Hydro[[#This Row],[MCT]]</f>
        <v>#N/A</v>
      </c>
      <c r="BE90" s="962" t="e">
        <f>Tbl_Long_Hydro[[#This Row],[LCB]]</f>
        <v>#N/A</v>
      </c>
      <c r="BF90" s="962" t="e">
        <f>Tbl_Long_Hydro[[#This Row],[TCB]]</f>
        <v>#N/A</v>
      </c>
      <c r="BG90" s="962" t="e">
        <f>Tbl_Long_Hydro[[#This Row],[LCF]]</f>
        <v>#N/A</v>
      </c>
      <c r="BH90" s="963" t="e">
        <f>Tbl_Long_Hydro[[#This Row],[KMT]]</f>
        <v>#N/A</v>
      </c>
    </row>
    <row r="91" spans="11:60" x14ac:dyDescent="0.25">
      <c r="K91" s="156">
        <f t="shared" si="5"/>
        <v>85</v>
      </c>
      <c r="L91" s="164">
        <f t="shared" si="6"/>
        <v>42.5</v>
      </c>
      <c r="M91" s="163">
        <f>MATCH(Tbl_Long_Section[[#This Row],[X]],Tbl_Long_Definition[X],1)</f>
        <v>2</v>
      </c>
      <c r="N91" s="157">
        <f>IF(Tbl_Long_Section[[#This Row],[Nline Prev]]&lt;COUNT(Tbl_Long_Definition[X]),Tbl_Long_Section[[#This Row],[Nline Prev]]+1,Tbl_Long_Section[[#This Row],[Nline Prev]])</f>
        <v>3</v>
      </c>
      <c r="O91" s="162">
        <f>INDEX(Tbl_Long_Definition[X],Tbl_Long_Section[[#This Row],[Nline Prev]])</f>
        <v>5</v>
      </c>
      <c r="P91" s="159">
        <f>INDEX(Tbl_Long_Definition[X],Tbl_Long_Section[[#This Row],[Nline Next]])</f>
        <v>55</v>
      </c>
      <c r="Q91" s="160">
        <f>INDEX(Tbl_Long_Definition[H Deck-Bott.],Tbl_Long_Section[[#This Row],[Nline Prev]])</f>
        <v>4</v>
      </c>
      <c r="R91" s="161">
        <f>INDEX(Tbl_Long_Definition[H Deck-Bott.],Tbl_Long_Section[[#This Row],[Nline Next]])</f>
        <v>4</v>
      </c>
      <c r="S91"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91" s="8"/>
      <c r="V91" s="873" t="e">
        <f t="shared" si="7"/>
        <v>#N/A</v>
      </c>
      <c r="W91" s="885" t="e">
        <f>MATCH(Tbl_Long_Hydro[[#This Row],[Draught]],Tbl_Long_Definition[H k-bott],-1)</f>
        <v>#N/A</v>
      </c>
      <c r="X91"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91" s="886" t="e">
        <f>MATCH(Tbl_Long_Hydro[[#This Row],[Draught]],Tbl_Long_Definition[H k-bott],1)</f>
        <v>#N/A</v>
      </c>
      <c r="Z91"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91" s="888" t="e">
        <f>IF(ISNA(Tbl_Long_Hydro[[#This Row],[Draught]]),NA(),IFERROR(INDEX(Tbl_Long_Definition[X],Tbl_Long_Hydro[[#This Row],[Aft Nline prev]]),0))</f>
        <v>#N/A</v>
      </c>
      <c r="AB91" s="889" t="e">
        <f>IF(ISNA(Tbl_Long_Hydro[[#This Row],[Draught]]),NA(),IFERROR(INDEX(Tbl_Long_Definition[X],Tbl_Long_Hydro[[#This Row],[Aft Nline next]]),0))</f>
        <v>#N/A</v>
      </c>
      <c r="AC91" s="889" t="e">
        <f>IF(ISNA(Tbl_Long_Hydro[[#This Row],[Draught]]),NA(),INDEX(Tbl_Long_Definition[H k-bott],Tbl_Long_Hydro[[#This Row],[Aft Nline prev]]))</f>
        <v>#N/A</v>
      </c>
      <c r="AD91" s="889" t="e">
        <f>IF(ISNA(Tbl_Long_Hydro[[#This Row],[Draught]]),NA(),INDEX(Tbl_Long_Definition[H k-bott],Tbl_Long_Hydro[[#This Row],[Aft Nline next]]))</f>
        <v>#N/A</v>
      </c>
      <c r="AE91" s="888" t="e">
        <f>IF(ISNA(Tbl_Long_Hydro[[#This Row],[Draught]]),NA(),IFERROR(INDEX(Tbl_Long_Definition[X],Tbl_Long_Hydro[[#This Row],[Fore Nline prev]]),0))</f>
        <v>#N/A</v>
      </c>
      <c r="AF91" s="889" t="e">
        <f>IF(ISNA(Tbl_Long_Hydro[[#This Row],[Draught]]),NA(),IFERROR(INDEX(Tbl_Long_Definition[X],Tbl_Long_Hydro[[#This Row],[Fore Nline next]]),0))</f>
        <v>#N/A</v>
      </c>
      <c r="AG91" s="889" t="e">
        <f>IF(ISNA(Tbl_Long_Hydro[[#This Row],[Draught]]),NA(),INDEX(Tbl_Long_Definition[H k-bott],Tbl_Long_Hydro[[#This Row],[Fore Nline prev]]))</f>
        <v>#N/A</v>
      </c>
      <c r="AH91" s="890" t="e">
        <f>IF(ISNA(Tbl_Long_Hydro[[#This Row],[Draught]]),NA(),INDEX(Tbl_Long_Definition[H k-bott],Tbl_Long_Hydro[[#This Row],[Fore Nline next]]))</f>
        <v>#N/A</v>
      </c>
      <c r="AI91"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91"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91" s="894" t="e">
        <f>Tbl_Long_Hydro[[#This Row],[Fore X]]-Tbl_Long_Hydro[[#This Row],[Aft X]]</f>
        <v>#N/A</v>
      </c>
      <c r="AL91" s="884" t="e">
        <f>Tbl_Long_Hydro[[#This Row],[LX]]*B</f>
        <v>#N/A</v>
      </c>
      <c r="AM91" s="892" t="e">
        <f>IF(ISNUMBER(AM90),(AK90+Tbl_Long_Hydro[[#This Row],[LX]])*(Tbl_Long_Hydro[[#This Row],[Draught]]-V90)/2*B,(Tbl_Long_Hydro[[#This Row],[LX]])*Tbl_Long_Hydro[[#This Row],[Draught]]*B)</f>
        <v>#N/A</v>
      </c>
      <c r="AN91" s="899" t="e">
        <f>Tbl_Long_Hydro[[#This Row],[Aft X]]+Tbl_Long_Hydro[[#This Row],[LX]]/2</f>
        <v>#N/A</v>
      </c>
      <c r="AO91" s="876" t="e">
        <f>IF(ISNUMBER(AO90),(2*Tbl_Long_Hydro[[#This Row],[LX]]+AK90)/(Tbl_Long_Hydro[[#This Row],[LX]]+AK90)*(Tbl_Long_Hydro[[#This Row],[Draught]]-V90)/3+V90,Tbl_Long_Hydro[[#This Row],[Draught]]/2)</f>
        <v>#N/A</v>
      </c>
      <c r="AP91" s="898" t="e">
        <f>IF(ISNUMBER(AP90),Tbl_Long_Hydro[[#This Row],[Volume elt]]+AP90,Tbl_Long_Hydro[[#This Row],[Volume elt]]*AO$4)</f>
        <v>#N/A</v>
      </c>
      <c r="AQ91" s="893" t="e">
        <f>IF(ISNUMBER(AQ90),Tbl_Long_Hydro[[#This Row],[Displacement]]*AQ$4,IF(ISNA(AQ90),NA(),0))</f>
        <v>#N/A</v>
      </c>
      <c r="AR91" s="900" t="e">
        <f>IF(ISNA(Tbl_Long_Hydro[[#This Row],[Draught]]),NA(),IFERROR(Tbl_Long_Hydro[[#This Row],[LX]]*B^3/12/Tbl_Long_Hydro[[#This Row],[Displacement]],0))</f>
        <v>#N/A</v>
      </c>
      <c r="AS91" s="903" t="e">
        <f>IF(ISNA(Tbl_Long_Hydro[[#This Row],[Draught]]),NA(),IFERROR((B*Tbl_Long_Hydro[[#This Row],[LX]]^3/12+(Tbl_Long_Hydro[[#This Row],[LCF]]-Tbl_Long_Hydro[[#This Row],[LCB]])*Tbl_Long_Hydro[[#This Row],[Waterplane area]]*Tbl_Long_Hydro[[#This Row],[LCF]]^2)/Tbl_Long_Hydro[[#This Row],[Displacement]],0))</f>
        <v>#N/A</v>
      </c>
      <c r="AT91" s="900" t="e">
        <f>Tbl_Long_Hydro[[#This Row],[Aft X]]+Tbl_Long_Hydro[[#This Row],[LX]]/2</f>
        <v>#N/A</v>
      </c>
      <c r="AU91" s="901" t="e">
        <f>IF(ISNUMBER(AU90),(AU90*AP90+Tbl_Long_Hydro[[#This Row],[X CoG elt]]*Tbl_Long_Hydro[[#This Row],[Volume elt]])/Tbl_Long_Hydro[[#This Row],[Displacement]],Tbl_Long_Hydro[[#This Row],[X CoG elt]])</f>
        <v>#N/A</v>
      </c>
      <c r="AV91" s="902" t="e">
        <f>IF(ISNA(Tbl_Long_Hydro[[#This Row],[Draught]]),NA(),0)</f>
        <v>#N/A</v>
      </c>
      <c r="AW91" s="876" t="e">
        <f>IF(ISNUMBER(AW90),(AW90*AP90+Tbl_Long_Hydro[[#This Row],[Z CoG elt]]*Tbl_Long_Hydro[[#This Row],[Volume elt]])/Tbl_Long_Hydro[[#This Row],[Displacement]],Tbl_Long_Hydro[[#This Row],[Z CoG elt]])</f>
        <v>#N/A</v>
      </c>
      <c r="AX91" s="899" t="e">
        <f>Tbl_Long_Hydro[[#This Row],[RMT]]+Tbl_Long_Hydro[[#This Row],[VCB]]</f>
        <v>#N/A</v>
      </c>
      <c r="AY91" s="904" t="e">
        <f>Tbl_Long_Hydro[[#This Row],[Displacement]]*Tbl_Long_Hydro[[#This Row],[RML]]/(100*Lpp)</f>
        <v>#N/A</v>
      </c>
      <c r="AZ91" s="956" t="e">
        <f>Tbl_Long_Hydro[[#This Row],[Draught]]</f>
        <v>#N/A</v>
      </c>
      <c r="BA91" s="959" t="e">
        <f>Tbl_Long_Hydro[[#This Row],[Displacement]]</f>
        <v>#N/A</v>
      </c>
      <c r="BB91" s="960" t="e">
        <f>Tbl_Long_Hydro[[#This Row],[Displac. SW]]</f>
        <v>#N/A</v>
      </c>
      <c r="BC91" s="964" t="e">
        <f>Tbl_Long_Hydro[[#This Row],[Waterplane area]]/100*$AQ$4</f>
        <v>#N/A</v>
      </c>
      <c r="BD91" s="961" t="e">
        <f>Tbl_Long_Hydro[[#This Row],[MCT]]</f>
        <v>#N/A</v>
      </c>
      <c r="BE91" s="962" t="e">
        <f>Tbl_Long_Hydro[[#This Row],[LCB]]</f>
        <v>#N/A</v>
      </c>
      <c r="BF91" s="962" t="e">
        <f>Tbl_Long_Hydro[[#This Row],[TCB]]</f>
        <v>#N/A</v>
      </c>
      <c r="BG91" s="962" t="e">
        <f>Tbl_Long_Hydro[[#This Row],[LCF]]</f>
        <v>#N/A</v>
      </c>
      <c r="BH91" s="963" t="e">
        <f>Tbl_Long_Hydro[[#This Row],[KMT]]</f>
        <v>#N/A</v>
      </c>
    </row>
    <row r="92" spans="11:60" x14ac:dyDescent="0.25">
      <c r="K92" s="156">
        <f t="shared" si="5"/>
        <v>86</v>
      </c>
      <c r="L92" s="164">
        <f t="shared" si="6"/>
        <v>43</v>
      </c>
      <c r="M92" s="163">
        <f>MATCH(Tbl_Long_Section[[#This Row],[X]],Tbl_Long_Definition[X],1)</f>
        <v>2</v>
      </c>
      <c r="N92" s="157">
        <f>IF(Tbl_Long_Section[[#This Row],[Nline Prev]]&lt;COUNT(Tbl_Long_Definition[X]),Tbl_Long_Section[[#This Row],[Nline Prev]]+1,Tbl_Long_Section[[#This Row],[Nline Prev]])</f>
        <v>3</v>
      </c>
      <c r="O92" s="162">
        <f>INDEX(Tbl_Long_Definition[X],Tbl_Long_Section[[#This Row],[Nline Prev]])</f>
        <v>5</v>
      </c>
      <c r="P92" s="159">
        <f>INDEX(Tbl_Long_Definition[X],Tbl_Long_Section[[#This Row],[Nline Next]])</f>
        <v>55</v>
      </c>
      <c r="Q92" s="160">
        <f>INDEX(Tbl_Long_Definition[H Deck-Bott.],Tbl_Long_Section[[#This Row],[Nline Prev]])</f>
        <v>4</v>
      </c>
      <c r="R92" s="161">
        <f>INDEX(Tbl_Long_Definition[H Deck-Bott.],Tbl_Long_Section[[#This Row],[Nline Next]])</f>
        <v>4</v>
      </c>
      <c r="S92"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92" s="8"/>
      <c r="V92" s="873" t="e">
        <f t="shared" si="7"/>
        <v>#N/A</v>
      </c>
      <c r="W92" s="885" t="e">
        <f>MATCH(Tbl_Long_Hydro[[#This Row],[Draught]],Tbl_Long_Definition[H k-bott],-1)</f>
        <v>#N/A</v>
      </c>
      <c r="X92"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92" s="886" t="e">
        <f>MATCH(Tbl_Long_Hydro[[#This Row],[Draught]],Tbl_Long_Definition[H k-bott],1)</f>
        <v>#N/A</v>
      </c>
      <c r="Z92"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92" s="888" t="e">
        <f>IF(ISNA(Tbl_Long_Hydro[[#This Row],[Draught]]),NA(),IFERROR(INDEX(Tbl_Long_Definition[X],Tbl_Long_Hydro[[#This Row],[Aft Nline prev]]),0))</f>
        <v>#N/A</v>
      </c>
      <c r="AB92" s="889" t="e">
        <f>IF(ISNA(Tbl_Long_Hydro[[#This Row],[Draught]]),NA(),IFERROR(INDEX(Tbl_Long_Definition[X],Tbl_Long_Hydro[[#This Row],[Aft Nline next]]),0))</f>
        <v>#N/A</v>
      </c>
      <c r="AC92" s="889" t="e">
        <f>IF(ISNA(Tbl_Long_Hydro[[#This Row],[Draught]]),NA(),INDEX(Tbl_Long_Definition[H k-bott],Tbl_Long_Hydro[[#This Row],[Aft Nline prev]]))</f>
        <v>#N/A</v>
      </c>
      <c r="AD92" s="889" t="e">
        <f>IF(ISNA(Tbl_Long_Hydro[[#This Row],[Draught]]),NA(),INDEX(Tbl_Long_Definition[H k-bott],Tbl_Long_Hydro[[#This Row],[Aft Nline next]]))</f>
        <v>#N/A</v>
      </c>
      <c r="AE92" s="888" t="e">
        <f>IF(ISNA(Tbl_Long_Hydro[[#This Row],[Draught]]),NA(),IFERROR(INDEX(Tbl_Long_Definition[X],Tbl_Long_Hydro[[#This Row],[Fore Nline prev]]),0))</f>
        <v>#N/A</v>
      </c>
      <c r="AF92" s="889" t="e">
        <f>IF(ISNA(Tbl_Long_Hydro[[#This Row],[Draught]]),NA(),IFERROR(INDEX(Tbl_Long_Definition[X],Tbl_Long_Hydro[[#This Row],[Fore Nline next]]),0))</f>
        <v>#N/A</v>
      </c>
      <c r="AG92" s="889" t="e">
        <f>IF(ISNA(Tbl_Long_Hydro[[#This Row],[Draught]]),NA(),INDEX(Tbl_Long_Definition[H k-bott],Tbl_Long_Hydro[[#This Row],[Fore Nline prev]]))</f>
        <v>#N/A</v>
      </c>
      <c r="AH92" s="890" t="e">
        <f>IF(ISNA(Tbl_Long_Hydro[[#This Row],[Draught]]),NA(),INDEX(Tbl_Long_Definition[H k-bott],Tbl_Long_Hydro[[#This Row],[Fore Nline next]]))</f>
        <v>#N/A</v>
      </c>
      <c r="AI92"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92"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92" s="894" t="e">
        <f>Tbl_Long_Hydro[[#This Row],[Fore X]]-Tbl_Long_Hydro[[#This Row],[Aft X]]</f>
        <v>#N/A</v>
      </c>
      <c r="AL92" s="884" t="e">
        <f>Tbl_Long_Hydro[[#This Row],[LX]]*B</f>
        <v>#N/A</v>
      </c>
      <c r="AM92" s="892" t="e">
        <f>IF(ISNUMBER(AM91),(AK91+Tbl_Long_Hydro[[#This Row],[LX]])*(Tbl_Long_Hydro[[#This Row],[Draught]]-V91)/2*B,(Tbl_Long_Hydro[[#This Row],[LX]])*Tbl_Long_Hydro[[#This Row],[Draught]]*B)</f>
        <v>#N/A</v>
      </c>
      <c r="AN92" s="899" t="e">
        <f>Tbl_Long_Hydro[[#This Row],[Aft X]]+Tbl_Long_Hydro[[#This Row],[LX]]/2</f>
        <v>#N/A</v>
      </c>
      <c r="AO92" s="876" t="e">
        <f>IF(ISNUMBER(AO91),(2*Tbl_Long_Hydro[[#This Row],[LX]]+AK91)/(Tbl_Long_Hydro[[#This Row],[LX]]+AK91)*(Tbl_Long_Hydro[[#This Row],[Draught]]-V91)/3+V91,Tbl_Long_Hydro[[#This Row],[Draught]]/2)</f>
        <v>#N/A</v>
      </c>
      <c r="AP92" s="898" t="e">
        <f>IF(ISNUMBER(AP91),Tbl_Long_Hydro[[#This Row],[Volume elt]]+AP91,Tbl_Long_Hydro[[#This Row],[Volume elt]]*AO$4)</f>
        <v>#N/A</v>
      </c>
      <c r="AQ92" s="893" t="e">
        <f>IF(ISNUMBER(AQ91),Tbl_Long_Hydro[[#This Row],[Displacement]]*AQ$4,IF(ISNA(AQ91),NA(),0))</f>
        <v>#N/A</v>
      </c>
      <c r="AR92" s="900" t="e">
        <f>IF(ISNA(Tbl_Long_Hydro[[#This Row],[Draught]]),NA(),IFERROR(Tbl_Long_Hydro[[#This Row],[LX]]*B^3/12/Tbl_Long_Hydro[[#This Row],[Displacement]],0))</f>
        <v>#N/A</v>
      </c>
      <c r="AS92" s="903" t="e">
        <f>IF(ISNA(Tbl_Long_Hydro[[#This Row],[Draught]]),NA(),IFERROR((B*Tbl_Long_Hydro[[#This Row],[LX]]^3/12+(Tbl_Long_Hydro[[#This Row],[LCF]]-Tbl_Long_Hydro[[#This Row],[LCB]])*Tbl_Long_Hydro[[#This Row],[Waterplane area]]*Tbl_Long_Hydro[[#This Row],[LCF]]^2)/Tbl_Long_Hydro[[#This Row],[Displacement]],0))</f>
        <v>#N/A</v>
      </c>
      <c r="AT92" s="900" t="e">
        <f>Tbl_Long_Hydro[[#This Row],[Aft X]]+Tbl_Long_Hydro[[#This Row],[LX]]/2</f>
        <v>#N/A</v>
      </c>
      <c r="AU92" s="901" t="e">
        <f>IF(ISNUMBER(AU91),(AU91*AP91+Tbl_Long_Hydro[[#This Row],[X CoG elt]]*Tbl_Long_Hydro[[#This Row],[Volume elt]])/Tbl_Long_Hydro[[#This Row],[Displacement]],Tbl_Long_Hydro[[#This Row],[X CoG elt]])</f>
        <v>#N/A</v>
      </c>
      <c r="AV92" s="902" t="e">
        <f>IF(ISNA(Tbl_Long_Hydro[[#This Row],[Draught]]),NA(),0)</f>
        <v>#N/A</v>
      </c>
      <c r="AW92" s="876" t="e">
        <f>IF(ISNUMBER(AW91),(AW91*AP91+Tbl_Long_Hydro[[#This Row],[Z CoG elt]]*Tbl_Long_Hydro[[#This Row],[Volume elt]])/Tbl_Long_Hydro[[#This Row],[Displacement]],Tbl_Long_Hydro[[#This Row],[Z CoG elt]])</f>
        <v>#N/A</v>
      </c>
      <c r="AX92" s="899" t="e">
        <f>Tbl_Long_Hydro[[#This Row],[RMT]]+Tbl_Long_Hydro[[#This Row],[VCB]]</f>
        <v>#N/A</v>
      </c>
      <c r="AY92" s="904" t="e">
        <f>Tbl_Long_Hydro[[#This Row],[Displacement]]*Tbl_Long_Hydro[[#This Row],[RML]]/(100*Lpp)</f>
        <v>#N/A</v>
      </c>
      <c r="AZ92" s="956" t="e">
        <f>Tbl_Long_Hydro[[#This Row],[Draught]]</f>
        <v>#N/A</v>
      </c>
      <c r="BA92" s="959" t="e">
        <f>Tbl_Long_Hydro[[#This Row],[Displacement]]</f>
        <v>#N/A</v>
      </c>
      <c r="BB92" s="960" t="e">
        <f>Tbl_Long_Hydro[[#This Row],[Displac. SW]]</f>
        <v>#N/A</v>
      </c>
      <c r="BC92" s="964" t="e">
        <f>Tbl_Long_Hydro[[#This Row],[Waterplane area]]/100*$AQ$4</f>
        <v>#N/A</v>
      </c>
      <c r="BD92" s="961" t="e">
        <f>Tbl_Long_Hydro[[#This Row],[MCT]]</f>
        <v>#N/A</v>
      </c>
      <c r="BE92" s="962" t="e">
        <f>Tbl_Long_Hydro[[#This Row],[LCB]]</f>
        <v>#N/A</v>
      </c>
      <c r="BF92" s="962" t="e">
        <f>Tbl_Long_Hydro[[#This Row],[TCB]]</f>
        <v>#N/A</v>
      </c>
      <c r="BG92" s="962" t="e">
        <f>Tbl_Long_Hydro[[#This Row],[LCF]]</f>
        <v>#N/A</v>
      </c>
      <c r="BH92" s="963" t="e">
        <f>Tbl_Long_Hydro[[#This Row],[KMT]]</f>
        <v>#N/A</v>
      </c>
    </row>
    <row r="93" spans="11:60" x14ac:dyDescent="0.25">
      <c r="K93" s="156">
        <f t="shared" si="5"/>
        <v>87</v>
      </c>
      <c r="L93" s="164">
        <f t="shared" si="6"/>
        <v>43.5</v>
      </c>
      <c r="M93" s="163">
        <f>MATCH(Tbl_Long_Section[[#This Row],[X]],Tbl_Long_Definition[X],1)</f>
        <v>2</v>
      </c>
      <c r="N93" s="157">
        <f>IF(Tbl_Long_Section[[#This Row],[Nline Prev]]&lt;COUNT(Tbl_Long_Definition[X]),Tbl_Long_Section[[#This Row],[Nline Prev]]+1,Tbl_Long_Section[[#This Row],[Nline Prev]])</f>
        <v>3</v>
      </c>
      <c r="O93" s="162">
        <f>INDEX(Tbl_Long_Definition[X],Tbl_Long_Section[[#This Row],[Nline Prev]])</f>
        <v>5</v>
      </c>
      <c r="P93" s="159">
        <f>INDEX(Tbl_Long_Definition[X],Tbl_Long_Section[[#This Row],[Nline Next]])</f>
        <v>55</v>
      </c>
      <c r="Q93" s="160">
        <f>INDEX(Tbl_Long_Definition[H Deck-Bott.],Tbl_Long_Section[[#This Row],[Nline Prev]])</f>
        <v>4</v>
      </c>
      <c r="R93" s="161">
        <f>INDEX(Tbl_Long_Definition[H Deck-Bott.],Tbl_Long_Section[[#This Row],[Nline Next]])</f>
        <v>4</v>
      </c>
      <c r="S93"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93" s="8"/>
      <c r="V93" s="873" t="e">
        <f t="shared" si="7"/>
        <v>#N/A</v>
      </c>
      <c r="W93" s="885" t="e">
        <f>MATCH(Tbl_Long_Hydro[[#This Row],[Draught]],Tbl_Long_Definition[H k-bott],-1)</f>
        <v>#N/A</v>
      </c>
      <c r="X93"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93" s="886" t="e">
        <f>MATCH(Tbl_Long_Hydro[[#This Row],[Draught]],Tbl_Long_Definition[H k-bott],1)</f>
        <v>#N/A</v>
      </c>
      <c r="Z93"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93" s="888" t="e">
        <f>IF(ISNA(Tbl_Long_Hydro[[#This Row],[Draught]]),NA(),IFERROR(INDEX(Tbl_Long_Definition[X],Tbl_Long_Hydro[[#This Row],[Aft Nline prev]]),0))</f>
        <v>#N/A</v>
      </c>
      <c r="AB93" s="889" t="e">
        <f>IF(ISNA(Tbl_Long_Hydro[[#This Row],[Draught]]),NA(),IFERROR(INDEX(Tbl_Long_Definition[X],Tbl_Long_Hydro[[#This Row],[Aft Nline next]]),0))</f>
        <v>#N/A</v>
      </c>
      <c r="AC93" s="889" t="e">
        <f>IF(ISNA(Tbl_Long_Hydro[[#This Row],[Draught]]),NA(),INDEX(Tbl_Long_Definition[H k-bott],Tbl_Long_Hydro[[#This Row],[Aft Nline prev]]))</f>
        <v>#N/A</v>
      </c>
      <c r="AD93" s="889" t="e">
        <f>IF(ISNA(Tbl_Long_Hydro[[#This Row],[Draught]]),NA(),INDEX(Tbl_Long_Definition[H k-bott],Tbl_Long_Hydro[[#This Row],[Aft Nline next]]))</f>
        <v>#N/A</v>
      </c>
      <c r="AE93" s="888" t="e">
        <f>IF(ISNA(Tbl_Long_Hydro[[#This Row],[Draught]]),NA(),IFERROR(INDEX(Tbl_Long_Definition[X],Tbl_Long_Hydro[[#This Row],[Fore Nline prev]]),0))</f>
        <v>#N/A</v>
      </c>
      <c r="AF93" s="889" t="e">
        <f>IF(ISNA(Tbl_Long_Hydro[[#This Row],[Draught]]),NA(),IFERROR(INDEX(Tbl_Long_Definition[X],Tbl_Long_Hydro[[#This Row],[Fore Nline next]]),0))</f>
        <v>#N/A</v>
      </c>
      <c r="AG93" s="889" t="e">
        <f>IF(ISNA(Tbl_Long_Hydro[[#This Row],[Draught]]),NA(),INDEX(Tbl_Long_Definition[H k-bott],Tbl_Long_Hydro[[#This Row],[Fore Nline prev]]))</f>
        <v>#N/A</v>
      </c>
      <c r="AH93" s="890" t="e">
        <f>IF(ISNA(Tbl_Long_Hydro[[#This Row],[Draught]]),NA(),INDEX(Tbl_Long_Definition[H k-bott],Tbl_Long_Hydro[[#This Row],[Fore Nline next]]))</f>
        <v>#N/A</v>
      </c>
      <c r="AI93"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93"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93" s="894" t="e">
        <f>Tbl_Long_Hydro[[#This Row],[Fore X]]-Tbl_Long_Hydro[[#This Row],[Aft X]]</f>
        <v>#N/A</v>
      </c>
      <c r="AL93" s="884" t="e">
        <f>Tbl_Long_Hydro[[#This Row],[LX]]*B</f>
        <v>#N/A</v>
      </c>
      <c r="AM93" s="892" t="e">
        <f>IF(ISNUMBER(AM92),(AK92+Tbl_Long_Hydro[[#This Row],[LX]])*(Tbl_Long_Hydro[[#This Row],[Draught]]-V92)/2*B,(Tbl_Long_Hydro[[#This Row],[LX]])*Tbl_Long_Hydro[[#This Row],[Draught]]*B)</f>
        <v>#N/A</v>
      </c>
      <c r="AN93" s="899" t="e">
        <f>Tbl_Long_Hydro[[#This Row],[Aft X]]+Tbl_Long_Hydro[[#This Row],[LX]]/2</f>
        <v>#N/A</v>
      </c>
      <c r="AO93" s="876" t="e">
        <f>IF(ISNUMBER(AO92),(2*Tbl_Long_Hydro[[#This Row],[LX]]+AK92)/(Tbl_Long_Hydro[[#This Row],[LX]]+AK92)*(Tbl_Long_Hydro[[#This Row],[Draught]]-V92)/3+V92,Tbl_Long_Hydro[[#This Row],[Draught]]/2)</f>
        <v>#N/A</v>
      </c>
      <c r="AP93" s="898" t="e">
        <f>IF(ISNUMBER(AP92),Tbl_Long_Hydro[[#This Row],[Volume elt]]+AP92,Tbl_Long_Hydro[[#This Row],[Volume elt]]*AO$4)</f>
        <v>#N/A</v>
      </c>
      <c r="AQ93" s="893" t="e">
        <f>IF(ISNUMBER(AQ92),Tbl_Long_Hydro[[#This Row],[Displacement]]*AQ$4,IF(ISNA(AQ92),NA(),0))</f>
        <v>#N/A</v>
      </c>
      <c r="AR93" s="900" t="e">
        <f>IF(ISNA(Tbl_Long_Hydro[[#This Row],[Draught]]),NA(),IFERROR(Tbl_Long_Hydro[[#This Row],[LX]]*B^3/12/Tbl_Long_Hydro[[#This Row],[Displacement]],0))</f>
        <v>#N/A</v>
      </c>
      <c r="AS93" s="903" t="e">
        <f>IF(ISNA(Tbl_Long_Hydro[[#This Row],[Draught]]),NA(),IFERROR((B*Tbl_Long_Hydro[[#This Row],[LX]]^3/12+(Tbl_Long_Hydro[[#This Row],[LCF]]-Tbl_Long_Hydro[[#This Row],[LCB]])*Tbl_Long_Hydro[[#This Row],[Waterplane area]]*Tbl_Long_Hydro[[#This Row],[LCF]]^2)/Tbl_Long_Hydro[[#This Row],[Displacement]],0))</f>
        <v>#N/A</v>
      </c>
      <c r="AT93" s="900" t="e">
        <f>Tbl_Long_Hydro[[#This Row],[Aft X]]+Tbl_Long_Hydro[[#This Row],[LX]]/2</f>
        <v>#N/A</v>
      </c>
      <c r="AU93" s="901" t="e">
        <f>IF(ISNUMBER(AU92),(AU92*AP92+Tbl_Long_Hydro[[#This Row],[X CoG elt]]*Tbl_Long_Hydro[[#This Row],[Volume elt]])/Tbl_Long_Hydro[[#This Row],[Displacement]],Tbl_Long_Hydro[[#This Row],[X CoG elt]])</f>
        <v>#N/A</v>
      </c>
      <c r="AV93" s="902" t="e">
        <f>IF(ISNA(Tbl_Long_Hydro[[#This Row],[Draught]]),NA(),0)</f>
        <v>#N/A</v>
      </c>
      <c r="AW93" s="876" t="e">
        <f>IF(ISNUMBER(AW92),(AW92*AP92+Tbl_Long_Hydro[[#This Row],[Z CoG elt]]*Tbl_Long_Hydro[[#This Row],[Volume elt]])/Tbl_Long_Hydro[[#This Row],[Displacement]],Tbl_Long_Hydro[[#This Row],[Z CoG elt]])</f>
        <v>#N/A</v>
      </c>
      <c r="AX93" s="899" t="e">
        <f>Tbl_Long_Hydro[[#This Row],[RMT]]+Tbl_Long_Hydro[[#This Row],[VCB]]</f>
        <v>#N/A</v>
      </c>
      <c r="AY93" s="904" t="e">
        <f>Tbl_Long_Hydro[[#This Row],[Displacement]]*Tbl_Long_Hydro[[#This Row],[RML]]/(100*Lpp)</f>
        <v>#N/A</v>
      </c>
      <c r="AZ93" s="956" t="e">
        <f>Tbl_Long_Hydro[[#This Row],[Draught]]</f>
        <v>#N/A</v>
      </c>
      <c r="BA93" s="959" t="e">
        <f>Tbl_Long_Hydro[[#This Row],[Displacement]]</f>
        <v>#N/A</v>
      </c>
      <c r="BB93" s="960" t="e">
        <f>Tbl_Long_Hydro[[#This Row],[Displac. SW]]</f>
        <v>#N/A</v>
      </c>
      <c r="BC93" s="964" t="e">
        <f>Tbl_Long_Hydro[[#This Row],[Waterplane area]]/100*$AQ$4</f>
        <v>#N/A</v>
      </c>
      <c r="BD93" s="961" t="e">
        <f>Tbl_Long_Hydro[[#This Row],[MCT]]</f>
        <v>#N/A</v>
      </c>
      <c r="BE93" s="962" t="e">
        <f>Tbl_Long_Hydro[[#This Row],[LCB]]</f>
        <v>#N/A</v>
      </c>
      <c r="BF93" s="962" t="e">
        <f>Tbl_Long_Hydro[[#This Row],[TCB]]</f>
        <v>#N/A</v>
      </c>
      <c r="BG93" s="962" t="e">
        <f>Tbl_Long_Hydro[[#This Row],[LCF]]</f>
        <v>#N/A</v>
      </c>
      <c r="BH93" s="963" t="e">
        <f>Tbl_Long_Hydro[[#This Row],[KMT]]</f>
        <v>#N/A</v>
      </c>
    </row>
    <row r="94" spans="11:60" x14ac:dyDescent="0.25">
      <c r="K94" s="156">
        <f t="shared" si="5"/>
        <v>88</v>
      </c>
      <c r="L94" s="164">
        <f t="shared" si="6"/>
        <v>44</v>
      </c>
      <c r="M94" s="163">
        <f>MATCH(Tbl_Long_Section[[#This Row],[X]],Tbl_Long_Definition[X],1)</f>
        <v>2</v>
      </c>
      <c r="N94" s="157">
        <f>IF(Tbl_Long_Section[[#This Row],[Nline Prev]]&lt;COUNT(Tbl_Long_Definition[X]),Tbl_Long_Section[[#This Row],[Nline Prev]]+1,Tbl_Long_Section[[#This Row],[Nline Prev]])</f>
        <v>3</v>
      </c>
      <c r="O94" s="162">
        <f>INDEX(Tbl_Long_Definition[X],Tbl_Long_Section[[#This Row],[Nline Prev]])</f>
        <v>5</v>
      </c>
      <c r="P94" s="159">
        <f>INDEX(Tbl_Long_Definition[X],Tbl_Long_Section[[#This Row],[Nline Next]])</f>
        <v>55</v>
      </c>
      <c r="Q94" s="160">
        <f>INDEX(Tbl_Long_Definition[H Deck-Bott.],Tbl_Long_Section[[#This Row],[Nline Prev]])</f>
        <v>4</v>
      </c>
      <c r="R94" s="161">
        <f>INDEX(Tbl_Long_Definition[H Deck-Bott.],Tbl_Long_Section[[#This Row],[Nline Next]])</f>
        <v>4</v>
      </c>
      <c r="S94"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94" s="8"/>
      <c r="V94" s="873" t="e">
        <f t="shared" si="7"/>
        <v>#N/A</v>
      </c>
      <c r="W94" s="885" t="e">
        <f>MATCH(Tbl_Long_Hydro[[#This Row],[Draught]],Tbl_Long_Definition[H k-bott],-1)</f>
        <v>#N/A</v>
      </c>
      <c r="X94"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94" s="886" t="e">
        <f>MATCH(Tbl_Long_Hydro[[#This Row],[Draught]],Tbl_Long_Definition[H k-bott],1)</f>
        <v>#N/A</v>
      </c>
      <c r="Z94"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94" s="888" t="e">
        <f>IF(ISNA(Tbl_Long_Hydro[[#This Row],[Draught]]),NA(),IFERROR(INDEX(Tbl_Long_Definition[X],Tbl_Long_Hydro[[#This Row],[Aft Nline prev]]),0))</f>
        <v>#N/A</v>
      </c>
      <c r="AB94" s="889" t="e">
        <f>IF(ISNA(Tbl_Long_Hydro[[#This Row],[Draught]]),NA(),IFERROR(INDEX(Tbl_Long_Definition[X],Tbl_Long_Hydro[[#This Row],[Aft Nline next]]),0))</f>
        <v>#N/A</v>
      </c>
      <c r="AC94" s="889" t="e">
        <f>IF(ISNA(Tbl_Long_Hydro[[#This Row],[Draught]]),NA(),INDEX(Tbl_Long_Definition[H k-bott],Tbl_Long_Hydro[[#This Row],[Aft Nline prev]]))</f>
        <v>#N/A</v>
      </c>
      <c r="AD94" s="889" t="e">
        <f>IF(ISNA(Tbl_Long_Hydro[[#This Row],[Draught]]),NA(),INDEX(Tbl_Long_Definition[H k-bott],Tbl_Long_Hydro[[#This Row],[Aft Nline next]]))</f>
        <v>#N/A</v>
      </c>
      <c r="AE94" s="888" t="e">
        <f>IF(ISNA(Tbl_Long_Hydro[[#This Row],[Draught]]),NA(),IFERROR(INDEX(Tbl_Long_Definition[X],Tbl_Long_Hydro[[#This Row],[Fore Nline prev]]),0))</f>
        <v>#N/A</v>
      </c>
      <c r="AF94" s="889" t="e">
        <f>IF(ISNA(Tbl_Long_Hydro[[#This Row],[Draught]]),NA(),IFERROR(INDEX(Tbl_Long_Definition[X],Tbl_Long_Hydro[[#This Row],[Fore Nline next]]),0))</f>
        <v>#N/A</v>
      </c>
      <c r="AG94" s="889" t="e">
        <f>IF(ISNA(Tbl_Long_Hydro[[#This Row],[Draught]]),NA(),INDEX(Tbl_Long_Definition[H k-bott],Tbl_Long_Hydro[[#This Row],[Fore Nline prev]]))</f>
        <v>#N/A</v>
      </c>
      <c r="AH94" s="890" t="e">
        <f>IF(ISNA(Tbl_Long_Hydro[[#This Row],[Draught]]),NA(),INDEX(Tbl_Long_Definition[H k-bott],Tbl_Long_Hydro[[#This Row],[Fore Nline next]]))</f>
        <v>#N/A</v>
      </c>
      <c r="AI94"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94"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94" s="894" t="e">
        <f>Tbl_Long_Hydro[[#This Row],[Fore X]]-Tbl_Long_Hydro[[#This Row],[Aft X]]</f>
        <v>#N/A</v>
      </c>
      <c r="AL94" s="884" t="e">
        <f>Tbl_Long_Hydro[[#This Row],[LX]]*B</f>
        <v>#N/A</v>
      </c>
      <c r="AM94" s="892" t="e">
        <f>IF(ISNUMBER(AM93),(AK93+Tbl_Long_Hydro[[#This Row],[LX]])*(Tbl_Long_Hydro[[#This Row],[Draught]]-V93)/2*B,(Tbl_Long_Hydro[[#This Row],[LX]])*Tbl_Long_Hydro[[#This Row],[Draught]]*B)</f>
        <v>#N/A</v>
      </c>
      <c r="AN94" s="899" t="e">
        <f>Tbl_Long_Hydro[[#This Row],[Aft X]]+Tbl_Long_Hydro[[#This Row],[LX]]/2</f>
        <v>#N/A</v>
      </c>
      <c r="AO94" s="876" t="e">
        <f>IF(ISNUMBER(AO93),(2*Tbl_Long_Hydro[[#This Row],[LX]]+AK93)/(Tbl_Long_Hydro[[#This Row],[LX]]+AK93)*(Tbl_Long_Hydro[[#This Row],[Draught]]-V93)/3+V93,Tbl_Long_Hydro[[#This Row],[Draught]]/2)</f>
        <v>#N/A</v>
      </c>
      <c r="AP94" s="898" t="e">
        <f>IF(ISNUMBER(AP93),Tbl_Long_Hydro[[#This Row],[Volume elt]]+AP93,Tbl_Long_Hydro[[#This Row],[Volume elt]]*AO$4)</f>
        <v>#N/A</v>
      </c>
      <c r="AQ94" s="893" t="e">
        <f>IF(ISNUMBER(AQ93),Tbl_Long_Hydro[[#This Row],[Displacement]]*AQ$4,IF(ISNA(AQ93),NA(),0))</f>
        <v>#N/A</v>
      </c>
      <c r="AR94" s="900" t="e">
        <f>IF(ISNA(Tbl_Long_Hydro[[#This Row],[Draught]]),NA(),IFERROR(Tbl_Long_Hydro[[#This Row],[LX]]*B^3/12/Tbl_Long_Hydro[[#This Row],[Displacement]],0))</f>
        <v>#N/A</v>
      </c>
      <c r="AS94" s="903" t="e">
        <f>IF(ISNA(Tbl_Long_Hydro[[#This Row],[Draught]]),NA(),IFERROR((B*Tbl_Long_Hydro[[#This Row],[LX]]^3/12+(Tbl_Long_Hydro[[#This Row],[LCF]]-Tbl_Long_Hydro[[#This Row],[LCB]])*Tbl_Long_Hydro[[#This Row],[Waterplane area]]*Tbl_Long_Hydro[[#This Row],[LCF]]^2)/Tbl_Long_Hydro[[#This Row],[Displacement]],0))</f>
        <v>#N/A</v>
      </c>
      <c r="AT94" s="900" t="e">
        <f>Tbl_Long_Hydro[[#This Row],[Aft X]]+Tbl_Long_Hydro[[#This Row],[LX]]/2</f>
        <v>#N/A</v>
      </c>
      <c r="AU94" s="901" t="e">
        <f>IF(ISNUMBER(AU93),(AU93*AP93+Tbl_Long_Hydro[[#This Row],[X CoG elt]]*Tbl_Long_Hydro[[#This Row],[Volume elt]])/Tbl_Long_Hydro[[#This Row],[Displacement]],Tbl_Long_Hydro[[#This Row],[X CoG elt]])</f>
        <v>#N/A</v>
      </c>
      <c r="AV94" s="902" t="e">
        <f>IF(ISNA(Tbl_Long_Hydro[[#This Row],[Draught]]),NA(),0)</f>
        <v>#N/A</v>
      </c>
      <c r="AW94" s="876" t="e">
        <f>IF(ISNUMBER(AW93),(AW93*AP93+Tbl_Long_Hydro[[#This Row],[Z CoG elt]]*Tbl_Long_Hydro[[#This Row],[Volume elt]])/Tbl_Long_Hydro[[#This Row],[Displacement]],Tbl_Long_Hydro[[#This Row],[Z CoG elt]])</f>
        <v>#N/A</v>
      </c>
      <c r="AX94" s="899" t="e">
        <f>Tbl_Long_Hydro[[#This Row],[RMT]]+Tbl_Long_Hydro[[#This Row],[VCB]]</f>
        <v>#N/A</v>
      </c>
      <c r="AY94" s="904" t="e">
        <f>Tbl_Long_Hydro[[#This Row],[Displacement]]*Tbl_Long_Hydro[[#This Row],[RML]]/(100*Lpp)</f>
        <v>#N/A</v>
      </c>
      <c r="AZ94" s="956" t="e">
        <f>Tbl_Long_Hydro[[#This Row],[Draught]]</f>
        <v>#N/A</v>
      </c>
      <c r="BA94" s="959" t="e">
        <f>Tbl_Long_Hydro[[#This Row],[Displacement]]</f>
        <v>#N/A</v>
      </c>
      <c r="BB94" s="960" t="e">
        <f>Tbl_Long_Hydro[[#This Row],[Displac. SW]]</f>
        <v>#N/A</v>
      </c>
      <c r="BC94" s="964" t="e">
        <f>Tbl_Long_Hydro[[#This Row],[Waterplane area]]/100*$AQ$4</f>
        <v>#N/A</v>
      </c>
      <c r="BD94" s="961" t="e">
        <f>Tbl_Long_Hydro[[#This Row],[MCT]]</f>
        <v>#N/A</v>
      </c>
      <c r="BE94" s="962" t="e">
        <f>Tbl_Long_Hydro[[#This Row],[LCB]]</f>
        <v>#N/A</v>
      </c>
      <c r="BF94" s="962" t="e">
        <f>Tbl_Long_Hydro[[#This Row],[TCB]]</f>
        <v>#N/A</v>
      </c>
      <c r="BG94" s="962" t="e">
        <f>Tbl_Long_Hydro[[#This Row],[LCF]]</f>
        <v>#N/A</v>
      </c>
      <c r="BH94" s="963" t="e">
        <f>Tbl_Long_Hydro[[#This Row],[KMT]]</f>
        <v>#N/A</v>
      </c>
    </row>
    <row r="95" spans="11:60" x14ac:dyDescent="0.25">
      <c r="K95" s="156">
        <f t="shared" si="5"/>
        <v>89</v>
      </c>
      <c r="L95" s="164">
        <f t="shared" si="6"/>
        <v>44.5</v>
      </c>
      <c r="M95" s="163">
        <f>MATCH(Tbl_Long_Section[[#This Row],[X]],Tbl_Long_Definition[X],1)</f>
        <v>2</v>
      </c>
      <c r="N95" s="157">
        <f>IF(Tbl_Long_Section[[#This Row],[Nline Prev]]&lt;COUNT(Tbl_Long_Definition[X]),Tbl_Long_Section[[#This Row],[Nline Prev]]+1,Tbl_Long_Section[[#This Row],[Nline Prev]])</f>
        <v>3</v>
      </c>
      <c r="O95" s="162">
        <f>INDEX(Tbl_Long_Definition[X],Tbl_Long_Section[[#This Row],[Nline Prev]])</f>
        <v>5</v>
      </c>
      <c r="P95" s="159">
        <f>INDEX(Tbl_Long_Definition[X],Tbl_Long_Section[[#This Row],[Nline Next]])</f>
        <v>55</v>
      </c>
      <c r="Q95" s="160">
        <f>INDEX(Tbl_Long_Definition[H Deck-Bott.],Tbl_Long_Section[[#This Row],[Nline Prev]])</f>
        <v>4</v>
      </c>
      <c r="R95" s="161">
        <f>INDEX(Tbl_Long_Definition[H Deck-Bott.],Tbl_Long_Section[[#This Row],[Nline Next]])</f>
        <v>4</v>
      </c>
      <c r="S95"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95" s="8"/>
      <c r="V95" s="873" t="e">
        <f t="shared" si="7"/>
        <v>#N/A</v>
      </c>
      <c r="W95" s="885" t="e">
        <f>MATCH(Tbl_Long_Hydro[[#This Row],[Draught]],Tbl_Long_Definition[H k-bott],-1)</f>
        <v>#N/A</v>
      </c>
      <c r="X95"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95" s="886" t="e">
        <f>MATCH(Tbl_Long_Hydro[[#This Row],[Draught]],Tbl_Long_Definition[H k-bott],1)</f>
        <v>#N/A</v>
      </c>
      <c r="Z95"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95" s="888" t="e">
        <f>IF(ISNA(Tbl_Long_Hydro[[#This Row],[Draught]]),NA(),IFERROR(INDEX(Tbl_Long_Definition[X],Tbl_Long_Hydro[[#This Row],[Aft Nline prev]]),0))</f>
        <v>#N/A</v>
      </c>
      <c r="AB95" s="889" t="e">
        <f>IF(ISNA(Tbl_Long_Hydro[[#This Row],[Draught]]),NA(),IFERROR(INDEX(Tbl_Long_Definition[X],Tbl_Long_Hydro[[#This Row],[Aft Nline next]]),0))</f>
        <v>#N/A</v>
      </c>
      <c r="AC95" s="889" t="e">
        <f>IF(ISNA(Tbl_Long_Hydro[[#This Row],[Draught]]),NA(),INDEX(Tbl_Long_Definition[H k-bott],Tbl_Long_Hydro[[#This Row],[Aft Nline prev]]))</f>
        <v>#N/A</v>
      </c>
      <c r="AD95" s="889" t="e">
        <f>IF(ISNA(Tbl_Long_Hydro[[#This Row],[Draught]]),NA(),INDEX(Tbl_Long_Definition[H k-bott],Tbl_Long_Hydro[[#This Row],[Aft Nline next]]))</f>
        <v>#N/A</v>
      </c>
      <c r="AE95" s="888" t="e">
        <f>IF(ISNA(Tbl_Long_Hydro[[#This Row],[Draught]]),NA(),IFERROR(INDEX(Tbl_Long_Definition[X],Tbl_Long_Hydro[[#This Row],[Fore Nline prev]]),0))</f>
        <v>#N/A</v>
      </c>
      <c r="AF95" s="889" t="e">
        <f>IF(ISNA(Tbl_Long_Hydro[[#This Row],[Draught]]),NA(),IFERROR(INDEX(Tbl_Long_Definition[X],Tbl_Long_Hydro[[#This Row],[Fore Nline next]]),0))</f>
        <v>#N/A</v>
      </c>
      <c r="AG95" s="889" t="e">
        <f>IF(ISNA(Tbl_Long_Hydro[[#This Row],[Draught]]),NA(),INDEX(Tbl_Long_Definition[H k-bott],Tbl_Long_Hydro[[#This Row],[Fore Nline prev]]))</f>
        <v>#N/A</v>
      </c>
      <c r="AH95" s="890" t="e">
        <f>IF(ISNA(Tbl_Long_Hydro[[#This Row],[Draught]]),NA(),INDEX(Tbl_Long_Definition[H k-bott],Tbl_Long_Hydro[[#This Row],[Fore Nline next]]))</f>
        <v>#N/A</v>
      </c>
      <c r="AI95"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95"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95" s="894" t="e">
        <f>Tbl_Long_Hydro[[#This Row],[Fore X]]-Tbl_Long_Hydro[[#This Row],[Aft X]]</f>
        <v>#N/A</v>
      </c>
      <c r="AL95" s="884" t="e">
        <f>Tbl_Long_Hydro[[#This Row],[LX]]*B</f>
        <v>#N/A</v>
      </c>
      <c r="AM95" s="892" t="e">
        <f>IF(ISNUMBER(AM94),(AK94+Tbl_Long_Hydro[[#This Row],[LX]])*(Tbl_Long_Hydro[[#This Row],[Draught]]-V94)/2*B,(Tbl_Long_Hydro[[#This Row],[LX]])*Tbl_Long_Hydro[[#This Row],[Draught]]*B)</f>
        <v>#N/A</v>
      </c>
      <c r="AN95" s="899" t="e">
        <f>Tbl_Long_Hydro[[#This Row],[Aft X]]+Tbl_Long_Hydro[[#This Row],[LX]]/2</f>
        <v>#N/A</v>
      </c>
      <c r="AO95" s="876" t="e">
        <f>IF(ISNUMBER(AO94),(2*Tbl_Long_Hydro[[#This Row],[LX]]+AK94)/(Tbl_Long_Hydro[[#This Row],[LX]]+AK94)*(Tbl_Long_Hydro[[#This Row],[Draught]]-V94)/3+V94,Tbl_Long_Hydro[[#This Row],[Draught]]/2)</f>
        <v>#N/A</v>
      </c>
      <c r="AP95" s="898" t="e">
        <f>IF(ISNUMBER(AP94),Tbl_Long_Hydro[[#This Row],[Volume elt]]+AP94,Tbl_Long_Hydro[[#This Row],[Volume elt]]*AO$4)</f>
        <v>#N/A</v>
      </c>
      <c r="AQ95" s="893" t="e">
        <f>IF(ISNUMBER(AQ94),Tbl_Long_Hydro[[#This Row],[Displacement]]*AQ$4,IF(ISNA(AQ94),NA(),0))</f>
        <v>#N/A</v>
      </c>
      <c r="AR95" s="900" t="e">
        <f>IF(ISNA(Tbl_Long_Hydro[[#This Row],[Draught]]),NA(),IFERROR(Tbl_Long_Hydro[[#This Row],[LX]]*B^3/12/Tbl_Long_Hydro[[#This Row],[Displacement]],0))</f>
        <v>#N/A</v>
      </c>
      <c r="AS95" s="903" t="e">
        <f>IF(ISNA(Tbl_Long_Hydro[[#This Row],[Draught]]),NA(),IFERROR((B*Tbl_Long_Hydro[[#This Row],[LX]]^3/12+(Tbl_Long_Hydro[[#This Row],[LCF]]-Tbl_Long_Hydro[[#This Row],[LCB]])*Tbl_Long_Hydro[[#This Row],[Waterplane area]]*Tbl_Long_Hydro[[#This Row],[LCF]]^2)/Tbl_Long_Hydro[[#This Row],[Displacement]],0))</f>
        <v>#N/A</v>
      </c>
      <c r="AT95" s="900" t="e">
        <f>Tbl_Long_Hydro[[#This Row],[Aft X]]+Tbl_Long_Hydro[[#This Row],[LX]]/2</f>
        <v>#N/A</v>
      </c>
      <c r="AU95" s="901" t="e">
        <f>IF(ISNUMBER(AU94),(AU94*AP94+Tbl_Long_Hydro[[#This Row],[X CoG elt]]*Tbl_Long_Hydro[[#This Row],[Volume elt]])/Tbl_Long_Hydro[[#This Row],[Displacement]],Tbl_Long_Hydro[[#This Row],[X CoG elt]])</f>
        <v>#N/A</v>
      </c>
      <c r="AV95" s="902" t="e">
        <f>IF(ISNA(Tbl_Long_Hydro[[#This Row],[Draught]]),NA(),0)</f>
        <v>#N/A</v>
      </c>
      <c r="AW95" s="876" t="e">
        <f>IF(ISNUMBER(AW94),(AW94*AP94+Tbl_Long_Hydro[[#This Row],[Z CoG elt]]*Tbl_Long_Hydro[[#This Row],[Volume elt]])/Tbl_Long_Hydro[[#This Row],[Displacement]],Tbl_Long_Hydro[[#This Row],[Z CoG elt]])</f>
        <v>#N/A</v>
      </c>
      <c r="AX95" s="899" t="e">
        <f>Tbl_Long_Hydro[[#This Row],[RMT]]+Tbl_Long_Hydro[[#This Row],[VCB]]</f>
        <v>#N/A</v>
      </c>
      <c r="AY95" s="904" t="e">
        <f>Tbl_Long_Hydro[[#This Row],[Displacement]]*Tbl_Long_Hydro[[#This Row],[RML]]/(100*Lpp)</f>
        <v>#N/A</v>
      </c>
      <c r="AZ95" s="956" t="e">
        <f>Tbl_Long_Hydro[[#This Row],[Draught]]</f>
        <v>#N/A</v>
      </c>
      <c r="BA95" s="959" t="e">
        <f>Tbl_Long_Hydro[[#This Row],[Displacement]]</f>
        <v>#N/A</v>
      </c>
      <c r="BB95" s="960" t="e">
        <f>Tbl_Long_Hydro[[#This Row],[Displac. SW]]</f>
        <v>#N/A</v>
      </c>
      <c r="BC95" s="964" t="e">
        <f>Tbl_Long_Hydro[[#This Row],[Waterplane area]]/100*$AQ$4</f>
        <v>#N/A</v>
      </c>
      <c r="BD95" s="961" t="e">
        <f>Tbl_Long_Hydro[[#This Row],[MCT]]</f>
        <v>#N/A</v>
      </c>
      <c r="BE95" s="962" t="e">
        <f>Tbl_Long_Hydro[[#This Row],[LCB]]</f>
        <v>#N/A</v>
      </c>
      <c r="BF95" s="962" t="e">
        <f>Tbl_Long_Hydro[[#This Row],[TCB]]</f>
        <v>#N/A</v>
      </c>
      <c r="BG95" s="962" t="e">
        <f>Tbl_Long_Hydro[[#This Row],[LCF]]</f>
        <v>#N/A</v>
      </c>
      <c r="BH95" s="963" t="e">
        <f>Tbl_Long_Hydro[[#This Row],[KMT]]</f>
        <v>#N/A</v>
      </c>
    </row>
    <row r="96" spans="11:60" x14ac:dyDescent="0.25">
      <c r="K96" s="156">
        <f t="shared" si="5"/>
        <v>90</v>
      </c>
      <c r="L96" s="164">
        <f t="shared" si="6"/>
        <v>45</v>
      </c>
      <c r="M96" s="163">
        <f>MATCH(Tbl_Long_Section[[#This Row],[X]],Tbl_Long_Definition[X],1)</f>
        <v>2</v>
      </c>
      <c r="N96" s="157">
        <f>IF(Tbl_Long_Section[[#This Row],[Nline Prev]]&lt;COUNT(Tbl_Long_Definition[X]),Tbl_Long_Section[[#This Row],[Nline Prev]]+1,Tbl_Long_Section[[#This Row],[Nline Prev]])</f>
        <v>3</v>
      </c>
      <c r="O96" s="162">
        <f>INDEX(Tbl_Long_Definition[X],Tbl_Long_Section[[#This Row],[Nline Prev]])</f>
        <v>5</v>
      </c>
      <c r="P96" s="159">
        <f>INDEX(Tbl_Long_Definition[X],Tbl_Long_Section[[#This Row],[Nline Next]])</f>
        <v>55</v>
      </c>
      <c r="Q96" s="160">
        <f>INDEX(Tbl_Long_Definition[H Deck-Bott.],Tbl_Long_Section[[#This Row],[Nline Prev]])</f>
        <v>4</v>
      </c>
      <c r="R96" s="161">
        <f>INDEX(Tbl_Long_Definition[H Deck-Bott.],Tbl_Long_Section[[#This Row],[Nline Next]])</f>
        <v>4</v>
      </c>
      <c r="S96"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96" s="8"/>
      <c r="V96" s="873" t="e">
        <f t="shared" si="7"/>
        <v>#N/A</v>
      </c>
      <c r="W96" s="885" t="e">
        <f>MATCH(Tbl_Long_Hydro[[#This Row],[Draught]],Tbl_Long_Definition[H k-bott],-1)</f>
        <v>#N/A</v>
      </c>
      <c r="X96"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96" s="886" t="e">
        <f>MATCH(Tbl_Long_Hydro[[#This Row],[Draught]],Tbl_Long_Definition[H k-bott],1)</f>
        <v>#N/A</v>
      </c>
      <c r="Z96"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96" s="888" t="e">
        <f>IF(ISNA(Tbl_Long_Hydro[[#This Row],[Draught]]),NA(),IFERROR(INDEX(Tbl_Long_Definition[X],Tbl_Long_Hydro[[#This Row],[Aft Nline prev]]),0))</f>
        <v>#N/A</v>
      </c>
      <c r="AB96" s="889" t="e">
        <f>IF(ISNA(Tbl_Long_Hydro[[#This Row],[Draught]]),NA(),IFERROR(INDEX(Tbl_Long_Definition[X],Tbl_Long_Hydro[[#This Row],[Aft Nline next]]),0))</f>
        <v>#N/A</v>
      </c>
      <c r="AC96" s="889" t="e">
        <f>IF(ISNA(Tbl_Long_Hydro[[#This Row],[Draught]]),NA(),INDEX(Tbl_Long_Definition[H k-bott],Tbl_Long_Hydro[[#This Row],[Aft Nline prev]]))</f>
        <v>#N/A</v>
      </c>
      <c r="AD96" s="889" t="e">
        <f>IF(ISNA(Tbl_Long_Hydro[[#This Row],[Draught]]),NA(),INDEX(Tbl_Long_Definition[H k-bott],Tbl_Long_Hydro[[#This Row],[Aft Nline next]]))</f>
        <v>#N/A</v>
      </c>
      <c r="AE96" s="888" t="e">
        <f>IF(ISNA(Tbl_Long_Hydro[[#This Row],[Draught]]),NA(),IFERROR(INDEX(Tbl_Long_Definition[X],Tbl_Long_Hydro[[#This Row],[Fore Nline prev]]),0))</f>
        <v>#N/A</v>
      </c>
      <c r="AF96" s="889" t="e">
        <f>IF(ISNA(Tbl_Long_Hydro[[#This Row],[Draught]]),NA(),IFERROR(INDEX(Tbl_Long_Definition[X],Tbl_Long_Hydro[[#This Row],[Fore Nline next]]),0))</f>
        <v>#N/A</v>
      </c>
      <c r="AG96" s="889" t="e">
        <f>IF(ISNA(Tbl_Long_Hydro[[#This Row],[Draught]]),NA(),INDEX(Tbl_Long_Definition[H k-bott],Tbl_Long_Hydro[[#This Row],[Fore Nline prev]]))</f>
        <v>#N/A</v>
      </c>
      <c r="AH96" s="890" t="e">
        <f>IF(ISNA(Tbl_Long_Hydro[[#This Row],[Draught]]),NA(),INDEX(Tbl_Long_Definition[H k-bott],Tbl_Long_Hydro[[#This Row],[Fore Nline next]]))</f>
        <v>#N/A</v>
      </c>
      <c r="AI96"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96"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96" s="894" t="e">
        <f>Tbl_Long_Hydro[[#This Row],[Fore X]]-Tbl_Long_Hydro[[#This Row],[Aft X]]</f>
        <v>#N/A</v>
      </c>
      <c r="AL96" s="884" t="e">
        <f>Tbl_Long_Hydro[[#This Row],[LX]]*B</f>
        <v>#N/A</v>
      </c>
      <c r="AM96" s="892" t="e">
        <f>IF(ISNUMBER(AM95),(AK95+Tbl_Long_Hydro[[#This Row],[LX]])*(Tbl_Long_Hydro[[#This Row],[Draught]]-V95)/2*B,(Tbl_Long_Hydro[[#This Row],[LX]])*Tbl_Long_Hydro[[#This Row],[Draught]]*B)</f>
        <v>#N/A</v>
      </c>
      <c r="AN96" s="899" t="e">
        <f>Tbl_Long_Hydro[[#This Row],[Aft X]]+Tbl_Long_Hydro[[#This Row],[LX]]/2</f>
        <v>#N/A</v>
      </c>
      <c r="AO96" s="876" t="e">
        <f>IF(ISNUMBER(AO95),(2*Tbl_Long_Hydro[[#This Row],[LX]]+AK95)/(Tbl_Long_Hydro[[#This Row],[LX]]+AK95)*(Tbl_Long_Hydro[[#This Row],[Draught]]-V95)/3+V95,Tbl_Long_Hydro[[#This Row],[Draught]]/2)</f>
        <v>#N/A</v>
      </c>
      <c r="AP96" s="898" t="e">
        <f>IF(ISNUMBER(AP95),Tbl_Long_Hydro[[#This Row],[Volume elt]]+AP95,Tbl_Long_Hydro[[#This Row],[Volume elt]]*AO$4)</f>
        <v>#N/A</v>
      </c>
      <c r="AQ96" s="893" t="e">
        <f>IF(ISNUMBER(AQ95),Tbl_Long_Hydro[[#This Row],[Displacement]]*AQ$4,IF(ISNA(AQ95),NA(),0))</f>
        <v>#N/A</v>
      </c>
      <c r="AR96" s="900" t="e">
        <f>IF(ISNA(Tbl_Long_Hydro[[#This Row],[Draught]]),NA(),IFERROR(Tbl_Long_Hydro[[#This Row],[LX]]*B^3/12/Tbl_Long_Hydro[[#This Row],[Displacement]],0))</f>
        <v>#N/A</v>
      </c>
      <c r="AS96" s="903" t="e">
        <f>IF(ISNA(Tbl_Long_Hydro[[#This Row],[Draught]]),NA(),IFERROR((B*Tbl_Long_Hydro[[#This Row],[LX]]^3/12+(Tbl_Long_Hydro[[#This Row],[LCF]]-Tbl_Long_Hydro[[#This Row],[LCB]])*Tbl_Long_Hydro[[#This Row],[Waterplane area]]*Tbl_Long_Hydro[[#This Row],[LCF]]^2)/Tbl_Long_Hydro[[#This Row],[Displacement]],0))</f>
        <v>#N/A</v>
      </c>
      <c r="AT96" s="900" t="e">
        <f>Tbl_Long_Hydro[[#This Row],[Aft X]]+Tbl_Long_Hydro[[#This Row],[LX]]/2</f>
        <v>#N/A</v>
      </c>
      <c r="AU96" s="901" t="e">
        <f>IF(ISNUMBER(AU95),(AU95*AP95+Tbl_Long_Hydro[[#This Row],[X CoG elt]]*Tbl_Long_Hydro[[#This Row],[Volume elt]])/Tbl_Long_Hydro[[#This Row],[Displacement]],Tbl_Long_Hydro[[#This Row],[X CoG elt]])</f>
        <v>#N/A</v>
      </c>
      <c r="AV96" s="902" t="e">
        <f>IF(ISNA(Tbl_Long_Hydro[[#This Row],[Draught]]),NA(),0)</f>
        <v>#N/A</v>
      </c>
      <c r="AW96" s="876" t="e">
        <f>IF(ISNUMBER(AW95),(AW95*AP95+Tbl_Long_Hydro[[#This Row],[Z CoG elt]]*Tbl_Long_Hydro[[#This Row],[Volume elt]])/Tbl_Long_Hydro[[#This Row],[Displacement]],Tbl_Long_Hydro[[#This Row],[Z CoG elt]])</f>
        <v>#N/A</v>
      </c>
      <c r="AX96" s="899" t="e">
        <f>Tbl_Long_Hydro[[#This Row],[RMT]]+Tbl_Long_Hydro[[#This Row],[VCB]]</f>
        <v>#N/A</v>
      </c>
      <c r="AY96" s="904" t="e">
        <f>Tbl_Long_Hydro[[#This Row],[Displacement]]*Tbl_Long_Hydro[[#This Row],[RML]]/(100*Lpp)</f>
        <v>#N/A</v>
      </c>
      <c r="AZ96" s="956" t="e">
        <f>Tbl_Long_Hydro[[#This Row],[Draught]]</f>
        <v>#N/A</v>
      </c>
      <c r="BA96" s="959" t="e">
        <f>Tbl_Long_Hydro[[#This Row],[Displacement]]</f>
        <v>#N/A</v>
      </c>
      <c r="BB96" s="960" t="e">
        <f>Tbl_Long_Hydro[[#This Row],[Displac. SW]]</f>
        <v>#N/A</v>
      </c>
      <c r="BC96" s="964" t="e">
        <f>Tbl_Long_Hydro[[#This Row],[Waterplane area]]/100*$AQ$4</f>
        <v>#N/A</v>
      </c>
      <c r="BD96" s="961" t="e">
        <f>Tbl_Long_Hydro[[#This Row],[MCT]]</f>
        <v>#N/A</v>
      </c>
      <c r="BE96" s="962" t="e">
        <f>Tbl_Long_Hydro[[#This Row],[LCB]]</f>
        <v>#N/A</v>
      </c>
      <c r="BF96" s="962" t="e">
        <f>Tbl_Long_Hydro[[#This Row],[TCB]]</f>
        <v>#N/A</v>
      </c>
      <c r="BG96" s="962" t="e">
        <f>Tbl_Long_Hydro[[#This Row],[LCF]]</f>
        <v>#N/A</v>
      </c>
      <c r="BH96" s="963" t="e">
        <f>Tbl_Long_Hydro[[#This Row],[KMT]]</f>
        <v>#N/A</v>
      </c>
    </row>
    <row r="97" spans="11:60" x14ac:dyDescent="0.25">
      <c r="K97" s="156">
        <f t="shared" si="5"/>
        <v>91</v>
      </c>
      <c r="L97" s="164">
        <f t="shared" si="6"/>
        <v>45.5</v>
      </c>
      <c r="M97" s="163">
        <f>MATCH(Tbl_Long_Section[[#This Row],[X]],Tbl_Long_Definition[X],1)</f>
        <v>2</v>
      </c>
      <c r="N97" s="157">
        <f>IF(Tbl_Long_Section[[#This Row],[Nline Prev]]&lt;COUNT(Tbl_Long_Definition[X]),Tbl_Long_Section[[#This Row],[Nline Prev]]+1,Tbl_Long_Section[[#This Row],[Nline Prev]])</f>
        <v>3</v>
      </c>
      <c r="O97" s="162">
        <f>INDEX(Tbl_Long_Definition[X],Tbl_Long_Section[[#This Row],[Nline Prev]])</f>
        <v>5</v>
      </c>
      <c r="P97" s="159">
        <f>INDEX(Tbl_Long_Definition[X],Tbl_Long_Section[[#This Row],[Nline Next]])</f>
        <v>55</v>
      </c>
      <c r="Q97" s="160">
        <f>INDEX(Tbl_Long_Definition[H Deck-Bott.],Tbl_Long_Section[[#This Row],[Nline Prev]])</f>
        <v>4</v>
      </c>
      <c r="R97" s="161">
        <f>INDEX(Tbl_Long_Definition[H Deck-Bott.],Tbl_Long_Section[[#This Row],[Nline Next]])</f>
        <v>4</v>
      </c>
      <c r="S97"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97" s="8"/>
      <c r="V97" s="873" t="e">
        <f t="shared" si="7"/>
        <v>#N/A</v>
      </c>
      <c r="W97" s="885" t="e">
        <f>MATCH(Tbl_Long_Hydro[[#This Row],[Draught]],Tbl_Long_Definition[H k-bott],-1)</f>
        <v>#N/A</v>
      </c>
      <c r="X97"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97" s="886" t="e">
        <f>MATCH(Tbl_Long_Hydro[[#This Row],[Draught]],Tbl_Long_Definition[H k-bott],1)</f>
        <v>#N/A</v>
      </c>
      <c r="Z97"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97" s="888" t="e">
        <f>IF(ISNA(Tbl_Long_Hydro[[#This Row],[Draught]]),NA(),IFERROR(INDEX(Tbl_Long_Definition[X],Tbl_Long_Hydro[[#This Row],[Aft Nline prev]]),0))</f>
        <v>#N/A</v>
      </c>
      <c r="AB97" s="889" t="e">
        <f>IF(ISNA(Tbl_Long_Hydro[[#This Row],[Draught]]),NA(),IFERROR(INDEX(Tbl_Long_Definition[X],Tbl_Long_Hydro[[#This Row],[Aft Nline next]]),0))</f>
        <v>#N/A</v>
      </c>
      <c r="AC97" s="889" t="e">
        <f>IF(ISNA(Tbl_Long_Hydro[[#This Row],[Draught]]),NA(),INDEX(Tbl_Long_Definition[H k-bott],Tbl_Long_Hydro[[#This Row],[Aft Nline prev]]))</f>
        <v>#N/A</v>
      </c>
      <c r="AD97" s="889" t="e">
        <f>IF(ISNA(Tbl_Long_Hydro[[#This Row],[Draught]]),NA(),INDEX(Tbl_Long_Definition[H k-bott],Tbl_Long_Hydro[[#This Row],[Aft Nline next]]))</f>
        <v>#N/A</v>
      </c>
      <c r="AE97" s="888" t="e">
        <f>IF(ISNA(Tbl_Long_Hydro[[#This Row],[Draught]]),NA(),IFERROR(INDEX(Tbl_Long_Definition[X],Tbl_Long_Hydro[[#This Row],[Fore Nline prev]]),0))</f>
        <v>#N/A</v>
      </c>
      <c r="AF97" s="889" t="e">
        <f>IF(ISNA(Tbl_Long_Hydro[[#This Row],[Draught]]),NA(),IFERROR(INDEX(Tbl_Long_Definition[X],Tbl_Long_Hydro[[#This Row],[Fore Nline next]]),0))</f>
        <v>#N/A</v>
      </c>
      <c r="AG97" s="889" t="e">
        <f>IF(ISNA(Tbl_Long_Hydro[[#This Row],[Draught]]),NA(),INDEX(Tbl_Long_Definition[H k-bott],Tbl_Long_Hydro[[#This Row],[Fore Nline prev]]))</f>
        <v>#N/A</v>
      </c>
      <c r="AH97" s="890" t="e">
        <f>IF(ISNA(Tbl_Long_Hydro[[#This Row],[Draught]]),NA(),INDEX(Tbl_Long_Definition[H k-bott],Tbl_Long_Hydro[[#This Row],[Fore Nline next]]))</f>
        <v>#N/A</v>
      </c>
      <c r="AI97"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97"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97" s="894" t="e">
        <f>Tbl_Long_Hydro[[#This Row],[Fore X]]-Tbl_Long_Hydro[[#This Row],[Aft X]]</f>
        <v>#N/A</v>
      </c>
      <c r="AL97" s="884" t="e">
        <f>Tbl_Long_Hydro[[#This Row],[LX]]*B</f>
        <v>#N/A</v>
      </c>
      <c r="AM97" s="892" t="e">
        <f>IF(ISNUMBER(AM96),(AK96+Tbl_Long_Hydro[[#This Row],[LX]])*(Tbl_Long_Hydro[[#This Row],[Draught]]-V96)/2*B,(Tbl_Long_Hydro[[#This Row],[LX]])*Tbl_Long_Hydro[[#This Row],[Draught]]*B)</f>
        <v>#N/A</v>
      </c>
      <c r="AN97" s="899" t="e">
        <f>Tbl_Long_Hydro[[#This Row],[Aft X]]+Tbl_Long_Hydro[[#This Row],[LX]]/2</f>
        <v>#N/A</v>
      </c>
      <c r="AO97" s="876" t="e">
        <f>IF(ISNUMBER(AO96),(2*Tbl_Long_Hydro[[#This Row],[LX]]+AK96)/(Tbl_Long_Hydro[[#This Row],[LX]]+AK96)*(Tbl_Long_Hydro[[#This Row],[Draught]]-V96)/3+V96,Tbl_Long_Hydro[[#This Row],[Draught]]/2)</f>
        <v>#N/A</v>
      </c>
      <c r="AP97" s="898" t="e">
        <f>IF(ISNUMBER(AP96),Tbl_Long_Hydro[[#This Row],[Volume elt]]+AP96,Tbl_Long_Hydro[[#This Row],[Volume elt]]*AO$4)</f>
        <v>#N/A</v>
      </c>
      <c r="AQ97" s="893" t="e">
        <f>IF(ISNUMBER(AQ96),Tbl_Long_Hydro[[#This Row],[Displacement]]*AQ$4,IF(ISNA(AQ96),NA(),0))</f>
        <v>#N/A</v>
      </c>
      <c r="AR97" s="900" t="e">
        <f>IF(ISNA(Tbl_Long_Hydro[[#This Row],[Draught]]),NA(),IFERROR(Tbl_Long_Hydro[[#This Row],[LX]]*B^3/12/Tbl_Long_Hydro[[#This Row],[Displacement]],0))</f>
        <v>#N/A</v>
      </c>
      <c r="AS97" s="903" t="e">
        <f>IF(ISNA(Tbl_Long_Hydro[[#This Row],[Draught]]),NA(),IFERROR((B*Tbl_Long_Hydro[[#This Row],[LX]]^3/12+(Tbl_Long_Hydro[[#This Row],[LCF]]-Tbl_Long_Hydro[[#This Row],[LCB]])*Tbl_Long_Hydro[[#This Row],[Waterplane area]]*Tbl_Long_Hydro[[#This Row],[LCF]]^2)/Tbl_Long_Hydro[[#This Row],[Displacement]],0))</f>
        <v>#N/A</v>
      </c>
      <c r="AT97" s="900" t="e">
        <f>Tbl_Long_Hydro[[#This Row],[Aft X]]+Tbl_Long_Hydro[[#This Row],[LX]]/2</f>
        <v>#N/A</v>
      </c>
      <c r="AU97" s="901" t="e">
        <f>IF(ISNUMBER(AU96),(AU96*AP96+Tbl_Long_Hydro[[#This Row],[X CoG elt]]*Tbl_Long_Hydro[[#This Row],[Volume elt]])/Tbl_Long_Hydro[[#This Row],[Displacement]],Tbl_Long_Hydro[[#This Row],[X CoG elt]])</f>
        <v>#N/A</v>
      </c>
      <c r="AV97" s="902" t="e">
        <f>IF(ISNA(Tbl_Long_Hydro[[#This Row],[Draught]]),NA(),0)</f>
        <v>#N/A</v>
      </c>
      <c r="AW97" s="876" t="e">
        <f>IF(ISNUMBER(AW96),(AW96*AP96+Tbl_Long_Hydro[[#This Row],[Z CoG elt]]*Tbl_Long_Hydro[[#This Row],[Volume elt]])/Tbl_Long_Hydro[[#This Row],[Displacement]],Tbl_Long_Hydro[[#This Row],[Z CoG elt]])</f>
        <v>#N/A</v>
      </c>
      <c r="AX97" s="899" t="e">
        <f>Tbl_Long_Hydro[[#This Row],[RMT]]+Tbl_Long_Hydro[[#This Row],[VCB]]</f>
        <v>#N/A</v>
      </c>
      <c r="AY97" s="904" t="e">
        <f>Tbl_Long_Hydro[[#This Row],[Displacement]]*Tbl_Long_Hydro[[#This Row],[RML]]/(100*Lpp)</f>
        <v>#N/A</v>
      </c>
      <c r="AZ97" s="956" t="e">
        <f>Tbl_Long_Hydro[[#This Row],[Draught]]</f>
        <v>#N/A</v>
      </c>
      <c r="BA97" s="959" t="e">
        <f>Tbl_Long_Hydro[[#This Row],[Displacement]]</f>
        <v>#N/A</v>
      </c>
      <c r="BB97" s="960" t="e">
        <f>Tbl_Long_Hydro[[#This Row],[Displac. SW]]</f>
        <v>#N/A</v>
      </c>
      <c r="BC97" s="964" t="e">
        <f>Tbl_Long_Hydro[[#This Row],[Waterplane area]]/100*$AQ$4</f>
        <v>#N/A</v>
      </c>
      <c r="BD97" s="961" t="e">
        <f>Tbl_Long_Hydro[[#This Row],[MCT]]</f>
        <v>#N/A</v>
      </c>
      <c r="BE97" s="962" t="e">
        <f>Tbl_Long_Hydro[[#This Row],[LCB]]</f>
        <v>#N/A</v>
      </c>
      <c r="BF97" s="962" t="e">
        <f>Tbl_Long_Hydro[[#This Row],[TCB]]</f>
        <v>#N/A</v>
      </c>
      <c r="BG97" s="962" t="e">
        <f>Tbl_Long_Hydro[[#This Row],[LCF]]</f>
        <v>#N/A</v>
      </c>
      <c r="BH97" s="963" t="e">
        <f>Tbl_Long_Hydro[[#This Row],[KMT]]</f>
        <v>#N/A</v>
      </c>
    </row>
    <row r="98" spans="11:60" x14ac:dyDescent="0.25">
      <c r="K98" s="156">
        <f t="shared" si="5"/>
        <v>92</v>
      </c>
      <c r="L98" s="164">
        <f t="shared" si="6"/>
        <v>46</v>
      </c>
      <c r="M98" s="163">
        <f>MATCH(Tbl_Long_Section[[#This Row],[X]],Tbl_Long_Definition[X],1)</f>
        <v>2</v>
      </c>
      <c r="N98" s="157">
        <f>IF(Tbl_Long_Section[[#This Row],[Nline Prev]]&lt;COUNT(Tbl_Long_Definition[X]),Tbl_Long_Section[[#This Row],[Nline Prev]]+1,Tbl_Long_Section[[#This Row],[Nline Prev]])</f>
        <v>3</v>
      </c>
      <c r="O98" s="162">
        <f>INDEX(Tbl_Long_Definition[X],Tbl_Long_Section[[#This Row],[Nline Prev]])</f>
        <v>5</v>
      </c>
      <c r="P98" s="159">
        <f>INDEX(Tbl_Long_Definition[X],Tbl_Long_Section[[#This Row],[Nline Next]])</f>
        <v>55</v>
      </c>
      <c r="Q98" s="160">
        <f>INDEX(Tbl_Long_Definition[H Deck-Bott.],Tbl_Long_Section[[#This Row],[Nline Prev]])</f>
        <v>4</v>
      </c>
      <c r="R98" s="161">
        <f>INDEX(Tbl_Long_Definition[H Deck-Bott.],Tbl_Long_Section[[#This Row],[Nline Next]])</f>
        <v>4</v>
      </c>
      <c r="S98"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98" s="8"/>
      <c r="V98" s="873" t="e">
        <f t="shared" si="7"/>
        <v>#N/A</v>
      </c>
      <c r="W98" s="885" t="e">
        <f>MATCH(Tbl_Long_Hydro[[#This Row],[Draught]],Tbl_Long_Definition[H k-bott],-1)</f>
        <v>#N/A</v>
      </c>
      <c r="X98"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98" s="886" t="e">
        <f>MATCH(Tbl_Long_Hydro[[#This Row],[Draught]],Tbl_Long_Definition[H k-bott],1)</f>
        <v>#N/A</v>
      </c>
      <c r="Z98"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98" s="888" t="e">
        <f>IF(ISNA(Tbl_Long_Hydro[[#This Row],[Draught]]),NA(),IFERROR(INDEX(Tbl_Long_Definition[X],Tbl_Long_Hydro[[#This Row],[Aft Nline prev]]),0))</f>
        <v>#N/A</v>
      </c>
      <c r="AB98" s="889" t="e">
        <f>IF(ISNA(Tbl_Long_Hydro[[#This Row],[Draught]]),NA(),IFERROR(INDEX(Tbl_Long_Definition[X],Tbl_Long_Hydro[[#This Row],[Aft Nline next]]),0))</f>
        <v>#N/A</v>
      </c>
      <c r="AC98" s="889" t="e">
        <f>IF(ISNA(Tbl_Long_Hydro[[#This Row],[Draught]]),NA(),INDEX(Tbl_Long_Definition[H k-bott],Tbl_Long_Hydro[[#This Row],[Aft Nline prev]]))</f>
        <v>#N/A</v>
      </c>
      <c r="AD98" s="889" t="e">
        <f>IF(ISNA(Tbl_Long_Hydro[[#This Row],[Draught]]),NA(),INDEX(Tbl_Long_Definition[H k-bott],Tbl_Long_Hydro[[#This Row],[Aft Nline next]]))</f>
        <v>#N/A</v>
      </c>
      <c r="AE98" s="888" t="e">
        <f>IF(ISNA(Tbl_Long_Hydro[[#This Row],[Draught]]),NA(),IFERROR(INDEX(Tbl_Long_Definition[X],Tbl_Long_Hydro[[#This Row],[Fore Nline prev]]),0))</f>
        <v>#N/A</v>
      </c>
      <c r="AF98" s="889" t="e">
        <f>IF(ISNA(Tbl_Long_Hydro[[#This Row],[Draught]]),NA(),IFERROR(INDEX(Tbl_Long_Definition[X],Tbl_Long_Hydro[[#This Row],[Fore Nline next]]),0))</f>
        <v>#N/A</v>
      </c>
      <c r="AG98" s="889" t="e">
        <f>IF(ISNA(Tbl_Long_Hydro[[#This Row],[Draught]]),NA(),INDEX(Tbl_Long_Definition[H k-bott],Tbl_Long_Hydro[[#This Row],[Fore Nline prev]]))</f>
        <v>#N/A</v>
      </c>
      <c r="AH98" s="890" t="e">
        <f>IF(ISNA(Tbl_Long_Hydro[[#This Row],[Draught]]),NA(),INDEX(Tbl_Long_Definition[H k-bott],Tbl_Long_Hydro[[#This Row],[Fore Nline next]]))</f>
        <v>#N/A</v>
      </c>
      <c r="AI98"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98"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98" s="894" t="e">
        <f>Tbl_Long_Hydro[[#This Row],[Fore X]]-Tbl_Long_Hydro[[#This Row],[Aft X]]</f>
        <v>#N/A</v>
      </c>
      <c r="AL98" s="884" t="e">
        <f>Tbl_Long_Hydro[[#This Row],[LX]]*B</f>
        <v>#N/A</v>
      </c>
      <c r="AM98" s="892" t="e">
        <f>IF(ISNUMBER(AM97),(AK97+Tbl_Long_Hydro[[#This Row],[LX]])*(Tbl_Long_Hydro[[#This Row],[Draught]]-V97)/2*B,(Tbl_Long_Hydro[[#This Row],[LX]])*Tbl_Long_Hydro[[#This Row],[Draught]]*B)</f>
        <v>#N/A</v>
      </c>
      <c r="AN98" s="899" t="e">
        <f>Tbl_Long_Hydro[[#This Row],[Aft X]]+Tbl_Long_Hydro[[#This Row],[LX]]/2</f>
        <v>#N/A</v>
      </c>
      <c r="AO98" s="876" t="e">
        <f>IF(ISNUMBER(AO97),(2*Tbl_Long_Hydro[[#This Row],[LX]]+AK97)/(Tbl_Long_Hydro[[#This Row],[LX]]+AK97)*(Tbl_Long_Hydro[[#This Row],[Draught]]-V97)/3+V97,Tbl_Long_Hydro[[#This Row],[Draught]]/2)</f>
        <v>#N/A</v>
      </c>
      <c r="AP98" s="898" t="e">
        <f>IF(ISNUMBER(AP97),Tbl_Long_Hydro[[#This Row],[Volume elt]]+AP97,Tbl_Long_Hydro[[#This Row],[Volume elt]]*AO$4)</f>
        <v>#N/A</v>
      </c>
      <c r="AQ98" s="893" t="e">
        <f>IF(ISNUMBER(AQ97),Tbl_Long_Hydro[[#This Row],[Displacement]]*AQ$4,IF(ISNA(AQ97),NA(),0))</f>
        <v>#N/A</v>
      </c>
      <c r="AR98" s="900" t="e">
        <f>IF(ISNA(Tbl_Long_Hydro[[#This Row],[Draught]]),NA(),IFERROR(Tbl_Long_Hydro[[#This Row],[LX]]*B^3/12/Tbl_Long_Hydro[[#This Row],[Displacement]],0))</f>
        <v>#N/A</v>
      </c>
      <c r="AS98" s="903" t="e">
        <f>IF(ISNA(Tbl_Long_Hydro[[#This Row],[Draught]]),NA(),IFERROR((B*Tbl_Long_Hydro[[#This Row],[LX]]^3/12+(Tbl_Long_Hydro[[#This Row],[LCF]]-Tbl_Long_Hydro[[#This Row],[LCB]])*Tbl_Long_Hydro[[#This Row],[Waterplane area]]*Tbl_Long_Hydro[[#This Row],[LCF]]^2)/Tbl_Long_Hydro[[#This Row],[Displacement]],0))</f>
        <v>#N/A</v>
      </c>
      <c r="AT98" s="900" t="e">
        <f>Tbl_Long_Hydro[[#This Row],[Aft X]]+Tbl_Long_Hydro[[#This Row],[LX]]/2</f>
        <v>#N/A</v>
      </c>
      <c r="AU98" s="901" t="e">
        <f>IF(ISNUMBER(AU97),(AU97*AP97+Tbl_Long_Hydro[[#This Row],[X CoG elt]]*Tbl_Long_Hydro[[#This Row],[Volume elt]])/Tbl_Long_Hydro[[#This Row],[Displacement]],Tbl_Long_Hydro[[#This Row],[X CoG elt]])</f>
        <v>#N/A</v>
      </c>
      <c r="AV98" s="902" t="e">
        <f>IF(ISNA(Tbl_Long_Hydro[[#This Row],[Draught]]),NA(),0)</f>
        <v>#N/A</v>
      </c>
      <c r="AW98" s="876" t="e">
        <f>IF(ISNUMBER(AW97),(AW97*AP97+Tbl_Long_Hydro[[#This Row],[Z CoG elt]]*Tbl_Long_Hydro[[#This Row],[Volume elt]])/Tbl_Long_Hydro[[#This Row],[Displacement]],Tbl_Long_Hydro[[#This Row],[Z CoG elt]])</f>
        <v>#N/A</v>
      </c>
      <c r="AX98" s="899" t="e">
        <f>Tbl_Long_Hydro[[#This Row],[RMT]]+Tbl_Long_Hydro[[#This Row],[VCB]]</f>
        <v>#N/A</v>
      </c>
      <c r="AY98" s="904" t="e">
        <f>Tbl_Long_Hydro[[#This Row],[Displacement]]*Tbl_Long_Hydro[[#This Row],[RML]]/(100*Lpp)</f>
        <v>#N/A</v>
      </c>
      <c r="AZ98" s="956" t="e">
        <f>Tbl_Long_Hydro[[#This Row],[Draught]]</f>
        <v>#N/A</v>
      </c>
      <c r="BA98" s="959" t="e">
        <f>Tbl_Long_Hydro[[#This Row],[Displacement]]</f>
        <v>#N/A</v>
      </c>
      <c r="BB98" s="960" t="e">
        <f>Tbl_Long_Hydro[[#This Row],[Displac. SW]]</f>
        <v>#N/A</v>
      </c>
      <c r="BC98" s="964" t="e">
        <f>Tbl_Long_Hydro[[#This Row],[Waterplane area]]/100*$AQ$4</f>
        <v>#N/A</v>
      </c>
      <c r="BD98" s="961" t="e">
        <f>Tbl_Long_Hydro[[#This Row],[MCT]]</f>
        <v>#N/A</v>
      </c>
      <c r="BE98" s="962" t="e">
        <f>Tbl_Long_Hydro[[#This Row],[LCB]]</f>
        <v>#N/A</v>
      </c>
      <c r="BF98" s="962" t="e">
        <f>Tbl_Long_Hydro[[#This Row],[TCB]]</f>
        <v>#N/A</v>
      </c>
      <c r="BG98" s="962" t="e">
        <f>Tbl_Long_Hydro[[#This Row],[LCF]]</f>
        <v>#N/A</v>
      </c>
      <c r="BH98" s="963" t="e">
        <f>Tbl_Long_Hydro[[#This Row],[KMT]]</f>
        <v>#N/A</v>
      </c>
    </row>
    <row r="99" spans="11:60" x14ac:dyDescent="0.25">
      <c r="K99" s="156">
        <f t="shared" si="5"/>
        <v>93</v>
      </c>
      <c r="L99" s="164">
        <f t="shared" si="6"/>
        <v>46.5</v>
      </c>
      <c r="M99" s="163">
        <f>MATCH(Tbl_Long_Section[[#This Row],[X]],Tbl_Long_Definition[X],1)</f>
        <v>2</v>
      </c>
      <c r="N99" s="157">
        <f>IF(Tbl_Long_Section[[#This Row],[Nline Prev]]&lt;COUNT(Tbl_Long_Definition[X]),Tbl_Long_Section[[#This Row],[Nline Prev]]+1,Tbl_Long_Section[[#This Row],[Nline Prev]])</f>
        <v>3</v>
      </c>
      <c r="O99" s="162">
        <f>INDEX(Tbl_Long_Definition[X],Tbl_Long_Section[[#This Row],[Nline Prev]])</f>
        <v>5</v>
      </c>
      <c r="P99" s="159">
        <f>INDEX(Tbl_Long_Definition[X],Tbl_Long_Section[[#This Row],[Nline Next]])</f>
        <v>55</v>
      </c>
      <c r="Q99" s="160">
        <f>INDEX(Tbl_Long_Definition[H Deck-Bott.],Tbl_Long_Section[[#This Row],[Nline Prev]])</f>
        <v>4</v>
      </c>
      <c r="R99" s="161">
        <f>INDEX(Tbl_Long_Definition[H Deck-Bott.],Tbl_Long_Section[[#This Row],[Nline Next]])</f>
        <v>4</v>
      </c>
      <c r="S99" s="917">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99" s="8"/>
      <c r="V99" s="873" t="e">
        <f t="shared" si="7"/>
        <v>#N/A</v>
      </c>
      <c r="W99" s="885" t="e">
        <f>MATCH(Tbl_Long_Hydro[[#This Row],[Draught]],Tbl_Long_Definition[H k-bott],-1)</f>
        <v>#N/A</v>
      </c>
      <c r="X99"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99" s="886" t="e">
        <f>MATCH(Tbl_Long_Hydro[[#This Row],[Draught]],Tbl_Long_Definition[H k-bott],1)</f>
        <v>#N/A</v>
      </c>
      <c r="Z99"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99" s="888" t="e">
        <f>IF(ISNA(Tbl_Long_Hydro[[#This Row],[Draught]]),NA(),IFERROR(INDEX(Tbl_Long_Definition[X],Tbl_Long_Hydro[[#This Row],[Aft Nline prev]]),0))</f>
        <v>#N/A</v>
      </c>
      <c r="AB99" s="889" t="e">
        <f>IF(ISNA(Tbl_Long_Hydro[[#This Row],[Draught]]),NA(),IFERROR(INDEX(Tbl_Long_Definition[X],Tbl_Long_Hydro[[#This Row],[Aft Nline next]]),0))</f>
        <v>#N/A</v>
      </c>
      <c r="AC99" s="889" t="e">
        <f>IF(ISNA(Tbl_Long_Hydro[[#This Row],[Draught]]),NA(),INDEX(Tbl_Long_Definition[H k-bott],Tbl_Long_Hydro[[#This Row],[Aft Nline prev]]))</f>
        <v>#N/A</v>
      </c>
      <c r="AD99" s="889" t="e">
        <f>IF(ISNA(Tbl_Long_Hydro[[#This Row],[Draught]]),NA(),INDEX(Tbl_Long_Definition[H k-bott],Tbl_Long_Hydro[[#This Row],[Aft Nline next]]))</f>
        <v>#N/A</v>
      </c>
      <c r="AE99" s="888" t="e">
        <f>IF(ISNA(Tbl_Long_Hydro[[#This Row],[Draught]]),NA(),IFERROR(INDEX(Tbl_Long_Definition[X],Tbl_Long_Hydro[[#This Row],[Fore Nline prev]]),0))</f>
        <v>#N/A</v>
      </c>
      <c r="AF99" s="889" t="e">
        <f>IF(ISNA(Tbl_Long_Hydro[[#This Row],[Draught]]),NA(),IFERROR(INDEX(Tbl_Long_Definition[X],Tbl_Long_Hydro[[#This Row],[Fore Nline next]]),0))</f>
        <v>#N/A</v>
      </c>
      <c r="AG99" s="889" t="e">
        <f>IF(ISNA(Tbl_Long_Hydro[[#This Row],[Draught]]),NA(),INDEX(Tbl_Long_Definition[H k-bott],Tbl_Long_Hydro[[#This Row],[Fore Nline prev]]))</f>
        <v>#N/A</v>
      </c>
      <c r="AH99" s="890" t="e">
        <f>IF(ISNA(Tbl_Long_Hydro[[#This Row],[Draught]]),NA(),INDEX(Tbl_Long_Definition[H k-bott],Tbl_Long_Hydro[[#This Row],[Fore Nline next]]))</f>
        <v>#N/A</v>
      </c>
      <c r="AI99"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99"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99" s="894" t="e">
        <f>Tbl_Long_Hydro[[#This Row],[Fore X]]-Tbl_Long_Hydro[[#This Row],[Aft X]]</f>
        <v>#N/A</v>
      </c>
      <c r="AL99" s="884" t="e">
        <f>Tbl_Long_Hydro[[#This Row],[LX]]*B</f>
        <v>#N/A</v>
      </c>
      <c r="AM99" s="892" t="e">
        <f>IF(ISNUMBER(AM98),(AK98+Tbl_Long_Hydro[[#This Row],[LX]])*(Tbl_Long_Hydro[[#This Row],[Draught]]-V98)/2*B,(Tbl_Long_Hydro[[#This Row],[LX]])*Tbl_Long_Hydro[[#This Row],[Draught]]*B)</f>
        <v>#N/A</v>
      </c>
      <c r="AN99" s="899" t="e">
        <f>Tbl_Long_Hydro[[#This Row],[Aft X]]+Tbl_Long_Hydro[[#This Row],[LX]]/2</f>
        <v>#N/A</v>
      </c>
      <c r="AO99" s="876" t="e">
        <f>IF(ISNUMBER(AO98),(2*Tbl_Long_Hydro[[#This Row],[LX]]+AK98)/(Tbl_Long_Hydro[[#This Row],[LX]]+AK98)*(Tbl_Long_Hydro[[#This Row],[Draught]]-V98)/3+V98,Tbl_Long_Hydro[[#This Row],[Draught]]/2)</f>
        <v>#N/A</v>
      </c>
      <c r="AP99" s="898" t="e">
        <f>IF(ISNUMBER(AP98),Tbl_Long_Hydro[[#This Row],[Volume elt]]+AP98,Tbl_Long_Hydro[[#This Row],[Volume elt]]*AO$4)</f>
        <v>#N/A</v>
      </c>
      <c r="AQ99" s="893" t="e">
        <f>IF(ISNUMBER(AQ98),Tbl_Long_Hydro[[#This Row],[Displacement]]*AQ$4,IF(ISNA(AQ98),NA(),0))</f>
        <v>#N/A</v>
      </c>
      <c r="AR99" s="900" t="e">
        <f>IF(ISNA(Tbl_Long_Hydro[[#This Row],[Draught]]),NA(),IFERROR(Tbl_Long_Hydro[[#This Row],[LX]]*B^3/12/Tbl_Long_Hydro[[#This Row],[Displacement]],0))</f>
        <v>#N/A</v>
      </c>
      <c r="AS99" s="903" t="e">
        <f>IF(ISNA(Tbl_Long_Hydro[[#This Row],[Draught]]),NA(),IFERROR((B*Tbl_Long_Hydro[[#This Row],[LX]]^3/12+(Tbl_Long_Hydro[[#This Row],[LCF]]-Tbl_Long_Hydro[[#This Row],[LCB]])*Tbl_Long_Hydro[[#This Row],[Waterplane area]]*Tbl_Long_Hydro[[#This Row],[LCF]]^2)/Tbl_Long_Hydro[[#This Row],[Displacement]],0))</f>
        <v>#N/A</v>
      </c>
      <c r="AT99" s="900" t="e">
        <f>Tbl_Long_Hydro[[#This Row],[Aft X]]+Tbl_Long_Hydro[[#This Row],[LX]]/2</f>
        <v>#N/A</v>
      </c>
      <c r="AU99" s="901" t="e">
        <f>IF(ISNUMBER(AU98),(AU98*AP98+Tbl_Long_Hydro[[#This Row],[X CoG elt]]*Tbl_Long_Hydro[[#This Row],[Volume elt]])/Tbl_Long_Hydro[[#This Row],[Displacement]],Tbl_Long_Hydro[[#This Row],[X CoG elt]])</f>
        <v>#N/A</v>
      </c>
      <c r="AV99" s="902" t="e">
        <f>IF(ISNA(Tbl_Long_Hydro[[#This Row],[Draught]]),NA(),0)</f>
        <v>#N/A</v>
      </c>
      <c r="AW99" s="876" t="e">
        <f>IF(ISNUMBER(AW98),(AW98*AP98+Tbl_Long_Hydro[[#This Row],[Z CoG elt]]*Tbl_Long_Hydro[[#This Row],[Volume elt]])/Tbl_Long_Hydro[[#This Row],[Displacement]],Tbl_Long_Hydro[[#This Row],[Z CoG elt]])</f>
        <v>#N/A</v>
      </c>
      <c r="AX99" s="899" t="e">
        <f>Tbl_Long_Hydro[[#This Row],[RMT]]+Tbl_Long_Hydro[[#This Row],[VCB]]</f>
        <v>#N/A</v>
      </c>
      <c r="AY99" s="904" t="e">
        <f>Tbl_Long_Hydro[[#This Row],[Displacement]]*Tbl_Long_Hydro[[#This Row],[RML]]/(100*Lpp)</f>
        <v>#N/A</v>
      </c>
      <c r="AZ99" s="956" t="e">
        <f>Tbl_Long_Hydro[[#This Row],[Draught]]</f>
        <v>#N/A</v>
      </c>
      <c r="BA99" s="959" t="e">
        <f>Tbl_Long_Hydro[[#This Row],[Displacement]]</f>
        <v>#N/A</v>
      </c>
      <c r="BB99" s="960" t="e">
        <f>Tbl_Long_Hydro[[#This Row],[Displac. SW]]</f>
        <v>#N/A</v>
      </c>
      <c r="BC99" s="964" t="e">
        <f>Tbl_Long_Hydro[[#This Row],[Waterplane area]]/100*$AQ$4</f>
        <v>#N/A</v>
      </c>
      <c r="BD99" s="961" t="e">
        <f>Tbl_Long_Hydro[[#This Row],[MCT]]</f>
        <v>#N/A</v>
      </c>
      <c r="BE99" s="962" t="e">
        <f>Tbl_Long_Hydro[[#This Row],[LCB]]</f>
        <v>#N/A</v>
      </c>
      <c r="BF99" s="962" t="e">
        <f>Tbl_Long_Hydro[[#This Row],[TCB]]</f>
        <v>#N/A</v>
      </c>
      <c r="BG99" s="962" t="e">
        <f>Tbl_Long_Hydro[[#This Row],[LCF]]</f>
        <v>#N/A</v>
      </c>
      <c r="BH99" s="963" t="e">
        <f>Tbl_Long_Hydro[[#This Row],[KMT]]</f>
        <v>#N/A</v>
      </c>
    </row>
    <row r="100" spans="11:60" x14ac:dyDescent="0.25">
      <c r="K100" s="156">
        <f t="shared" si="5"/>
        <v>94</v>
      </c>
      <c r="L100" s="164">
        <f t="shared" si="6"/>
        <v>47</v>
      </c>
      <c r="M100" s="262">
        <f>MATCH(Tbl_Long_Section[[#This Row],[X]],Tbl_Long_Definition[X],1)</f>
        <v>2</v>
      </c>
      <c r="N100" s="262">
        <f>IF(Tbl_Long_Section[[#This Row],[Nline Prev]]&lt;COUNT(Tbl_Long_Definition[X]),Tbl_Long_Section[[#This Row],[Nline Prev]]+1,Tbl_Long_Section[[#This Row],[Nline Prev]])</f>
        <v>3</v>
      </c>
      <c r="O100" s="162">
        <f>INDEX(Tbl_Long_Definition[X],Tbl_Long_Section[[#This Row],[Nline Prev]])</f>
        <v>5</v>
      </c>
      <c r="P100" s="263">
        <f>INDEX(Tbl_Long_Definition[X],Tbl_Long_Section[[#This Row],[Nline Next]])</f>
        <v>55</v>
      </c>
      <c r="Q100" s="160">
        <f>INDEX(Tbl_Long_Definition[H Deck-Bott.],Tbl_Long_Section[[#This Row],[Nline Prev]])</f>
        <v>4</v>
      </c>
      <c r="R100" s="161">
        <f>INDEX(Tbl_Long_Definition[H Deck-Bott.],Tbl_Long_Section[[#This Row],[Nline Next]])</f>
        <v>4</v>
      </c>
      <c r="S100"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100" s="8"/>
      <c r="V100" s="873" t="e">
        <f t="shared" si="7"/>
        <v>#N/A</v>
      </c>
      <c r="W100" s="885" t="e">
        <f>MATCH(Tbl_Long_Hydro[[#This Row],[Draught]],Tbl_Long_Definition[H k-bott],-1)</f>
        <v>#N/A</v>
      </c>
      <c r="X100"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00" s="886" t="e">
        <f>MATCH(Tbl_Long_Hydro[[#This Row],[Draught]],Tbl_Long_Definition[H k-bott],1)</f>
        <v>#N/A</v>
      </c>
      <c r="Z100"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00" s="888" t="e">
        <f>IF(ISNA(Tbl_Long_Hydro[[#This Row],[Draught]]),NA(),IFERROR(INDEX(Tbl_Long_Definition[X],Tbl_Long_Hydro[[#This Row],[Aft Nline prev]]),0))</f>
        <v>#N/A</v>
      </c>
      <c r="AB100" s="889" t="e">
        <f>IF(ISNA(Tbl_Long_Hydro[[#This Row],[Draught]]),NA(),IFERROR(INDEX(Tbl_Long_Definition[X],Tbl_Long_Hydro[[#This Row],[Aft Nline next]]),0))</f>
        <v>#N/A</v>
      </c>
      <c r="AC100" s="889" t="e">
        <f>IF(ISNA(Tbl_Long_Hydro[[#This Row],[Draught]]),NA(),INDEX(Tbl_Long_Definition[H k-bott],Tbl_Long_Hydro[[#This Row],[Aft Nline prev]]))</f>
        <v>#N/A</v>
      </c>
      <c r="AD100" s="889" t="e">
        <f>IF(ISNA(Tbl_Long_Hydro[[#This Row],[Draught]]),NA(),INDEX(Tbl_Long_Definition[H k-bott],Tbl_Long_Hydro[[#This Row],[Aft Nline next]]))</f>
        <v>#N/A</v>
      </c>
      <c r="AE100" s="888" t="e">
        <f>IF(ISNA(Tbl_Long_Hydro[[#This Row],[Draught]]),NA(),IFERROR(INDEX(Tbl_Long_Definition[X],Tbl_Long_Hydro[[#This Row],[Fore Nline prev]]),0))</f>
        <v>#N/A</v>
      </c>
      <c r="AF100" s="889" t="e">
        <f>IF(ISNA(Tbl_Long_Hydro[[#This Row],[Draught]]),NA(),IFERROR(INDEX(Tbl_Long_Definition[X],Tbl_Long_Hydro[[#This Row],[Fore Nline next]]),0))</f>
        <v>#N/A</v>
      </c>
      <c r="AG100" s="889" t="e">
        <f>IF(ISNA(Tbl_Long_Hydro[[#This Row],[Draught]]),NA(),INDEX(Tbl_Long_Definition[H k-bott],Tbl_Long_Hydro[[#This Row],[Fore Nline prev]]))</f>
        <v>#N/A</v>
      </c>
      <c r="AH100" s="890" t="e">
        <f>IF(ISNA(Tbl_Long_Hydro[[#This Row],[Draught]]),NA(),INDEX(Tbl_Long_Definition[H k-bott],Tbl_Long_Hydro[[#This Row],[Fore Nline next]]))</f>
        <v>#N/A</v>
      </c>
      <c r="AI100"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00"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00" s="894" t="e">
        <f>Tbl_Long_Hydro[[#This Row],[Fore X]]-Tbl_Long_Hydro[[#This Row],[Aft X]]</f>
        <v>#N/A</v>
      </c>
      <c r="AL100" s="884" t="e">
        <f>Tbl_Long_Hydro[[#This Row],[LX]]*B</f>
        <v>#N/A</v>
      </c>
      <c r="AM100" s="892" t="e">
        <f>IF(ISNUMBER(AM99),(AK99+Tbl_Long_Hydro[[#This Row],[LX]])*(Tbl_Long_Hydro[[#This Row],[Draught]]-V99)/2*B,(Tbl_Long_Hydro[[#This Row],[LX]])*Tbl_Long_Hydro[[#This Row],[Draught]]*B)</f>
        <v>#N/A</v>
      </c>
      <c r="AN100" s="899" t="e">
        <f>Tbl_Long_Hydro[[#This Row],[Aft X]]+Tbl_Long_Hydro[[#This Row],[LX]]/2</f>
        <v>#N/A</v>
      </c>
      <c r="AO100" s="876" t="e">
        <f>IF(ISNUMBER(AO99),(2*Tbl_Long_Hydro[[#This Row],[LX]]+AK99)/(Tbl_Long_Hydro[[#This Row],[LX]]+AK99)*(Tbl_Long_Hydro[[#This Row],[Draught]]-V99)/3+V99,Tbl_Long_Hydro[[#This Row],[Draught]]/2)</f>
        <v>#N/A</v>
      </c>
      <c r="AP100" s="898" t="e">
        <f>IF(ISNUMBER(AP99),Tbl_Long_Hydro[[#This Row],[Volume elt]]+AP99,Tbl_Long_Hydro[[#This Row],[Volume elt]]*AO$4)</f>
        <v>#N/A</v>
      </c>
      <c r="AQ100" s="893" t="e">
        <f>IF(ISNUMBER(AQ99),Tbl_Long_Hydro[[#This Row],[Displacement]]*AQ$4,IF(ISNA(AQ99),NA(),0))</f>
        <v>#N/A</v>
      </c>
      <c r="AR100" s="900" t="e">
        <f>IF(ISNA(Tbl_Long_Hydro[[#This Row],[Draught]]),NA(),IFERROR(Tbl_Long_Hydro[[#This Row],[LX]]*B^3/12/Tbl_Long_Hydro[[#This Row],[Displacement]],0))</f>
        <v>#N/A</v>
      </c>
      <c r="AS100" s="903" t="e">
        <f>IF(ISNA(Tbl_Long_Hydro[[#This Row],[Draught]]),NA(),IFERROR((B*Tbl_Long_Hydro[[#This Row],[LX]]^3/12+(Tbl_Long_Hydro[[#This Row],[LCF]]-Tbl_Long_Hydro[[#This Row],[LCB]])*Tbl_Long_Hydro[[#This Row],[Waterplane area]]*Tbl_Long_Hydro[[#This Row],[LCF]]^2)/Tbl_Long_Hydro[[#This Row],[Displacement]],0))</f>
        <v>#N/A</v>
      </c>
      <c r="AT100" s="900" t="e">
        <f>Tbl_Long_Hydro[[#This Row],[Aft X]]+Tbl_Long_Hydro[[#This Row],[LX]]/2</f>
        <v>#N/A</v>
      </c>
      <c r="AU100" s="901" t="e">
        <f>IF(ISNUMBER(AU99),(AU99*AP99+Tbl_Long_Hydro[[#This Row],[X CoG elt]]*Tbl_Long_Hydro[[#This Row],[Volume elt]])/Tbl_Long_Hydro[[#This Row],[Displacement]],Tbl_Long_Hydro[[#This Row],[X CoG elt]])</f>
        <v>#N/A</v>
      </c>
      <c r="AV100" s="902" t="e">
        <f>IF(ISNA(Tbl_Long_Hydro[[#This Row],[Draught]]),NA(),0)</f>
        <v>#N/A</v>
      </c>
      <c r="AW100" s="876" t="e">
        <f>IF(ISNUMBER(AW99),(AW99*AP99+Tbl_Long_Hydro[[#This Row],[Z CoG elt]]*Tbl_Long_Hydro[[#This Row],[Volume elt]])/Tbl_Long_Hydro[[#This Row],[Displacement]],Tbl_Long_Hydro[[#This Row],[Z CoG elt]])</f>
        <v>#N/A</v>
      </c>
      <c r="AX100" s="899" t="e">
        <f>Tbl_Long_Hydro[[#This Row],[RMT]]+Tbl_Long_Hydro[[#This Row],[VCB]]</f>
        <v>#N/A</v>
      </c>
      <c r="AY100" s="904" t="e">
        <f>Tbl_Long_Hydro[[#This Row],[Displacement]]*Tbl_Long_Hydro[[#This Row],[RML]]/(100*Lpp)</f>
        <v>#N/A</v>
      </c>
      <c r="AZ100" s="956" t="e">
        <f>Tbl_Long_Hydro[[#This Row],[Draught]]</f>
        <v>#N/A</v>
      </c>
      <c r="BA100" s="959" t="e">
        <f>Tbl_Long_Hydro[[#This Row],[Displacement]]</f>
        <v>#N/A</v>
      </c>
      <c r="BB100" s="960" t="e">
        <f>Tbl_Long_Hydro[[#This Row],[Displac. SW]]</f>
        <v>#N/A</v>
      </c>
      <c r="BC100" s="964" t="e">
        <f>Tbl_Long_Hydro[[#This Row],[Waterplane area]]/100*$AQ$4</f>
        <v>#N/A</v>
      </c>
      <c r="BD100" s="961" t="e">
        <f>Tbl_Long_Hydro[[#This Row],[MCT]]</f>
        <v>#N/A</v>
      </c>
      <c r="BE100" s="962" t="e">
        <f>Tbl_Long_Hydro[[#This Row],[LCB]]</f>
        <v>#N/A</v>
      </c>
      <c r="BF100" s="962" t="e">
        <f>Tbl_Long_Hydro[[#This Row],[TCB]]</f>
        <v>#N/A</v>
      </c>
      <c r="BG100" s="962" t="e">
        <f>Tbl_Long_Hydro[[#This Row],[LCF]]</f>
        <v>#N/A</v>
      </c>
      <c r="BH100" s="963" t="e">
        <f>Tbl_Long_Hydro[[#This Row],[KMT]]</f>
        <v>#N/A</v>
      </c>
    </row>
    <row r="101" spans="11:60" x14ac:dyDescent="0.25">
      <c r="K101" s="156">
        <f t="shared" si="5"/>
        <v>95</v>
      </c>
      <c r="L101" s="164">
        <f t="shared" si="6"/>
        <v>47.5</v>
      </c>
      <c r="M101" s="262">
        <f>MATCH(Tbl_Long_Section[[#This Row],[X]],Tbl_Long_Definition[X],1)</f>
        <v>2</v>
      </c>
      <c r="N101" s="262">
        <f>IF(Tbl_Long_Section[[#This Row],[Nline Prev]]&lt;COUNT(Tbl_Long_Definition[X]),Tbl_Long_Section[[#This Row],[Nline Prev]]+1,Tbl_Long_Section[[#This Row],[Nline Prev]])</f>
        <v>3</v>
      </c>
      <c r="O101" s="162">
        <f>INDEX(Tbl_Long_Definition[X],Tbl_Long_Section[[#This Row],[Nline Prev]])</f>
        <v>5</v>
      </c>
      <c r="P101" s="263">
        <f>INDEX(Tbl_Long_Definition[X],Tbl_Long_Section[[#This Row],[Nline Next]])</f>
        <v>55</v>
      </c>
      <c r="Q101" s="160">
        <f>INDEX(Tbl_Long_Definition[H Deck-Bott.],Tbl_Long_Section[[#This Row],[Nline Prev]])</f>
        <v>4</v>
      </c>
      <c r="R101" s="161">
        <f>INDEX(Tbl_Long_Definition[H Deck-Bott.],Tbl_Long_Section[[#This Row],[Nline Next]])</f>
        <v>4</v>
      </c>
      <c r="S101"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101" s="8"/>
      <c r="V101" s="873" t="e">
        <f t="shared" si="7"/>
        <v>#N/A</v>
      </c>
      <c r="W101" s="885" t="e">
        <f>MATCH(Tbl_Long_Hydro[[#This Row],[Draught]],Tbl_Long_Definition[H k-bott],-1)</f>
        <v>#N/A</v>
      </c>
      <c r="X101"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01" s="886" t="e">
        <f>MATCH(Tbl_Long_Hydro[[#This Row],[Draught]],Tbl_Long_Definition[H k-bott],1)</f>
        <v>#N/A</v>
      </c>
      <c r="Z101"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01" s="888" t="e">
        <f>IF(ISNA(Tbl_Long_Hydro[[#This Row],[Draught]]),NA(),IFERROR(INDEX(Tbl_Long_Definition[X],Tbl_Long_Hydro[[#This Row],[Aft Nline prev]]),0))</f>
        <v>#N/A</v>
      </c>
      <c r="AB101" s="889" t="e">
        <f>IF(ISNA(Tbl_Long_Hydro[[#This Row],[Draught]]),NA(),IFERROR(INDEX(Tbl_Long_Definition[X],Tbl_Long_Hydro[[#This Row],[Aft Nline next]]),0))</f>
        <v>#N/A</v>
      </c>
      <c r="AC101" s="889" t="e">
        <f>IF(ISNA(Tbl_Long_Hydro[[#This Row],[Draught]]),NA(),INDEX(Tbl_Long_Definition[H k-bott],Tbl_Long_Hydro[[#This Row],[Aft Nline prev]]))</f>
        <v>#N/A</v>
      </c>
      <c r="AD101" s="889" t="e">
        <f>IF(ISNA(Tbl_Long_Hydro[[#This Row],[Draught]]),NA(),INDEX(Tbl_Long_Definition[H k-bott],Tbl_Long_Hydro[[#This Row],[Aft Nline next]]))</f>
        <v>#N/A</v>
      </c>
      <c r="AE101" s="888" t="e">
        <f>IF(ISNA(Tbl_Long_Hydro[[#This Row],[Draught]]),NA(),IFERROR(INDEX(Tbl_Long_Definition[X],Tbl_Long_Hydro[[#This Row],[Fore Nline prev]]),0))</f>
        <v>#N/A</v>
      </c>
      <c r="AF101" s="889" t="e">
        <f>IF(ISNA(Tbl_Long_Hydro[[#This Row],[Draught]]),NA(),IFERROR(INDEX(Tbl_Long_Definition[X],Tbl_Long_Hydro[[#This Row],[Fore Nline next]]),0))</f>
        <v>#N/A</v>
      </c>
      <c r="AG101" s="889" t="e">
        <f>IF(ISNA(Tbl_Long_Hydro[[#This Row],[Draught]]),NA(),INDEX(Tbl_Long_Definition[H k-bott],Tbl_Long_Hydro[[#This Row],[Fore Nline prev]]))</f>
        <v>#N/A</v>
      </c>
      <c r="AH101" s="890" t="e">
        <f>IF(ISNA(Tbl_Long_Hydro[[#This Row],[Draught]]),NA(),INDEX(Tbl_Long_Definition[H k-bott],Tbl_Long_Hydro[[#This Row],[Fore Nline next]]))</f>
        <v>#N/A</v>
      </c>
      <c r="AI101"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01"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01" s="894" t="e">
        <f>Tbl_Long_Hydro[[#This Row],[Fore X]]-Tbl_Long_Hydro[[#This Row],[Aft X]]</f>
        <v>#N/A</v>
      </c>
      <c r="AL101" s="884" t="e">
        <f>Tbl_Long_Hydro[[#This Row],[LX]]*B</f>
        <v>#N/A</v>
      </c>
      <c r="AM101" s="892" t="e">
        <f>IF(ISNUMBER(AM100),(AK100+Tbl_Long_Hydro[[#This Row],[LX]])*(Tbl_Long_Hydro[[#This Row],[Draught]]-V100)/2*B,(Tbl_Long_Hydro[[#This Row],[LX]])*Tbl_Long_Hydro[[#This Row],[Draught]]*B)</f>
        <v>#N/A</v>
      </c>
      <c r="AN101" s="899" t="e">
        <f>Tbl_Long_Hydro[[#This Row],[Aft X]]+Tbl_Long_Hydro[[#This Row],[LX]]/2</f>
        <v>#N/A</v>
      </c>
      <c r="AO101" s="876" t="e">
        <f>IF(ISNUMBER(AO100),(2*Tbl_Long_Hydro[[#This Row],[LX]]+AK100)/(Tbl_Long_Hydro[[#This Row],[LX]]+AK100)*(Tbl_Long_Hydro[[#This Row],[Draught]]-V100)/3+V100,Tbl_Long_Hydro[[#This Row],[Draught]]/2)</f>
        <v>#N/A</v>
      </c>
      <c r="AP101" s="898" t="e">
        <f>IF(ISNUMBER(AP100),Tbl_Long_Hydro[[#This Row],[Volume elt]]+AP100,Tbl_Long_Hydro[[#This Row],[Volume elt]]*AO$4)</f>
        <v>#N/A</v>
      </c>
      <c r="AQ101" s="893" t="e">
        <f>IF(ISNUMBER(AQ100),Tbl_Long_Hydro[[#This Row],[Displacement]]*AQ$4,IF(ISNA(AQ100),NA(),0))</f>
        <v>#N/A</v>
      </c>
      <c r="AR101" s="900" t="e">
        <f>IF(ISNA(Tbl_Long_Hydro[[#This Row],[Draught]]),NA(),IFERROR(Tbl_Long_Hydro[[#This Row],[LX]]*B^3/12/Tbl_Long_Hydro[[#This Row],[Displacement]],0))</f>
        <v>#N/A</v>
      </c>
      <c r="AS101" s="903" t="e">
        <f>IF(ISNA(Tbl_Long_Hydro[[#This Row],[Draught]]),NA(),IFERROR((B*Tbl_Long_Hydro[[#This Row],[LX]]^3/12+(Tbl_Long_Hydro[[#This Row],[LCF]]-Tbl_Long_Hydro[[#This Row],[LCB]])*Tbl_Long_Hydro[[#This Row],[Waterplane area]]*Tbl_Long_Hydro[[#This Row],[LCF]]^2)/Tbl_Long_Hydro[[#This Row],[Displacement]],0))</f>
        <v>#N/A</v>
      </c>
      <c r="AT101" s="900" t="e">
        <f>Tbl_Long_Hydro[[#This Row],[Aft X]]+Tbl_Long_Hydro[[#This Row],[LX]]/2</f>
        <v>#N/A</v>
      </c>
      <c r="AU101" s="901" t="e">
        <f>IF(ISNUMBER(AU100),(AU100*AP100+Tbl_Long_Hydro[[#This Row],[X CoG elt]]*Tbl_Long_Hydro[[#This Row],[Volume elt]])/Tbl_Long_Hydro[[#This Row],[Displacement]],Tbl_Long_Hydro[[#This Row],[X CoG elt]])</f>
        <v>#N/A</v>
      </c>
      <c r="AV101" s="902" t="e">
        <f>IF(ISNA(Tbl_Long_Hydro[[#This Row],[Draught]]),NA(),0)</f>
        <v>#N/A</v>
      </c>
      <c r="AW101" s="876" t="e">
        <f>IF(ISNUMBER(AW100),(AW100*AP100+Tbl_Long_Hydro[[#This Row],[Z CoG elt]]*Tbl_Long_Hydro[[#This Row],[Volume elt]])/Tbl_Long_Hydro[[#This Row],[Displacement]],Tbl_Long_Hydro[[#This Row],[Z CoG elt]])</f>
        <v>#N/A</v>
      </c>
      <c r="AX101" s="899" t="e">
        <f>Tbl_Long_Hydro[[#This Row],[RMT]]+Tbl_Long_Hydro[[#This Row],[VCB]]</f>
        <v>#N/A</v>
      </c>
      <c r="AY101" s="904" t="e">
        <f>Tbl_Long_Hydro[[#This Row],[Displacement]]*Tbl_Long_Hydro[[#This Row],[RML]]/(100*Lpp)</f>
        <v>#N/A</v>
      </c>
      <c r="AZ101" s="956" t="e">
        <f>Tbl_Long_Hydro[[#This Row],[Draught]]</f>
        <v>#N/A</v>
      </c>
      <c r="BA101" s="959" t="e">
        <f>Tbl_Long_Hydro[[#This Row],[Displacement]]</f>
        <v>#N/A</v>
      </c>
      <c r="BB101" s="960" t="e">
        <f>Tbl_Long_Hydro[[#This Row],[Displac. SW]]</f>
        <v>#N/A</v>
      </c>
      <c r="BC101" s="964" t="e">
        <f>Tbl_Long_Hydro[[#This Row],[Waterplane area]]/100*$AQ$4</f>
        <v>#N/A</v>
      </c>
      <c r="BD101" s="961" t="e">
        <f>Tbl_Long_Hydro[[#This Row],[MCT]]</f>
        <v>#N/A</v>
      </c>
      <c r="BE101" s="962" t="e">
        <f>Tbl_Long_Hydro[[#This Row],[LCB]]</f>
        <v>#N/A</v>
      </c>
      <c r="BF101" s="962" t="e">
        <f>Tbl_Long_Hydro[[#This Row],[TCB]]</f>
        <v>#N/A</v>
      </c>
      <c r="BG101" s="962" t="e">
        <f>Tbl_Long_Hydro[[#This Row],[LCF]]</f>
        <v>#N/A</v>
      </c>
      <c r="BH101" s="963" t="e">
        <f>Tbl_Long_Hydro[[#This Row],[KMT]]</f>
        <v>#N/A</v>
      </c>
    </row>
    <row r="102" spans="11:60" x14ac:dyDescent="0.25">
      <c r="K102" s="156">
        <f t="shared" si="5"/>
        <v>96</v>
      </c>
      <c r="L102" s="164">
        <f t="shared" si="6"/>
        <v>48</v>
      </c>
      <c r="M102" s="262">
        <f>MATCH(Tbl_Long_Section[[#This Row],[X]],Tbl_Long_Definition[X],1)</f>
        <v>2</v>
      </c>
      <c r="N102" s="262">
        <f>IF(Tbl_Long_Section[[#This Row],[Nline Prev]]&lt;COUNT(Tbl_Long_Definition[X]),Tbl_Long_Section[[#This Row],[Nline Prev]]+1,Tbl_Long_Section[[#This Row],[Nline Prev]])</f>
        <v>3</v>
      </c>
      <c r="O102" s="162">
        <f>INDEX(Tbl_Long_Definition[X],Tbl_Long_Section[[#This Row],[Nline Prev]])</f>
        <v>5</v>
      </c>
      <c r="P102" s="263">
        <f>INDEX(Tbl_Long_Definition[X],Tbl_Long_Section[[#This Row],[Nline Next]])</f>
        <v>55</v>
      </c>
      <c r="Q102" s="160">
        <f>INDEX(Tbl_Long_Definition[H Deck-Bott.],Tbl_Long_Section[[#This Row],[Nline Prev]])</f>
        <v>4</v>
      </c>
      <c r="R102" s="161">
        <f>INDEX(Tbl_Long_Definition[H Deck-Bott.],Tbl_Long_Section[[#This Row],[Nline Next]])</f>
        <v>4</v>
      </c>
      <c r="S102"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102" s="8"/>
      <c r="V102" s="873" t="e">
        <f t="shared" ref="V102:V133" si="8">IF(ISTEXT(V101),0,IF(V101+Δhydro&gt;M_depth,NA(),V101+Δhydro))</f>
        <v>#N/A</v>
      </c>
      <c r="W102" s="885" t="e">
        <f>MATCH(Tbl_Long_Hydro[[#This Row],[Draught]],Tbl_Long_Definition[H k-bott],-1)</f>
        <v>#N/A</v>
      </c>
      <c r="X102"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02" s="886" t="e">
        <f>MATCH(Tbl_Long_Hydro[[#This Row],[Draught]],Tbl_Long_Definition[H k-bott],1)</f>
        <v>#N/A</v>
      </c>
      <c r="Z102"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02" s="888" t="e">
        <f>IF(ISNA(Tbl_Long_Hydro[[#This Row],[Draught]]),NA(),IFERROR(INDEX(Tbl_Long_Definition[X],Tbl_Long_Hydro[[#This Row],[Aft Nline prev]]),0))</f>
        <v>#N/A</v>
      </c>
      <c r="AB102" s="889" t="e">
        <f>IF(ISNA(Tbl_Long_Hydro[[#This Row],[Draught]]),NA(),IFERROR(INDEX(Tbl_Long_Definition[X],Tbl_Long_Hydro[[#This Row],[Aft Nline next]]),0))</f>
        <v>#N/A</v>
      </c>
      <c r="AC102" s="889" t="e">
        <f>IF(ISNA(Tbl_Long_Hydro[[#This Row],[Draught]]),NA(),INDEX(Tbl_Long_Definition[H k-bott],Tbl_Long_Hydro[[#This Row],[Aft Nline prev]]))</f>
        <v>#N/A</v>
      </c>
      <c r="AD102" s="889" t="e">
        <f>IF(ISNA(Tbl_Long_Hydro[[#This Row],[Draught]]),NA(),INDEX(Tbl_Long_Definition[H k-bott],Tbl_Long_Hydro[[#This Row],[Aft Nline next]]))</f>
        <v>#N/A</v>
      </c>
      <c r="AE102" s="888" t="e">
        <f>IF(ISNA(Tbl_Long_Hydro[[#This Row],[Draught]]),NA(),IFERROR(INDEX(Tbl_Long_Definition[X],Tbl_Long_Hydro[[#This Row],[Fore Nline prev]]),0))</f>
        <v>#N/A</v>
      </c>
      <c r="AF102" s="889" t="e">
        <f>IF(ISNA(Tbl_Long_Hydro[[#This Row],[Draught]]),NA(),IFERROR(INDEX(Tbl_Long_Definition[X],Tbl_Long_Hydro[[#This Row],[Fore Nline next]]),0))</f>
        <v>#N/A</v>
      </c>
      <c r="AG102" s="889" t="e">
        <f>IF(ISNA(Tbl_Long_Hydro[[#This Row],[Draught]]),NA(),INDEX(Tbl_Long_Definition[H k-bott],Tbl_Long_Hydro[[#This Row],[Fore Nline prev]]))</f>
        <v>#N/A</v>
      </c>
      <c r="AH102" s="890" t="e">
        <f>IF(ISNA(Tbl_Long_Hydro[[#This Row],[Draught]]),NA(),INDEX(Tbl_Long_Definition[H k-bott],Tbl_Long_Hydro[[#This Row],[Fore Nline next]]))</f>
        <v>#N/A</v>
      </c>
      <c r="AI102"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02"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02" s="894" t="e">
        <f>Tbl_Long_Hydro[[#This Row],[Fore X]]-Tbl_Long_Hydro[[#This Row],[Aft X]]</f>
        <v>#N/A</v>
      </c>
      <c r="AL102" s="884" t="e">
        <f>Tbl_Long_Hydro[[#This Row],[LX]]*B</f>
        <v>#N/A</v>
      </c>
      <c r="AM102" s="892" t="e">
        <f>IF(ISNUMBER(AM101),(AK101+Tbl_Long_Hydro[[#This Row],[LX]])*(Tbl_Long_Hydro[[#This Row],[Draught]]-V101)/2*B,(Tbl_Long_Hydro[[#This Row],[LX]])*Tbl_Long_Hydro[[#This Row],[Draught]]*B)</f>
        <v>#N/A</v>
      </c>
      <c r="AN102" s="899" t="e">
        <f>Tbl_Long_Hydro[[#This Row],[Aft X]]+Tbl_Long_Hydro[[#This Row],[LX]]/2</f>
        <v>#N/A</v>
      </c>
      <c r="AO102" s="876" t="e">
        <f>IF(ISNUMBER(AO101),(2*Tbl_Long_Hydro[[#This Row],[LX]]+AK101)/(Tbl_Long_Hydro[[#This Row],[LX]]+AK101)*(Tbl_Long_Hydro[[#This Row],[Draught]]-V101)/3+V101,Tbl_Long_Hydro[[#This Row],[Draught]]/2)</f>
        <v>#N/A</v>
      </c>
      <c r="AP102" s="898" t="e">
        <f>IF(ISNUMBER(AP101),Tbl_Long_Hydro[[#This Row],[Volume elt]]+AP101,Tbl_Long_Hydro[[#This Row],[Volume elt]]*AO$4)</f>
        <v>#N/A</v>
      </c>
      <c r="AQ102" s="893" t="e">
        <f>IF(ISNUMBER(AQ101),Tbl_Long_Hydro[[#This Row],[Displacement]]*AQ$4,IF(ISNA(AQ101),NA(),0))</f>
        <v>#N/A</v>
      </c>
      <c r="AR102" s="900" t="e">
        <f>IF(ISNA(Tbl_Long_Hydro[[#This Row],[Draught]]),NA(),IFERROR(Tbl_Long_Hydro[[#This Row],[LX]]*B^3/12/Tbl_Long_Hydro[[#This Row],[Displacement]],0))</f>
        <v>#N/A</v>
      </c>
      <c r="AS102" s="903" t="e">
        <f>IF(ISNA(Tbl_Long_Hydro[[#This Row],[Draught]]),NA(),IFERROR((B*Tbl_Long_Hydro[[#This Row],[LX]]^3/12+(Tbl_Long_Hydro[[#This Row],[LCF]]-Tbl_Long_Hydro[[#This Row],[LCB]])*Tbl_Long_Hydro[[#This Row],[Waterplane area]]*Tbl_Long_Hydro[[#This Row],[LCF]]^2)/Tbl_Long_Hydro[[#This Row],[Displacement]],0))</f>
        <v>#N/A</v>
      </c>
      <c r="AT102" s="900" t="e">
        <f>Tbl_Long_Hydro[[#This Row],[Aft X]]+Tbl_Long_Hydro[[#This Row],[LX]]/2</f>
        <v>#N/A</v>
      </c>
      <c r="AU102" s="901" t="e">
        <f>IF(ISNUMBER(AU101),(AU101*AP101+Tbl_Long_Hydro[[#This Row],[X CoG elt]]*Tbl_Long_Hydro[[#This Row],[Volume elt]])/Tbl_Long_Hydro[[#This Row],[Displacement]],Tbl_Long_Hydro[[#This Row],[X CoG elt]])</f>
        <v>#N/A</v>
      </c>
      <c r="AV102" s="902" t="e">
        <f>IF(ISNA(Tbl_Long_Hydro[[#This Row],[Draught]]),NA(),0)</f>
        <v>#N/A</v>
      </c>
      <c r="AW102" s="876" t="e">
        <f>IF(ISNUMBER(AW101),(AW101*AP101+Tbl_Long_Hydro[[#This Row],[Z CoG elt]]*Tbl_Long_Hydro[[#This Row],[Volume elt]])/Tbl_Long_Hydro[[#This Row],[Displacement]],Tbl_Long_Hydro[[#This Row],[Z CoG elt]])</f>
        <v>#N/A</v>
      </c>
      <c r="AX102" s="899" t="e">
        <f>Tbl_Long_Hydro[[#This Row],[RMT]]+Tbl_Long_Hydro[[#This Row],[VCB]]</f>
        <v>#N/A</v>
      </c>
      <c r="AY102" s="904" t="e">
        <f>Tbl_Long_Hydro[[#This Row],[Displacement]]*Tbl_Long_Hydro[[#This Row],[RML]]/(100*Lpp)</f>
        <v>#N/A</v>
      </c>
      <c r="AZ102" s="956" t="e">
        <f>Tbl_Long_Hydro[[#This Row],[Draught]]</f>
        <v>#N/A</v>
      </c>
      <c r="BA102" s="959" t="e">
        <f>Tbl_Long_Hydro[[#This Row],[Displacement]]</f>
        <v>#N/A</v>
      </c>
      <c r="BB102" s="960" t="e">
        <f>Tbl_Long_Hydro[[#This Row],[Displac. SW]]</f>
        <v>#N/A</v>
      </c>
      <c r="BC102" s="964" t="e">
        <f>Tbl_Long_Hydro[[#This Row],[Waterplane area]]/100*$AQ$4</f>
        <v>#N/A</v>
      </c>
      <c r="BD102" s="961" t="e">
        <f>Tbl_Long_Hydro[[#This Row],[MCT]]</f>
        <v>#N/A</v>
      </c>
      <c r="BE102" s="962" t="e">
        <f>Tbl_Long_Hydro[[#This Row],[LCB]]</f>
        <v>#N/A</v>
      </c>
      <c r="BF102" s="962" t="e">
        <f>Tbl_Long_Hydro[[#This Row],[TCB]]</f>
        <v>#N/A</v>
      </c>
      <c r="BG102" s="962" t="e">
        <f>Tbl_Long_Hydro[[#This Row],[LCF]]</f>
        <v>#N/A</v>
      </c>
      <c r="BH102" s="963" t="e">
        <f>Tbl_Long_Hydro[[#This Row],[KMT]]</f>
        <v>#N/A</v>
      </c>
    </row>
    <row r="103" spans="11:60" x14ac:dyDescent="0.25">
      <c r="K103" s="156">
        <f t="shared" si="5"/>
        <v>97</v>
      </c>
      <c r="L103" s="164">
        <f t="shared" si="6"/>
        <v>48.5</v>
      </c>
      <c r="M103" s="262">
        <f>MATCH(Tbl_Long_Section[[#This Row],[X]],Tbl_Long_Definition[X],1)</f>
        <v>2</v>
      </c>
      <c r="N103" s="262">
        <f>IF(Tbl_Long_Section[[#This Row],[Nline Prev]]&lt;COUNT(Tbl_Long_Definition[X]),Tbl_Long_Section[[#This Row],[Nline Prev]]+1,Tbl_Long_Section[[#This Row],[Nline Prev]])</f>
        <v>3</v>
      </c>
      <c r="O103" s="162">
        <f>INDEX(Tbl_Long_Definition[X],Tbl_Long_Section[[#This Row],[Nline Prev]])</f>
        <v>5</v>
      </c>
      <c r="P103" s="263">
        <f>INDEX(Tbl_Long_Definition[X],Tbl_Long_Section[[#This Row],[Nline Next]])</f>
        <v>55</v>
      </c>
      <c r="Q103" s="160">
        <f>INDEX(Tbl_Long_Definition[H Deck-Bott.],Tbl_Long_Section[[#This Row],[Nline Prev]])</f>
        <v>4</v>
      </c>
      <c r="R103" s="161">
        <f>INDEX(Tbl_Long_Definition[H Deck-Bott.],Tbl_Long_Section[[#This Row],[Nline Next]])</f>
        <v>4</v>
      </c>
      <c r="S103"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103" s="8"/>
      <c r="V103" s="873" t="e">
        <f t="shared" si="8"/>
        <v>#N/A</v>
      </c>
      <c r="W103" s="885" t="e">
        <f>MATCH(Tbl_Long_Hydro[[#This Row],[Draught]],Tbl_Long_Definition[H k-bott],-1)</f>
        <v>#N/A</v>
      </c>
      <c r="X103"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03" s="886" t="e">
        <f>MATCH(Tbl_Long_Hydro[[#This Row],[Draught]],Tbl_Long_Definition[H k-bott],1)</f>
        <v>#N/A</v>
      </c>
      <c r="Z103"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03" s="888" t="e">
        <f>IF(ISNA(Tbl_Long_Hydro[[#This Row],[Draught]]),NA(),IFERROR(INDEX(Tbl_Long_Definition[X],Tbl_Long_Hydro[[#This Row],[Aft Nline prev]]),0))</f>
        <v>#N/A</v>
      </c>
      <c r="AB103" s="889" t="e">
        <f>IF(ISNA(Tbl_Long_Hydro[[#This Row],[Draught]]),NA(),IFERROR(INDEX(Tbl_Long_Definition[X],Tbl_Long_Hydro[[#This Row],[Aft Nline next]]),0))</f>
        <v>#N/A</v>
      </c>
      <c r="AC103" s="889" t="e">
        <f>IF(ISNA(Tbl_Long_Hydro[[#This Row],[Draught]]),NA(),INDEX(Tbl_Long_Definition[H k-bott],Tbl_Long_Hydro[[#This Row],[Aft Nline prev]]))</f>
        <v>#N/A</v>
      </c>
      <c r="AD103" s="889" t="e">
        <f>IF(ISNA(Tbl_Long_Hydro[[#This Row],[Draught]]),NA(),INDEX(Tbl_Long_Definition[H k-bott],Tbl_Long_Hydro[[#This Row],[Aft Nline next]]))</f>
        <v>#N/A</v>
      </c>
      <c r="AE103" s="888" t="e">
        <f>IF(ISNA(Tbl_Long_Hydro[[#This Row],[Draught]]),NA(),IFERROR(INDEX(Tbl_Long_Definition[X],Tbl_Long_Hydro[[#This Row],[Fore Nline prev]]),0))</f>
        <v>#N/A</v>
      </c>
      <c r="AF103" s="889" t="e">
        <f>IF(ISNA(Tbl_Long_Hydro[[#This Row],[Draught]]),NA(),IFERROR(INDEX(Tbl_Long_Definition[X],Tbl_Long_Hydro[[#This Row],[Fore Nline next]]),0))</f>
        <v>#N/A</v>
      </c>
      <c r="AG103" s="889" t="e">
        <f>IF(ISNA(Tbl_Long_Hydro[[#This Row],[Draught]]),NA(),INDEX(Tbl_Long_Definition[H k-bott],Tbl_Long_Hydro[[#This Row],[Fore Nline prev]]))</f>
        <v>#N/A</v>
      </c>
      <c r="AH103" s="890" t="e">
        <f>IF(ISNA(Tbl_Long_Hydro[[#This Row],[Draught]]),NA(),INDEX(Tbl_Long_Definition[H k-bott],Tbl_Long_Hydro[[#This Row],[Fore Nline next]]))</f>
        <v>#N/A</v>
      </c>
      <c r="AI103"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03"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03" s="894" t="e">
        <f>Tbl_Long_Hydro[[#This Row],[Fore X]]-Tbl_Long_Hydro[[#This Row],[Aft X]]</f>
        <v>#N/A</v>
      </c>
      <c r="AL103" s="884" t="e">
        <f>Tbl_Long_Hydro[[#This Row],[LX]]*B</f>
        <v>#N/A</v>
      </c>
      <c r="AM103" s="892" t="e">
        <f>IF(ISNUMBER(AM102),(AK102+Tbl_Long_Hydro[[#This Row],[LX]])*(Tbl_Long_Hydro[[#This Row],[Draught]]-V102)/2*B,(Tbl_Long_Hydro[[#This Row],[LX]])*Tbl_Long_Hydro[[#This Row],[Draught]]*B)</f>
        <v>#N/A</v>
      </c>
      <c r="AN103" s="899" t="e">
        <f>Tbl_Long_Hydro[[#This Row],[Aft X]]+Tbl_Long_Hydro[[#This Row],[LX]]/2</f>
        <v>#N/A</v>
      </c>
      <c r="AO103" s="876" t="e">
        <f>IF(ISNUMBER(AO102),(2*Tbl_Long_Hydro[[#This Row],[LX]]+AK102)/(Tbl_Long_Hydro[[#This Row],[LX]]+AK102)*(Tbl_Long_Hydro[[#This Row],[Draught]]-V102)/3+V102,Tbl_Long_Hydro[[#This Row],[Draught]]/2)</f>
        <v>#N/A</v>
      </c>
      <c r="AP103" s="898" t="e">
        <f>IF(ISNUMBER(AP102),Tbl_Long_Hydro[[#This Row],[Volume elt]]+AP102,Tbl_Long_Hydro[[#This Row],[Volume elt]]*AO$4)</f>
        <v>#N/A</v>
      </c>
      <c r="AQ103" s="893" t="e">
        <f>IF(ISNUMBER(AQ102),Tbl_Long_Hydro[[#This Row],[Displacement]]*AQ$4,IF(ISNA(AQ102),NA(),0))</f>
        <v>#N/A</v>
      </c>
      <c r="AR103" s="900" t="e">
        <f>IF(ISNA(Tbl_Long_Hydro[[#This Row],[Draught]]),NA(),IFERROR(Tbl_Long_Hydro[[#This Row],[LX]]*B^3/12/Tbl_Long_Hydro[[#This Row],[Displacement]],0))</f>
        <v>#N/A</v>
      </c>
      <c r="AS103" s="903" t="e">
        <f>IF(ISNA(Tbl_Long_Hydro[[#This Row],[Draught]]),NA(),IFERROR((B*Tbl_Long_Hydro[[#This Row],[LX]]^3/12+(Tbl_Long_Hydro[[#This Row],[LCF]]-Tbl_Long_Hydro[[#This Row],[LCB]])*Tbl_Long_Hydro[[#This Row],[Waterplane area]]*Tbl_Long_Hydro[[#This Row],[LCF]]^2)/Tbl_Long_Hydro[[#This Row],[Displacement]],0))</f>
        <v>#N/A</v>
      </c>
      <c r="AT103" s="900" t="e">
        <f>Tbl_Long_Hydro[[#This Row],[Aft X]]+Tbl_Long_Hydro[[#This Row],[LX]]/2</f>
        <v>#N/A</v>
      </c>
      <c r="AU103" s="901" t="e">
        <f>IF(ISNUMBER(AU102),(AU102*AP102+Tbl_Long_Hydro[[#This Row],[X CoG elt]]*Tbl_Long_Hydro[[#This Row],[Volume elt]])/Tbl_Long_Hydro[[#This Row],[Displacement]],Tbl_Long_Hydro[[#This Row],[X CoG elt]])</f>
        <v>#N/A</v>
      </c>
      <c r="AV103" s="902" t="e">
        <f>IF(ISNA(Tbl_Long_Hydro[[#This Row],[Draught]]),NA(),0)</f>
        <v>#N/A</v>
      </c>
      <c r="AW103" s="876" t="e">
        <f>IF(ISNUMBER(AW102),(AW102*AP102+Tbl_Long_Hydro[[#This Row],[Z CoG elt]]*Tbl_Long_Hydro[[#This Row],[Volume elt]])/Tbl_Long_Hydro[[#This Row],[Displacement]],Tbl_Long_Hydro[[#This Row],[Z CoG elt]])</f>
        <v>#N/A</v>
      </c>
      <c r="AX103" s="899" t="e">
        <f>Tbl_Long_Hydro[[#This Row],[RMT]]+Tbl_Long_Hydro[[#This Row],[VCB]]</f>
        <v>#N/A</v>
      </c>
      <c r="AY103" s="904" t="e">
        <f>Tbl_Long_Hydro[[#This Row],[Displacement]]*Tbl_Long_Hydro[[#This Row],[RML]]/(100*Lpp)</f>
        <v>#N/A</v>
      </c>
      <c r="AZ103" s="956" t="e">
        <f>Tbl_Long_Hydro[[#This Row],[Draught]]</f>
        <v>#N/A</v>
      </c>
      <c r="BA103" s="959" t="e">
        <f>Tbl_Long_Hydro[[#This Row],[Displacement]]</f>
        <v>#N/A</v>
      </c>
      <c r="BB103" s="960" t="e">
        <f>Tbl_Long_Hydro[[#This Row],[Displac. SW]]</f>
        <v>#N/A</v>
      </c>
      <c r="BC103" s="964" t="e">
        <f>Tbl_Long_Hydro[[#This Row],[Waterplane area]]/100*$AQ$4</f>
        <v>#N/A</v>
      </c>
      <c r="BD103" s="961" t="e">
        <f>Tbl_Long_Hydro[[#This Row],[MCT]]</f>
        <v>#N/A</v>
      </c>
      <c r="BE103" s="962" t="e">
        <f>Tbl_Long_Hydro[[#This Row],[LCB]]</f>
        <v>#N/A</v>
      </c>
      <c r="BF103" s="962" t="e">
        <f>Tbl_Long_Hydro[[#This Row],[TCB]]</f>
        <v>#N/A</v>
      </c>
      <c r="BG103" s="962" t="e">
        <f>Tbl_Long_Hydro[[#This Row],[LCF]]</f>
        <v>#N/A</v>
      </c>
      <c r="BH103" s="963" t="e">
        <f>Tbl_Long_Hydro[[#This Row],[KMT]]</f>
        <v>#N/A</v>
      </c>
    </row>
    <row r="104" spans="11:60" x14ac:dyDescent="0.25">
      <c r="K104" s="156">
        <f t="shared" si="5"/>
        <v>98</v>
      </c>
      <c r="L104" s="164">
        <f t="shared" si="6"/>
        <v>49</v>
      </c>
      <c r="M104" s="262">
        <f>MATCH(Tbl_Long_Section[[#This Row],[X]],Tbl_Long_Definition[X],1)</f>
        <v>2</v>
      </c>
      <c r="N104" s="262">
        <f>IF(Tbl_Long_Section[[#This Row],[Nline Prev]]&lt;COUNT(Tbl_Long_Definition[X]),Tbl_Long_Section[[#This Row],[Nline Prev]]+1,Tbl_Long_Section[[#This Row],[Nline Prev]])</f>
        <v>3</v>
      </c>
      <c r="O104" s="162">
        <f>INDEX(Tbl_Long_Definition[X],Tbl_Long_Section[[#This Row],[Nline Prev]])</f>
        <v>5</v>
      </c>
      <c r="P104" s="263">
        <f>INDEX(Tbl_Long_Definition[X],Tbl_Long_Section[[#This Row],[Nline Next]])</f>
        <v>55</v>
      </c>
      <c r="Q104" s="160">
        <f>INDEX(Tbl_Long_Definition[H Deck-Bott.],Tbl_Long_Section[[#This Row],[Nline Prev]])</f>
        <v>4</v>
      </c>
      <c r="R104" s="161">
        <f>INDEX(Tbl_Long_Definition[H Deck-Bott.],Tbl_Long_Section[[#This Row],[Nline Next]])</f>
        <v>4</v>
      </c>
      <c r="S104"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104" s="8"/>
      <c r="V104" s="873" t="e">
        <f t="shared" si="8"/>
        <v>#N/A</v>
      </c>
      <c r="W104" s="885" t="e">
        <f>MATCH(Tbl_Long_Hydro[[#This Row],[Draught]],Tbl_Long_Definition[H k-bott],-1)</f>
        <v>#N/A</v>
      </c>
      <c r="X104"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04" s="886" t="e">
        <f>MATCH(Tbl_Long_Hydro[[#This Row],[Draught]],Tbl_Long_Definition[H k-bott],1)</f>
        <v>#N/A</v>
      </c>
      <c r="Z104"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04" s="888" t="e">
        <f>IF(ISNA(Tbl_Long_Hydro[[#This Row],[Draught]]),NA(),IFERROR(INDEX(Tbl_Long_Definition[X],Tbl_Long_Hydro[[#This Row],[Aft Nline prev]]),0))</f>
        <v>#N/A</v>
      </c>
      <c r="AB104" s="889" t="e">
        <f>IF(ISNA(Tbl_Long_Hydro[[#This Row],[Draught]]),NA(),IFERROR(INDEX(Tbl_Long_Definition[X],Tbl_Long_Hydro[[#This Row],[Aft Nline next]]),0))</f>
        <v>#N/A</v>
      </c>
      <c r="AC104" s="889" t="e">
        <f>IF(ISNA(Tbl_Long_Hydro[[#This Row],[Draught]]),NA(),INDEX(Tbl_Long_Definition[H k-bott],Tbl_Long_Hydro[[#This Row],[Aft Nline prev]]))</f>
        <v>#N/A</v>
      </c>
      <c r="AD104" s="889" t="e">
        <f>IF(ISNA(Tbl_Long_Hydro[[#This Row],[Draught]]),NA(),INDEX(Tbl_Long_Definition[H k-bott],Tbl_Long_Hydro[[#This Row],[Aft Nline next]]))</f>
        <v>#N/A</v>
      </c>
      <c r="AE104" s="888" t="e">
        <f>IF(ISNA(Tbl_Long_Hydro[[#This Row],[Draught]]),NA(),IFERROR(INDEX(Tbl_Long_Definition[X],Tbl_Long_Hydro[[#This Row],[Fore Nline prev]]),0))</f>
        <v>#N/A</v>
      </c>
      <c r="AF104" s="889" t="e">
        <f>IF(ISNA(Tbl_Long_Hydro[[#This Row],[Draught]]),NA(),IFERROR(INDEX(Tbl_Long_Definition[X],Tbl_Long_Hydro[[#This Row],[Fore Nline next]]),0))</f>
        <v>#N/A</v>
      </c>
      <c r="AG104" s="889" t="e">
        <f>IF(ISNA(Tbl_Long_Hydro[[#This Row],[Draught]]),NA(),INDEX(Tbl_Long_Definition[H k-bott],Tbl_Long_Hydro[[#This Row],[Fore Nline prev]]))</f>
        <v>#N/A</v>
      </c>
      <c r="AH104" s="890" t="e">
        <f>IF(ISNA(Tbl_Long_Hydro[[#This Row],[Draught]]),NA(),INDEX(Tbl_Long_Definition[H k-bott],Tbl_Long_Hydro[[#This Row],[Fore Nline next]]))</f>
        <v>#N/A</v>
      </c>
      <c r="AI104"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04"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04" s="894" t="e">
        <f>Tbl_Long_Hydro[[#This Row],[Fore X]]-Tbl_Long_Hydro[[#This Row],[Aft X]]</f>
        <v>#N/A</v>
      </c>
      <c r="AL104" s="884" t="e">
        <f>Tbl_Long_Hydro[[#This Row],[LX]]*B</f>
        <v>#N/A</v>
      </c>
      <c r="AM104" s="892" t="e">
        <f>IF(ISNUMBER(AM103),(AK103+Tbl_Long_Hydro[[#This Row],[LX]])*(Tbl_Long_Hydro[[#This Row],[Draught]]-V103)/2*B,(Tbl_Long_Hydro[[#This Row],[LX]])*Tbl_Long_Hydro[[#This Row],[Draught]]*B)</f>
        <v>#N/A</v>
      </c>
      <c r="AN104" s="899" t="e">
        <f>Tbl_Long_Hydro[[#This Row],[Aft X]]+Tbl_Long_Hydro[[#This Row],[LX]]/2</f>
        <v>#N/A</v>
      </c>
      <c r="AO104" s="876" t="e">
        <f>IF(ISNUMBER(AO103),(2*Tbl_Long_Hydro[[#This Row],[LX]]+AK103)/(Tbl_Long_Hydro[[#This Row],[LX]]+AK103)*(Tbl_Long_Hydro[[#This Row],[Draught]]-V103)/3+V103,Tbl_Long_Hydro[[#This Row],[Draught]]/2)</f>
        <v>#N/A</v>
      </c>
      <c r="AP104" s="898" t="e">
        <f>IF(ISNUMBER(AP103),Tbl_Long_Hydro[[#This Row],[Volume elt]]+AP103,Tbl_Long_Hydro[[#This Row],[Volume elt]]*AO$4)</f>
        <v>#N/A</v>
      </c>
      <c r="AQ104" s="893" t="e">
        <f>IF(ISNUMBER(AQ103),Tbl_Long_Hydro[[#This Row],[Displacement]]*AQ$4,IF(ISNA(AQ103),NA(),0))</f>
        <v>#N/A</v>
      </c>
      <c r="AR104" s="900" t="e">
        <f>IF(ISNA(Tbl_Long_Hydro[[#This Row],[Draught]]),NA(),IFERROR(Tbl_Long_Hydro[[#This Row],[LX]]*B^3/12/Tbl_Long_Hydro[[#This Row],[Displacement]],0))</f>
        <v>#N/A</v>
      </c>
      <c r="AS104" s="903" t="e">
        <f>IF(ISNA(Tbl_Long_Hydro[[#This Row],[Draught]]),NA(),IFERROR((B*Tbl_Long_Hydro[[#This Row],[LX]]^3/12+(Tbl_Long_Hydro[[#This Row],[LCF]]-Tbl_Long_Hydro[[#This Row],[LCB]])*Tbl_Long_Hydro[[#This Row],[Waterplane area]]*Tbl_Long_Hydro[[#This Row],[LCF]]^2)/Tbl_Long_Hydro[[#This Row],[Displacement]],0))</f>
        <v>#N/A</v>
      </c>
      <c r="AT104" s="900" t="e">
        <f>Tbl_Long_Hydro[[#This Row],[Aft X]]+Tbl_Long_Hydro[[#This Row],[LX]]/2</f>
        <v>#N/A</v>
      </c>
      <c r="AU104" s="901" t="e">
        <f>IF(ISNUMBER(AU103),(AU103*AP103+Tbl_Long_Hydro[[#This Row],[X CoG elt]]*Tbl_Long_Hydro[[#This Row],[Volume elt]])/Tbl_Long_Hydro[[#This Row],[Displacement]],Tbl_Long_Hydro[[#This Row],[X CoG elt]])</f>
        <v>#N/A</v>
      </c>
      <c r="AV104" s="902" t="e">
        <f>IF(ISNA(Tbl_Long_Hydro[[#This Row],[Draught]]),NA(),0)</f>
        <v>#N/A</v>
      </c>
      <c r="AW104" s="876" t="e">
        <f>IF(ISNUMBER(AW103),(AW103*AP103+Tbl_Long_Hydro[[#This Row],[Z CoG elt]]*Tbl_Long_Hydro[[#This Row],[Volume elt]])/Tbl_Long_Hydro[[#This Row],[Displacement]],Tbl_Long_Hydro[[#This Row],[Z CoG elt]])</f>
        <v>#N/A</v>
      </c>
      <c r="AX104" s="899" t="e">
        <f>Tbl_Long_Hydro[[#This Row],[RMT]]+Tbl_Long_Hydro[[#This Row],[VCB]]</f>
        <v>#N/A</v>
      </c>
      <c r="AY104" s="904" t="e">
        <f>Tbl_Long_Hydro[[#This Row],[Displacement]]*Tbl_Long_Hydro[[#This Row],[RML]]/(100*Lpp)</f>
        <v>#N/A</v>
      </c>
      <c r="AZ104" s="956" t="e">
        <f>Tbl_Long_Hydro[[#This Row],[Draught]]</f>
        <v>#N/A</v>
      </c>
      <c r="BA104" s="959" t="e">
        <f>Tbl_Long_Hydro[[#This Row],[Displacement]]</f>
        <v>#N/A</v>
      </c>
      <c r="BB104" s="960" t="e">
        <f>Tbl_Long_Hydro[[#This Row],[Displac. SW]]</f>
        <v>#N/A</v>
      </c>
      <c r="BC104" s="964" t="e">
        <f>Tbl_Long_Hydro[[#This Row],[Waterplane area]]/100*$AQ$4</f>
        <v>#N/A</v>
      </c>
      <c r="BD104" s="961" t="e">
        <f>Tbl_Long_Hydro[[#This Row],[MCT]]</f>
        <v>#N/A</v>
      </c>
      <c r="BE104" s="962" t="e">
        <f>Tbl_Long_Hydro[[#This Row],[LCB]]</f>
        <v>#N/A</v>
      </c>
      <c r="BF104" s="962" t="e">
        <f>Tbl_Long_Hydro[[#This Row],[TCB]]</f>
        <v>#N/A</v>
      </c>
      <c r="BG104" s="962" t="e">
        <f>Tbl_Long_Hydro[[#This Row],[LCF]]</f>
        <v>#N/A</v>
      </c>
      <c r="BH104" s="963" t="e">
        <f>Tbl_Long_Hydro[[#This Row],[KMT]]</f>
        <v>#N/A</v>
      </c>
    </row>
    <row r="105" spans="11:60" x14ac:dyDescent="0.25">
      <c r="K105" s="156">
        <f t="shared" si="5"/>
        <v>99</v>
      </c>
      <c r="L105" s="164">
        <f t="shared" si="6"/>
        <v>49.5</v>
      </c>
      <c r="M105" s="262">
        <f>MATCH(Tbl_Long_Section[[#This Row],[X]],Tbl_Long_Definition[X],1)</f>
        <v>2</v>
      </c>
      <c r="N105" s="262">
        <f>IF(Tbl_Long_Section[[#This Row],[Nline Prev]]&lt;COUNT(Tbl_Long_Definition[X]),Tbl_Long_Section[[#This Row],[Nline Prev]]+1,Tbl_Long_Section[[#This Row],[Nline Prev]])</f>
        <v>3</v>
      </c>
      <c r="O105" s="162">
        <f>INDEX(Tbl_Long_Definition[X],Tbl_Long_Section[[#This Row],[Nline Prev]])</f>
        <v>5</v>
      </c>
      <c r="P105" s="263">
        <f>INDEX(Tbl_Long_Definition[X],Tbl_Long_Section[[#This Row],[Nline Next]])</f>
        <v>55</v>
      </c>
      <c r="Q105" s="160">
        <f>INDEX(Tbl_Long_Definition[H Deck-Bott.],Tbl_Long_Section[[#This Row],[Nline Prev]])</f>
        <v>4</v>
      </c>
      <c r="R105" s="161">
        <f>INDEX(Tbl_Long_Definition[H Deck-Bott.],Tbl_Long_Section[[#This Row],[Nline Next]])</f>
        <v>4</v>
      </c>
      <c r="S105"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105" s="8"/>
      <c r="V105" s="873" t="e">
        <f t="shared" si="8"/>
        <v>#N/A</v>
      </c>
      <c r="W105" s="885" t="e">
        <f>MATCH(Tbl_Long_Hydro[[#This Row],[Draught]],Tbl_Long_Definition[H k-bott],-1)</f>
        <v>#N/A</v>
      </c>
      <c r="X105"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05" s="886" t="e">
        <f>MATCH(Tbl_Long_Hydro[[#This Row],[Draught]],Tbl_Long_Definition[H k-bott],1)</f>
        <v>#N/A</v>
      </c>
      <c r="Z105"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05" s="888" t="e">
        <f>IF(ISNA(Tbl_Long_Hydro[[#This Row],[Draught]]),NA(),IFERROR(INDEX(Tbl_Long_Definition[X],Tbl_Long_Hydro[[#This Row],[Aft Nline prev]]),0))</f>
        <v>#N/A</v>
      </c>
      <c r="AB105" s="889" t="e">
        <f>IF(ISNA(Tbl_Long_Hydro[[#This Row],[Draught]]),NA(),IFERROR(INDEX(Tbl_Long_Definition[X],Tbl_Long_Hydro[[#This Row],[Aft Nline next]]),0))</f>
        <v>#N/A</v>
      </c>
      <c r="AC105" s="889" t="e">
        <f>IF(ISNA(Tbl_Long_Hydro[[#This Row],[Draught]]),NA(),INDEX(Tbl_Long_Definition[H k-bott],Tbl_Long_Hydro[[#This Row],[Aft Nline prev]]))</f>
        <v>#N/A</v>
      </c>
      <c r="AD105" s="889" t="e">
        <f>IF(ISNA(Tbl_Long_Hydro[[#This Row],[Draught]]),NA(),INDEX(Tbl_Long_Definition[H k-bott],Tbl_Long_Hydro[[#This Row],[Aft Nline next]]))</f>
        <v>#N/A</v>
      </c>
      <c r="AE105" s="888" t="e">
        <f>IF(ISNA(Tbl_Long_Hydro[[#This Row],[Draught]]),NA(),IFERROR(INDEX(Tbl_Long_Definition[X],Tbl_Long_Hydro[[#This Row],[Fore Nline prev]]),0))</f>
        <v>#N/A</v>
      </c>
      <c r="AF105" s="889" t="e">
        <f>IF(ISNA(Tbl_Long_Hydro[[#This Row],[Draught]]),NA(),IFERROR(INDEX(Tbl_Long_Definition[X],Tbl_Long_Hydro[[#This Row],[Fore Nline next]]),0))</f>
        <v>#N/A</v>
      </c>
      <c r="AG105" s="889" t="e">
        <f>IF(ISNA(Tbl_Long_Hydro[[#This Row],[Draught]]),NA(),INDEX(Tbl_Long_Definition[H k-bott],Tbl_Long_Hydro[[#This Row],[Fore Nline prev]]))</f>
        <v>#N/A</v>
      </c>
      <c r="AH105" s="890" t="e">
        <f>IF(ISNA(Tbl_Long_Hydro[[#This Row],[Draught]]),NA(),INDEX(Tbl_Long_Definition[H k-bott],Tbl_Long_Hydro[[#This Row],[Fore Nline next]]))</f>
        <v>#N/A</v>
      </c>
      <c r="AI105"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05"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05" s="894" t="e">
        <f>Tbl_Long_Hydro[[#This Row],[Fore X]]-Tbl_Long_Hydro[[#This Row],[Aft X]]</f>
        <v>#N/A</v>
      </c>
      <c r="AL105" s="884" t="e">
        <f>Tbl_Long_Hydro[[#This Row],[LX]]*B</f>
        <v>#N/A</v>
      </c>
      <c r="AM105" s="892" t="e">
        <f>IF(ISNUMBER(AM104),(AK104+Tbl_Long_Hydro[[#This Row],[LX]])*(Tbl_Long_Hydro[[#This Row],[Draught]]-V104)/2*B,(Tbl_Long_Hydro[[#This Row],[LX]])*Tbl_Long_Hydro[[#This Row],[Draught]]*B)</f>
        <v>#N/A</v>
      </c>
      <c r="AN105" s="899" t="e">
        <f>Tbl_Long_Hydro[[#This Row],[Aft X]]+Tbl_Long_Hydro[[#This Row],[LX]]/2</f>
        <v>#N/A</v>
      </c>
      <c r="AO105" s="876" t="e">
        <f>IF(ISNUMBER(AO104),(2*Tbl_Long_Hydro[[#This Row],[LX]]+AK104)/(Tbl_Long_Hydro[[#This Row],[LX]]+AK104)*(Tbl_Long_Hydro[[#This Row],[Draught]]-V104)/3+V104,Tbl_Long_Hydro[[#This Row],[Draught]]/2)</f>
        <v>#N/A</v>
      </c>
      <c r="AP105" s="898" t="e">
        <f>IF(ISNUMBER(AP104),Tbl_Long_Hydro[[#This Row],[Volume elt]]+AP104,Tbl_Long_Hydro[[#This Row],[Volume elt]]*AO$4)</f>
        <v>#N/A</v>
      </c>
      <c r="AQ105" s="893" t="e">
        <f>IF(ISNUMBER(AQ104),Tbl_Long_Hydro[[#This Row],[Displacement]]*AQ$4,IF(ISNA(AQ104),NA(),0))</f>
        <v>#N/A</v>
      </c>
      <c r="AR105" s="900" t="e">
        <f>IF(ISNA(Tbl_Long_Hydro[[#This Row],[Draught]]),NA(),IFERROR(Tbl_Long_Hydro[[#This Row],[LX]]*B^3/12/Tbl_Long_Hydro[[#This Row],[Displacement]],0))</f>
        <v>#N/A</v>
      </c>
      <c r="AS105" s="903" t="e">
        <f>IF(ISNA(Tbl_Long_Hydro[[#This Row],[Draught]]),NA(),IFERROR((B*Tbl_Long_Hydro[[#This Row],[LX]]^3/12+(Tbl_Long_Hydro[[#This Row],[LCF]]-Tbl_Long_Hydro[[#This Row],[LCB]])*Tbl_Long_Hydro[[#This Row],[Waterplane area]]*Tbl_Long_Hydro[[#This Row],[LCF]]^2)/Tbl_Long_Hydro[[#This Row],[Displacement]],0))</f>
        <v>#N/A</v>
      </c>
      <c r="AT105" s="900" t="e">
        <f>Tbl_Long_Hydro[[#This Row],[Aft X]]+Tbl_Long_Hydro[[#This Row],[LX]]/2</f>
        <v>#N/A</v>
      </c>
      <c r="AU105" s="901" t="e">
        <f>IF(ISNUMBER(AU104),(AU104*AP104+Tbl_Long_Hydro[[#This Row],[X CoG elt]]*Tbl_Long_Hydro[[#This Row],[Volume elt]])/Tbl_Long_Hydro[[#This Row],[Displacement]],Tbl_Long_Hydro[[#This Row],[X CoG elt]])</f>
        <v>#N/A</v>
      </c>
      <c r="AV105" s="902" t="e">
        <f>IF(ISNA(Tbl_Long_Hydro[[#This Row],[Draught]]),NA(),0)</f>
        <v>#N/A</v>
      </c>
      <c r="AW105" s="876" t="e">
        <f>IF(ISNUMBER(AW104),(AW104*AP104+Tbl_Long_Hydro[[#This Row],[Z CoG elt]]*Tbl_Long_Hydro[[#This Row],[Volume elt]])/Tbl_Long_Hydro[[#This Row],[Displacement]],Tbl_Long_Hydro[[#This Row],[Z CoG elt]])</f>
        <v>#N/A</v>
      </c>
      <c r="AX105" s="899" t="e">
        <f>Tbl_Long_Hydro[[#This Row],[RMT]]+Tbl_Long_Hydro[[#This Row],[VCB]]</f>
        <v>#N/A</v>
      </c>
      <c r="AY105" s="904" t="e">
        <f>Tbl_Long_Hydro[[#This Row],[Displacement]]*Tbl_Long_Hydro[[#This Row],[RML]]/(100*Lpp)</f>
        <v>#N/A</v>
      </c>
      <c r="AZ105" s="956" t="e">
        <f>Tbl_Long_Hydro[[#This Row],[Draught]]</f>
        <v>#N/A</v>
      </c>
      <c r="BA105" s="959" t="e">
        <f>Tbl_Long_Hydro[[#This Row],[Displacement]]</f>
        <v>#N/A</v>
      </c>
      <c r="BB105" s="960" t="e">
        <f>Tbl_Long_Hydro[[#This Row],[Displac. SW]]</f>
        <v>#N/A</v>
      </c>
      <c r="BC105" s="964" t="e">
        <f>Tbl_Long_Hydro[[#This Row],[Waterplane area]]/100*$AQ$4</f>
        <v>#N/A</v>
      </c>
      <c r="BD105" s="961" t="e">
        <f>Tbl_Long_Hydro[[#This Row],[MCT]]</f>
        <v>#N/A</v>
      </c>
      <c r="BE105" s="962" t="e">
        <f>Tbl_Long_Hydro[[#This Row],[LCB]]</f>
        <v>#N/A</v>
      </c>
      <c r="BF105" s="962" t="e">
        <f>Tbl_Long_Hydro[[#This Row],[TCB]]</f>
        <v>#N/A</v>
      </c>
      <c r="BG105" s="962" t="e">
        <f>Tbl_Long_Hydro[[#This Row],[LCF]]</f>
        <v>#N/A</v>
      </c>
      <c r="BH105" s="963" t="e">
        <f>Tbl_Long_Hydro[[#This Row],[KMT]]</f>
        <v>#N/A</v>
      </c>
    </row>
    <row r="106" spans="11:60" x14ac:dyDescent="0.25">
      <c r="K106" s="156">
        <f t="shared" si="5"/>
        <v>100</v>
      </c>
      <c r="L106" s="164">
        <f t="shared" si="6"/>
        <v>50</v>
      </c>
      <c r="M106" s="262">
        <f>MATCH(Tbl_Long_Section[[#This Row],[X]],Tbl_Long_Definition[X],1)</f>
        <v>2</v>
      </c>
      <c r="N106" s="262">
        <f>IF(Tbl_Long_Section[[#This Row],[Nline Prev]]&lt;COUNT(Tbl_Long_Definition[X]),Tbl_Long_Section[[#This Row],[Nline Prev]]+1,Tbl_Long_Section[[#This Row],[Nline Prev]])</f>
        <v>3</v>
      </c>
      <c r="O106" s="162">
        <f>INDEX(Tbl_Long_Definition[X],Tbl_Long_Section[[#This Row],[Nline Prev]])</f>
        <v>5</v>
      </c>
      <c r="P106" s="263">
        <f>INDEX(Tbl_Long_Definition[X],Tbl_Long_Section[[#This Row],[Nline Next]])</f>
        <v>55</v>
      </c>
      <c r="Q106" s="160">
        <f>INDEX(Tbl_Long_Definition[H Deck-Bott.],Tbl_Long_Section[[#This Row],[Nline Prev]])</f>
        <v>4</v>
      </c>
      <c r="R106" s="161">
        <f>INDEX(Tbl_Long_Definition[H Deck-Bott.],Tbl_Long_Section[[#This Row],[Nline Next]])</f>
        <v>4</v>
      </c>
      <c r="S106"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106" s="8"/>
      <c r="V106" s="873" t="e">
        <f t="shared" si="8"/>
        <v>#N/A</v>
      </c>
      <c r="W106" s="885" t="e">
        <f>MATCH(Tbl_Long_Hydro[[#This Row],[Draught]],Tbl_Long_Definition[H k-bott],-1)</f>
        <v>#N/A</v>
      </c>
      <c r="X106"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06" s="886" t="e">
        <f>MATCH(Tbl_Long_Hydro[[#This Row],[Draught]],Tbl_Long_Definition[H k-bott],1)</f>
        <v>#N/A</v>
      </c>
      <c r="Z106"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06" s="888" t="e">
        <f>IF(ISNA(Tbl_Long_Hydro[[#This Row],[Draught]]),NA(),IFERROR(INDEX(Tbl_Long_Definition[X],Tbl_Long_Hydro[[#This Row],[Aft Nline prev]]),0))</f>
        <v>#N/A</v>
      </c>
      <c r="AB106" s="889" t="e">
        <f>IF(ISNA(Tbl_Long_Hydro[[#This Row],[Draught]]),NA(),IFERROR(INDEX(Tbl_Long_Definition[X],Tbl_Long_Hydro[[#This Row],[Aft Nline next]]),0))</f>
        <v>#N/A</v>
      </c>
      <c r="AC106" s="889" t="e">
        <f>IF(ISNA(Tbl_Long_Hydro[[#This Row],[Draught]]),NA(),INDEX(Tbl_Long_Definition[H k-bott],Tbl_Long_Hydro[[#This Row],[Aft Nline prev]]))</f>
        <v>#N/A</v>
      </c>
      <c r="AD106" s="889" t="e">
        <f>IF(ISNA(Tbl_Long_Hydro[[#This Row],[Draught]]),NA(),INDEX(Tbl_Long_Definition[H k-bott],Tbl_Long_Hydro[[#This Row],[Aft Nline next]]))</f>
        <v>#N/A</v>
      </c>
      <c r="AE106" s="888" t="e">
        <f>IF(ISNA(Tbl_Long_Hydro[[#This Row],[Draught]]),NA(),IFERROR(INDEX(Tbl_Long_Definition[X],Tbl_Long_Hydro[[#This Row],[Fore Nline prev]]),0))</f>
        <v>#N/A</v>
      </c>
      <c r="AF106" s="889" t="e">
        <f>IF(ISNA(Tbl_Long_Hydro[[#This Row],[Draught]]),NA(),IFERROR(INDEX(Tbl_Long_Definition[X],Tbl_Long_Hydro[[#This Row],[Fore Nline next]]),0))</f>
        <v>#N/A</v>
      </c>
      <c r="AG106" s="889" t="e">
        <f>IF(ISNA(Tbl_Long_Hydro[[#This Row],[Draught]]),NA(),INDEX(Tbl_Long_Definition[H k-bott],Tbl_Long_Hydro[[#This Row],[Fore Nline prev]]))</f>
        <v>#N/A</v>
      </c>
      <c r="AH106" s="890" t="e">
        <f>IF(ISNA(Tbl_Long_Hydro[[#This Row],[Draught]]),NA(),INDEX(Tbl_Long_Definition[H k-bott],Tbl_Long_Hydro[[#This Row],[Fore Nline next]]))</f>
        <v>#N/A</v>
      </c>
      <c r="AI106"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06"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06" s="894" t="e">
        <f>Tbl_Long_Hydro[[#This Row],[Fore X]]-Tbl_Long_Hydro[[#This Row],[Aft X]]</f>
        <v>#N/A</v>
      </c>
      <c r="AL106" s="884" t="e">
        <f>Tbl_Long_Hydro[[#This Row],[LX]]*B</f>
        <v>#N/A</v>
      </c>
      <c r="AM106" s="892" t="e">
        <f>IF(ISNUMBER(AM105),(AK105+Tbl_Long_Hydro[[#This Row],[LX]])*(Tbl_Long_Hydro[[#This Row],[Draught]]-V105)/2*B,(Tbl_Long_Hydro[[#This Row],[LX]])*Tbl_Long_Hydro[[#This Row],[Draught]]*B)</f>
        <v>#N/A</v>
      </c>
      <c r="AN106" s="899" t="e">
        <f>Tbl_Long_Hydro[[#This Row],[Aft X]]+Tbl_Long_Hydro[[#This Row],[LX]]/2</f>
        <v>#N/A</v>
      </c>
      <c r="AO106" s="876" t="e">
        <f>IF(ISNUMBER(AO105),(2*Tbl_Long_Hydro[[#This Row],[LX]]+AK105)/(Tbl_Long_Hydro[[#This Row],[LX]]+AK105)*(Tbl_Long_Hydro[[#This Row],[Draught]]-V105)/3+V105,Tbl_Long_Hydro[[#This Row],[Draught]]/2)</f>
        <v>#N/A</v>
      </c>
      <c r="AP106" s="898" t="e">
        <f>IF(ISNUMBER(AP105),Tbl_Long_Hydro[[#This Row],[Volume elt]]+AP105,Tbl_Long_Hydro[[#This Row],[Volume elt]]*AO$4)</f>
        <v>#N/A</v>
      </c>
      <c r="AQ106" s="893" t="e">
        <f>IF(ISNUMBER(AQ105),Tbl_Long_Hydro[[#This Row],[Displacement]]*AQ$4,IF(ISNA(AQ105),NA(),0))</f>
        <v>#N/A</v>
      </c>
      <c r="AR106" s="900" t="e">
        <f>IF(ISNA(Tbl_Long_Hydro[[#This Row],[Draught]]),NA(),IFERROR(Tbl_Long_Hydro[[#This Row],[LX]]*B^3/12/Tbl_Long_Hydro[[#This Row],[Displacement]],0))</f>
        <v>#N/A</v>
      </c>
      <c r="AS106" s="903" t="e">
        <f>IF(ISNA(Tbl_Long_Hydro[[#This Row],[Draught]]),NA(),IFERROR((B*Tbl_Long_Hydro[[#This Row],[LX]]^3/12+(Tbl_Long_Hydro[[#This Row],[LCF]]-Tbl_Long_Hydro[[#This Row],[LCB]])*Tbl_Long_Hydro[[#This Row],[Waterplane area]]*Tbl_Long_Hydro[[#This Row],[LCF]]^2)/Tbl_Long_Hydro[[#This Row],[Displacement]],0))</f>
        <v>#N/A</v>
      </c>
      <c r="AT106" s="900" t="e">
        <f>Tbl_Long_Hydro[[#This Row],[Aft X]]+Tbl_Long_Hydro[[#This Row],[LX]]/2</f>
        <v>#N/A</v>
      </c>
      <c r="AU106" s="901" t="e">
        <f>IF(ISNUMBER(AU105),(AU105*AP105+Tbl_Long_Hydro[[#This Row],[X CoG elt]]*Tbl_Long_Hydro[[#This Row],[Volume elt]])/Tbl_Long_Hydro[[#This Row],[Displacement]],Tbl_Long_Hydro[[#This Row],[X CoG elt]])</f>
        <v>#N/A</v>
      </c>
      <c r="AV106" s="902" t="e">
        <f>IF(ISNA(Tbl_Long_Hydro[[#This Row],[Draught]]),NA(),0)</f>
        <v>#N/A</v>
      </c>
      <c r="AW106" s="876" t="e">
        <f>IF(ISNUMBER(AW105),(AW105*AP105+Tbl_Long_Hydro[[#This Row],[Z CoG elt]]*Tbl_Long_Hydro[[#This Row],[Volume elt]])/Tbl_Long_Hydro[[#This Row],[Displacement]],Tbl_Long_Hydro[[#This Row],[Z CoG elt]])</f>
        <v>#N/A</v>
      </c>
      <c r="AX106" s="899" t="e">
        <f>Tbl_Long_Hydro[[#This Row],[RMT]]+Tbl_Long_Hydro[[#This Row],[VCB]]</f>
        <v>#N/A</v>
      </c>
      <c r="AY106" s="904" t="e">
        <f>Tbl_Long_Hydro[[#This Row],[Displacement]]*Tbl_Long_Hydro[[#This Row],[RML]]/(100*Lpp)</f>
        <v>#N/A</v>
      </c>
      <c r="AZ106" s="956" t="e">
        <f>Tbl_Long_Hydro[[#This Row],[Draught]]</f>
        <v>#N/A</v>
      </c>
      <c r="BA106" s="959" t="e">
        <f>Tbl_Long_Hydro[[#This Row],[Displacement]]</f>
        <v>#N/A</v>
      </c>
      <c r="BB106" s="960" t="e">
        <f>Tbl_Long_Hydro[[#This Row],[Displac. SW]]</f>
        <v>#N/A</v>
      </c>
      <c r="BC106" s="964" t="e">
        <f>Tbl_Long_Hydro[[#This Row],[Waterplane area]]/100*$AQ$4</f>
        <v>#N/A</v>
      </c>
      <c r="BD106" s="961" t="e">
        <f>Tbl_Long_Hydro[[#This Row],[MCT]]</f>
        <v>#N/A</v>
      </c>
      <c r="BE106" s="962" t="e">
        <f>Tbl_Long_Hydro[[#This Row],[LCB]]</f>
        <v>#N/A</v>
      </c>
      <c r="BF106" s="962" t="e">
        <f>Tbl_Long_Hydro[[#This Row],[TCB]]</f>
        <v>#N/A</v>
      </c>
      <c r="BG106" s="962" t="e">
        <f>Tbl_Long_Hydro[[#This Row],[LCF]]</f>
        <v>#N/A</v>
      </c>
      <c r="BH106" s="963" t="e">
        <f>Tbl_Long_Hydro[[#This Row],[KMT]]</f>
        <v>#N/A</v>
      </c>
    </row>
    <row r="107" spans="11:60" x14ac:dyDescent="0.25">
      <c r="K107" s="156">
        <f t="shared" si="5"/>
        <v>101</v>
      </c>
      <c r="L107" s="164">
        <f t="shared" si="6"/>
        <v>50.5</v>
      </c>
      <c r="M107" s="262">
        <f>MATCH(Tbl_Long_Section[[#This Row],[X]],Tbl_Long_Definition[X],1)</f>
        <v>2</v>
      </c>
      <c r="N107" s="262">
        <f>IF(Tbl_Long_Section[[#This Row],[Nline Prev]]&lt;COUNT(Tbl_Long_Definition[X]),Tbl_Long_Section[[#This Row],[Nline Prev]]+1,Tbl_Long_Section[[#This Row],[Nline Prev]])</f>
        <v>3</v>
      </c>
      <c r="O107" s="162">
        <f>INDEX(Tbl_Long_Definition[X],Tbl_Long_Section[[#This Row],[Nline Prev]])</f>
        <v>5</v>
      </c>
      <c r="P107" s="263">
        <f>INDEX(Tbl_Long_Definition[X],Tbl_Long_Section[[#This Row],[Nline Next]])</f>
        <v>55</v>
      </c>
      <c r="Q107" s="160">
        <f>INDEX(Tbl_Long_Definition[H Deck-Bott.],Tbl_Long_Section[[#This Row],[Nline Prev]])</f>
        <v>4</v>
      </c>
      <c r="R107" s="161">
        <f>INDEX(Tbl_Long_Definition[H Deck-Bott.],Tbl_Long_Section[[#This Row],[Nline Next]])</f>
        <v>4</v>
      </c>
      <c r="S107"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107" s="8"/>
      <c r="V107" s="873" t="e">
        <f t="shared" si="8"/>
        <v>#N/A</v>
      </c>
      <c r="W107" s="885" t="e">
        <f>MATCH(Tbl_Long_Hydro[[#This Row],[Draught]],Tbl_Long_Definition[H k-bott],-1)</f>
        <v>#N/A</v>
      </c>
      <c r="X107"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07" s="886" t="e">
        <f>MATCH(Tbl_Long_Hydro[[#This Row],[Draught]],Tbl_Long_Definition[H k-bott],1)</f>
        <v>#N/A</v>
      </c>
      <c r="Z107"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07" s="888" t="e">
        <f>IF(ISNA(Tbl_Long_Hydro[[#This Row],[Draught]]),NA(),IFERROR(INDEX(Tbl_Long_Definition[X],Tbl_Long_Hydro[[#This Row],[Aft Nline prev]]),0))</f>
        <v>#N/A</v>
      </c>
      <c r="AB107" s="889" t="e">
        <f>IF(ISNA(Tbl_Long_Hydro[[#This Row],[Draught]]),NA(),IFERROR(INDEX(Tbl_Long_Definition[X],Tbl_Long_Hydro[[#This Row],[Aft Nline next]]),0))</f>
        <v>#N/A</v>
      </c>
      <c r="AC107" s="889" t="e">
        <f>IF(ISNA(Tbl_Long_Hydro[[#This Row],[Draught]]),NA(),INDEX(Tbl_Long_Definition[H k-bott],Tbl_Long_Hydro[[#This Row],[Aft Nline prev]]))</f>
        <v>#N/A</v>
      </c>
      <c r="AD107" s="889" t="e">
        <f>IF(ISNA(Tbl_Long_Hydro[[#This Row],[Draught]]),NA(),INDEX(Tbl_Long_Definition[H k-bott],Tbl_Long_Hydro[[#This Row],[Aft Nline next]]))</f>
        <v>#N/A</v>
      </c>
      <c r="AE107" s="888" t="e">
        <f>IF(ISNA(Tbl_Long_Hydro[[#This Row],[Draught]]),NA(),IFERROR(INDEX(Tbl_Long_Definition[X],Tbl_Long_Hydro[[#This Row],[Fore Nline prev]]),0))</f>
        <v>#N/A</v>
      </c>
      <c r="AF107" s="889" t="e">
        <f>IF(ISNA(Tbl_Long_Hydro[[#This Row],[Draught]]),NA(),IFERROR(INDEX(Tbl_Long_Definition[X],Tbl_Long_Hydro[[#This Row],[Fore Nline next]]),0))</f>
        <v>#N/A</v>
      </c>
      <c r="AG107" s="889" t="e">
        <f>IF(ISNA(Tbl_Long_Hydro[[#This Row],[Draught]]),NA(),INDEX(Tbl_Long_Definition[H k-bott],Tbl_Long_Hydro[[#This Row],[Fore Nline prev]]))</f>
        <v>#N/A</v>
      </c>
      <c r="AH107" s="890" t="e">
        <f>IF(ISNA(Tbl_Long_Hydro[[#This Row],[Draught]]),NA(),INDEX(Tbl_Long_Definition[H k-bott],Tbl_Long_Hydro[[#This Row],[Fore Nline next]]))</f>
        <v>#N/A</v>
      </c>
      <c r="AI107"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07"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07" s="894" t="e">
        <f>Tbl_Long_Hydro[[#This Row],[Fore X]]-Tbl_Long_Hydro[[#This Row],[Aft X]]</f>
        <v>#N/A</v>
      </c>
      <c r="AL107" s="884" t="e">
        <f>Tbl_Long_Hydro[[#This Row],[LX]]*B</f>
        <v>#N/A</v>
      </c>
      <c r="AM107" s="892" t="e">
        <f>IF(ISNUMBER(AM106),(AK106+Tbl_Long_Hydro[[#This Row],[LX]])*(Tbl_Long_Hydro[[#This Row],[Draught]]-V106)/2*B,(Tbl_Long_Hydro[[#This Row],[LX]])*Tbl_Long_Hydro[[#This Row],[Draught]]*B)</f>
        <v>#N/A</v>
      </c>
      <c r="AN107" s="899" t="e">
        <f>Tbl_Long_Hydro[[#This Row],[Aft X]]+Tbl_Long_Hydro[[#This Row],[LX]]/2</f>
        <v>#N/A</v>
      </c>
      <c r="AO107" s="876" t="e">
        <f>IF(ISNUMBER(AO106),(2*Tbl_Long_Hydro[[#This Row],[LX]]+AK106)/(Tbl_Long_Hydro[[#This Row],[LX]]+AK106)*(Tbl_Long_Hydro[[#This Row],[Draught]]-V106)/3+V106,Tbl_Long_Hydro[[#This Row],[Draught]]/2)</f>
        <v>#N/A</v>
      </c>
      <c r="AP107" s="898" t="e">
        <f>IF(ISNUMBER(AP106),Tbl_Long_Hydro[[#This Row],[Volume elt]]+AP106,Tbl_Long_Hydro[[#This Row],[Volume elt]]*AO$4)</f>
        <v>#N/A</v>
      </c>
      <c r="AQ107" s="893" t="e">
        <f>IF(ISNUMBER(AQ106),Tbl_Long_Hydro[[#This Row],[Displacement]]*AQ$4,IF(ISNA(AQ106),NA(),0))</f>
        <v>#N/A</v>
      </c>
      <c r="AR107" s="900" t="e">
        <f>IF(ISNA(Tbl_Long_Hydro[[#This Row],[Draught]]),NA(),IFERROR(Tbl_Long_Hydro[[#This Row],[LX]]*B^3/12/Tbl_Long_Hydro[[#This Row],[Displacement]],0))</f>
        <v>#N/A</v>
      </c>
      <c r="AS107" s="903" t="e">
        <f>IF(ISNA(Tbl_Long_Hydro[[#This Row],[Draught]]),NA(),IFERROR((B*Tbl_Long_Hydro[[#This Row],[LX]]^3/12+(Tbl_Long_Hydro[[#This Row],[LCF]]-Tbl_Long_Hydro[[#This Row],[LCB]])*Tbl_Long_Hydro[[#This Row],[Waterplane area]]*Tbl_Long_Hydro[[#This Row],[LCF]]^2)/Tbl_Long_Hydro[[#This Row],[Displacement]],0))</f>
        <v>#N/A</v>
      </c>
      <c r="AT107" s="900" t="e">
        <f>Tbl_Long_Hydro[[#This Row],[Aft X]]+Tbl_Long_Hydro[[#This Row],[LX]]/2</f>
        <v>#N/A</v>
      </c>
      <c r="AU107" s="901" t="e">
        <f>IF(ISNUMBER(AU106),(AU106*AP106+Tbl_Long_Hydro[[#This Row],[X CoG elt]]*Tbl_Long_Hydro[[#This Row],[Volume elt]])/Tbl_Long_Hydro[[#This Row],[Displacement]],Tbl_Long_Hydro[[#This Row],[X CoG elt]])</f>
        <v>#N/A</v>
      </c>
      <c r="AV107" s="902" t="e">
        <f>IF(ISNA(Tbl_Long_Hydro[[#This Row],[Draught]]),NA(),0)</f>
        <v>#N/A</v>
      </c>
      <c r="AW107" s="876" t="e">
        <f>IF(ISNUMBER(AW106),(AW106*AP106+Tbl_Long_Hydro[[#This Row],[Z CoG elt]]*Tbl_Long_Hydro[[#This Row],[Volume elt]])/Tbl_Long_Hydro[[#This Row],[Displacement]],Tbl_Long_Hydro[[#This Row],[Z CoG elt]])</f>
        <v>#N/A</v>
      </c>
      <c r="AX107" s="899" t="e">
        <f>Tbl_Long_Hydro[[#This Row],[RMT]]+Tbl_Long_Hydro[[#This Row],[VCB]]</f>
        <v>#N/A</v>
      </c>
      <c r="AY107" s="904" t="e">
        <f>Tbl_Long_Hydro[[#This Row],[Displacement]]*Tbl_Long_Hydro[[#This Row],[RML]]/(100*Lpp)</f>
        <v>#N/A</v>
      </c>
      <c r="AZ107" s="956" t="e">
        <f>Tbl_Long_Hydro[[#This Row],[Draught]]</f>
        <v>#N/A</v>
      </c>
      <c r="BA107" s="959" t="e">
        <f>Tbl_Long_Hydro[[#This Row],[Displacement]]</f>
        <v>#N/A</v>
      </c>
      <c r="BB107" s="960" t="e">
        <f>Tbl_Long_Hydro[[#This Row],[Displac. SW]]</f>
        <v>#N/A</v>
      </c>
      <c r="BC107" s="964" t="e">
        <f>Tbl_Long_Hydro[[#This Row],[Waterplane area]]/100*$AQ$4</f>
        <v>#N/A</v>
      </c>
      <c r="BD107" s="961" t="e">
        <f>Tbl_Long_Hydro[[#This Row],[MCT]]</f>
        <v>#N/A</v>
      </c>
      <c r="BE107" s="962" t="e">
        <f>Tbl_Long_Hydro[[#This Row],[LCB]]</f>
        <v>#N/A</v>
      </c>
      <c r="BF107" s="962" t="e">
        <f>Tbl_Long_Hydro[[#This Row],[TCB]]</f>
        <v>#N/A</v>
      </c>
      <c r="BG107" s="962" t="e">
        <f>Tbl_Long_Hydro[[#This Row],[LCF]]</f>
        <v>#N/A</v>
      </c>
      <c r="BH107" s="963" t="e">
        <f>Tbl_Long_Hydro[[#This Row],[KMT]]</f>
        <v>#N/A</v>
      </c>
    </row>
    <row r="108" spans="11:60" x14ac:dyDescent="0.25">
      <c r="K108" s="156">
        <f t="shared" si="5"/>
        <v>102</v>
      </c>
      <c r="L108" s="164">
        <f t="shared" si="6"/>
        <v>51</v>
      </c>
      <c r="M108" s="262">
        <f>MATCH(Tbl_Long_Section[[#This Row],[X]],Tbl_Long_Definition[X],1)</f>
        <v>2</v>
      </c>
      <c r="N108" s="262">
        <f>IF(Tbl_Long_Section[[#This Row],[Nline Prev]]&lt;COUNT(Tbl_Long_Definition[X]),Tbl_Long_Section[[#This Row],[Nline Prev]]+1,Tbl_Long_Section[[#This Row],[Nline Prev]])</f>
        <v>3</v>
      </c>
      <c r="O108" s="162">
        <f>INDEX(Tbl_Long_Definition[X],Tbl_Long_Section[[#This Row],[Nline Prev]])</f>
        <v>5</v>
      </c>
      <c r="P108" s="263">
        <f>INDEX(Tbl_Long_Definition[X],Tbl_Long_Section[[#This Row],[Nline Next]])</f>
        <v>55</v>
      </c>
      <c r="Q108" s="160">
        <f>INDEX(Tbl_Long_Definition[H Deck-Bott.],Tbl_Long_Section[[#This Row],[Nline Prev]])</f>
        <v>4</v>
      </c>
      <c r="R108" s="161">
        <f>INDEX(Tbl_Long_Definition[H Deck-Bott.],Tbl_Long_Section[[#This Row],[Nline Next]])</f>
        <v>4</v>
      </c>
      <c r="S108"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108" s="8"/>
      <c r="V108" s="873" t="e">
        <f t="shared" si="8"/>
        <v>#N/A</v>
      </c>
      <c r="W108" s="885" t="e">
        <f>MATCH(Tbl_Long_Hydro[[#This Row],[Draught]],Tbl_Long_Definition[H k-bott],-1)</f>
        <v>#N/A</v>
      </c>
      <c r="X108"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08" s="886" t="e">
        <f>MATCH(Tbl_Long_Hydro[[#This Row],[Draught]],Tbl_Long_Definition[H k-bott],1)</f>
        <v>#N/A</v>
      </c>
      <c r="Z108"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08" s="888" t="e">
        <f>IF(ISNA(Tbl_Long_Hydro[[#This Row],[Draught]]),NA(),IFERROR(INDEX(Tbl_Long_Definition[X],Tbl_Long_Hydro[[#This Row],[Aft Nline prev]]),0))</f>
        <v>#N/A</v>
      </c>
      <c r="AB108" s="889" t="e">
        <f>IF(ISNA(Tbl_Long_Hydro[[#This Row],[Draught]]),NA(),IFERROR(INDEX(Tbl_Long_Definition[X],Tbl_Long_Hydro[[#This Row],[Aft Nline next]]),0))</f>
        <v>#N/A</v>
      </c>
      <c r="AC108" s="889" t="e">
        <f>IF(ISNA(Tbl_Long_Hydro[[#This Row],[Draught]]),NA(),INDEX(Tbl_Long_Definition[H k-bott],Tbl_Long_Hydro[[#This Row],[Aft Nline prev]]))</f>
        <v>#N/A</v>
      </c>
      <c r="AD108" s="889" t="e">
        <f>IF(ISNA(Tbl_Long_Hydro[[#This Row],[Draught]]),NA(),INDEX(Tbl_Long_Definition[H k-bott],Tbl_Long_Hydro[[#This Row],[Aft Nline next]]))</f>
        <v>#N/A</v>
      </c>
      <c r="AE108" s="888" t="e">
        <f>IF(ISNA(Tbl_Long_Hydro[[#This Row],[Draught]]),NA(),IFERROR(INDEX(Tbl_Long_Definition[X],Tbl_Long_Hydro[[#This Row],[Fore Nline prev]]),0))</f>
        <v>#N/A</v>
      </c>
      <c r="AF108" s="889" t="e">
        <f>IF(ISNA(Tbl_Long_Hydro[[#This Row],[Draught]]),NA(),IFERROR(INDEX(Tbl_Long_Definition[X],Tbl_Long_Hydro[[#This Row],[Fore Nline next]]),0))</f>
        <v>#N/A</v>
      </c>
      <c r="AG108" s="889" t="e">
        <f>IF(ISNA(Tbl_Long_Hydro[[#This Row],[Draught]]),NA(),INDEX(Tbl_Long_Definition[H k-bott],Tbl_Long_Hydro[[#This Row],[Fore Nline prev]]))</f>
        <v>#N/A</v>
      </c>
      <c r="AH108" s="890" t="e">
        <f>IF(ISNA(Tbl_Long_Hydro[[#This Row],[Draught]]),NA(),INDEX(Tbl_Long_Definition[H k-bott],Tbl_Long_Hydro[[#This Row],[Fore Nline next]]))</f>
        <v>#N/A</v>
      </c>
      <c r="AI108"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08"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08" s="894" t="e">
        <f>Tbl_Long_Hydro[[#This Row],[Fore X]]-Tbl_Long_Hydro[[#This Row],[Aft X]]</f>
        <v>#N/A</v>
      </c>
      <c r="AL108" s="884" t="e">
        <f>Tbl_Long_Hydro[[#This Row],[LX]]*B</f>
        <v>#N/A</v>
      </c>
      <c r="AM108" s="892" t="e">
        <f>IF(ISNUMBER(AM107),(AK107+Tbl_Long_Hydro[[#This Row],[LX]])*(Tbl_Long_Hydro[[#This Row],[Draught]]-V107)/2*B,(Tbl_Long_Hydro[[#This Row],[LX]])*Tbl_Long_Hydro[[#This Row],[Draught]]*B)</f>
        <v>#N/A</v>
      </c>
      <c r="AN108" s="899" t="e">
        <f>Tbl_Long_Hydro[[#This Row],[Aft X]]+Tbl_Long_Hydro[[#This Row],[LX]]/2</f>
        <v>#N/A</v>
      </c>
      <c r="AO108" s="876" t="e">
        <f>IF(ISNUMBER(AO107),(2*Tbl_Long_Hydro[[#This Row],[LX]]+AK107)/(Tbl_Long_Hydro[[#This Row],[LX]]+AK107)*(Tbl_Long_Hydro[[#This Row],[Draught]]-V107)/3+V107,Tbl_Long_Hydro[[#This Row],[Draught]]/2)</f>
        <v>#N/A</v>
      </c>
      <c r="AP108" s="898" t="e">
        <f>IF(ISNUMBER(AP107),Tbl_Long_Hydro[[#This Row],[Volume elt]]+AP107,Tbl_Long_Hydro[[#This Row],[Volume elt]]*AO$4)</f>
        <v>#N/A</v>
      </c>
      <c r="AQ108" s="893" t="e">
        <f>IF(ISNUMBER(AQ107),Tbl_Long_Hydro[[#This Row],[Displacement]]*AQ$4,IF(ISNA(AQ107),NA(),0))</f>
        <v>#N/A</v>
      </c>
      <c r="AR108" s="900" t="e">
        <f>IF(ISNA(Tbl_Long_Hydro[[#This Row],[Draught]]),NA(),IFERROR(Tbl_Long_Hydro[[#This Row],[LX]]*B^3/12/Tbl_Long_Hydro[[#This Row],[Displacement]],0))</f>
        <v>#N/A</v>
      </c>
      <c r="AS108" s="903" t="e">
        <f>IF(ISNA(Tbl_Long_Hydro[[#This Row],[Draught]]),NA(),IFERROR((B*Tbl_Long_Hydro[[#This Row],[LX]]^3/12+(Tbl_Long_Hydro[[#This Row],[LCF]]-Tbl_Long_Hydro[[#This Row],[LCB]])*Tbl_Long_Hydro[[#This Row],[Waterplane area]]*Tbl_Long_Hydro[[#This Row],[LCF]]^2)/Tbl_Long_Hydro[[#This Row],[Displacement]],0))</f>
        <v>#N/A</v>
      </c>
      <c r="AT108" s="900" t="e">
        <f>Tbl_Long_Hydro[[#This Row],[Aft X]]+Tbl_Long_Hydro[[#This Row],[LX]]/2</f>
        <v>#N/A</v>
      </c>
      <c r="AU108" s="901" t="e">
        <f>IF(ISNUMBER(AU107),(AU107*AP107+Tbl_Long_Hydro[[#This Row],[X CoG elt]]*Tbl_Long_Hydro[[#This Row],[Volume elt]])/Tbl_Long_Hydro[[#This Row],[Displacement]],Tbl_Long_Hydro[[#This Row],[X CoG elt]])</f>
        <v>#N/A</v>
      </c>
      <c r="AV108" s="902" t="e">
        <f>IF(ISNA(Tbl_Long_Hydro[[#This Row],[Draught]]),NA(),0)</f>
        <v>#N/A</v>
      </c>
      <c r="AW108" s="876" t="e">
        <f>IF(ISNUMBER(AW107),(AW107*AP107+Tbl_Long_Hydro[[#This Row],[Z CoG elt]]*Tbl_Long_Hydro[[#This Row],[Volume elt]])/Tbl_Long_Hydro[[#This Row],[Displacement]],Tbl_Long_Hydro[[#This Row],[Z CoG elt]])</f>
        <v>#N/A</v>
      </c>
      <c r="AX108" s="899" t="e">
        <f>Tbl_Long_Hydro[[#This Row],[RMT]]+Tbl_Long_Hydro[[#This Row],[VCB]]</f>
        <v>#N/A</v>
      </c>
      <c r="AY108" s="904" t="e">
        <f>Tbl_Long_Hydro[[#This Row],[Displacement]]*Tbl_Long_Hydro[[#This Row],[RML]]/(100*Lpp)</f>
        <v>#N/A</v>
      </c>
      <c r="AZ108" s="956" t="e">
        <f>Tbl_Long_Hydro[[#This Row],[Draught]]</f>
        <v>#N/A</v>
      </c>
      <c r="BA108" s="959" t="e">
        <f>Tbl_Long_Hydro[[#This Row],[Displacement]]</f>
        <v>#N/A</v>
      </c>
      <c r="BB108" s="960" t="e">
        <f>Tbl_Long_Hydro[[#This Row],[Displac. SW]]</f>
        <v>#N/A</v>
      </c>
      <c r="BC108" s="964" t="e">
        <f>Tbl_Long_Hydro[[#This Row],[Waterplane area]]/100*$AQ$4</f>
        <v>#N/A</v>
      </c>
      <c r="BD108" s="961" t="e">
        <f>Tbl_Long_Hydro[[#This Row],[MCT]]</f>
        <v>#N/A</v>
      </c>
      <c r="BE108" s="962" t="e">
        <f>Tbl_Long_Hydro[[#This Row],[LCB]]</f>
        <v>#N/A</v>
      </c>
      <c r="BF108" s="962" t="e">
        <f>Tbl_Long_Hydro[[#This Row],[TCB]]</f>
        <v>#N/A</v>
      </c>
      <c r="BG108" s="962" t="e">
        <f>Tbl_Long_Hydro[[#This Row],[LCF]]</f>
        <v>#N/A</v>
      </c>
      <c r="BH108" s="963" t="e">
        <f>Tbl_Long_Hydro[[#This Row],[KMT]]</f>
        <v>#N/A</v>
      </c>
    </row>
    <row r="109" spans="11:60" x14ac:dyDescent="0.25">
      <c r="K109" s="156">
        <f t="shared" si="5"/>
        <v>103</v>
      </c>
      <c r="L109" s="164">
        <f t="shared" si="6"/>
        <v>51.5</v>
      </c>
      <c r="M109" s="262">
        <f>MATCH(Tbl_Long_Section[[#This Row],[X]],Tbl_Long_Definition[X],1)</f>
        <v>2</v>
      </c>
      <c r="N109" s="262">
        <f>IF(Tbl_Long_Section[[#This Row],[Nline Prev]]&lt;COUNT(Tbl_Long_Definition[X]),Tbl_Long_Section[[#This Row],[Nline Prev]]+1,Tbl_Long_Section[[#This Row],[Nline Prev]])</f>
        <v>3</v>
      </c>
      <c r="O109" s="162">
        <f>INDEX(Tbl_Long_Definition[X],Tbl_Long_Section[[#This Row],[Nline Prev]])</f>
        <v>5</v>
      </c>
      <c r="P109" s="263">
        <f>INDEX(Tbl_Long_Definition[X],Tbl_Long_Section[[#This Row],[Nline Next]])</f>
        <v>55</v>
      </c>
      <c r="Q109" s="160">
        <f>INDEX(Tbl_Long_Definition[H Deck-Bott.],Tbl_Long_Section[[#This Row],[Nline Prev]])</f>
        <v>4</v>
      </c>
      <c r="R109" s="161">
        <f>INDEX(Tbl_Long_Definition[H Deck-Bott.],Tbl_Long_Section[[#This Row],[Nline Next]])</f>
        <v>4</v>
      </c>
      <c r="S109"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109" s="8"/>
      <c r="V109" s="873" t="e">
        <f t="shared" si="8"/>
        <v>#N/A</v>
      </c>
      <c r="W109" s="885" t="e">
        <f>MATCH(Tbl_Long_Hydro[[#This Row],[Draught]],Tbl_Long_Definition[H k-bott],-1)</f>
        <v>#N/A</v>
      </c>
      <c r="X109"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09" s="886" t="e">
        <f>MATCH(Tbl_Long_Hydro[[#This Row],[Draught]],Tbl_Long_Definition[H k-bott],1)</f>
        <v>#N/A</v>
      </c>
      <c r="Z109"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09" s="888" t="e">
        <f>IF(ISNA(Tbl_Long_Hydro[[#This Row],[Draught]]),NA(),IFERROR(INDEX(Tbl_Long_Definition[X],Tbl_Long_Hydro[[#This Row],[Aft Nline prev]]),0))</f>
        <v>#N/A</v>
      </c>
      <c r="AB109" s="889" t="e">
        <f>IF(ISNA(Tbl_Long_Hydro[[#This Row],[Draught]]),NA(),IFERROR(INDEX(Tbl_Long_Definition[X],Tbl_Long_Hydro[[#This Row],[Aft Nline next]]),0))</f>
        <v>#N/A</v>
      </c>
      <c r="AC109" s="889" t="e">
        <f>IF(ISNA(Tbl_Long_Hydro[[#This Row],[Draught]]),NA(),INDEX(Tbl_Long_Definition[H k-bott],Tbl_Long_Hydro[[#This Row],[Aft Nline prev]]))</f>
        <v>#N/A</v>
      </c>
      <c r="AD109" s="889" t="e">
        <f>IF(ISNA(Tbl_Long_Hydro[[#This Row],[Draught]]),NA(),INDEX(Tbl_Long_Definition[H k-bott],Tbl_Long_Hydro[[#This Row],[Aft Nline next]]))</f>
        <v>#N/A</v>
      </c>
      <c r="AE109" s="888" t="e">
        <f>IF(ISNA(Tbl_Long_Hydro[[#This Row],[Draught]]),NA(),IFERROR(INDEX(Tbl_Long_Definition[X],Tbl_Long_Hydro[[#This Row],[Fore Nline prev]]),0))</f>
        <v>#N/A</v>
      </c>
      <c r="AF109" s="889" t="e">
        <f>IF(ISNA(Tbl_Long_Hydro[[#This Row],[Draught]]),NA(),IFERROR(INDEX(Tbl_Long_Definition[X],Tbl_Long_Hydro[[#This Row],[Fore Nline next]]),0))</f>
        <v>#N/A</v>
      </c>
      <c r="AG109" s="889" t="e">
        <f>IF(ISNA(Tbl_Long_Hydro[[#This Row],[Draught]]),NA(),INDEX(Tbl_Long_Definition[H k-bott],Tbl_Long_Hydro[[#This Row],[Fore Nline prev]]))</f>
        <v>#N/A</v>
      </c>
      <c r="AH109" s="890" t="e">
        <f>IF(ISNA(Tbl_Long_Hydro[[#This Row],[Draught]]),NA(),INDEX(Tbl_Long_Definition[H k-bott],Tbl_Long_Hydro[[#This Row],[Fore Nline next]]))</f>
        <v>#N/A</v>
      </c>
      <c r="AI109"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09"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09" s="894" t="e">
        <f>Tbl_Long_Hydro[[#This Row],[Fore X]]-Tbl_Long_Hydro[[#This Row],[Aft X]]</f>
        <v>#N/A</v>
      </c>
      <c r="AL109" s="884" t="e">
        <f>Tbl_Long_Hydro[[#This Row],[LX]]*B</f>
        <v>#N/A</v>
      </c>
      <c r="AM109" s="892" t="e">
        <f>IF(ISNUMBER(AM108),(AK108+Tbl_Long_Hydro[[#This Row],[LX]])*(Tbl_Long_Hydro[[#This Row],[Draught]]-V108)/2*B,(Tbl_Long_Hydro[[#This Row],[LX]])*Tbl_Long_Hydro[[#This Row],[Draught]]*B)</f>
        <v>#N/A</v>
      </c>
      <c r="AN109" s="899" t="e">
        <f>Tbl_Long_Hydro[[#This Row],[Aft X]]+Tbl_Long_Hydro[[#This Row],[LX]]/2</f>
        <v>#N/A</v>
      </c>
      <c r="AO109" s="876" t="e">
        <f>IF(ISNUMBER(AO108),(2*Tbl_Long_Hydro[[#This Row],[LX]]+AK108)/(Tbl_Long_Hydro[[#This Row],[LX]]+AK108)*(Tbl_Long_Hydro[[#This Row],[Draught]]-V108)/3+V108,Tbl_Long_Hydro[[#This Row],[Draught]]/2)</f>
        <v>#N/A</v>
      </c>
      <c r="AP109" s="898" t="e">
        <f>IF(ISNUMBER(AP108),Tbl_Long_Hydro[[#This Row],[Volume elt]]+AP108,Tbl_Long_Hydro[[#This Row],[Volume elt]]*AO$4)</f>
        <v>#N/A</v>
      </c>
      <c r="AQ109" s="893" t="e">
        <f>IF(ISNUMBER(AQ108),Tbl_Long_Hydro[[#This Row],[Displacement]]*AQ$4,IF(ISNA(AQ108),NA(),0))</f>
        <v>#N/A</v>
      </c>
      <c r="AR109" s="900" t="e">
        <f>IF(ISNA(Tbl_Long_Hydro[[#This Row],[Draught]]),NA(),IFERROR(Tbl_Long_Hydro[[#This Row],[LX]]*B^3/12/Tbl_Long_Hydro[[#This Row],[Displacement]],0))</f>
        <v>#N/A</v>
      </c>
      <c r="AS109" s="903" t="e">
        <f>IF(ISNA(Tbl_Long_Hydro[[#This Row],[Draught]]),NA(),IFERROR((B*Tbl_Long_Hydro[[#This Row],[LX]]^3/12+(Tbl_Long_Hydro[[#This Row],[LCF]]-Tbl_Long_Hydro[[#This Row],[LCB]])*Tbl_Long_Hydro[[#This Row],[Waterplane area]]*Tbl_Long_Hydro[[#This Row],[LCF]]^2)/Tbl_Long_Hydro[[#This Row],[Displacement]],0))</f>
        <v>#N/A</v>
      </c>
      <c r="AT109" s="900" t="e">
        <f>Tbl_Long_Hydro[[#This Row],[Aft X]]+Tbl_Long_Hydro[[#This Row],[LX]]/2</f>
        <v>#N/A</v>
      </c>
      <c r="AU109" s="901" t="e">
        <f>IF(ISNUMBER(AU108),(AU108*AP108+Tbl_Long_Hydro[[#This Row],[X CoG elt]]*Tbl_Long_Hydro[[#This Row],[Volume elt]])/Tbl_Long_Hydro[[#This Row],[Displacement]],Tbl_Long_Hydro[[#This Row],[X CoG elt]])</f>
        <v>#N/A</v>
      </c>
      <c r="AV109" s="902" t="e">
        <f>IF(ISNA(Tbl_Long_Hydro[[#This Row],[Draught]]),NA(),0)</f>
        <v>#N/A</v>
      </c>
      <c r="AW109" s="876" t="e">
        <f>IF(ISNUMBER(AW108),(AW108*AP108+Tbl_Long_Hydro[[#This Row],[Z CoG elt]]*Tbl_Long_Hydro[[#This Row],[Volume elt]])/Tbl_Long_Hydro[[#This Row],[Displacement]],Tbl_Long_Hydro[[#This Row],[Z CoG elt]])</f>
        <v>#N/A</v>
      </c>
      <c r="AX109" s="899" t="e">
        <f>Tbl_Long_Hydro[[#This Row],[RMT]]+Tbl_Long_Hydro[[#This Row],[VCB]]</f>
        <v>#N/A</v>
      </c>
      <c r="AY109" s="904" t="e">
        <f>Tbl_Long_Hydro[[#This Row],[Displacement]]*Tbl_Long_Hydro[[#This Row],[RML]]/(100*Lpp)</f>
        <v>#N/A</v>
      </c>
      <c r="AZ109" s="956" t="e">
        <f>Tbl_Long_Hydro[[#This Row],[Draught]]</f>
        <v>#N/A</v>
      </c>
      <c r="BA109" s="959" t="e">
        <f>Tbl_Long_Hydro[[#This Row],[Displacement]]</f>
        <v>#N/A</v>
      </c>
      <c r="BB109" s="960" t="e">
        <f>Tbl_Long_Hydro[[#This Row],[Displac. SW]]</f>
        <v>#N/A</v>
      </c>
      <c r="BC109" s="964" t="e">
        <f>Tbl_Long_Hydro[[#This Row],[Waterplane area]]/100*$AQ$4</f>
        <v>#N/A</v>
      </c>
      <c r="BD109" s="961" t="e">
        <f>Tbl_Long_Hydro[[#This Row],[MCT]]</f>
        <v>#N/A</v>
      </c>
      <c r="BE109" s="962" t="e">
        <f>Tbl_Long_Hydro[[#This Row],[LCB]]</f>
        <v>#N/A</v>
      </c>
      <c r="BF109" s="962" t="e">
        <f>Tbl_Long_Hydro[[#This Row],[TCB]]</f>
        <v>#N/A</v>
      </c>
      <c r="BG109" s="962" t="e">
        <f>Tbl_Long_Hydro[[#This Row],[LCF]]</f>
        <v>#N/A</v>
      </c>
      <c r="BH109" s="963" t="e">
        <f>Tbl_Long_Hydro[[#This Row],[KMT]]</f>
        <v>#N/A</v>
      </c>
    </row>
    <row r="110" spans="11:60" x14ac:dyDescent="0.25">
      <c r="K110" s="156">
        <f t="shared" si="5"/>
        <v>104</v>
      </c>
      <c r="L110" s="164">
        <f t="shared" si="6"/>
        <v>52</v>
      </c>
      <c r="M110" s="262">
        <f>MATCH(Tbl_Long_Section[[#This Row],[X]],Tbl_Long_Definition[X],1)</f>
        <v>2</v>
      </c>
      <c r="N110" s="262">
        <f>IF(Tbl_Long_Section[[#This Row],[Nline Prev]]&lt;COUNT(Tbl_Long_Definition[X]),Tbl_Long_Section[[#This Row],[Nline Prev]]+1,Tbl_Long_Section[[#This Row],[Nline Prev]])</f>
        <v>3</v>
      </c>
      <c r="O110" s="162">
        <f>INDEX(Tbl_Long_Definition[X],Tbl_Long_Section[[#This Row],[Nline Prev]])</f>
        <v>5</v>
      </c>
      <c r="P110" s="263">
        <f>INDEX(Tbl_Long_Definition[X],Tbl_Long_Section[[#This Row],[Nline Next]])</f>
        <v>55</v>
      </c>
      <c r="Q110" s="160">
        <f>INDEX(Tbl_Long_Definition[H Deck-Bott.],Tbl_Long_Section[[#This Row],[Nline Prev]])</f>
        <v>4</v>
      </c>
      <c r="R110" s="161">
        <f>INDEX(Tbl_Long_Definition[H Deck-Bott.],Tbl_Long_Section[[#This Row],[Nline Next]])</f>
        <v>4</v>
      </c>
      <c r="S110"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110" s="8"/>
      <c r="V110" s="873" t="e">
        <f t="shared" si="8"/>
        <v>#N/A</v>
      </c>
      <c r="W110" s="885" t="e">
        <f>MATCH(Tbl_Long_Hydro[[#This Row],[Draught]],Tbl_Long_Definition[H k-bott],-1)</f>
        <v>#N/A</v>
      </c>
      <c r="X110"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10" s="886" t="e">
        <f>MATCH(Tbl_Long_Hydro[[#This Row],[Draught]],Tbl_Long_Definition[H k-bott],1)</f>
        <v>#N/A</v>
      </c>
      <c r="Z110"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10" s="888" t="e">
        <f>IF(ISNA(Tbl_Long_Hydro[[#This Row],[Draught]]),NA(),IFERROR(INDEX(Tbl_Long_Definition[X],Tbl_Long_Hydro[[#This Row],[Aft Nline prev]]),0))</f>
        <v>#N/A</v>
      </c>
      <c r="AB110" s="889" t="e">
        <f>IF(ISNA(Tbl_Long_Hydro[[#This Row],[Draught]]),NA(),IFERROR(INDEX(Tbl_Long_Definition[X],Tbl_Long_Hydro[[#This Row],[Aft Nline next]]),0))</f>
        <v>#N/A</v>
      </c>
      <c r="AC110" s="889" t="e">
        <f>IF(ISNA(Tbl_Long_Hydro[[#This Row],[Draught]]),NA(),INDEX(Tbl_Long_Definition[H k-bott],Tbl_Long_Hydro[[#This Row],[Aft Nline prev]]))</f>
        <v>#N/A</v>
      </c>
      <c r="AD110" s="889" t="e">
        <f>IF(ISNA(Tbl_Long_Hydro[[#This Row],[Draught]]),NA(),INDEX(Tbl_Long_Definition[H k-bott],Tbl_Long_Hydro[[#This Row],[Aft Nline next]]))</f>
        <v>#N/A</v>
      </c>
      <c r="AE110" s="888" t="e">
        <f>IF(ISNA(Tbl_Long_Hydro[[#This Row],[Draught]]),NA(),IFERROR(INDEX(Tbl_Long_Definition[X],Tbl_Long_Hydro[[#This Row],[Fore Nline prev]]),0))</f>
        <v>#N/A</v>
      </c>
      <c r="AF110" s="889" t="e">
        <f>IF(ISNA(Tbl_Long_Hydro[[#This Row],[Draught]]),NA(),IFERROR(INDEX(Tbl_Long_Definition[X],Tbl_Long_Hydro[[#This Row],[Fore Nline next]]),0))</f>
        <v>#N/A</v>
      </c>
      <c r="AG110" s="889" t="e">
        <f>IF(ISNA(Tbl_Long_Hydro[[#This Row],[Draught]]),NA(),INDEX(Tbl_Long_Definition[H k-bott],Tbl_Long_Hydro[[#This Row],[Fore Nline prev]]))</f>
        <v>#N/A</v>
      </c>
      <c r="AH110" s="890" t="e">
        <f>IF(ISNA(Tbl_Long_Hydro[[#This Row],[Draught]]),NA(),INDEX(Tbl_Long_Definition[H k-bott],Tbl_Long_Hydro[[#This Row],[Fore Nline next]]))</f>
        <v>#N/A</v>
      </c>
      <c r="AI110"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10"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10" s="894" t="e">
        <f>Tbl_Long_Hydro[[#This Row],[Fore X]]-Tbl_Long_Hydro[[#This Row],[Aft X]]</f>
        <v>#N/A</v>
      </c>
      <c r="AL110" s="884" t="e">
        <f>Tbl_Long_Hydro[[#This Row],[LX]]*B</f>
        <v>#N/A</v>
      </c>
      <c r="AM110" s="892" t="e">
        <f>IF(ISNUMBER(AM109),(AK109+Tbl_Long_Hydro[[#This Row],[LX]])*(Tbl_Long_Hydro[[#This Row],[Draught]]-V109)/2*B,(Tbl_Long_Hydro[[#This Row],[LX]])*Tbl_Long_Hydro[[#This Row],[Draught]]*B)</f>
        <v>#N/A</v>
      </c>
      <c r="AN110" s="899" t="e">
        <f>Tbl_Long_Hydro[[#This Row],[Aft X]]+Tbl_Long_Hydro[[#This Row],[LX]]/2</f>
        <v>#N/A</v>
      </c>
      <c r="AO110" s="876" t="e">
        <f>IF(ISNUMBER(AO109),(2*Tbl_Long_Hydro[[#This Row],[LX]]+AK109)/(Tbl_Long_Hydro[[#This Row],[LX]]+AK109)*(Tbl_Long_Hydro[[#This Row],[Draught]]-V109)/3+V109,Tbl_Long_Hydro[[#This Row],[Draught]]/2)</f>
        <v>#N/A</v>
      </c>
      <c r="AP110" s="898" t="e">
        <f>IF(ISNUMBER(AP109),Tbl_Long_Hydro[[#This Row],[Volume elt]]+AP109,Tbl_Long_Hydro[[#This Row],[Volume elt]]*AO$4)</f>
        <v>#N/A</v>
      </c>
      <c r="AQ110" s="893" t="e">
        <f>IF(ISNUMBER(AQ109),Tbl_Long_Hydro[[#This Row],[Displacement]]*AQ$4,IF(ISNA(AQ109),NA(),0))</f>
        <v>#N/A</v>
      </c>
      <c r="AR110" s="900" t="e">
        <f>IF(ISNA(Tbl_Long_Hydro[[#This Row],[Draught]]),NA(),IFERROR(Tbl_Long_Hydro[[#This Row],[LX]]*B^3/12/Tbl_Long_Hydro[[#This Row],[Displacement]],0))</f>
        <v>#N/A</v>
      </c>
      <c r="AS110" s="903" t="e">
        <f>IF(ISNA(Tbl_Long_Hydro[[#This Row],[Draught]]),NA(),IFERROR((B*Tbl_Long_Hydro[[#This Row],[LX]]^3/12+(Tbl_Long_Hydro[[#This Row],[LCF]]-Tbl_Long_Hydro[[#This Row],[LCB]])*Tbl_Long_Hydro[[#This Row],[Waterplane area]]*Tbl_Long_Hydro[[#This Row],[LCF]]^2)/Tbl_Long_Hydro[[#This Row],[Displacement]],0))</f>
        <v>#N/A</v>
      </c>
      <c r="AT110" s="900" t="e">
        <f>Tbl_Long_Hydro[[#This Row],[Aft X]]+Tbl_Long_Hydro[[#This Row],[LX]]/2</f>
        <v>#N/A</v>
      </c>
      <c r="AU110" s="901" t="e">
        <f>IF(ISNUMBER(AU109),(AU109*AP109+Tbl_Long_Hydro[[#This Row],[X CoG elt]]*Tbl_Long_Hydro[[#This Row],[Volume elt]])/Tbl_Long_Hydro[[#This Row],[Displacement]],Tbl_Long_Hydro[[#This Row],[X CoG elt]])</f>
        <v>#N/A</v>
      </c>
      <c r="AV110" s="902" t="e">
        <f>IF(ISNA(Tbl_Long_Hydro[[#This Row],[Draught]]),NA(),0)</f>
        <v>#N/A</v>
      </c>
      <c r="AW110" s="876" t="e">
        <f>IF(ISNUMBER(AW109),(AW109*AP109+Tbl_Long_Hydro[[#This Row],[Z CoG elt]]*Tbl_Long_Hydro[[#This Row],[Volume elt]])/Tbl_Long_Hydro[[#This Row],[Displacement]],Tbl_Long_Hydro[[#This Row],[Z CoG elt]])</f>
        <v>#N/A</v>
      </c>
      <c r="AX110" s="899" t="e">
        <f>Tbl_Long_Hydro[[#This Row],[RMT]]+Tbl_Long_Hydro[[#This Row],[VCB]]</f>
        <v>#N/A</v>
      </c>
      <c r="AY110" s="904" t="e">
        <f>Tbl_Long_Hydro[[#This Row],[Displacement]]*Tbl_Long_Hydro[[#This Row],[RML]]/(100*Lpp)</f>
        <v>#N/A</v>
      </c>
      <c r="AZ110" s="956" t="e">
        <f>Tbl_Long_Hydro[[#This Row],[Draught]]</f>
        <v>#N/A</v>
      </c>
      <c r="BA110" s="959" t="e">
        <f>Tbl_Long_Hydro[[#This Row],[Displacement]]</f>
        <v>#N/A</v>
      </c>
      <c r="BB110" s="960" t="e">
        <f>Tbl_Long_Hydro[[#This Row],[Displac. SW]]</f>
        <v>#N/A</v>
      </c>
      <c r="BC110" s="964" t="e">
        <f>Tbl_Long_Hydro[[#This Row],[Waterplane area]]/100*$AQ$4</f>
        <v>#N/A</v>
      </c>
      <c r="BD110" s="961" t="e">
        <f>Tbl_Long_Hydro[[#This Row],[MCT]]</f>
        <v>#N/A</v>
      </c>
      <c r="BE110" s="962" t="e">
        <f>Tbl_Long_Hydro[[#This Row],[LCB]]</f>
        <v>#N/A</v>
      </c>
      <c r="BF110" s="962" t="e">
        <f>Tbl_Long_Hydro[[#This Row],[TCB]]</f>
        <v>#N/A</v>
      </c>
      <c r="BG110" s="962" t="e">
        <f>Tbl_Long_Hydro[[#This Row],[LCF]]</f>
        <v>#N/A</v>
      </c>
      <c r="BH110" s="963" t="e">
        <f>Tbl_Long_Hydro[[#This Row],[KMT]]</f>
        <v>#N/A</v>
      </c>
    </row>
    <row r="111" spans="11:60" x14ac:dyDescent="0.25">
      <c r="K111" s="156">
        <f t="shared" si="5"/>
        <v>105</v>
      </c>
      <c r="L111" s="164">
        <f t="shared" si="6"/>
        <v>52.5</v>
      </c>
      <c r="M111" s="262">
        <f>MATCH(Tbl_Long_Section[[#This Row],[X]],Tbl_Long_Definition[X],1)</f>
        <v>2</v>
      </c>
      <c r="N111" s="262">
        <f>IF(Tbl_Long_Section[[#This Row],[Nline Prev]]&lt;COUNT(Tbl_Long_Definition[X]),Tbl_Long_Section[[#This Row],[Nline Prev]]+1,Tbl_Long_Section[[#This Row],[Nline Prev]])</f>
        <v>3</v>
      </c>
      <c r="O111" s="162">
        <f>INDEX(Tbl_Long_Definition[X],Tbl_Long_Section[[#This Row],[Nline Prev]])</f>
        <v>5</v>
      </c>
      <c r="P111" s="263">
        <f>INDEX(Tbl_Long_Definition[X],Tbl_Long_Section[[#This Row],[Nline Next]])</f>
        <v>55</v>
      </c>
      <c r="Q111" s="160">
        <f>INDEX(Tbl_Long_Definition[H Deck-Bott.],Tbl_Long_Section[[#This Row],[Nline Prev]])</f>
        <v>4</v>
      </c>
      <c r="R111" s="161">
        <f>INDEX(Tbl_Long_Definition[H Deck-Bott.],Tbl_Long_Section[[#This Row],[Nline Next]])</f>
        <v>4</v>
      </c>
      <c r="S111"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111" s="8"/>
      <c r="V111" s="873" t="e">
        <f t="shared" si="8"/>
        <v>#N/A</v>
      </c>
      <c r="W111" s="885" t="e">
        <f>MATCH(Tbl_Long_Hydro[[#This Row],[Draught]],Tbl_Long_Definition[H k-bott],-1)</f>
        <v>#N/A</v>
      </c>
      <c r="X111"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11" s="886" t="e">
        <f>MATCH(Tbl_Long_Hydro[[#This Row],[Draught]],Tbl_Long_Definition[H k-bott],1)</f>
        <v>#N/A</v>
      </c>
      <c r="Z111"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11" s="888" t="e">
        <f>IF(ISNA(Tbl_Long_Hydro[[#This Row],[Draught]]),NA(),IFERROR(INDEX(Tbl_Long_Definition[X],Tbl_Long_Hydro[[#This Row],[Aft Nline prev]]),0))</f>
        <v>#N/A</v>
      </c>
      <c r="AB111" s="889" t="e">
        <f>IF(ISNA(Tbl_Long_Hydro[[#This Row],[Draught]]),NA(),IFERROR(INDEX(Tbl_Long_Definition[X],Tbl_Long_Hydro[[#This Row],[Aft Nline next]]),0))</f>
        <v>#N/A</v>
      </c>
      <c r="AC111" s="889" t="e">
        <f>IF(ISNA(Tbl_Long_Hydro[[#This Row],[Draught]]),NA(),INDEX(Tbl_Long_Definition[H k-bott],Tbl_Long_Hydro[[#This Row],[Aft Nline prev]]))</f>
        <v>#N/A</v>
      </c>
      <c r="AD111" s="889" t="e">
        <f>IF(ISNA(Tbl_Long_Hydro[[#This Row],[Draught]]),NA(),INDEX(Tbl_Long_Definition[H k-bott],Tbl_Long_Hydro[[#This Row],[Aft Nline next]]))</f>
        <v>#N/A</v>
      </c>
      <c r="AE111" s="888" t="e">
        <f>IF(ISNA(Tbl_Long_Hydro[[#This Row],[Draught]]),NA(),IFERROR(INDEX(Tbl_Long_Definition[X],Tbl_Long_Hydro[[#This Row],[Fore Nline prev]]),0))</f>
        <v>#N/A</v>
      </c>
      <c r="AF111" s="889" t="e">
        <f>IF(ISNA(Tbl_Long_Hydro[[#This Row],[Draught]]),NA(),IFERROR(INDEX(Tbl_Long_Definition[X],Tbl_Long_Hydro[[#This Row],[Fore Nline next]]),0))</f>
        <v>#N/A</v>
      </c>
      <c r="AG111" s="889" t="e">
        <f>IF(ISNA(Tbl_Long_Hydro[[#This Row],[Draught]]),NA(),INDEX(Tbl_Long_Definition[H k-bott],Tbl_Long_Hydro[[#This Row],[Fore Nline prev]]))</f>
        <v>#N/A</v>
      </c>
      <c r="AH111" s="890" t="e">
        <f>IF(ISNA(Tbl_Long_Hydro[[#This Row],[Draught]]),NA(),INDEX(Tbl_Long_Definition[H k-bott],Tbl_Long_Hydro[[#This Row],[Fore Nline next]]))</f>
        <v>#N/A</v>
      </c>
      <c r="AI111"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11"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11" s="894" t="e">
        <f>Tbl_Long_Hydro[[#This Row],[Fore X]]-Tbl_Long_Hydro[[#This Row],[Aft X]]</f>
        <v>#N/A</v>
      </c>
      <c r="AL111" s="884" t="e">
        <f>Tbl_Long_Hydro[[#This Row],[LX]]*B</f>
        <v>#N/A</v>
      </c>
      <c r="AM111" s="892" t="e">
        <f>IF(ISNUMBER(AM110),(AK110+Tbl_Long_Hydro[[#This Row],[LX]])*(Tbl_Long_Hydro[[#This Row],[Draught]]-V110)/2*B,(Tbl_Long_Hydro[[#This Row],[LX]])*Tbl_Long_Hydro[[#This Row],[Draught]]*B)</f>
        <v>#N/A</v>
      </c>
      <c r="AN111" s="899" t="e">
        <f>Tbl_Long_Hydro[[#This Row],[Aft X]]+Tbl_Long_Hydro[[#This Row],[LX]]/2</f>
        <v>#N/A</v>
      </c>
      <c r="AO111" s="876" t="e">
        <f>IF(ISNUMBER(AO110),(2*Tbl_Long_Hydro[[#This Row],[LX]]+AK110)/(Tbl_Long_Hydro[[#This Row],[LX]]+AK110)*(Tbl_Long_Hydro[[#This Row],[Draught]]-V110)/3+V110,Tbl_Long_Hydro[[#This Row],[Draught]]/2)</f>
        <v>#N/A</v>
      </c>
      <c r="AP111" s="898" t="e">
        <f>IF(ISNUMBER(AP110),Tbl_Long_Hydro[[#This Row],[Volume elt]]+AP110,Tbl_Long_Hydro[[#This Row],[Volume elt]]*AO$4)</f>
        <v>#N/A</v>
      </c>
      <c r="AQ111" s="893" t="e">
        <f>IF(ISNUMBER(AQ110),Tbl_Long_Hydro[[#This Row],[Displacement]]*AQ$4,IF(ISNA(AQ110),NA(),0))</f>
        <v>#N/A</v>
      </c>
      <c r="AR111" s="900" t="e">
        <f>IF(ISNA(Tbl_Long_Hydro[[#This Row],[Draught]]),NA(),IFERROR(Tbl_Long_Hydro[[#This Row],[LX]]*B^3/12/Tbl_Long_Hydro[[#This Row],[Displacement]],0))</f>
        <v>#N/A</v>
      </c>
      <c r="AS111" s="903" t="e">
        <f>IF(ISNA(Tbl_Long_Hydro[[#This Row],[Draught]]),NA(),IFERROR((B*Tbl_Long_Hydro[[#This Row],[LX]]^3/12+(Tbl_Long_Hydro[[#This Row],[LCF]]-Tbl_Long_Hydro[[#This Row],[LCB]])*Tbl_Long_Hydro[[#This Row],[Waterplane area]]*Tbl_Long_Hydro[[#This Row],[LCF]]^2)/Tbl_Long_Hydro[[#This Row],[Displacement]],0))</f>
        <v>#N/A</v>
      </c>
      <c r="AT111" s="900" t="e">
        <f>Tbl_Long_Hydro[[#This Row],[Aft X]]+Tbl_Long_Hydro[[#This Row],[LX]]/2</f>
        <v>#N/A</v>
      </c>
      <c r="AU111" s="901" t="e">
        <f>IF(ISNUMBER(AU110),(AU110*AP110+Tbl_Long_Hydro[[#This Row],[X CoG elt]]*Tbl_Long_Hydro[[#This Row],[Volume elt]])/Tbl_Long_Hydro[[#This Row],[Displacement]],Tbl_Long_Hydro[[#This Row],[X CoG elt]])</f>
        <v>#N/A</v>
      </c>
      <c r="AV111" s="902" t="e">
        <f>IF(ISNA(Tbl_Long_Hydro[[#This Row],[Draught]]),NA(),0)</f>
        <v>#N/A</v>
      </c>
      <c r="AW111" s="876" t="e">
        <f>IF(ISNUMBER(AW110),(AW110*AP110+Tbl_Long_Hydro[[#This Row],[Z CoG elt]]*Tbl_Long_Hydro[[#This Row],[Volume elt]])/Tbl_Long_Hydro[[#This Row],[Displacement]],Tbl_Long_Hydro[[#This Row],[Z CoG elt]])</f>
        <v>#N/A</v>
      </c>
      <c r="AX111" s="899" t="e">
        <f>Tbl_Long_Hydro[[#This Row],[RMT]]+Tbl_Long_Hydro[[#This Row],[VCB]]</f>
        <v>#N/A</v>
      </c>
      <c r="AY111" s="904" t="e">
        <f>Tbl_Long_Hydro[[#This Row],[Displacement]]*Tbl_Long_Hydro[[#This Row],[RML]]/(100*Lpp)</f>
        <v>#N/A</v>
      </c>
      <c r="AZ111" s="956" t="e">
        <f>Tbl_Long_Hydro[[#This Row],[Draught]]</f>
        <v>#N/A</v>
      </c>
      <c r="BA111" s="959" t="e">
        <f>Tbl_Long_Hydro[[#This Row],[Displacement]]</f>
        <v>#N/A</v>
      </c>
      <c r="BB111" s="960" t="e">
        <f>Tbl_Long_Hydro[[#This Row],[Displac. SW]]</f>
        <v>#N/A</v>
      </c>
      <c r="BC111" s="964" t="e">
        <f>Tbl_Long_Hydro[[#This Row],[Waterplane area]]/100*$AQ$4</f>
        <v>#N/A</v>
      </c>
      <c r="BD111" s="961" t="e">
        <f>Tbl_Long_Hydro[[#This Row],[MCT]]</f>
        <v>#N/A</v>
      </c>
      <c r="BE111" s="962" t="e">
        <f>Tbl_Long_Hydro[[#This Row],[LCB]]</f>
        <v>#N/A</v>
      </c>
      <c r="BF111" s="962" t="e">
        <f>Tbl_Long_Hydro[[#This Row],[TCB]]</f>
        <v>#N/A</v>
      </c>
      <c r="BG111" s="962" t="e">
        <f>Tbl_Long_Hydro[[#This Row],[LCF]]</f>
        <v>#N/A</v>
      </c>
      <c r="BH111" s="963" t="e">
        <f>Tbl_Long_Hydro[[#This Row],[KMT]]</f>
        <v>#N/A</v>
      </c>
    </row>
    <row r="112" spans="11:60" x14ac:dyDescent="0.25">
      <c r="K112" s="156">
        <f t="shared" si="5"/>
        <v>106</v>
      </c>
      <c r="L112" s="164">
        <f t="shared" si="6"/>
        <v>53</v>
      </c>
      <c r="M112" s="262">
        <f>MATCH(Tbl_Long_Section[[#This Row],[X]],Tbl_Long_Definition[X],1)</f>
        <v>2</v>
      </c>
      <c r="N112" s="262">
        <f>IF(Tbl_Long_Section[[#This Row],[Nline Prev]]&lt;COUNT(Tbl_Long_Definition[X]),Tbl_Long_Section[[#This Row],[Nline Prev]]+1,Tbl_Long_Section[[#This Row],[Nline Prev]])</f>
        <v>3</v>
      </c>
      <c r="O112" s="162">
        <f>INDEX(Tbl_Long_Definition[X],Tbl_Long_Section[[#This Row],[Nline Prev]])</f>
        <v>5</v>
      </c>
      <c r="P112" s="263">
        <f>INDEX(Tbl_Long_Definition[X],Tbl_Long_Section[[#This Row],[Nline Next]])</f>
        <v>55</v>
      </c>
      <c r="Q112" s="160">
        <f>INDEX(Tbl_Long_Definition[H Deck-Bott.],Tbl_Long_Section[[#This Row],[Nline Prev]])</f>
        <v>4</v>
      </c>
      <c r="R112" s="161">
        <f>INDEX(Tbl_Long_Definition[H Deck-Bott.],Tbl_Long_Section[[#This Row],[Nline Next]])</f>
        <v>4</v>
      </c>
      <c r="S112"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112" s="8"/>
      <c r="V112" s="873" t="e">
        <f t="shared" si="8"/>
        <v>#N/A</v>
      </c>
      <c r="W112" s="885" t="e">
        <f>MATCH(Tbl_Long_Hydro[[#This Row],[Draught]],Tbl_Long_Definition[H k-bott],-1)</f>
        <v>#N/A</v>
      </c>
      <c r="X112"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12" s="886" t="e">
        <f>MATCH(Tbl_Long_Hydro[[#This Row],[Draught]],Tbl_Long_Definition[H k-bott],1)</f>
        <v>#N/A</v>
      </c>
      <c r="Z112"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12" s="888" t="e">
        <f>IF(ISNA(Tbl_Long_Hydro[[#This Row],[Draught]]),NA(),IFERROR(INDEX(Tbl_Long_Definition[X],Tbl_Long_Hydro[[#This Row],[Aft Nline prev]]),0))</f>
        <v>#N/A</v>
      </c>
      <c r="AB112" s="889" t="e">
        <f>IF(ISNA(Tbl_Long_Hydro[[#This Row],[Draught]]),NA(),IFERROR(INDEX(Tbl_Long_Definition[X],Tbl_Long_Hydro[[#This Row],[Aft Nline next]]),0))</f>
        <v>#N/A</v>
      </c>
      <c r="AC112" s="889" t="e">
        <f>IF(ISNA(Tbl_Long_Hydro[[#This Row],[Draught]]),NA(),INDEX(Tbl_Long_Definition[H k-bott],Tbl_Long_Hydro[[#This Row],[Aft Nline prev]]))</f>
        <v>#N/A</v>
      </c>
      <c r="AD112" s="889" t="e">
        <f>IF(ISNA(Tbl_Long_Hydro[[#This Row],[Draught]]),NA(),INDEX(Tbl_Long_Definition[H k-bott],Tbl_Long_Hydro[[#This Row],[Aft Nline next]]))</f>
        <v>#N/A</v>
      </c>
      <c r="AE112" s="888" t="e">
        <f>IF(ISNA(Tbl_Long_Hydro[[#This Row],[Draught]]),NA(),IFERROR(INDEX(Tbl_Long_Definition[X],Tbl_Long_Hydro[[#This Row],[Fore Nline prev]]),0))</f>
        <v>#N/A</v>
      </c>
      <c r="AF112" s="889" t="e">
        <f>IF(ISNA(Tbl_Long_Hydro[[#This Row],[Draught]]),NA(),IFERROR(INDEX(Tbl_Long_Definition[X],Tbl_Long_Hydro[[#This Row],[Fore Nline next]]),0))</f>
        <v>#N/A</v>
      </c>
      <c r="AG112" s="889" t="e">
        <f>IF(ISNA(Tbl_Long_Hydro[[#This Row],[Draught]]),NA(),INDEX(Tbl_Long_Definition[H k-bott],Tbl_Long_Hydro[[#This Row],[Fore Nline prev]]))</f>
        <v>#N/A</v>
      </c>
      <c r="AH112" s="890" t="e">
        <f>IF(ISNA(Tbl_Long_Hydro[[#This Row],[Draught]]),NA(),INDEX(Tbl_Long_Definition[H k-bott],Tbl_Long_Hydro[[#This Row],[Fore Nline next]]))</f>
        <v>#N/A</v>
      </c>
      <c r="AI112"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12"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12" s="894" t="e">
        <f>Tbl_Long_Hydro[[#This Row],[Fore X]]-Tbl_Long_Hydro[[#This Row],[Aft X]]</f>
        <v>#N/A</v>
      </c>
      <c r="AL112" s="884" t="e">
        <f>Tbl_Long_Hydro[[#This Row],[LX]]*B</f>
        <v>#N/A</v>
      </c>
      <c r="AM112" s="892" t="e">
        <f>IF(ISNUMBER(AM111),(AK111+Tbl_Long_Hydro[[#This Row],[LX]])*(Tbl_Long_Hydro[[#This Row],[Draught]]-V111)/2*B,(Tbl_Long_Hydro[[#This Row],[LX]])*Tbl_Long_Hydro[[#This Row],[Draught]]*B)</f>
        <v>#N/A</v>
      </c>
      <c r="AN112" s="899" t="e">
        <f>Tbl_Long_Hydro[[#This Row],[Aft X]]+Tbl_Long_Hydro[[#This Row],[LX]]/2</f>
        <v>#N/A</v>
      </c>
      <c r="AO112" s="876" t="e">
        <f>IF(ISNUMBER(AO111),(2*Tbl_Long_Hydro[[#This Row],[LX]]+AK111)/(Tbl_Long_Hydro[[#This Row],[LX]]+AK111)*(Tbl_Long_Hydro[[#This Row],[Draught]]-V111)/3+V111,Tbl_Long_Hydro[[#This Row],[Draught]]/2)</f>
        <v>#N/A</v>
      </c>
      <c r="AP112" s="898" t="e">
        <f>IF(ISNUMBER(AP111),Tbl_Long_Hydro[[#This Row],[Volume elt]]+AP111,Tbl_Long_Hydro[[#This Row],[Volume elt]]*AO$4)</f>
        <v>#N/A</v>
      </c>
      <c r="AQ112" s="893" t="e">
        <f>IF(ISNUMBER(AQ111),Tbl_Long_Hydro[[#This Row],[Displacement]]*AQ$4,IF(ISNA(AQ111),NA(),0))</f>
        <v>#N/A</v>
      </c>
      <c r="AR112" s="900" t="e">
        <f>IF(ISNA(Tbl_Long_Hydro[[#This Row],[Draught]]),NA(),IFERROR(Tbl_Long_Hydro[[#This Row],[LX]]*B^3/12/Tbl_Long_Hydro[[#This Row],[Displacement]],0))</f>
        <v>#N/A</v>
      </c>
      <c r="AS112" s="903" t="e">
        <f>IF(ISNA(Tbl_Long_Hydro[[#This Row],[Draught]]),NA(),IFERROR((B*Tbl_Long_Hydro[[#This Row],[LX]]^3/12+(Tbl_Long_Hydro[[#This Row],[LCF]]-Tbl_Long_Hydro[[#This Row],[LCB]])*Tbl_Long_Hydro[[#This Row],[Waterplane area]]*Tbl_Long_Hydro[[#This Row],[LCF]]^2)/Tbl_Long_Hydro[[#This Row],[Displacement]],0))</f>
        <v>#N/A</v>
      </c>
      <c r="AT112" s="900" t="e">
        <f>Tbl_Long_Hydro[[#This Row],[Aft X]]+Tbl_Long_Hydro[[#This Row],[LX]]/2</f>
        <v>#N/A</v>
      </c>
      <c r="AU112" s="901" t="e">
        <f>IF(ISNUMBER(AU111),(AU111*AP111+Tbl_Long_Hydro[[#This Row],[X CoG elt]]*Tbl_Long_Hydro[[#This Row],[Volume elt]])/Tbl_Long_Hydro[[#This Row],[Displacement]],Tbl_Long_Hydro[[#This Row],[X CoG elt]])</f>
        <v>#N/A</v>
      </c>
      <c r="AV112" s="902" t="e">
        <f>IF(ISNA(Tbl_Long_Hydro[[#This Row],[Draught]]),NA(),0)</f>
        <v>#N/A</v>
      </c>
      <c r="AW112" s="876" t="e">
        <f>IF(ISNUMBER(AW111),(AW111*AP111+Tbl_Long_Hydro[[#This Row],[Z CoG elt]]*Tbl_Long_Hydro[[#This Row],[Volume elt]])/Tbl_Long_Hydro[[#This Row],[Displacement]],Tbl_Long_Hydro[[#This Row],[Z CoG elt]])</f>
        <v>#N/A</v>
      </c>
      <c r="AX112" s="899" t="e">
        <f>Tbl_Long_Hydro[[#This Row],[RMT]]+Tbl_Long_Hydro[[#This Row],[VCB]]</f>
        <v>#N/A</v>
      </c>
      <c r="AY112" s="904" t="e">
        <f>Tbl_Long_Hydro[[#This Row],[Displacement]]*Tbl_Long_Hydro[[#This Row],[RML]]/(100*Lpp)</f>
        <v>#N/A</v>
      </c>
      <c r="AZ112" s="956" t="e">
        <f>Tbl_Long_Hydro[[#This Row],[Draught]]</f>
        <v>#N/A</v>
      </c>
      <c r="BA112" s="959" t="e">
        <f>Tbl_Long_Hydro[[#This Row],[Displacement]]</f>
        <v>#N/A</v>
      </c>
      <c r="BB112" s="960" t="e">
        <f>Tbl_Long_Hydro[[#This Row],[Displac. SW]]</f>
        <v>#N/A</v>
      </c>
      <c r="BC112" s="964" t="e">
        <f>Tbl_Long_Hydro[[#This Row],[Waterplane area]]/100*$AQ$4</f>
        <v>#N/A</v>
      </c>
      <c r="BD112" s="961" t="e">
        <f>Tbl_Long_Hydro[[#This Row],[MCT]]</f>
        <v>#N/A</v>
      </c>
      <c r="BE112" s="962" t="e">
        <f>Tbl_Long_Hydro[[#This Row],[LCB]]</f>
        <v>#N/A</v>
      </c>
      <c r="BF112" s="962" t="e">
        <f>Tbl_Long_Hydro[[#This Row],[TCB]]</f>
        <v>#N/A</v>
      </c>
      <c r="BG112" s="962" t="e">
        <f>Tbl_Long_Hydro[[#This Row],[LCF]]</f>
        <v>#N/A</v>
      </c>
      <c r="BH112" s="963" t="e">
        <f>Tbl_Long_Hydro[[#This Row],[KMT]]</f>
        <v>#N/A</v>
      </c>
    </row>
    <row r="113" spans="11:60" x14ac:dyDescent="0.25">
      <c r="K113" s="156">
        <f t="shared" si="5"/>
        <v>107</v>
      </c>
      <c r="L113" s="164">
        <f t="shared" si="6"/>
        <v>53.5</v>
      </c>
      <c r="M113" s="262">
        <f>MATCH(Tbl_Long_Section[[#This Row],[X]],Tbl_Long_Definition[X],1)</f>
        <v>2</v>
      </c>
      <c r="N113" s="262">
        <f>IF(Tbl_Long_Section[[#This Row],[Nline Prev]]&lt;COUNT(Tbl_Long_Definition[X]),Tbl_Long_Section[[#This Row],[Nline Prev]]+1,Tbl_Long_Section[[#This Row],[Nline Prev]])</f>
        <v>3</v>
      </c>
      <c r="O113" s="162">
        <f>INDEX(Tbl_Long_Definition[X],Tbl_Long_Section[[#This Row],[Nline Prev]])</f>
        <v>5</v>
      </c>
      <c r="P113" s="263">
        <f>INDEX(Tbl_Long_Definition[X],Tbl_Long_Section[[#This Row],[Nline Next]])</f>
        <v>55</v>
      </c>
      <c r="Q113" s="160">
        <f>INDEX(Tbl_Long_Definition[H Deck-Bott.],Tbl_Long_Section[[#This Row],[Nline Prev]])</f>
        <v>4</v>
      </c>
      <c r="R113" s="161">
        <f>INDEX(Tbl_Long_Definition[H Deck-Bott.],Tbl_Long_Section[[#This Row],[Nline Next]])</f>
        <v>4</v>
      </c>
      <c r="S113"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113" s="8"/>
      <c r="V113" s="873" t="e">
        <f t="shared" si="8"/>
        <v>#N/A</v>
      </c>
      <c r="W113" s="885" t="e">
        <f>MATCH(Tbl_Long_Hydro[[#This Row],[Draught]],Tbl_Long_Definition[H k-bott],-1)</f>
        <v>#N/A</v>
      </c>
      <c r="X113"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13" s="886" t="e">
        <f>MATCH(Tbl_Long_Hydro[[#This Row],[Draught]],Tbl_Long_Definition[H k-bott],1)</f>
        <v>#N/A</v>
      </c>
      <c r="Z113"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13" s="888" t="e">
        <f>IF(ISNA(Tbl_Long_Hydro[[#This Row],[Draught]]),NA(),IFERROR(INDEX(Tbl_Long_Definition[X],Tbl_Long_Hydro[[#This Row],[Aft Nline prev]]),0))</f>
        <v>#N/A</v>
      </c>
      <c r="AB113" s="889" t="e">
        <f>IF(ISNA(Tbl_Long_Hydro[[#This Row],[Draught]]),NA(),IFERROR(INDEX(Tbl_Long_Definition[X],Tbl_Long_Hydro[[#This Row],[Aft Nline next]]),0))</f>
        <v>#N/A</v>
      </c>
      <c r="AC113" s="889" t="e">
        <f>IF(ISNA(Tbl_Long_Hydro[[#This Row],[Draught]]),NA(),INDEX(Tbl_Long_Definition[H k-bott],Tbl_Long_Hydro[[#This Row],[Aft Nline prev]]))</f>
        <v>#N/A</v>
      </c>
      <c r="AD113" s="889" t="e">
        <f>IF(ISNA(Tbl_Long_Hydro[[#This Row],[Draught]]),NA(),INDEX(Tbl_Long_Definition[H k-bott],Tbl_Long_Hydro[[#This Row],[Aft Nline next]]))</f>
        <v>#N/A</v>
      </c>
      <c r="AE113" s="888" t="e">
        <f>IF(ISNA(Tbl_Long_Hydro[[#This Row],[Draught]]),NA(),IFERROR(INDEX(Tbl_Long_Definition[X],Tbl_Long_Hydro[[#This Row],[Fore Nline prev]]),0))</f>
        <v>#N/A</v>
      </c>
      <c r="AF113" s="889" t="e">
        <f>IF(ISNA(Tbl_Long_Hydro[[#This Row],[Draught]]),NA(),IFERROR(INDEX(Tbl_Long_Definition[X],Tbl_Long_Hydro[[#This Row],[Fore Nline next]]),0))</f>
        <v>#N/A</v>
      </c>
      <c r="AG113" s="889" t="e">
        <f>IF(ISNA(Tbl_Long_Hydro[[#This Row],[Draught]]),NA(),INDEX(Tbl_Long_Definition[H k-bott],Tbl_Long_Hydro[[#This Row],[Fore Nline prev]]))</f>
        <v>#N/A</v>
      </c>
      <c r="AH113" s="890" t="e">
        <f>IF(ISNA(Tbl_Long_Hydro[[#This Row],[Draught]]),NA(),INDEX(Tbl_Long_Definition[H k-bott],Tbl_Long_Hydro[[#This Row],[Fore Nline next]]))</f>
        <v>#N/A</v>
      </c>
      <c r="AI113"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13"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13" s="894" t="e">
        <f>Tbl_Long_Hydro[[#This Row],[Fore X]]-Tbl_Long_Hydro[[#This Row],[Aft X]]</f>
        <v>#N/A</v>
      </c>
      <c r="AL113" s="884" t="e">
        <f>Tbl_Long_Hydro[[#This Row],[LX]]*B</f>
        <v>#N/A</v>
      </c>
      <c r="AM113" s="892" t="e">
        <f>IF(ISNUMBER(AM112),(AK112+Tbl_Long_Hydro[[#This Row],[LX]])*(Tbl_Long_Hydro[[#This Row],[Draught]]-V112)/2*B,(Tbl_Long_Hydro[[#This Row],[LX]])*Tbl_Long_Hydro[[#This Row],[Draught]]*B)</f>
        <v>#N/A</v>
      </c>
      <c r="AN113" s="899" t="e">
        <f>Tbl_Long_Hydro[[#This Row],[Aft X]]+Tbl_Long_Hydro[[#This Row],[LX]]/2</f>
        <v>#N/A</v>
      </c>
      <c r="AO113" s="876" t="e">
        <f>IF(ISNUMBER(AO112),(2*Tbl_Long_Hydro[[#This Row],[LX]]+AK112)/(Tbl_Long_Hydro[[#This Row],[LX]]+AK112)*(Tbl_Long_Hydro[[#This Row],[Draught]]-V112)/3+V112,Tbl_Long_Hydro[[#This Row],[Draught]]/2)</f>
        <v>#N/A</v>
      </c>
      <c r="AP113" s="898" t="e">
        <f>IF(ISNUMBER(AP112),Tbl_Long_Hydro[[#This Row],[Volume elt]]+AP112,Tbl_Long_Hydro[[#This Row],[Volume elt]]*AO$4)</f>
        <v>#N/A</v>
      </c>
      <c r="AQ113" s="893" t="e">
        <f>IF(ISNUMBER(AQ112),Tbl_Long_Hydro[[#This Row],[Displacement]]*AQ$4,IF(ISNA(AQ112),NA(),0))</f>
        <v>#N/A</v>
      </c>
      <c r="AR113" s="900" t="e">
        <f>IF(ISNA(Tbl_Long_Hydro[[#This Row],[Draught]]),NA(),IFERROR(Tbl_Long_Hydro[[#This Row],[LX]]*B^3/12/Tbl_Long_Hydro[[#This Row],[Displacement]],0))</f>
        <v>#N/A</v>
      </c>
      <c r="AS113" s="903" t="e">
        <f>IF(ISNA(Tbl_Long_Hydro[[#This Row],[Draught]]),NA(),IFERROR((B*Tbl_Long_Hydro[[#This Row],[LX]]^3/12+(Tbl_Long_Hydro[[#This Row],[LCF]]-Tbl_Long_Hydro[[#This Row],[LCB]])*Tbl_Long_Hydro[[#This Row],[Waterplane area]]*Tbl_Long_Hydro[[#This Row],[LCF]]^2)/Tbl_Long_Hydro[[#This Row],[Displacement]],0))</f>
        <v>#N/A</v>
      </c>
      <c r="AT113" s="900" t="e">
        <f>Tbl_Long_Hydro[[#This Row],[Aft X]]+Tbl_Long_Hydro[[#This Row],[LX]]/2</f>
        <v>#N/A</v>
      </c>
      <c r="AU113" s="901" t="e">
        <f>IF(ISNUMBER(AU112),(AU112*AP112+Tbl_Long_Hydro[[#This Row],[X CoG elt]]*Tbl_Long_Hydro[[#This Row],[Volume elt]])/Tbl_Long_Hydro[[#This Row],[Displacement]],Tbl_Long_Hydro[[#This Row],[X CoG elt]])</f>
        <v>#N/A</v>
      </c>
      <c r="AV113" s="902" t="e">
        <f>IF(ISNA(Tbl_Long_Hydro[[#This Row],[Draught]]),NA(),0)</f>
        <v>#N/A</v>
      </c>
      <c r="AW113" s="876" t="e">
        <f>IF(ISNUMBER(AW112),(AW112*AP112+Tbl_Long_Hydro[[#This Row],[Z CoG elt]]*Tbl_Long_Hydro[[#This Row],[Volume elt]])/Tbl_Long_Hydro[[#This Row],[Displacement]],Tbl_Long_Hydro[[#This Row],[Z CoG elt]])</f>
        <v>#N/A</v>
      </c>
      <c r="AX113" s="899" t="e">
        <f>Tbl_Long_Hydro[[#This Row],[RMT]]+Tbl_Long_Hydro[[#This Row],[VCB]]</f>
        <v>#N/A</v>
      </c>
      <c r="AY113" s="904" t="e">
        <f>Tbl_Long_Hydro[[#This Row],[Displacement]]*Tbl_Long_Hydro[[#This Row],[RML]]/(100*Lpp)</f>
        <v>#N/A</v>
      </c>
      <c r="AZ113" s="956" t="e">
        <f>Tbl_Long_Hydro[[#This Row],[Draught]]</f>
        <v>#N/A</v>
      </c>
      <c r="BA113" s="959" t="e">
        <f>Tbl_Long_Hydro[[#This Row],[Displacement]]</f>
        <v>#N/A</v>
      </c>
      <c r="BB113" s="960" t="e">
        <f>Tbl_Long_Hydro[[#This Row],[Displac. SW]]</f>
        <v>#N/A</v>
      </c>
      <c r="BC113" s="964" t="e">
        <f>Tbl_Long_Hydro[[#This Row],[Waterplane area]]/100*$AQ$4</f>
        <v>#N/A</v>
      </c>
      <c r="BD113" s="961" t="e">
        <f>Tbl_Long_Hydro[[#This Row],[MCT]]</f>
        <v>#N/A</v>
      </c>
      <c r="BE113" s="962" t="e">
        <f>Tbl_Long_Hydro[[#This Row],[LCB]]</f>
        <v>#N/A</v>
      </c>
      <c r="BF113" s="962" t="e">
        <f>Tbl_Long_Hydro[[#This Row],[TCB]]</f>
        <v>#N/A</v>
      </c>
      <c r="BG113" s="962" t="e">
        <f>Tbl_Long_Hydro[[#This Row],[LCF]]</f>
        <v>#N/A</v>
      </c>
      <c r="BH113" s="963" t="e">
        <f>Tbl_Long_Hydro[[#This Row],[KMT]]</f>
        <v>#N/A</v>
      </c>
    </row>
    <row r="114" spans="11:60" x14ac:dyDescent="0.25">
      <c r="K114" s="156">
        <f t="shared" si="5"/>
        <v>108</v>
      </c>
      <c r="L114" s="164">
        <f t="shared" si="6"/>
        <v>54</v>
      </c>
      <c r="M114" s="262">
        <f>MATCH(Tbl_Long_Section[[#This Row],[X]],Tbl_Long_Definition[X],1)</f>
        <v>2</v>
      </c>
      <c r="N114" s="262">
        <f>IF(Tbl_Long_Section[[#This Row],[Nline Prev]]&lt;COUNT(Tbl_Long_Definition[X]),Tbl_Long_Section[[#This Row],[Nline Prev]]+1,Tbl_Long_Section[[#This Row],[Nline Prev]])</f>
        <v>3</v>
      </c>
      <c r="O114" s="162">
        <f>INDEX(Tbl_Long_Definition[X],Tbl_Long_Section[[#This Row],[Nline Prev]])</f>
        <v>5</v>
      </c>
      <c r="P114" s="263">
        <f>INDEX(Tbl_Long_Definition[X],Tbl_Long_Section[[#This Row],[Nline Next]])</f>
        <v>55</v>
      </c>
      <c r="Q114" s="160">
        <f>INDEX(Tbl_Long_Definition[H Deck-Bott.],Tbl_Long_Section[[#This Row],[Nline Prev]])</f>
        <v>4</v>
      </c>
      <c r="R114" s="161">
        <f>INDEX(Tbl_Long_Definition[H Deck-Bott.],Tbl_Long_Section[[#This Row],[Nline Next]])</f>
        <v>4</v>
      </c>
      <c r="S114"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114" s="8"/>
      <c r="V114" s="873" t="e">
        <f t="shared" si="8"/>
        <v>#N/A</v>
      </c>
      <c r="W114" s="885" t="e">
        <f>MATCH(Tbl_Long_Hydro[[#This Row],[Draught]],Tbl_Long_Definition[H k-bott],-1)</f>
        <v>#N/A</v>
      </c>
      <c r="X114"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14" s="886" t="e">
        <f>MATCH(Tbl_Long_Hydro[[#This Row],[Draught]],Tbl_Long_Definition[H k-bott],1)</f>
        <v>#N/A</v>
      </c>
      <c r="Z114"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14" s="888" t="e">
        <f>IF(ISNA(Tbl_Long_Hydro[[#This Row],[Draught]]),NA(),IFERROR(INDEX(Tbl_Long_Definition[X],Tbl_Long_Hydro[[#This Row],[Aft Nline prev]]),0))</f>
        <v>#N/A</v>
      </c>
      <c r="AB114" s="889" t="e">
        <f>IF(ISNA(Tbl_Long_Hydro[[#This Row],[Draught]]),NA(),IFERROR(INDEX(Tbl_Long_Definition[X],Tbl_Long_Hydro[[#This Row],[Aft Nline next]]),0))</f>
        <v>#N/A</v>
      </c>
      <c r="AC114" s="889" t="e">
        <f>IF(ISNA(Tbl_Long_Hydro[[#This Row],[Draught]]),NA(),INDEX(Tbl_Long_Definition[H k-bott],Tbl_Long_Hydro[[#This Row],[Aft Nline prev]]))</f>
        <v>#N/A</v>
      </c>
      <c r="AD114" s="889" t="e">
        <f>IF(ISNA(Tbl_Long_Hydro[[#This Row],[Draught]]),NA(),INDEX(Tbl_Long_Definition[H k-bott],Tbl_Long_Hydro[[#This Row],[Aft Nline next]]))</f>
        <v>#N/A</v>
      </c>
      <c r="AE114" s="888" t="e">
        <f>IF(ISNA(Tbl_Long_Hydro[[#This Row],[Draught]]),NA(),IFERROR(INDEX(Tbl_Long_Definition[X],Tbl_Long_Hydro[[#This Row],[Fore Nline prev]]),0))</f>
        <v>#N/A</v>
      </c>
      <c r="AF114" s="889" t="e">
        <f>IF(ISNA(Tbl_Long_Hydro[[#This Row],[Draught]]),NA(),IFERROR(INDEX(Tbl_Long_Definition[X],Tbl_Long_Hydro[[#This Row],[Fore Nline next]]),0))</f>
        <v>#N/A</v>
      </c>
      <c r="AG114" s="889" t="e">
        <f>IF(ISNA(Tbl_Long_Hydro[[#This Row],[Draught]]),NA(),INDEX(Tbl_Long_Definition[H k-bott],Tbl_Long_Hydro[[#This Row],[Fore Nline prev]]))</f>
        <v>#N/A</v>
      </c>
      <c r="AH114" s="890" t="e">
        <f>IF(ISNA(Tbl_Long_Hydro[[#This Row],[Draught]]),NA(),INDEX(Tbl_Long_Definition[H k-bott],Tbl_Long_Hydro[[#This Row],[Fore Nline next]]))</f>
        <v>#N/A</v>
      </c>
      <c r="AI114"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14"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14" s="894" t="e">
        <f>Tbl_Long_Hydro[[#This Row],[Fore X]]-Tbl_Long_Hydro[[#This Row],[Aft X]]</f>
        <v>#N/A</v>
      </c>
      <c r="AL114" s="884" t="e">
        <f>Tbl_Long_Hydro[[#This Row],[LX]]*B</f>
        <v>#N/A</v>
      </c>
      <c r="AM114" s="892" t="e">
        <f>IF(ISNUMBER(AM113),(AK113+Tbl_Long_Hydro[[#This Row],[LX]])*(Tbl_Long_Hydro[[#This Row],[Draught]]-V113)/2*B,(Tbl_Long_Hydro[[#This Row],[LX]])*Tbl_Long_Hydro[[#This Row],[Draught]]*B)</f>
        <v>#N/A</v>
      </c>
      <c r="AN114" s="899" t="e">
        <f>Tbl_Long_Hydro[[#This Row],[Aft X]]+Tbl_Long_Hydro[[#This Row],[LX]]/2</f>
        <v>#N/A</v>
      </c>
      <c r="AO114" s="876" t="e">
        <f>IF(ISNUMBER(AO113),(2*Tbl_Long_Hydro[[#This Row],[LX]]+AK113)/(Tbl_Long_Hydro[[#This Row],[LX]]+AK113)*(Tbl_Long_Hydro[[#This Row],[Draught]]-V113)/3+V113,Tbl_Long_Hydro[[#This Row],[Draught]]/2)</f>
        <v>#N/A</v>
      </c>
      <c r="AP114" s="898" t="e">
        <f>IF(ISNUMBER(AP113),Tbl_Long_Hydro[[#This Row],[Volume elt]]+AP113,Tbl_Long_Hydro[[#This Row],[Volume elt]]*AO$4)</f>
        <v>#N/A</v>
      </c>
      <c r="AQ114" s="893" t="e">
        <f>IF(ISNUMBER(AQ113),Tbl_Long_Hydro[[#This Row],[Displacement]]*AQ$4,IF(ISNA(AQ113),NA(),0))</f>
        <v>#N/A</v>
      </c>
      <c r="AR114" s="900" t="e">
        <f>IF(ISNA(Tbl_Long_Hydro[[#This Row],[Draught]]),NA(),IFERROR(Tbl_Long_Hydro[[#This Row],[LX]]*B^3/12/Tbl_Long_Hydro[[#This Row],[Displacement]],0))</f>
        <v>#N/A</v>
      </c>
      <c r="AS114" s="903" t="e">
        <f>IF(ISNA(Tbl_Long_Hydro[[#This Row],[Draught]]),NA(),IFERROR((B*Tbl_Long_Hydro[[#This Row],[LX]]^3/12+(Tbl_Long_Hydro[[#This Row],[LCF]]-Tbl_Long_Hydro[[#This Row],[LCB]])*Tbl_Long_Hydro[[#This Row],[Waterplane area]]*Tbl_Long_Hydro[[#This Row],[LCF]]^2)/Tbl_Long_Hydro[[#This Row],[Displacement]],0))</f>
        <v>#N/A</v>
      </c>
      <c r="AT114" s="900" t="e">
        <f>Tbl_Long_Hydro[[#This Row],[Aft X]]+Tbl_Long_Hydro[[#This Row],[LX]]/2</f>
        <v>#N/A</v>
      </c>
      <c r="AU114" s="901" t="e">
        <f>IF(ISNUMBER(AU113),(AU113*AP113+Tbl_Long_Hydro[[#This Row],[X CoG elt]]*Tbl_Long_Hydro[[#This Row],[Volume elt]])/Tbl_Long_Hydro[[#This Row],[Displacement]],Tbl_Long_Hydro[[#This Row],[X CoG elt]])</f>
        <v>#N/A</v>
      </c>
      <c r="AV114" s="902" t="e">
        <f>IF(ISNA(Tbl_Long_Hydro[[#This Row],[Draught]]),NA(),0)</f>
        <v>#N/A</v>
      </c>
      <c r="AW114" s="876" t="e">
        <f>IF(ISNUMBER(AW113),(AW113*AP113+Tbl_Long_Hydro[[#This Row],[Z CoG elt]]*Tbl_Long_Hydro[[#This Row],[Volume elt]])/Tbl_Long_Hydro[[#This Row],[Displacement]],Tbl_Long_Hydro[[#This Row],[Z CoG elt]])</f>
        <v>#N/A</v>
      </c>
      <c r="AX114" s="899" t="e">
        <f>Tbl_Long_Hydro[[#This Row],[RMT]]+Tbl_Long_Hydro[[#This Row],[VCB]]</f>
        <v>#N/A</v>
      </c>
      <c r="AY114" s="904" t="e">
        <f>Tbl_Long_Hydro[[#This Row],[Displacement]]*Tbl_Long_Hydro[[#This Row],[RML]]/(100*Lpp)</f>
        <v>#N/A</v>
      </c>
      <c r="AZ114" s="956" t="e">
        <f>Tbl_Long_Hydro[[#This Row],[Draught]]</f>
        <v>#N/A</v>
      </c>
      <c r="BA114" s="959" t="e">
        <f>Tbl_Long_Hydro[[#This Row],[Displacement]]</f>
        <v>#N/A</v>
      </c>
      <c r="BB114" s="960" t="e">
        <f>Tbl_Long_Hydro[[#This Row],[Displac. SW]]</f>
        <v>#N/A</v>
      </c>
      <c r="BC114" s="964" t="e">
        <f>Tbl_Long_Hydro[[#This Row],[Waterplane area]]/100*$AQ$4</f>
        <v>#N/A</v>
      </c>
      <c r="BD114" s="961" t="e">
        <f>Tbl_Long_Hydro[[#This Row],[MCT]]</f>
        <v>#N/A</v>
      </c>
      <c r="BE114" s="962" t="e">
        <f>Tbl_Long_Hydro[[#This Row],[LCB]]</f>
        <v>#N/A</v>
      </c>
      <c r="BF114" s="962" t="e">
        <f>Tbl_Long_Hydro[[#This Row],[TCB]]</f>
        <v>#N/A</v>
      </c>
      <c r="BG114" s="962" t="e">
        <f>Tbl_Long_Hydro[[#This Row],[LCF]]</f>
        <v>#N/A</v>
      </c>
      <c r="BH114" s="963" t="e">
        <f>Tbl_Long_Hydro[[#This Row],[KMT]]</f>
        <v>#N/A</v>
      </c>
    </row>
    <row r="115" spans="11:60" x14ac:dyDescent="0.25">
      <c r="K115" s="156">
        <f t="shared" si="5"/>
        <v>109</v>
      </c>
      <c r="L115" s="164">
        <f t="shared" si="6"/>
        <v>54.5</v>
      </c>
      <c r="M115" s="262">
        <f>MATCH(Tbl_Long_Section[[#This Row],[X]],Tbl_Long_Definition[X],1)</f>
        <v>2</v>
      </c>
      <c r="N115" s="262">
        <f>IF(Tbl_Long_Section[[#This Row],[Nline Prev]]&lt;COUNT(Tbl_Long_Definition[X]),Tbl_Long_Section[[#This Row],[Nline Prev]]+1,Tbl_Long_Section[[#This Row],[Nline Prev]])</f>
        <v>3</v>
      </c>
      <c r="O115" s="162">
        <f>INDEX(Tbl_Long_Definition[X],Tbl_Long_Section[[#This Row],[Nline Prev]])</f>
        <v>5</v>
      </c>
      <c r="P115" s="263">
        <f>INDEX(Tbl_Long_Definition[X],Tbl_Long_Section[[#This Row],[Nline Next]])</f>
        <v>55</v>
      </c>
      <c r="Q115" s="160">
        <f>INDEX(Tbl_Long_Definition[H Deck-Bott.],Tbl_Long_Section[[#This Row],[Nline Prev]])</f>
        <v>4</v>
      </c>
      <c r="R115" s="161">
        <f>INDEX(Tbl_Long_Definition[H Deck-Bott.],Tbl_Long_Section[[#This Row],[Nline Next]])</f>
        <v>4</v>
      </c>
      <c r="S115"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115" s="8"/>
      <c r="V115" s="873" t="e">
        <f t="shared" si="8"/>
        <v>#N/A</v>
      </c>
      <c r="W115" s="885" t="e">
        <f>MATCH(Tbl_Long_Hydro[[#This Row],[Draught]],Tbl_Long_Definition[H k-bott],-1)</f>
        <v>#N/A</v>
      </c>
      <c r="X115"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15" s="886" t="e">
        <f>MATCH(Tbl_Long_Hydro[[#This Row],[Draught]],Tbl_Long_Definition[H k-bott],1)</f>
        <v>#N/A</v>
      </c>
      <c r="Z115"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15" s="888" t="e">
        <f>IF(ISNA(Tbl_Long_Hydro[[#This Row],[Draught]]),NA(),IFERROR(INDEX(Tbl_Long_Definition[X],Tbl_Long_Hydro[[#This Row],[Aft Nline prev]]),0))</f>
        <v>#N/A</v>
      </c>
      <c r="AB115" s="889" t="e">
        <f>IF(ISNA(Tbl_Long_Hydro[[#This Row],[Draught]]),NA(),IFERROR(INDEX(Tbl_Long_Definition[X],Tbl_Long_Hydro[[#This Row],[Aft Nline next]]),0))</f>
        <v>#N/A</v>
      </c>
      <c r="AC115" s="889" t="e">
        <f>IF(ISNA(Tbl_Long_Hydro[[#This Row],[Draught]]),NA(),INDEX(Tbl_Long_Definition[H k-bott],Tbl_Long_Hydro[[#This Row],[Aft Nline prev]]))</f>
        <v>#N/A</v>
      </c>
      <c r="AD115" s="889" t="e">
        <f>IF(ISNA(Tbl_Long_Hydro[[#This Row],[Draught]]),NA(),INDEX(Tbl_Long_Definition[H k-bott],Tbl_Long_Hydro[[#This Row],[Aft Nline next]]))</f>
        <v>#N/A</v>
      </c>
      <c r="AE115" s="888" t="e">
        <f>IF(ISNA(Tbl_Long_Hydro[[#This Row],[Draught]]),NA(),IFERROR(INDEX(Tbl_Long_Definition[X],Tbl_Long_Hydro[[#This Row],[Fore Nline prev]]),0))</f>
        <v>#N/A</v>
      </c>
      <c r="AF115" s="889" t="e">
        <f>IF(ISNA(Tbl_Long_Hydro[[#This Row],[Draught]]),NA(),IFERROR(INDEX(Tbl_Long_Definition[X],Tbl_Long_Hydro[[#This Row],[Fore Nline next]]),0))</f>
        <v>#N/A</v>
      </c>
      <c r="AG115" s="889" t="e">
        <f>IF(ISNA(Tbl_Long_Hydro[[#This Row],[Draught]]),NA(),INDEX(Tbl_Long_Definition[H k-bott],Tbl_Long_Hydro[[#This Row],[Fore Nline prev]]))</f>
        <v>#N/A</v>
      </c>
      <c r="AH115" s="890" t="e">
        <f>IF(ISNA(Tbl_Long_Hydro[[#This Row],[Draught]]),NA(),INDEX(Tbl_Long_Definition[H k-bott],Tbl_Long_Hydro[[#This Row],[Fore Nline next]]))</f>
        <v>#N/A</v>
      </c>
      <c r="AI115"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15"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15" s="894" t="e">
        <f>Tbl_Long_Hydro[[#This Row],[Fore X]]-Tbl_Long_Hydro[[#This Row],[Aft X]]</f>
        <v>#N/A</v>
      </c>
      <c r="AL115" s="884" t="e">
        <f>Tbl_Long_Hydro[[#This Row],[LX]]*B</f>
        <v>#N/A</v>
      </c>
      <c r="AM115" s="892" t="e">
        <f>IF(ISNUMBER(AM114),(AK114+Tbl_Long_Hydro[[#This Row],[LX]])*(Tbl_Long_Hydro[[#This Row],[Draught]]-V114)/2*B,(Tbl_Long_Hydro[[#This Row],[LX]])*Tbl_Long_Hydro[[#This Row],[Draught]]*B)</f>
        <v>#N/A</v>
      </c>
      <c r="AN115" s="899" t="e">
        <f>Tbl_Long_Hydro[[#This Row],[Aft X]]+Tbl_Long_Hydro[[#This Row],[LX]]/2</f>
        <v>#N/A</v>
      </c>
      <c r="AO115" s="876" t="e">
        <f>IF(ISNUMBER(AO114),(2*Tbl_Long_Hydro[[#This Row],[LX]]+AK114)/(Tbl_Long_Hydro[[#This Row],[LX]]+AK114)*(Tbl_Long_Hydro[[#This Row],[Draught]]-V114)/3+V114,Tbl_Long_Hydro[[#This Row],[Draught]]/2)</f>
        <v>#N/A</v>
      </c>
      <c r="AP115" s="898" t="e">
        <f>IF(ISNUMBER(AP114),Tbl_Long_Hydro[[#This Row],[Volume elt]]+AP114,Tbl_Long_Hydro[[#This Row],[Volume elt]]*AO$4)</f>
        <v>#N/A</v>
      </c>
      <c r="AQ115" s="893" t="e">
        <f>IF(ISNUMBER(AQ114),Tbl_Long_Hydro[[#This Row],[Displacement]]*AQ$4,IF(ISNA(AQ114),NA(),0))</f>
        <v>#N/A</v>
      </c>
      <c r="AR115" s="900" t="e">
        <f>IF(ISNA(Tbl_Long_Hydro[[#This Row],[Draught]]),NA(),IFERROR(Tbl_Long_Hydro[[#This Row],[LX]]*B^3/12/Tbl_Long_Hydro[[#This Row],[Displacement]],0))</f>
        <v>#N/A</v>
      </c>
      <c r="AS115" s="903" t="e">
        <f>IF(ISNA(Tbl_Long_Hydro[[#This Row],[Draught]]),NA(),IFERROR((B*Tbl_Long_Hydro[[#This Row],[LX]]^3/12+(Tbl_Long_Hydro[[#This Row],[LCF]]-Tbl_Long_Hydro[[#This Row],[LCB]])*Tbl_Long_Hydro[[#This Row],[Waterplane area]]*Tbl_Long_Hydro[[#This Row],[LCF]]^2)/Tbl_Long_Hydro[[#This Row],[Displacement]],0))</f>
        <v>#N/A</v>
      </c>
      <c r="AT115" s="900" t="e">
        <f>Tbl_Long_Hydro[[#This Row],[Aft X]]+Tbl_Long_Hydro[[#This Row],[LX]]/2</f>
        <v>#N/A</v>
      </c>
      <c r="AU115" s="901" t="e">
        <f>IF(ISNUMBER(AU114),(AU114*AP114+Tbl_Long_Hydro[[#This Row],[X CoG elt]]*Tbl_Long_Hydro[[#This Row],[Volume elt]])/Tbl_Long_Hydro[[#This Row],[Displacement]],Tbl_Long_Hydro[[#This Row],[X CoG elt]])</f>
        <v>#N/A</v>
      </c>
      <c r="AV115" s="902" t="e">
        <f>IF(ISNA(Tbl_Long_Hydro[[#This Row],[Draught]]),NA(),0)</f>
        <v>#N/A</v>
      </c>
      <c r="AW115" s="876" t="e">
        <f>IF(ISNUMBER(AW114),(AW114*AP114+Tbl_Long_Hydro[[#This Row],[Z CoG elt]]*Tbl_Long_Hydro[[#This Row],[Volume elt]])/Tbl_Long_Hydro[[#This Row],[Displacement]],Tbl_Long_Hydro[[#This Row],[Z CoG elt]])</f>
        <v>#N/A</v>
      </c>
      <c r="AX115" s="899" t="e">
        <f>Tbl_Long_Hydro[[#This Row],[RMT]]+Tbl_Long_Hydro[[#This Row],[VCB]]</f>
        <v>#N/A</v>
      </c>
      <c r="AY115" s="904" t="e">
        <f>Tbl_Long_Hydro[[#This Row],[Displacement]]*Tbl_Long_Hydro[[#This Row],[RML]]/(100*Lpp)</f>
        <v>#N/A</v>
      </c>
      <c r="AZ115" s="956" t="e">
        <f>Tbl_Long_Hydro[[#This Row],[Draught]]</f>
        <v>#N/A</v>
      </c>
      <c r="BA115" s="959" t="e">
        <f>Tbl_Long_Hydro[[#This Row],[Displacement]]</f>
        <v>#N/A</v>
      </c>
      <c r="BB115" s="960" t="e">
        <f>Tbl_Long_Hydro[[#This Row],[Displac. SW]]</f>
        <v>#N/A</v>
      </c>
      <c r="BC115" s="964" t="e">
        <f>Tbl_Long_Hydro[[#This Row],[Waterplane area]]/100*$AQ$4</f>
        <v>#N/A</v>
      </c>
      <c r="BD115" s="961" t="e">
        <f>Tbl_Long_Hydro[[#This Row],[MCT]]</f>
        <v>#N/A</v>
      </c>
      <c r="BE115" s="962" t="e">
        <f>Tbl_Long_Hydro[[#This Row],[LCB]]</f>
        <v>#N/A</v>
      </c>
      <c r="BF115" s="962" t="e">
        <f>Tbl_Long_Hydro[[#This Row],[TCB]]</f>
        <v>#N/A</v>
      </c>
      <c r="BG115" s="962" t="e">
        <f>Tbl_Long_Hydro[[#This Row],[LCF]]</f>
        <v>#N/A</v>
      </c>
      <c r="BH115" s="963" t="e">
        <f>Tbl_Long_Hydro[[#This Row],[KMT]]</f>
        <v>#N/A</v>
      </c>
    </row>
    <row r="116" spans="11:60" x14ac:dyDescent="0.25">
      <c r="K116" s="156">
        <f t="shared" si="5"/>
        <v>110</v>
      </c>
      <c r="L116" s="164">
        <f t="shared" si="6"/>
        <v>55</v>
      </c>
      <c r="M116" s="262">
        <f>MATCH(Tbl_Long_Section[[#This Row],[X]],Tbl_Long_Definition[X],1)</f>
        <v>3</v>
      </c>
      <c r="N116" s="262">
        <f>IF(Tbl_Long_Section[[#This Row],[Nline Prev]]&lt;COUNT(Tbl_Long_Definition[X]),Tbl_Long_Section[[#This Row],[Nline Prev]]+1,Tbl_Long_Section[[#This Row],[Nline Prev]])</f>
        <v>4</v>
      </c>
      <c r="O116" s="162">
        <f>INDEX(Tbl_Long_Definition[X],Tbl_Long_Section[[#This Row],[Nline Prev]])</f>
        <v>55</v>
      </c>
      <c r="P116" s="263">
        <f>INDEX(Tbl_Long_Definition[X],Tbl_Long_Section[[#This Row],[Nline Next]])</f>
        <v>60</v>
      </c>
      <c r="Q116" s="160">
        <f>INDEX(Tbl_Long_Definition[H Deck-Bott.],Tbl_Long_Section[[#This Row],[Nline Prev]])</f>
        <v>4</v>
      </c>
      <c r="R116" s="161">
        <f>INDEX(Tbl_Long_Definition[H Deck-Bott.],Tbl_Long_Section[[#This Row],[Nline Next]])</f>
        <v>1.2</v>
      </c>
      <c r="S116"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4</v>
      </c>
      <c r="T116" s="8"/>
      <c r="V116" s="873" t="e">
        <f t="shared" si="8"/>
        <v>#N/A</v>
      </c>
      <c r="W116" s="885" t="e">
        <f>MATCH(Tbl_Long_Hydro[[#This Row],[Draught]],Tbl_Long_Definition[H k-bott],-1)</f>
        <v>#N/A</v>
      </c>
      <c r="X116"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16" s="886" t="e">
        <f>MATCH(Tbl_Long_Hydro[[#This Row],[Draught]],Tbl_Long_Definition[H k-bott],1)</f>
        <v>#N/A</v>
      </c>
      <c r="Z116"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16" s="888" t="e">
        <f>IF(ISNA(Tbl_Long_Hydro[[#This Row],[Draught]]),NA(),IFERROR(INDEX(Tbl_Long_Definition[X],Tbl_Long_Hydro[[#This Row],[Aft Nline prev]]),0))</f>
        <v>#N/A</v>
      </c>
      <c r="AB116" s="889" t="e">
        <f>IF(ISNA(Tbl_Long_Hydro[[#This Row],[Draught]]),NA(),IFERROR(INDEX(Tbl_Long_Definition[X],Tbl_Long_Hydro[[#This Row],[Aft Nline next]]),0))</f>
        <v>#N/A</v>
      </c>
      <c r="AC116" s="889" t="e">
        <f>IF(ISNA(Tbl_Long_Hydro[[#This Row],[Draught]]),NA(),INDEX(Tbl_Long_Definition[H k-bott],Tbl_Long_Hydro[[#This Row],[Aft Nline prev]]))</f>
        <v>#N/A</v>
      </c>
      <c r="AD116" s="889" t="e">
        <f>IF(ISNA(Tbl_Long_Hydro[[#This Row],[Draught]]),NA(),INDEX(Tbl_Long_Definition[H k-bott],Tbl_Long_Hydro[[#This Row],[Aft Nline next]]))</f>
        <v>#N/A</v>
      </c>
      <c r="AE116" s="888" t="e">
        <f>IF(ISNA(Tbl_Long_Hydro[[#This Row],[Draught]]),NA(),IFERROR(INDEX(Tbl_Long_Definition[X],Tbl_Long_Hydro[[#This Row],[Fore Nline prev]]),0))</f>
        <v>#N/A</v>
      </c>
      <c r="AF116" s="889" t="e">
        <f>IF(ISNA(Tbl_Long_Hydro[[#This Row],[Draught]]),NA(),IFERROR(INDEX(Tbl_Long_Definition[X],Tbl_Long_Hydro[[#This Row],[Fore Nline next]]),0))</f>
        <v>#N/A</v>
      </c>
      <c r="AG116" s="889" t="e">
        <f>IF(ISNA(Tbl_Long_Hydro[[#This Row],[Draught]]),NA(),INDEX(Tbl_Long_Definition[H k-bott],Tbl_Long_Hydro[[#This Row],[Fore Nline prev]]))</f>
        <v>#N/A</v>
      </c>
      <c r="AH116" s="890" t="e">
        <f>IF(ISNA(Tbl_Long_Hydro[[#This Row],[Draught]]),NA(),INDEX(Tbl_Long_Definition[H k-bott],Tbl_Long_Hydro[[#This Row],[Fore Nline next]]))</f>
        <v>#N/A</v>
      </c>
      <c r="AI116"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16"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16" s="894" t="e">
        <f>Tbl_Long_Hydro[[#This Row],[Fore X]]-Tbl_Long_Hydro[[#This Row],[Aft X]]</f>
        <v>#N/A</v>
      </c>
      <c r="AL116" s="884" t="e">
        <f>Tbl_Long_Hydro[[#This Row],[LX]]*B</f>
        <v>#N/A</v>
      </c>
      <c r="AM116" s="892" t="e">
        <f>IF(ISNUMBER(AM115),(AK115+Tbl_Long_Hydro[[#This Row],[LX]])*(Tbl_Long_Hydro[[#This Row],[Draught]]-V115)/2*B,(Tbl_Long_Hydro[[#This Row],[LX]])*Tbl_Long_Hydro[[#This Row],[Draught]]*B)</f>
        <v>#N/A</v>
      </c>
      <c r="AN116" s="899" t="e">
        <f>Tbl_Long_Hydro[[#This Row],[Aft X]]+Tbl_Long_Hydro[[#This Row],[LX]]/2</f>
        <v>#N/A</v>
      </c>
      <c r="AO116" s="876" t="e">
        <f>IF(ISNUMBER(AO115),(2*Tbl_Long_Hydro[[#This Row],[LX]]+AK115)/(Tbl_Long_Hydro[[#This Row],[LX]]+AK115)*(Tbl_Long_Hydro[[#This Row],[Draught]]-V115)/3+V115,Tbl_Long_Hydro[[#This Row],[Draught]]/2)</f>
        <v>#N/A</v>
      </c>
      <c r="AP116" s="898" t="e">
        <f>IF(ISNUMBER(AP115),Tbl_Long_Hydro[[#This Row],[Volume elt]]+AP115,Tbl_Long_Hydro[[#This Row],[Volume elt]]*AO$4)</f>
        <v>#N/A</v>
      </c>
      <c r="AQ116" s="893" t="e">
        <f>IF(ISNUMBER(AQ115),Tbl_Long_Hydro[[#This Row],[Displacement]]*AQ$4,IF(ISNA(AQ115),NA(),0))</f>
        <v>#N/A</v>
      </c>
      <c r="AR116" s="900" t="e">
        <f>IF(ISNA(Tbl_Long_Hydro[[#This Row],[Draught]]),NA(),IFERROR(Tbl_Long_Hydro[[#This Row],[LX]]*B^3/12/Tbl_Long_Hydro[[#This Row],[Displacement]],0))</f>
        <v>#N/A</v>
      </c>
      <c r="AS116" s="903" t="e">
        <f>IF(ISNA(Tbl_Long_Hydro[[#This Row],[Draught]]),NA(),IFERROR((B*Tbl_Long_Hydro[[#This Row],[LX]]^3/12+(Tbl_Long_Hydro[[#This Row],[LCF]]-Tbl_Long_Hydro[[#This Row],[LCB]])*Tbl_Long_Hydro[[#This Row],[Waterplane area]]*Tbl_Long_Hydro[[#This Row],[LCF]]^2)/Tbl_Long_Hydro[[#This Row],[Displacement]],0))</f>
        <v>#N/A</v>
      </c>
      <c r="AT116" s="900" t="e">
        <f>Tbl_Long_Hydro[[#This Row],[Aft X]]+Tbl_Long_Hydro[[#This Row],[LX]]/2</f>
        <v>#N/A</v>
      </c>
      <c r="AU116" s="901" t="e">
        <f>IF(ISNUMBER(AU115),(AU115*AP115+Tbl_Long_Hydro[[#This Row],[X CoG elt]]*Tbl_Long_Hydro[[#This Row],[Volume elt]])/Tbl_Long_Hydro[[#This Row],[Displacement]],Tbl_Long_Hydro[[#This Row],[X CoG elt]])</f>
        <v>#N/A</v>
      </c>
      <c r="AV116" s="902" t="e">
        <f>IF(ISNA(Tbl_Long_Hydro[[#This Row],[Draught]]),NA(),0)</f>
        <v>#N/A</v>
      </c>
      <c r="AW116" s="876" t="e">
        <f>IF(ISNUMBER(AW115),(AW115*AP115+Tbl_Long_Hydro[[#This Row],[Z CoG elt]]*Tbl_Long_Hydro[[#This Row],[Volume elt]])/Tbl_Long_Hydro[[#This Row],[Displacement]],Tbl_Long_Hydro[[#This Row],[Z CoG elt]])</f>
        <v>#N/A</v>
      </c>
      <c r="AX116" s="899" t="e">
        <f>Tbl_Long_Hydro[[#This Row],[RMT]]+Tbl_Long_Hydro[[#This Row],[VCB]]</f>
        <v>#N/A</v>
      </c>
      <c r="AY116" s="904" t="e">
        <f>Tbl_Long_Hydro[[#This Row],[Displacement]]*Tbl_Long_Hydro[[#This Row],[RML]]/(100*Lpp)</f>
        <v>#N/A</v>
      </c>
      <c r="AZ116" s="956" t="e">
        <f>Tbl_Long_Hydro[[#This Row],[Draught]]</f>
        <v>#N/A</v>
      </c>
      <c r="BA116" s="959" t="e">
        <f>Tbl_Long_Hydro[[#This Row],[Displacement]]</f>
        <v>#N/A</v>
      </c>
      <c r="BB116" s="960" t="e">
        <f>Tbl_Long_Hydro[[#This Row],[Displac. SW]]</f>
        <v>#N/A</v>
      </c>
      <c r="BC116" s="964" t="e">
        <f>Tbl_Long_Hydro[[#This Row],[Waterplane area]]/100*$AQ$4</f>
        <v>#N/A</v>
      </c>
      <c r="BD116" s="961" t="e">
        <f>Tbl_Long_Hydro[[#This Row],[MCT]]</f>
        <v>#N/A</v>
      </c>
      <c r="BE116" s="962" t="e">
        <f>Tbl_Long_Hydro[[#This Row],[LCB]]</f>
        <v>#N/A</v>
      </c>
      <c r="BF116" s="962" t="e">
        <f>Tbl_Long_Hydro[[#This Row],[TCB]]</f>
        <v>#N/A</v>
      </c>
      <c r="BG116" s="962" t="e">
        <f>Tbl_Long_Hydro[[#This Row],[LCF]]</f>
        <v>#N/A</v>
      </c>
      <c r="BH116" s="963" t="e">
        <f>Tbl_Long_Hydro[[#This Row],[KMT]]</f>
        <v>#N/A</v>
      </c>
    </row>
    <row r="117" spans="11:60" x14ac:dyDescent="0.25">
      <c r="K117" s="156">
        <f t="shared" si="5"/>
        <v>111</v>
      </c>
      <c r="L117" s="164">
        <f t="shared" si="6"/>
        <v>55.5</v>
      </c>
      <c r="M117" s="262">
        <f>MATCH(Tbl_Long_Section[[#This Row],[X]],Tbl_Long_Definition[X],1)</f>
        <v>3</v>
      </c>
      <c r="N117" s="262">
        <f>IF(Tbl_Long_Section[[#This Row],[Nline Prev]]&lt;COUNT(Tbl_Long_Definition[X]),Tbl_Long_Section[[#This Row],[Nline Prev]]+1,Tbl_Long_Section[[#This Row],[Nline Prev]])</f>
        <v>4</v>
      </c>
      <c r="O117" s="162">
        <f>INDEX(Tbl_Long_Definition[X],Tbl_Long_Section[[#This Row],[Nline Prev]])</f>
        <v>55</v>
      </c>
      <c r="P117" s="263">
        <f>INDEX(Tbl_Long_Definition[X],Tbl_Long_Section[[#This Row],[Nline Next]])</f>
        <v>60</v>
      </c>
      <c r="Q117" s="160">
        <f>INDEX(Tbl_Long_Definition[H Deck-Bott.],Tbl_Long_Section[[#This Row],[Nline Prev]])</f>
        <v>4</v>
      </c>
      <c r="R117" s="161">
        <f>INDEX(Tbl_Long_Definition[H Deck-Bott.],Tbl_Long_Section[[#This Row],[Nline Next]])</f>
        <v>1.2</v>
      </c>
      <c r="S117"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3.72</v>
      </c>
      <c r="T117" s="8"/>
      <c r="V117" s="873" t="e">
        <f t="shared" si="8"/>
        <v>#N/A</v>
      </c>
      <c r="W117" s="885" t="e">
        <f>MATCH(Tbl_Long_Hydro[[#This Row],[Draught]],Tbl_Long_Definition[H k-bott],-1)</f>
        <v>#N/A</v>
      </c>
      <c r="X117"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17" s="886" t="e">
        <f>MATCH(Tbl_Long_Hydro[[#This Row],[Draught]],Tbl_Long_Definition[H k-bott],1)</f>
        <v>#N/A</v>
      </c>
      <c r="Z117"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17" s="888" t="e">
        <f>IF(ISNA(Tbl_Long_Hydro[[#This Row],[Draught]]),NA(),IFERROR(INDEX(Tbl_Long_Definition[X],Tbl_Long_Hydro[[#This Row],[Aft Nline prev]]),0))</f>
        <v>#N/A</v>
      </c>
      <c r="AB117" s="889" t="e">
        <f>IF(ISNA(Tbl_Long_Hydro[[#This Row],[Draught]]),NA(),IFERROR(INDEX(Tbl_Long_Definition[X],Tbl_Long_Hydro[[#This Row],[Aft Nline next]]),0))</f>
        <v>#N/A</v>
      </c>
      <c r="AC117" s="889" t="e">
        <f>IF(ISNA(Tbl_Long_Hydro[[#This Row],[Draught]]),NA(),INDEX(Tbl_Long_Definition[H k-bott],Tbl_Long_Hydro[[#This Row],[Aft Nline prev]]))</f>
        <v>#N/A</v>
      </c>
      <c r="AD117" s="889" t="e">
        <f>IF(ISNA(Tbl_Long_Hydro[[#This Row],[Draught]]),NA(),INDEX(Tbl_Long_Definition[H k-bott],Tbl_Long_Hydro[[#This Row],[Aft Nline next]]))</f>
        <v>#N/A</v>
      </c>
      <c r="AE117" s="888" t="e">
        <f>IF(ISNA(Tbl_Long_Hydro[[#This Row],[Draught]]),NA(),IFERROR(INDEX(Tbl_Long_Definition[X],Tbl_Long_Hydro[[#This Row],[Fore Nline prev]]),0))</f>
        <v>#N/A</v>
      </c>
      <c r="AF117" s="889" t="e">
        <f>IF(ISNA(Tbl_Long_Hydro[[#This Row],[Draught]]),NA(),IFERROR(INDEX(Tbl_Long_Definition[X],Tbl_Long_Hydro[[#This Row],[Fore Nline next]]),0))</f>
        <v>#N/A</v>
      </c>
      <c r="AG117" s="889" t="e">
        <f>IF(ISNA(Tbl_Long_Hydro[[#This Row],[Draught]]),NA(),INDEX(Tbl_Long_Definition[H k-bott],Tbl_Long_Hydro[[#This Row],[Fore Nline prev]]))</f>
        <v>#N/A</v>
      </c>
      <c r="AH117" s="890" t="e">
        <f>IF(ISNA(Tbl_Long_Hydro[[#This Row],[Draught]]),NA(),INDEX(Tbl_Long_Definition[H k-bott],Tbl_Long_Hydro[[#This Row],[Fore Nline next]]))</f>
        <v>#N/A</v>
      </c>
      <c r="AI117"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17"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17" s="894" t="e">
        <f>Tbl_Long_Hydro[[#This Row],[Fore X]]-Tbl_Long_Hydro[[#This Row],[Aft X]]</f>
        <v>#N/A</v>
      </c>
      <c r="AL117" s="884" t="e">
        <f>Tbl_Long_Hydro[[#This Row],[LX]]*B</f>
        <v>#N/A</v>
      </c>
      <c r="AM117" s="892" t="e">
        <f>IF(ISNUMBER(AM116),(AK116+Tbl_Long_Hydro[[#This Row],[LX]])*(Tbl_Long_Hydro[[#This Row],[Draught]]-V116)/2*B,(Tbl_Long_Hydro[[#This Row],[LX]])*Tbl_Long_Hydro[[#This Row],[Draught]]*B)</f>
        <v>#N/A</v>
      </c>
      <c r="AN117" s="899" t="e">
        <f>Tbl_Long_Hydro[[#This Row],[Aft X]]+Tbl_Long_Hydro[[#This Row],[LX]]/2</f>
        <v>#N/A</v>
      </c>
      <c r="AO117" s="876" t="e">
        <f>IF(ISNUMBER(AO116),(2*Tbl_Long_Hydro[[#This Row],[LX]]+AK116)/(Tbl_Long_Hydro[[#This Row],[LX]]+AK116)*(Tbl_Long_Hydro[[#This Row],[Draught]]-V116)/3+V116,Tbl_Long_Hydro[[#This Row],[Draught]]/2)</f>
        <v>#N/A</v>
      </c>
      <c r="AP117" s="898" t="e">
        <f>IF(ISNUMBER(AP116),Tbl_Long_Hydro[[#This Row],[Volume elt]]+AP116,Tbl_Long_Hydro[[#This Row],[Volume elt]]*AO$4)</f>
        <v>#N/A</v>
      </c>
      <c r="AQ117" s="893" t="e">
        <f>IF(ISNUMBER(AQ116),Tbl_Long_Hydro[[#This Row],[Displacement]]*AQ$4,IF(ISNA(AQ116),NA(),0))</f>
        <v>#N/A</v>
      </c>
      <c r="AR117" s="900" t="e">
        <f>IF(ISNA(Tbl_Long_Hydro[[#This Row],[Draught]]),NA(),IFERROR(Tbl_Long_Hydro[[#This Row],[LX]]*B^3/12/Tbl_Long_Hydro[[#This Row],[Displacement]],0))</f>
        <v>#N/A</v>
      </c>
      <c r="AS117" s="903" t="e">
        <f>IF(ISNA(Tbl_Long_Hydro[[#This Row],[Draught]]),NA(),IFERROR((B*Tbl_Long_Hydro[[#This Row],[LX]]^3/12+(Tbl_Long_Hydro[[#This Row],[LCF]]-Tbl_Long_Hydro[[#This Row],[LCB]])*Tbl_Long_Hydro[[#This Row],[Waterplane area]]*Tbl_Long_Hydro[[#This Row],[LCF]]^2)/Tbl_Long_Hydro[[#This Row],[Displacement]],0))</f>
        <v>#N/A</v>
      </c>
      <c r="AT117" s="900" t="e">
        <f>Tbl_Long_Hydro[[#This Row],[Aft X]]+Tbl_Long_Hydro[[#This Row],[LX]]/2</f>
        <v>#N/A</v>
      </c>
      <c r="AU117" s="901" t="e">
        <f>IF(ISNUMBER(AU116),(AU116*AP116+Tbl_Long_Hydro[[#This Row],[X CoG elt]]*Tbl_Long_Hydro[[#This Row],[Volume elt]])/Tbl_Long_Hydro[[#This Row],[Displacement]],Tbl_Long_Hydro[[#This Row],[X CoG elt]])</f>
        <v>#N/A</v>
      </c>
      <c r="AV117" s="902" t="e">
        <f>IF(ISNA(Tbl_Long_Hydro[[#This Row],[Draught]]),NA(),0)</f>
        <v>#N/A</v>
      </c>
      <c r="AW117" s="876" t="e">
        <f>IF(ISNUMBER(AW116),(AW116*AP116+Tbl_Long_Hydro[[#This Row],[Z CoG elt]]*Tbl_Long_Hydro[[#This Row],[Volume elt]])/Tbl_Long_Hydro[[#This Row],[Displacement]],Tbl_Long_Hydro[[#This Row],[Z CoG elt]])</f>
        <v>#N/A</v>
      </c>
      <c r="AX117" s="899" t="e">
        <f>Tbl_Long_Hydro[[#This Row],[RMT]]+Tbl_Long_Hydro[[#This Row],[VCB]]</f>
        <v>#N/A</v>
      </c>
      <c r="AY117" s="904" t="e">
        <f>Tbl_Long_Hydro[[#This Row],[Displacement]]*Tbl_Long_Hydro[[#This Row],[RML]]/(100*Lpp)</f>
        <v>#N/A</v>
      </c>
      <c r="AZ117" s="956" t="e">
        <f>Tbl_Long_Hydro[[#This Row],[Draught]]</f>
        <v>#N/A</v>
      </c>
      <c r="BA117" s="959" t="e">
        <f>Tbl_Long_Hydro[[#This Row],[Displacement]]</f>
        <v>#N/A</v>
      </c>
      <c r="BB117" s="960" t="e">
        <f>Tbl_Long_Hydro[[#This Row],[Displac. SW]]</f>
        <v>#N/A</v>
      </c>
      <c r="BC117" s="964" t="e">
        <f>Tbl_Long_Hydro[[#This Row],[Waterplane area]]/100*$AQ$4</f>
        <v>#N/A</v>
      </c>
      <c r="BD117" s="961" t="e">
        <f>Tbl_Long_Hydro[[#This Row],[MCT]]</f>
        <v>#N/A</v>
      </c>
      <c r="BE117" s="962" t="e">
        <f>Tbl_Long_Hydro[[#This Row],[LCB]]</f>
        <v>#N/A</v>
      </c>
      <c r="BF117" s="962" t="e">
        <f>Tbl_Long_Hydro[[#This Row],[TCB]]</f>
        <v>#N/A</v>
      </c>
      <c r="BG117" s="962" t="e">
        <f>Tbl_Long_Hydro[[#This Row],[LCF]]</f>
        <v>#N/A</v>
      </c>
      <c r="BH117" s="963" t="e">
        <f>Tbl_Long_Hydro[[#This Row],[KMT]]</f>
        <v>#N/A</v>
      </c>
    </row>
    <row r="118" spans="11:60" x14ac:dyDescent="0.25">
      <c r="K118" s="156">
        <f t="shared" si="5"/>
        <v>112</v>
      </c>
      <c r="L118" s="164">
        <f t="shared" si="6"/>
        <v>56</v>
      </c>
      <c r="M118" s="262">
        <f>MATCH(Tbl_Long_Section[[#This Row],[X]],Tbl_Long_Definition[X],1)</f>
        <v>3</v>
      </c>
      <c r="N118" s="262">
        <f>IF(Tbl_Long_Section[[#This Row],[Nline Prev]]&lt;COUNT(Tbl_Long_Definition[X]),Tbl_Long_Section[[#This Row],[Nline Prev]]+1,Tbl_Long_Section[[#This Row],[Nline Prev]])</f>
        <v>4</v>
      </c>
      <c r="O118" s="162">
        <f>INDEX(Tbl_Long_Definition[X],Tbl_Long_Section[[#This Row],[Nline Prev]])</f>
        <v>55</v>
      </c>
      <c r="P118" s="263">
        <f>INDEX(Tbl_Long_Definition[X],Tbl_Long_Section[[#This Row],[Nline Next]])</f>
        <v>60</v>
      </c>
      <c r="Q118" s="160">
        <f>INDEX(Tbl_Long_Definition[H Deck-Bott.],Tbl_Long_Section[[#This Row],[Nline Prev]])</f>
        <v>4</v>
      </c>
      <c r="R118" s="161">
        <f>INDEX(Tbl_Long_Definition[H Deck-Bott.],Tbl_Long_Section[[#This Row],[Nline Next]])</f>
        <v>1.2</v>
      </c>
      <c r="S118"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3.4400000000000004</v>
      </c>
      <c r="T118" s="8"/>
      <c r="V118" s="873" t="e">
        <f t="shared" si="8"/>
        <v>#N/A</v>
      </c>
      <c r="W118" s="885" t="e">
        <f>MATCH(Tbl_Long_Hydro[[#This Row],[Draught]],Tbl_Long_Definition[H k-bott],-1)</f>
        <v>#N/A</v>
      </c>
      <c r="X118"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18" s="886" t="e">
        <f>MATCH(Tbl_Long_Hydro[[#This Row],[Draught]],Tbl_Long_Definition[H k-bott],1)</f>
        <v>#N/A</v>
      </c>
      <c r="Z118"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18" s="888" t="e">
        <f>IF(ISNA(Tbl_Long_Hydro[[#This Row],[Draught]]),NA(),IFERROR(INDEX(Tbl_Long_Definition[X],Tbl_Long_Hydro[[#This Row],[Aft Nline prev]]),0))</f>
        <v>#N/A</v>
      </c>
      <c r="AB118" s="889" t="e">
        <f>IF(ISNA(Tbl_Long_Hydro[[#This Row],[Draught]]),NA(),IFERROR(INDEX(Tbl_Long_Definition[X],Tbl_Long_Hydro[[#This Row],[Aft Nline next]]),0))</f>
        <v>#N/A</v>
      </c>
      <c r="AC118" s="889" t="e">
        <f>IF(ISNA(Tbl_Long_Hydro[[#This Row],[Draught]]),NA(),INDEX(Tbl_Long_Definition[H k-bott],Tbl_Long_Hydro[[#This Row],[Aft Nline prev]]))</f>
        <v>#N/A</v>
      </c>
      <c r="AD118" s="889" t="e">
        <f>IF(ISNA(Tbl_Long_Hydro[[#This Row],[Draught]]),NA(),INDEX(Tbl_Long_Definition[H k-bott],Tbl_Long_Hydro[[#This Row],[Aft Nline next]]))</f>
        <v>#N/A</v>
      </c>
      <c r="AE118" s="888" t="e">
        <f>IF(ISNA(Tbl_Long_Hydro[[#This Row],[Draught]]),NA(),IFERROR(INDEX(Tbl_Long_Definition[X],Tbl_Long_Hydro[[#This Row],[Fore Nline prev]]),0))</f>
        <v>#N/A</v>
      </c>
      <c r="AF118" s="889" t="e">
        <f>IF(ISNA(Tbl_Long_Hydro[[#This Row],[Draught]]),NA(),IFERROR(INDEX(Tbl_Long_Definition[X],Tbl_Long_Hydro[[#This Row],[Fore Nline next]]),0))</f>
        <v>#N/A</v>
      </c>
      <c r="AG118" s="889" t="e">
        <f>IF(ISNA(Tbl_Long_Hydro[[#This Row],[Draught]]),NA(),INDEX(Tbl_Long_Definition[H k-bott],Tbl_Long_Hydro[[#This Row],[Fore Nline prev]]))</f>
        <v>#N/A</v>
      </c>
      <c r="AH118" s="890" t="e">
        <f>IF(ISNA(Tbl_Long_Hydro[[#This Row],[Draught]]),NA(),INDEX(Tbl_Long_Definition[H k-bott],Tbl_Long_Hydro[[#This Row],[Fore Nline next]]))</f>
        <v>#N/A</v>
      </c>
      <c r="AI118"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18"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18" s="894" t="e">
        <f>Tbl_Long_Hydro[[#This Row],[Fore X]]-Tbl_Long_Hydro[[#This Row],[Aft X]]</f>
        <v>#N/A</v>
      </c>
      <c r="AL118" s="884" t="e">
        <f>Tbl_Long_Hydro[[#This Row],[LX]]*B</f>
        <v>#N/A</v>
      </c>
      <c r="AM118" s="892" t="e">
        <f>IF(ISNUMBER(AM117),(AK117+Tbl_Long_Hydro[[#This Row],[LX]])*(Tbl_Long_Hydro[[#This Row],[Draught]]-V117)/2*B,(Tbl_Long_Hydro[[#This Row],[LX]])*Tbl_Long_Hydro[[#This Row],[Draught]]*B)</f>
        <v>#N/A</v>
      </c>
      <c r="AN118" s="899" t="e">
        <f>Tbl_Long_Hydro[[#This Row],[Aft X]]+Tbl_Long_Hydro[[#This Row],[LX]]/2</f>
        <v>#N/A</v>
      </c>
      <c r="AO118" s="876" t="e">
        <f>IF(ISNUMBER(AO117),(2*Tbl_Long_Hydro[[#This Row],[LX]]+AK117)/(Tbl_Long_Hydro[[#This Row],[LX]]+AK117)*(Tbl_Long_Hydro[[#This Row],[Draught]]-V117)/3+V117,Tbl_Long_Hydro[[#This Row],[Draught]]/2)</f>
        <v>#N/A</v>
      </c>
      <c r="AP118" s="898" t="e">
        <f>IF(ISNUMBER(AP117),Tbl_Long_Hydro[[#This Row],[Volume elt]]+AP117,Tbl_Long_Hydro[[#This Row],[Volume elt]]*AO$4)</f>
        <v>#N/A</v>
      </c>
      <c r="AQ118" s="893" t="e">
        <f>IF(ISNUMBER(AQ117),Tbl_Long_Hydro[[#This Row],[Displacement]]*AQ$4,IF(ISNA(AQ117),NA(),0))</f>
        <v>#N/A</v>
      </c>
      <c r="AR118" s="900" t="e">
        <f>IF(ISNA(Tbl_Long_Hydro[[#This Row],[Draught]]),NA(),IFERROR(Tbl_Long_Hydro[[#This Row],[LX]]*B^3/12/Tbl_Long_Hydro[[#This Row],[Displacement]],0))</f>
        <v>#N/A</v>
      </c>
      <c r="AS118" s="903" t="e">
        <f>IF(ISNA(Tbl_Long_Hydro[[#This Row],[Draught]]),NA(),IFERROR((B*Tbl_Long_Hydro[[#This Row],[LX]]^3/12+(Tbl_Long_Hydro[[#This Row],[LCF]]-Tbl_Long_Hydro[[#This Row],[LCB]])*Tbl_Long_Hydro[[#This Row],[Waterplane area]]*Tbl_Long_Hydro[[#This Row],[LCF]]^2)/Tbl_Long_Hydro[[#This Row],[Displacement]],0))</f>
        <v>#N/A</v>
      </c>
      <c r="AT118" s="900" t="e">
        <f>Tbl_Long_Hydro[[#This Row],[Aft X]]+Tbl_Long_Hydro[[#This Row],[LX]]/2</f>
        <v>#N/A</v>
      </c>
      <c r="AU118" s="901" t="e">
        <f>IF(ISNUMBER(AU117),(AU117*AP117+Tbl_Long_Hydro[[#This Row],[X CoG elt]]*Tbl_Long_Hydro[[#This Row],[Volume elt]])/Tbl_Long_Hydro[[#This Row],[Displacement]],Tbl_Long_Hydro[[#This Row],[X CoG elt]])</f>
        <v>#N/A</v>
      </c>
      <c r="AV118" s="902" t="e">
        <f>IF(ISNA(Tbl_Long_Hydro[[#This Row],[Draught]]),NA(),0)</f>
        <v>#N/A</v>
      </c>
      <c r="AW118" s="876" t="e">
        <f>IF(ISNUMBER(AW117),(AW117*AP117+Tbl_Long_Hydro[[#This Row],[Z CoG elt]]*Tbl_Long_Hydro[[#This Row],[Volume elt]])/Tbl_Long_Hydro[[#This Row],[Displacement]],Tbl_Long_Hydro[[#This Row],[Z CoG elt]])</f>
        <v>#N/A</v>
      </c>
      <c r="AX118" s="899" t="e">
        <f>Tbl_Long_Hydro[[#This Row],[RMT]]+Tbl_Long_Hydro[[#This Row],[VCB]]</f>
        <v>#N/A</v>
      </c>
      <c r="AY118" s="904" t="e">
        <f>Tbl_Long_Hydro[[#This Row],[Displacement]]*Tbl_Long_Hydro[[#This Row],[RML]]/(100*Lpp)</f>
        <v>#N/A</v>
      </c>
      <c r="AZ118" s="956" t="e">
        <f>Tbl_Long_Hydro[[#This Row],[Draught]]</f>
        <v>#N/A</v>
      </c>
      <c r="BA118" s="959" t="e">
        <f>Tbl_Long_Hydro[[#This Row],[Displacement]]</f>
        <v>#N/A</v>
      </c>
      <c r="BB118" s="960" t="e">
        <f>Tbl_Long_Hydro[[#This Row],[Displac. SW]]</f>
        <v>#N/A</v>
      </c>
      <c r="BC118" s="964" t="e">
        <f>Tbl_Long_Hydro[[#This Row],[Waterplane area]]/100*$AQ$4</f>
        <v>#N/A</v>
      </c>
      <c r="BD118" s="961" t="e">
        <f>Tbl_Long_Hydro[[#This Row],[MCT]]</f>
        <v>#N/A</v>
      </c>
      <c r="BE118" s="962" t="e">
        <f>Tbl_Long_Hydro[[#This Row],[LCB]]</f>
        <v>#N/A</v>
      </c>
      <c r="BF118" s="962" t="e">
        <f>Tbl_Long_Hydro[[#This Row],[TCB]]</f>
        <v>#N/A</v>
      </c>
      <c r="BG118" s="962" t="e">
        <f>Tbl_Long_Hydro[[#This Row],[LCF]]</f>
        <v>#N/A</v>
      </c>
      <c r="BH118" s="963" t="e">
        <f>Tbl_Long_Hydro[[#This Row],[KMT]]</f>
        <v>#N/A</v>
      </c>
    </row>
    <row r="119" spans="11:60" x14ac:dyDescent="0.25">
      <c r="K119" s="156">
        <f t="shared" si="5"/>
        <v>113</v>
      </c>
      <c r="L119" s="164">
        <f t="shared" si="6"/>
        <v>56.5</v>
      </c>
      <c r="M119" s="262">
        <f>MATCH(Tbl_Long_Section[[#This Row],[X]],Tbl_Long_Definition[X],1)</f>
        <v>3</v>
      </c>
      <c r="N119" s="262">
        <f>IF(Tbl_Long_Section[[#This Row],[Nline Prev]]&lt;COUNT(Tbl_Long_Definition[X]),Tbl_Long_Section[[#This Row],[Nline Prev]]+1,Tbl_Long_Section[[#This Row],[Nline Prev]])</f>
        <v>4</v>
      </c>
      <c r="O119" s="162">
        <f>INDEX(Tbl_Long_Definition[X],Tbl_Long_Section[[#This Row],[Nline Prev]])</f>
        <v>55</v>
      </c>
      <c r="P119" s="263">
        <f>INDEX(Tbl_Long_Definition[X],Tbl_Long_Section[[#This Row],[Nline Next]])</f>
        <v>60</v>
      </c>
      <c r="Q119" s="160">
        <f>INDEX(Tbl_Long_Definition[H Deck-Bott.],Tbl_Long_Section[[#This Row],[Nline Prev]])</f>
        <v>4</v>
      </c>
      <c r="R119" s="161">
        <f>INDEX(Tbl_Long_Definition[H Deck-Bott.],Tbl_Long_Section[[#This Row],[Nline Next]])</f>
        <v>1.2</v>
      </c>
      <c r="S119"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3.1599999999999997</v>
      </c>
      <c r="T119" s="8"/>
      <c r="V119" s="873" t="e">
        <f t="shared" si="8"/>
        <v>#N/A</v>
      </c>
      <c r="W119" s="885" t="e">
        <f>MATCH(Tbl_Long_Hydro[[#This Row],[Draught]],Tbl_Long_Definition[H k-bott],-1)</f>
        <v>#N/A</v>
      </c>
      <c r="X119"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19" s="886" t="e">
        <f>MATCH(Tbl_Long_Hydro[[#This Row],[Draught]],Tbl_Long_Definition[H k-bott],1)</f>
        <v>#N/A</v>
      </c>
      <c r="Z119"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19" s="888" t="e">
        <f>IF(ISNA(Tbl_Long_Hydro[[#This Row],[Draught]]),NA(),IFERROR(INDEX(Tbl_Long_Definition[X],Tbl_Long_Hydro[[#This Row],[Aft Nline prev]]),0))</f>
        <v>#N/A</v>
      </c>
      <c r="AB119" s="889" t="e">
        <f>IF(ISNA(Tbl_Long_Hydro[[#This Row],[Draught]]),NA(),IFERROR(INDEX(Tbl_Long_Definition[X],Tbl_Long_Hydro[[#This Row],[Aft Nline next]]),0))</f>
        <v>#N/A</v>
      </c>
      <c r="AC119" s="889" t="e">
        <f>IF(ISNA(Tbl_Long_Hydro[[#This Row],[Draught]]),NA(),INDEX(Tbl_Long_Definition[H k-bott],Tbl_Long_Hydro[[#This Row],[Aft Nline prev]]))</f>
        <v>#N/A</v>
      </c>
      <c r="AD119" s="889" t="e">
        <f>IF(ISNA(Tbl_Long_Hydro[[#This Row],[Draught]]),NA(),INDEX(Tbl_Long_Definition[H k-bott],Tbl_Long_Hydro[[#This Row],[Aft Nline next]]))</f>
        <v>#N/A</v>
      </c>
      <c r="AE119" s="888" t="e">
        <f>IF(ISNA(Tbl_Long_Hydro[[#This Row],[Draught]]),NA(),IFERROR(INDEX(Tbl_Long_Definition[X],Tbl_Long_Hydro[[#This Row],[Fore Nline prev]]),0))</f>
        <v>#N/A</v>
      </c>
      <c r="AF119" s="889" t="e">
        <f>IF(ISNA(Tbl_Long_Hydro[[#This Row],[Draught]]),NA(),IFERROR(INDEX(Tbl_Long_Definition[X],Tbl_Long_Hydro[[#This Row],[Fore Nline next]]),0))</f>
        <v>#N/A</v>
      </c>
      <c r="AG119" s="889" t="e">
        <f>IF(ISNA(Tbl_Long_Hydro[[#This Row],[Draught]]),NA(),INDEX(Tbl_Long_Definition[H k-bott],Tbl_Long_Hydro[[#This Row],[Fore Nline prev]]))</f>
        <v>#N/A</v>
      </c>
      <c r="AH119" s="890" t="e">
        <f>IF(ISNA(Tbl_Long_Hydro[[#This Row],[Draught]]),NA(),INDEX(Tbl_Long_Definition[H k-bott],Tbl_Long_Hydro[[#This Row],[Fore Nline next]]))</f>
        <v>#N/A</v>
      </c>
      <c r="AI119"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19"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19" s="894" t="e">
        <f>Tbl_Long_Hydro[[#This Row],[Fore X]]-Tbl_Long_Hydro[[#This Row],[Aft X]]</f>
        <v>#N/A</v>
      </c>
      <c r="AL119" s="884" t="e">
        <f>Tbl_Long_Hydro[[#This Row],[LX]]*B</f>
        <v>#N/A</v>
      </c>
      <c r="AM119" s="892" t="e">
        <f>IF(ISNUMBER(AM118),(AK118+Tbl_Long_Hydro[[#This Row],[LX]])*(Tbl_Long_Hydro[[#This Row],[Draught]]-V118)/2*B,(Tbl_Long_Hydro[[#This Row],[LX]])*Tbl_Long_Hydro[[#This Row],[Draught]]*B)</f>
        <v>#N/A</v>
      </c>
      <c r="AN119" s="899" t="e">
        <f>Tbl_Long_Hydro[[#This Row],[Aft X]]+Tbl_Long_Hydro[[#This Row],[LX]]/2</f>
        <v>#N/A</v>
      </c>
      <c r="AO119" s="876" t="e">
        <f>IF(ISNUMBER(AO118),(2*Tbl_Long_Hydro[[#This Row],[LX]]+AK118)/(Tbl_Long_Hydro[[#This Row],[LX]]+AK118)*(Tbl_Long_Hydro[[#This Row],[Draught]]-V118)/3+V118,Tbl_Long_Hydro[[#This Row],[Draught]]/2)</f>
        <v>#N/A</v>
      </c>
      <c r="AP119" s="898" t="e">
        <f>IF(ISNUMBER(AP118),Tbl_Long_Hydro[[#This Row],[Volume elt]]+AP118,Tbl_Long_Hydro[[#This Row],[Volume elt]]*AO$4)</f>
        <v>#N/A</v>
      </c>
      <c r="AQ119" s="893" t="e">
        <f>IF(ISNUMBER(AQ118),Tbl_Long_Hydro[[#This Row],[Displacement]]*AQ$4,IF(ISNA(AQ118),NA(),0))</f>
        <v>#N/A</v>
      </c>
      <c r="AR119" s="900" t="e">
        <f>IF(ISNA(Tbl_Long_Hydro[[#This Row],[Draught]]),NA(),IFERROR(Tbl_Long_Hydro[[#This Row],[LX]]*B^3/12/Tbl_Long_Hydro[[#This Row],[Displacement]],0))</f>
        <v>#N/A</v>
      </c>
      <c r="AS119" s="903" t="e">
        <f>IF(ISNA(Tbl_Long_Hydro[[#This Row],[Draught]]),NA(),IFERROR((B*Tbl_Long_Hydro[[#This Row],[LX]]^3/12+(Tbl_Long_Hydro[[#This Row],[LCF]]-Tbl_Long_Hydro[[#This Row],[LCB]])*Tbl_Long_Hydro[[#This Row],[Waterplane area]]*Tbl_Long_Hydro[[#This Row],[LCF]]^2)/Tbl_Long_Hydro[[#This Row],[Displacement]],0))</f>
        <v>#N/A</v>
      </c>
      <c r="AT119" s="900" t="e">
        <f>Tbl_Long_Hydro[[#This Row],[Aft X]]+Tbl_Long_Hydro[[#This Row],[LX]]/2</f>
        <v>#N/A</v>
      </c>
      <c r="AU119" s="901" t="e">
        <f>IF(ISNUMBER(AU118),(AU118*AP118+Tbl_Long_Hydro[[#This Row],[X CoG elt]]*Tbl_Long_Hydro[[#This Row],[Volume elt]])/Tbl_Long_Hydro[[#This Row],[Displacement]],Tbl_Long_Hydro[[#This Row],[X CoG elt]])</f>
        <v>#N/A</v>
      </c>
      <c r="AV119" s="902" t="e">
        <f>IF(ISNA(Tbl_Long_Hydro[[#This Row],[Draught]]),NA(),0)</f>
        <v>#N/A</v>
      </c>
      <c r="AW119" s="876" t="e">
        <f>IF(ISNUMBER(AW118),(AW118*AP118+Tbl_Long_Hydro[[#This Row],[Z CoG elt]]*Tbl_Long_Hydro[[#This Row],[Volume elt]])/Tbl_Long_Hydro[[#This Row],[Displacement]],Tbl_Long_Hydro[[#This Row],[Z CoG elt]])</f>
        <v>#N/A</v>
      </c>
      <c r="AX119" s="899" t="e">
        <f>Tbl_Long_Hydro[[#This Row],[RMT]]+Tbl_Long_Hydro[[#This Row],[VCB]]</f>
        <v>#N/A</v>
      </c>
      <c r="AY119" s="904" t="e">
        <f>Tbl_Long_Hydro[[#This Row],[Displacement]]*Tbl_Long_Hydro[[#This Row],[RML]]/(100*Lpp)</f>
        <v>#N/A</v>
      </c>
      <c r="AZ119" s="956" t="e">
        <f>Tbl_Long_Hydro[[#This Row],[Draught]]</f>
        <v>#N/A</v>
      </c>
      <c r="BA119" s="959" t="e">
        <f>Tbl_Long_Hydro[[#This Row],[Displacement]]</f>
        <v>#N/A</v>
      </c>
      <c r="BB119" s="960" t="e">
        <f>Tbl_Long_Hydro[[#This Row],[Displac. SW]]</f>
        <v>#N/A</v>
      </c>
      <c r="BC119" s="964" t="e">
        <f>Tbl_Long_Hydro[[#This Row],[Waterplane area]]/100*$AQ$4</f>
        <v>#N/A</v>
      </c>
      <c r="BD119" s="961" t="e">
        <f>Tbl_Long_Hydro[[#This Row],[MCT]]</f>
        <v>#N/A</v>
      </c>
      <c r="BE119" s="962" t="e">
        <f>Tbl_Long_Hydro[[#This Row],[LCB]]</f>
        <v>#N/A</v>
      </c>
      <c r="BF119" s="962" t="e">
        <f>Tbl_Long_Hydro[[#This Row],[TCB]]</f>
        <v>#N/A</v>
      </c>
      <c r="BG119" s="962" t="e">
        <f>Tbl_Long_Hydro[[#This Row],[LCF]]</f>
        <v>#N/A</v>
      </c>
      <c r="BH119" s="963" t="e">
        <f>Tbl_Long_Hydro[[#This Row],[KMT]]</f>
        <v>#N/A</v>
      </c>
    </row>
    <row r="120" spans="11:60" x14ac:dyDescent="0.25">
      <c r="K120" s="156">
        <f t="shared" si="5"/>
        <v>114</v>
      </c>
      <c r="L120" s="164">
        <f t="shared" si="6"/>
        <v>57</v>
      </c>
      <c r="M120" s="262">
        <f>MATCH(Tbl_Long_Section[[#This Row],[X]],Tbl_Long_Definition[X],1)</f>
        <v>3</v>
      </c>
      <c r="N120" s="262">
        <f>IF(Tbl_Long_Section[[#This Row],[Nline Prev]]&lt;COUNT(Tbl_Long_Definition[X]),Tbl_Long_Section[[#This Row],[Nline Prev]]+1,Tbl_Long_Section[[#This Row],[Nline Prev]])</f>
        <v>4</v>
      </c>
      <c r="O120" s="162">
        <f>INDEX(Tbl_Long_Definition[X],Tbl_Long_Section[[#This Row],[Nline Prev]])</f>
        <v>55</v>
      </c>
      <c r="P120" s="263">
        <f>INDEX(Tbl_Long_Definition[X],Tbl_Long_Section[[#This Row],[Nline Next]])</f>
        <v>60</v>
      </c>
      <c r="Q120" s="160">
        <f>INDEX(Tbl_Long_Definition[H Deck-Bott.],Tbl_Long_Section[[#This Row],[Nline Prev]])</f>
        <v>4</v>
      </c>
      <c r="R120" s="161">
        <f>INDEX(Tbl_Long_Definition[H Deck-Bott.],Tbl_Long_Section[[#This Row],[Nline Next]])</f>
        <v>1.2</v>
      </c>
      <c r="S120"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2.88</v>
      </c>
      <c r="T120" s="8"/>
      <c r="V120" s="873" t="e">
        <f t="shared" si="8"/>
        <v>#N/A</v>
      </c>
      <c r="W120" s="885" t="e">
        <f>MATCH(Tbl_Long_Hydro[[#This Row],[Draught]],Tbl_Long_Definition[H k-bott],-1)</f>
        <v>#N/A</v>
      </c>
      <c r="X120"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20" s="886" t="e">
        <f>MATCH(Tbl_Long_Hydro[[#This Row],[Draught]],Tbl_Long_Definition[H k-bott],1)</f>
        <v>#N/A</v>
      </c>
      <c r="Z120"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20" s="888" t="e">
        <f>IF(ISNA(Tbl_Long_Hydro[[#This Row],[Draught]]),NA(),IFERROR(INDEX(Tbl_Long_Definition[X],Tbl_Long_Hydro[[#This Row],[Aft Nline prev]]),0))</f>
        <v>#N/A</v>
      </c>
      <c r="AB120" s="889" t="e">
        <f>IF(ISNA(Tbl_Long_Hydro[[#This Row],[Draught]]),NA(),IFERROR(INDEX(Tbl_Long_Definition[X],Tbl_Long_Hydro[[#This Row],[Aft Nline next]]),0))</f>
        <v>#N/A</v>
      </c>
      <c r="AC120" s="889" t="e">
        <f>IF(ISNA(Tbl_Long_Hydro[[#This Row],[Draught]]),NA(),INDEX(Tbl_Long_Definition[H k-bott],Tbl_Long_Hydro[[#This Row],[Aft Nline prev]]))</f>
        <v>#N/A</v>
      </c>
      <c r="AD120" s="889" t="e">
        <f>IF(ISNA(Tbl_Long_Hydro[[#This Row],[Draught]]),NA(),INDEX(Tbl_Long_Definition[H k-bott],Tbl_Long_Hydro[[#This Row],[Aft Nline next]]))</f>
        <v>#N/A</v>
      </c>
      <c r="AE120" s="888" t="e">
        <f>IF(ISNA(Tbl_Long_Hydro[[#This Row],[Draught]]),NA(),IFERROR(INDEX(Tbl_Long_Definition[X],Tbl_Long_Hydro[[#This Row],[Fore Nline prev]]),0))</f>
        <v>#N/A</v>
      </c>
      <c r="AF120" s="889" t="e">
        <f>IF(ISNA(Tbl_Long_Hydro[[#This Row],[Draught]]),NA(),IFERROR(INDEX(Tbl_Long_Definition[X],Tbl_Long_Hydro[[#This Row],[Fore Nline next]]),0))</f>
        <v>#N/A</v>
      </c>
      <c r="AG120" s="889" t="e">
        <f>IF(ISNA(Tbl_Long_Hydro[[#This Row],[Draught]]),NA(),INDEX(Tbl_Long_Definition[H k-bott],Tbl_Long_Hydro[[#This Row],[Fore Nline prev]]))</f>
        <v>#N/A</v>
      </c>
      <c r="AH120" s="890" t="e">
        <f>IF(ISNA(Tbl_Long_Hydro[[#This Row],[Draught]]),NA(),INDEX(Tbl_Long_Definition[H k-bott],Tbl_Long_Hydro[[#This Row],[Fore Nline next]]))</f>
        <v>#N/A</v>
      </c>
      <c r="AI120"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20"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20" s="894" t="e">
        <f>Tbl_Long_Hydro[[#This Row],[Fore X]]-Tbl_Long_Hydro[[#This Row],[Aft X]]</f>
        <v>#N/A</v>
      </c>
      <c r="AL120" s="884" t="e">
        <f>Tbl_Long_Hydro[[#This Row],[LX]]*B</f>
        <v>#N/A</v>
      </c>
      <c r="AM120" s="892" t="e">
        <f>IF(ISNUMBER(AM119),(AK119+Tbl_Long_Hydro[[#This Row],[LX]])*(Tbl_Long_Hydro[[#This Row],[Draught]]-V119)/2*B,(Tbl_Long_Hydro[[#This Row],[LX]])*Tbl_Long_Hydro[[#This Row],[Draught]]*B)</f>
        <v>#N/A</v>
      </c>
      <c r="AN120" s="899" t="e">
        <f>Tbl_Long_Hydro[[#This Row],[Aft X]]+Tbl_Long_Hydro[[#This Row],[LX]]/2</f>
        <v>#N/A</v>
      </c>
      <c r="AO120" s="876" t="e">
        <f>IF(ISNUMBER(AO119),(2*Tbl_Long_Hydro[[#This Row],[LX]]+AK119)/(Tbl_Long_Hydro[[#This Row],[LX]]+AK119)*(Tbl_Long_Hydro[[#This Row],[Draught]]-V119)/3+V119,Tbl_Long_Hydro[[#This Row],[Draught]]/2)</f>
        <v>#N/A</v>
      </c>
      <c r="AP120" s="898" t="e">
        <f>IF(ISNUMBER(AP119),Tbl_Long_Hydro[[#This Row],[Volume elt]]+AP119,Tbl_Long_Hydro[[#This Row],[Volume elt]]*AO$4)</f>
        <v>#N/A</v>
      </c>
      <c r="AQ120" s="893" t="e">
        <f>IF(ISNUMBER(AQ119),Tbl_Long_Hydro[[#This Row],[Displacement]]*AQ$4,IF(ISNA(AQ119),NA(),0))</f>
        <v>#N/A</v>
      </c>
      <c r="AR120" s="900" t="e">
        <f>IF(ISNA(Tbl_Long_Hydro[[#This Row],[Draught]]),NA(),IFERROR(Tbl_Long_Hydro[[#This Row],[LX]]*B^3/12/Tbl_Long_Hydro[[#This Row],[Displacement]],0))</f>
        <v>#N/A</v>
      </c>
      <c r="AS120" s="903" t="e">
        <f>IF(ISNA(Tbl_Long_Hydro[[#This Row],[Draught]]),NA(),IFERROR((B*Tbl_Long_Hydro[[#This Row],[LX]]^3/12+(Tbl_Long_Hydro[[#This Row],[LCF]]-Tbl_Long_Hydro[[#This Row],[LCB]])*Tbl_Long_Hydro[[#This Row],[Waterplane area]]*Tbl_Long_Hydro[[#This Row],[LCF]]^2)/Tbl_Long_Hydro[[#This Row],[Displacement]],0))</f>
        <v>#N/A</v>
      </c>
      <c r="AT120" s="900" t="e">
        <f>Tbl_Long_Hydro[[#This Row],[Aft X]]+Tbl_Long_Hydro[[#This Row],[LX]]/2</f>
        <v>#N/A</v>
      </c>
      <c r="AU120" s="901" t="e">
        <f>IF(ISNUMBER(AU119),(AU119*AP119+Tbl_Long_Hydro[[#This Row],[X CoG elt]]*Tbl_Long_Hydro[[#This Row],[Volume elt]])/Tbl_Long_Hydro[[#This Row],[Displacement]],Tbl_Long_Hydro[[#This Row],[X CoG elt]])</f>
        <v>#N/A</v>
      </c>
      <c r="AV120" s="902" t="e">
        <f>IF(ISNA(Tbl_Long_Hydro[[#This Row],[Draught]]),NA(),0)</f>
        <v>#N/A</v>
      </c>
      <c r="AW120" s="876" t="e">
        <f>IF(ISNUMBER(AW119),(AW119*AP119+Tbl_Long_Hydro[[#This Row],[Z CoG elt]]*Tbl_Long_Hydro[[#This Row],[Volume elt]])/Tbl_Long_Hydro[[#This Row],[Displacement]],Tbl_Long_Hydro[[#This Row],[Z CoG elt]])</f>
        <v>#N/A</v>
      </c>
      <c r="AX120" s="899" t="e">
        <f>Tbl_Long_Hydro[[#This Row],[RMT]]+Tbl_Long_Hydro[[#This Row],[VCB]]</f>
        <v>#N/A</v>
      </c>
      <c r="AY120" s="904" t="e">
        <f>Tbl_Long_Hydro[[#This Row],[Displacement]]*Tbl_Long_Hydro[[#This Row],[RML]]/(100*Lpp)</f>
        <v>#N/A</v>
      </c>
      <c r="AZ120" s="956" t="e">
        <f>Tbl_Long_Hydro[[#This Row],[Draught]]</f>
        <v>#N/A</v>
      </c>
      <c r="BA120" s="959" t="e">
        <f>Tbl_Long_Hydro[[#This Row],[Displacement]]</f>
        <v>#N/A</v>
      </c>
      <c r="BB120" s="960" t="e">
        <f>Tbl_Long_Hydro[[#This Row],[Displac. SW]]</f>
        <v>#N/A</v>
      </c>
      <c r="BC120" s="964" t="e">
        <f>Tbl_Long_Hydro[[#This Row],[Waterplane area]]/100*$AQ$4</f>
        <v>#N/A</v>
      </c>
      <c r="BD120" s="961" t="e">
        <f>Tbl_Long_Hydro[[#This Row],[MCT]]</f>
        <v>#N/A</v>
      </c>
      <c r="BE120" s="962" t="e">
        <f>Tbl_Long_Hydro[[#This Row],[LCB]]</f>
        <v>#N/A</v>
      </c>
      <c r="BF120" s="962" t="e">
        <f>Tbl_Long_Hydro[[#This Row],[TCB]]</f>
        <v>#N/A</v>
      </c>
      <c r="BG120" s="962" t="e">
        <f>Tbl_Long_Hydro[[#This Row],[LCF]]</f>
        <v>#N/A</v>
      </c>
      <c r="BH120" s="963" t="e">
        <f>Tbl_Long_Hydro[[#This Row],[KMT]]</f>
        <v>#N/A</v>
      </c>
    </row>
    <row r="121" spans="11:60" x14ac:dyDescent="0.25">
      <c r="K121" s="156">
        <f t="shared" si="5"/>
        <v>115</v>
      </c>
      <c r="L121" s="164">
        <f t="shared" si="6"/>
        <v>57.5</v>
      </c>
      <c r="M121" s="262">
        <f>MATCH(Tbl_Long_Section[[#This Row],[X]],Tbl_Long_Definition[X],1)</f>
        <v>3</v>
      </c>
      <c r="N121" s="262">
        <f>IF(Tbl_Long_Section[[#This Row],[Nline Prev]]&lt;COUNT(Tbl_Long_Definition[X]),Tbl_Long_Section[[#This Row],[Nline Prev]]+1,Tbl_Long_Section[[#This Row],[Nline Prev]])</f>
        <v>4</v>
      </c>
      <c r="O121" s="162">
        <f>INDEX(Tbl_Long_Definition[X],Tbl_Long_Section[[#This Row],[Nline Prev]])</f>
        <v>55</v>
      </c>
      <c r="P121" s="263">
        <f>INDEX(Tbl_Long_Definition[X],Tbl_Long_Section[[#This Row],[Nline Next]])</f>
        <v>60</v>
      </c>
      <c r="Q121" s="160">
        <f>INDEX(Tbl_Long_Definition[H Deck-Bott.],Tbl_Long_Section[[#This Row],[Nline Prev]])</f>
        <v>4</v>
      </c>
      <c r="R121" s="161">
        <f>INDEX(Tbl_Long_Definition[H Deck-Bott.],Tbl_Long_Section[[#This Row],[Nline Next]])</f>
        <v>1.2</v>
      </c>
      <c r="S121"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2.6</v>
      </c>
      <c r="T121" s="8"/>
      <c r="V121" s="873" t="e">
        <f t="shared" si="8"/>
        <v>#N/A</v>
      </c>
      <c r="W121" s="885" t="e">
        <f>MATCH(Tbl_Long_Hydro[[#This Row],[Draught]],Tbl_Long_Definition[H k-bott],-1)</f>
        <v>#N/A</v>
      </c>
      <c r="X121"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21" s="886" t="e">
        <f>MATCH(Tbl_Long_Hydro[[#This Row],[Draught]],Tbl_Long_Definition[H k-bott],1)</f>
        <v>#N/A</v>
      </c>
      <c r="Z121"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21" s="888" t="e">
        <f>IF(ISNA(Tbl_Long_Hydro[[#This Row],[Draught]]),NA(),IFERROR(INDEX(Tbl_Long_Definition[X],Tbl_Long_Hydro[[#This Row],[Aft Nline prev]]),0))</f>
        <v>#N/A</v>
      </c>
      <c r="AB121" s="889" t="e">
        <f>IF(ISNA(Tbl_Long_Hydro[[#This Row],[Draught]]),NA(),IFERROR(INDEX(Tbl_Long_Definition[X],Tbl_Long_Hydro[[#This Row],[Aft Nline next]]),0))</f>
        <v>#N/A</v>
      </c>
      <c r="AC121" s="889" t="e">
        <f>IF(ISNA(Tbl_Long_Hydro[[#This Row],[Draught]]),NA(),INDEX(Tbl_Long_Definition[H k-bott],Tbl_Long_Hydro[[#This Row],[Aft Nline prev]]))</f>
        <v>#N/A</v>
      </c>
      <c r="AD121" s="889" t="e">
        <f>IF(ISNA(Tbl_Long_Hydro[[#This Row],[Draught]]),NA(),INDEX(Tbl_Long_Definition[H k-bott],Tbl_Long_Hydro[[#This Row],[Aft Nline next]]))</f>
        <v>#N/A</v>
      </c>
      <c r="AE121" s="888" t="e">
        <f>IF(ISNA(Tbl_Long_Hydro[[#This Row],[Draught]]),NA(),IFERROR(INDEX(Tbl_Long_Definition[X],Tbl_Long_Hydro[[#This Row],[Fore Nline prev]]),0))</f>
        <v>#N/A</v>
      </c>
      <c r="AF121" s="889" t="e">
        <f>IF(ISNA(Tbl_Long_Hydro[[#This Row],[Draught]]),NA(),IFERROR(INDEX(Tbl_Long_Definition[X],Tbl_Long_Hydro[[#This Row],[Fore Nline next]]),0))</f>
        <v>#N/A</v>
      </c>
      <c r="AG121" s="889" t="e">
        <f>IF(ISNA(Tbl_Long_Hydro[[#This Row],[Draught]]),NA(),INDEX(Tbl_Long_Definition[H k-bott],Tbl_Long_Hydro[[#This Row],[Fore Nline prev]]))</f>
        <v>#N/A</v>
      </c>
      <c r="AH121" s="890" t="e">
        <f>IF(ISNA(Tbl_Long_Hydro[[#This Row],[Draught]]),NA(),INDEX(Tbl_Long_Definition[H k-bott],Tbl_Long_Hydro[[#This Row],[Fore Nline next]]))</f>
        <v>#N/A</v>
      </c>
      <c r="AI121"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21"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21" s="894" t="e">
        <f>Tbl_Long_Hydro[[#This Row],[Fore X]]-Tbl_Long_Hydro[[#This Row],[Aft X]]</f>
        <v>#N/A</v>
      </c>
      <c r="AL121" s="884" t="e">
        <f>Tbl_Long_Hydro[[#This Row],[LX]]*B</f>
        <v>#N/A</v>
      </c>
      <c r="AM121" s="892" t="e">
        <f>IF(ISNUMBER(AM120),(AK120+Tbl_Long_Hydro[[#This Row],[LX]])*(Tbl_Long_Hydro[[#This Row],[Draught]]-V120)/2*B,(Tbl_Long_Hydro[[#This Row],[LX]])*Tbl_Long_Hydro[[#This Row],[Draught]]*B)</f>
        <v>#N/A</v>
      </c>
      <c r="AN121" s="899" t="e">
        <f>Tbl_Long_Hydro[[#This Row],[Aft X]]+Tbl_Long_Hydro[[#This Row],[LX]]/2</f>
        <v>#N/A</v>
      </c>
      <c r="AO121" s="876" t="e">
        <f>IF(ISNUMBER(AO120),(2*Tbl_Long_Hydro[[#This Row],[LX]]+AK120)/(Tbl_Long_Hydro[[#This Row],[LX]]+AK120)*(Tbl_Long_Hydro[[#This Row],[Draught]]-V120)/3+V120,Tbl_Long_Hydro[[#This Row],[Draught]]/2)</f>
        <v>#N/A</v>
      </c>
      <c r="AP121" s="898" t="e">
        <f>IF(ISNUMBER(AP120),Tbl_Long_Hydro[[#This Row],[Volume elt]]+AP120,Tbl_Long_Hydro[[#This Row],[Volume elt]]*AO$4)</f>
        <v>#N/A</v>
      </c>
      <c r="AQ121" s="893" t="e">
        <f>IF(ISNUMBER(AQ120),Tbl_Long_Hydro[[#This Row],[Displacement]]*AQ$4,IF(ISNA(AQ120),NA(),0))</f>
        <v>#N/A</v>
      </c>
      <c r="AR121" s="900" t="e">
        <f>IF(ISNA(Tbl_Long_Hydro[[#This Row],[Draught]]),NA(),IFERROR(Tbl_Long_Hydro[[#This Row],[LX]]*B^3/12/Tbl_Long_Hydro[[#This Row],[Displacement]],0))</f>
        <v>#N/A</v>
      </c>
      <c r="AS121" s="903" t="e">
        <f>IF(ISNA(Tbl_Long_Hydro[[#This Row],[Draught]]),NA(),IFERROR((B*Tbl_Long_Hydro[[#This Row],[LX]]^3/12+(Tbl_Long_Hydro[[#This Row],[LCF]]-Tbl_Long_Hydro[[#This Row],[LCB]])*Tbl_Long_Hydro[[#This Row],[Waterplane area]]*Tbl_Long_Hydro[[#This Row],[LCF]]^2)/Tbl_Long_Hydro[[#This Row],[Displacement]],0))</f>
        <v>#N/A</v>
      </c>
      <c r="AT121" s="900" t="e">
        <f>Tbl_Long_Hydro[[#This Row],[Aft X]]+Tbl_Long_Hydro[[#This Row],[LX]]/2</f>
        <v>#N/A</v>
      </c>
      <c r="AU121" s="901" t="e">
        <f>IF(ISNUMBER(AU120),(AU120*AP120+Tbl_Long_Hydro[[#This Row],[X CoG elt]]*Tbl_Long_Hydro[[#This Row],[Volume elt]])/Tbl_Long_Hydro[[#This Row],[Displacement]],Tbl_Long_Hydro[[#This Row],[X CoG elt]])</f>
        <v>#N/A</v>
      </c>
      <c r="AV121" s="902" t="e">
        <f>IF(ISNA(Tbl_Long_Hydro[[#This Row],[Draught]]),NA(),0)</f>
        <v>#N/A</v>
      </c>
      <c r="AW121" s="876" t="e">
        <f>IF(ISNUMBER(AW120),(AW120*AP120+Tbl_Long_Hydro[[#This Row],[Z CoG elt]]*Tbl_Long_Hydro[[#This Row],[Volume elt]])/Tbl_Long_Hydro[[#This Row],[Displacement]],Tbl_Long_Hydro[[#This Row],[Z CoG elt]])</f>
        <v>#N/A</v>
      </c>
      <c r="AX121" s="899" t="e">
        <f>Tbl_Long_Hydro[[#This Row],[RMT]]+Tbl_Long_Hydro[[#This Row],[VCB]]</f>
        <v>#N/A</v>
      </c>
      <c r="AY121" s="904" t="e">
        <f>Tbl_Long_Hydro[[#This Row],[Displacement]]*Tbl_Long_Hydro[[#This Row],[RML]]/(100*Lpp)</f>
        <v>#N/A</v>
      </c>
      <c r="AZ121" s="956" t="e">
        <f>Tbl_Long_Hydro[[#This Row],[Draught]]</f>
        <v>#N/A</v>
      </c>
      <c r="BA121" s="959" t="e">
        <f>Tbl_Long_Hydro[[#This Row],[Displacement]]</f>
        <v>#N/A</v>
      </c>
      <c r="BB121" s="960" t="e">
        <f>Tbl_Long_Hydro[[#This Row],[Displac. SW]]</f>
        <v>#N/A</v>
      </c>
      <c r="BC121" s="964" t="e">
        <f>Tbl_Long_Hydro[[#This Row],[Waterplane area]]/100*$AQ$4</f>
        <v>#N/A</v>
      </c>
      <c r="BD121" s="961" t="e">
        <f>Tbl_Long_Hydro[[#This Row],[MCT]]</f>
        <v>#N/A</v>
      </c>
      <c r="BE121" s="962" t="e">
        <f>Tbl_Long_Hydro[[#This Row],[LCB]]</f>
        <v>#N/A</v>
      </c>
      <c r="BF121" s="962" t="e">
        <f>Tbl_Long_Hydro[[#This Row],[TCB]]</f>
        <v>#N/A</v>
      </c>
      <c r="BG121" s="962" t="e">
        <f>Tbl_Long_Hydro[[#This Row],[LCF]]</f>
        <v>#N/A</v>
      </c>
      <c r="BH121" s="963" t="e">
        <f>Tbl_Long_Hydro[[#This Row],[KMT]]</f>
        <v>#N/A</v>
      </c>
    </row>
    <row r="122" spans="11:60" x14ac:dyDescent="0.25">
      <c r="K122" s="156">
        <f t="shared" si="5"/>
        <v>116</v>
      </c>
      <c r="L122" s="164">
        <f t="shared" si="6"/>
        <v>58</v>
      </c>
      <c r="M122" s="262">
        <f>MATCH(Tbl_Long_Section[[#This Row],[X]],Tbl_Long_Definition[X],1)</f>
        <v>3</v>
      </c>
      <c r="N122" s="262">
        <f>IF(Tbl_Long_Section[[#This Row],[Nline Prev]]&lt;COUNT(Tbl_Long_Definition[X]),Tbl_Long_Section[[#This Row],[Nline Prev]]+1,Tbl_Long_Section[[#This Row],[Nline Prev]])</f>
        <v>4</v>
      </c>
      <c r="O122" s="162">
        <f>INDEX(Tbl_Long_Definition[X],Tbl_Long_Section[[#This Row],[Nline Prev]])</f>
        <v>55</v>
      </c>
      <c r="P122" s="263">
        <f>INDEX(Tbl_Long_Definition[X],Tbl_Long_Section[[#This Row],[Nline Next]])</f>
        <v>60</v>
      </c>
      <c r="Q122" s="160">
        <f>INDEX(Tbl_Long_Definition[H Deck-Bott.],Tbl_Long_Section[[#This Row],[Nline Prev]])</f>
        <v>4</v>
      </c>
      <c r="R122" s="161">
        <f>INDEX(Tbl_Long_Definition[H Deck-Bott.],Tbl_Long_Section[[#This Row],[Nline Next]])</f>
        <v>1.2</v>
      </c>
      <c r="S122"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2.3200000000000003</v>
      </c>
      <c r="T122" s="8"/>
      <c r="V122" s="873" t="e">
        <f t="shared" si="8"/>
        <v>#N/A</v>
      </c>
      <c r="W122" s="885" t="e">
        <f>MATCH(Tbl_Long_Hydro[[#This Row],[Draught]],Tbl_Long_Definition[H k-bott],-1)</f>
        <v>#N/A</v>
      </c>
      <c r="X122"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22" s="886" t="e">
        <f>MATCH(Tbl_Long_Hydro[[#This Row],[Draught]],Tbl_Long_Definition[H k-bott],1)</f>
        <v>#N/A</v>
      </c>
      <c r="Z122"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22" s="888" t="e">
        <f>IF(ISNA(Tbl_Long_Hydro[[#This Row],[Draught]]),NA(),IFERROR(INDEX(Tbl_Long_Definition[X],Tbl_Long_Hydro[[#This Row],[Aft Nline prev]]),0))</f>
        <v>#N/A</v>
      </c>
      <c r="AB122" s="889" t="e">
        <f>IF(ISNA(Tbl_Long_Hydro[[#This Row],[Draught]]),NA(),IFERROR(INDEX(Tbl_Long_Definition[X],Tbl_Long_Hydro[[#This Row],[Aft Nline next]]),0))</f>
        <v>#N/A</v>
      </c>
      <c r="AC122" s="889" t="e">
        <f>IF(ISNA(Tbl_Long_Hydro[[#This Row],[Draught]]),NA(),INDEX(Tbl_Long_Definition[H k-bott],Tbl_Long_Hydro[[#This Row],[Aft Nline prev]]))</f>
        <v>#N/A</v>
      </c>
      <c r="AD122" s="889" t="e">
        <f>IF(ISNA(Tbl_Long_Hydro[[#This Row],[Draught]]),NA(),INDEX(Tbl_Long_Definition[H k-bott],Tbl_Long_Hydro[[#This Row],[Aft Nline next]]))</f>
        <v>#N/A</v>
      </c>
      <c r="AE122" s="888" t="e">
        <f>IF(ISNA(Tbl_Long_Hydro[[#This Row],[Draught]]),NA(),IFERROR(INDEX(Tbl_Long_Definition[X],Tbl_Long_Hydro[[#This Row],[Fore Nline prev]]),0))</f>
        <v>#N/A</v>
      </c>
      <c r="AF122" s="889" t="e">
        <f>IF(ISNA(Tbl_Long_Hydro[[#This Row],[Draught]]),NA(),IFERROR(INDEX(Tbl_Long_Definition[X],Tbl_Long_Hydro[[#This Row],[Fore Nline next]]),0))</f>
        <v>#N/A</v>
      </c>
      <c r="AG122" s="889" t="e">
        <f>IF(ISNA(Tbl_Long_Hydro[[#This Row],[Draught]]),NA(),INDEX(Tbl_Long_Definition[H k-bott],Tbl_Long_Hydro[[#This Row],[Fore Nline prev]]))</f>
        <v>#N/A</v>
      </c>
      <c r="AH122" s="890" t="e">
        <f>IF(ISNA(Tbl_Long_Hydro[[#This Row],[Draught]]),NA(),INDEX(Tbl_Long_Definition[H k-bott],Tbl_Long_Hydro[[#This Row],[Fore Nline next]]))</f>
        <v>#N/A</v>
      </c>
      <c r="AI122"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22"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22" s="894" t="e">
        <f>Tbl_Long_Hydro[[#This Row],[Fore X]]-Tbl_Long_Hydro[[#This Row],[Aft X]]</f>
        <v>#N/A</v>
      </c>
      <c r="AL122" s="884" t="e">
        <f>Tbl_Long_Hydro[[#This Row],[LX]]*B</f>
        <v>#N/A</v>
      </c>
      <c r="AM122" s="892" t="e">
        <f>IF(ISNUMBER(AM121),(AK121+Tbl_Long_Hydro[[#This Row],[LX]])*(Tbl_Long_Hydro[[#This Row],[Draught]]-V121)/2*B,(Tbl_Long_Hydro[[#This Row],[LX]])*Tbl_Long_Hydro[[#This Row],[Draught]]*B)</f>
        <v>#N/A</v>
      </c>
      <c r="AN122" s="899" t="e">
        <f>Tbl_Long_Hydro[[#This Row],[Aft X]]+Tbl_Long_Hydro[[#This Row],[LX]]/2</f>
        <v>#N/A</v>
      </c>
      <c r="AO122" s="876" t="e">
        <f>IF(ISNUMBER(AO121),(2*Tbl_Long_Hydro[[#This Row],[LX]]+AK121)/(Tbl_Long_Hydro[[#This Row],[LX]]+AK121)*(Tbl_Long_Hydro[[#This Row],[Draught]]-V121)/3+V121,Tbl_Long_Hydro[[#This Row],[Draught]]/2)</f>
        <v>#N/A</v>
      </c>
      <c r="AP122" s="898" t="e">
        <f>IF(ISNUMBER(AP121),Tbl_Long_Hydro[[#This Row],[Volume elt]]+AP121,Tbl_Long_Hydro[[#This Row],[Volume elt]]*AO$4)</f>
        <v>#N/A</v>
      </c>
      <c r="AQ122" s="893" t="e">
        <f>IF(ISNUMBER(AQ121),Tbl_Long_Hydro[[#This Row],[Displacement]]*AQ$4,IF(ISNA(AQ121),NA(),0))</f>
        <v>#N/A</v>
      </c>
      <c r="AR122" s="900" t="e">
        <f>IF(ISNA(Tbl_Long_Hydro[[#This Row],[Draught]]),NA(),IFERROR(Tbl_Long_Hydro[[#This Row],[LX]]*B^3/12/Tbl_Long_Hydro[[#This Row],[Displacement]],0))</f>
        <v>#N/A</v>
      </c>
      <c r="AS122" s="903" t="e">
        <f>IF(ISNA(Tbl_Long_Hydro[[#This Row],[Draught]]),NA(),IFERROR((B*Tbl_Long_Hydro[[#This Row],[LX]]^3/12+(Tbl_Long_Hydro[[#This Row],[LCF]]-Tbl_Long_Hydro[[#This Row],[LCB]])*Tbl_Long_Hydro[[#This Row],[Waterplane area]]*Tbl_Long_Hydro[[#This Row],[LCF]]^2)/Tbl_Long_Hydro[[#This Row],[Displacement]],0))</f>
        <v>#N/A</v>
      </c>
      <c r="AT122" s="900" t="e">
        <f>Tbl_Long_Hydro[[#This Row],[Aft X]]+Tbl_Long_Hydro[[#This Row],[LX]]/2</f>
        <v>#N/A</v>
      </c>
      <c r="AU122" s="901" t="e">
        <f>IF(ISNUMBER(AU121),(AU121*AP121+Tbl_Long_Hydro[[#This Row],[X CoG elt]]*Tbl_Long_Hydro[[#This Row],[Volume elt]])/Tbl_Long_Hydro[[#This Row],[Displacement]],Tbl_Long_Hydro[[#This Row],[X CoG elt]])</f>
        <v>#N/A</v>
      </c>
      <c r="AV122" s="902" t="e">
        <f>IF(ISNA(Tbl_Long_Hydro[[#This Row],[Draught]]),NA(),0)</f>
        <v>#N/A</v>
      </c>
      <c r="AW122" s="876" t="e">
        <f>IF(ISNUMBER(AW121),(AW121*AP121+Tbl_Long_Hydro[[#This Row],[Z CoG elt]]*Tbl_Long_Hydro[[#This Row],[Volume elt]])/Tbl_Long_Hydro[[#This Row],[Displacement]],Tbl_Long_Hydro[[#This Row],[Z CoG elt]])</f>
        <v>#N/A</v>
      </c>
      <c r="AX122" s="899" t="e">
        <f>Tbl_Long_Hydro[[#This Row],[RMT]]+Tbl_Long_Hydro[[#This Row],[VCB]]</f>
        <v>#N/A</v>
      </c>
      <c r="AY122" s="904" t="e">
        <f>Tbl_Long_Hydro[[#This Row],[Displacement]]*Tbl_Long_Hydro[[#This Row],[RML]]/(100*Lpp)</f>
        <v>#N/A</v>
      </c>
      <c r="AZ122" s="956" t="e">
        <f>Tbl_Long_Hydro[[#This Row],[Draught]]</f>
        <v>#N/A</v>
      </c>
      <c r="BA122" s="959" t="e">
        <f>Tbl_Long_Hydro[[#This Row],[Displacement]]</f>
        <v>#N/A</v>
      </c>
      <c r="BB122" s="960" t="e">
        <f>Tbl_Long_Hydro[[#This Row],[Displac. SW]]</f>
        <v>#N/A</v>
      </c>
      <c r="BC122" s="964" t="e">
        <f>Tbl_Long_Hydro[[#This Row],[Waterplane area]]/100*$AQ$4</f>
        <v>#N/A</v>
      </c>
      <c r="BD122" s="961" t="e">
        <f>Tbl_Long_Hydro[[#This Row],[MCT]]</f>
        <v>#N/A</v>
      </c>
      <c r="BE122" s="962" t="e">
        <f>Tbl_Long_Hydro[[#This Row],[LCB]]</f>
        <v>#N/A</v>
      </c>
      <c r="BF122" s="962" t="e">
        <f>Tbl_Long_Hydro[[#This Row],[TCB]]</f>
        <v>#N/A</v>
      </c>
      <c r="BG122" s="962" t="e">
        <f>Tbl_Long_Hydro[[#This Row],[LCF]]</f>
        <v>#N/A</v>
      </c>
      <c r="BH122" s="963" t="e">
        <f>Tbl_Long_Hydro[[#This Row],[KMT]]</f>
        <v>#N/A</v>
      </c>
    </row>
    <row r="123" spans="11:60" x14ac:dyDescent="0.25">
      <c r="K123" s="156">
        <f t="shared" si="5"/>
        <v>117</v>
      </c>
      <c r="L123" s="164">
        <f t="shared" si="6"/>
        <v>58.5</v>
      </c>
      <c r="M123" s="262">
        <f>MATCH(Tbl_Long_Section[[#This Row],[X]],Tbl_Long_Definition[X],1)</f>
        <v>3</v>
      </c>
      <c r="N123" s="262">
        <f>IF(Tbl_Long_Section[[#This Row],[Nline Prev]]&lt;COUNT(Tbl_Long_Definition[X]),Tbl_Long_Section[[#This Row],[Nline Prev]]+1,Tbl_Long_Section[[#This Row],[Nline Prev]])</f>
        <v>4</v>
      </c>
      <c r="O123" s="162">
        <f>INDEX(Tbl_Long_Definition[X],Tbl_Long_Section[[#This Row],[Nline Prev]])</f>
        <v>55</v>
      </c>
      <c r="P123" s="263">
        <f>INDEX(Tbl_Long_Definition[X],Tbl_Long_Section[[#This Row],[Nline Next]])</f>
        <v>60</v>
      </c>
      <c r="Q123" s="160">
        <f>INDEX(Tbl_Long_Definition[H Deck-Bott.],Tbl_Long_Section[[#This Row],[Nline Prev]])</f>
        <v>4</v>
      </c>
      <c r="R123" s="161">
        <f>INDEX(Tbl_Long_Definition[H Deck-Bott.],Tbl_Long_Section[[#This Row],[Nline Next]])</f>
        <v>1.2</v>
      </c>
      <c r="S123"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2.04</v>
      </c>
      <c r="T123" s="8"/>
      <c r="V123" s="873" t="e">
        <f t="shared" si="8"/>
        <v>#N/A</v>
      </c>
      <c r="W123" s="885" t="e">
        <f>MATCH(Tbl_Long_Hydro[[#This Row],[Draught]],Tbl_Long_Definition[H k-bott],-1)</f>
        <v>#N/A</v>
      </c>
      <c r="X123"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23" s="886" t="e">
        <f>MATCH(Tbl_Long_Hydro[[#This Row],[Draught]],Tbl_Long_Definition[H k-bott],1)</f>
        <v>#N/A</v>
      </c>
      <c r="Z123"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23" s="888" t="e">
        <f>IF(ISNA(Tbl_Long_Hydro[[#This Row],[Draught]]),NA(),IFERROR(INDEX(Tbl_Long_Definition[X],Tbl_Long_Hydro[[#This Row],[Aft Nline prev]]),0))</f>
        <v>#N/A</v>
      </c>
      <c r="AB123" s="889" t="e">
        <f>IF(ISNA(Tbl_Long_Hydro[[#This Row],[Draught]]),NA(),IFERROR(INDEX(Tbl_Long_Definition[X],Tbl_Long_Hydro[[#This Row],[Aft Nline next]]),0))</f>
        <v>#N/A</v>
      </c>
      <c r="AC123" s="889" t="e">
        <f>IF(ISNA(Tbl_Long_Hydro[[#This Row],[Draught]]),NA(),INDEX(Tbl_Long_Definition[H k-bott],Tbl_Long_Hydro[[#This Row],[Aft Nline prev]]))</f>
        <v>#N/A</v>
      </c>
      <c r="AD123" s="889" t="e">
        <f>IF(ISNA(Tbl_Long_Hydro[[#This Row],[Draught]]),NA(),INDEX(Tbl_Long_Definition[H k-bott],Tbl_Long_Hydro[[#This Row],[Aft Nline next]]))</f>
        <v>#N/A</v>
      </c>
      <c r="AE123" s="888" t="e">
        <f>IF(ISNA(Tbl_Long_Hydro[[#This Row],[Draught]]),NA(),IFERROR(INDEX(Tbl_Long_Definition[X],Tbl_Long_Hydro[[#This Row],[Fore Nline prev]]),0))</f>
        <v>#N/A</v>
      </c>
      <c r="AF123" s="889" t="e">
        <f>IF(ISNA(Tbl_Long_Hydro[[#This Row],[Draught]]),NA(),IFERROR(INDEX(Tbl_Long_Definition[X],Tbl_Long_Hydro[[#This Row],[Fore Nline next]]),0))</f>
        <v>#N/A</v>
      </c>
      <c r="AG123" s="889" t="e">
        <f>IF(ISNA(Tbl_Long_Hydro[[#This Row],[Draught]]),NA(),INDEX(Tbl_Long_Definition[H k-bott],Tbl_Long_Hydro[[#This Row],[Fore Nline prev]]))</f>
        <v>#N/A</v>
      </c>
      <c r="AH123" s="890" t="e">
        <f>IF(ISNA(Tbl_Long_Hydro[[#This Row],[Draught]]),NA(),INDEX(Tbl_Long_Definition[H k-bott],Tbl_Long_Hydro[[#This Row],[Fore Nline next]]))</f>
        <v>#N/A</v>
      </c>
      <c r="AI123"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23"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23" s="894" t="e">
        <f>Tbl_Long_Hydro[[#This Row],[Fore X]]-Tbl_Long_Hydro[[#This Row],[Aft X]]</f>
        <v>#N/A</v>
      </c>
      <c r="AL123" s="884" t="e">
        <f>Tbl_Long_Hydro[[#This Row],[LX]]*B</f>
        <v>#N/A</v>
      </c>
      <c r="AM123" s="892" t="e">
        <f>IF(ISNUMBER(AM122),(AK122+Tbl_Long_Hydro[[#This Row],[LX]])*(Tbl_Long_Hydro[[#This Row],[Draught]]-V122)/2*B,(Tbl_Long_Hydro[[#This Row],[LX]])*Tbl_Long_Hydro[[#This Row],[Draught]]*B)</f>
        <v>#N/A</v>
      </c>
      <c r="AN123" s="899" t="e">
        <f>Tbl_Long_Hydro[[#This Row],[Aft X]]+Tbl_Long_Hydro[[#This Row],[LX]]/2</f>
        <v>#N/A</v>
      </c>
      <c r="AO123" s="876" t="e">
        <f>IF(ISNUMBER(AO122),(2*Tbl_Long_Hydro[[#This Row],[LX]]+AK122)/(Tbl_Long_Hydro[[#This Row],[LX]]+AK122)*(Tbl_Long_Hydro[[#This Row],[Draught]]-V122)/3+V122,Tbl_Long_Hydro[[#This Row],[Draught]]/2)</f>
        <v>#N/A</v>
      </c>
      <c r="AP123" s="898" t="e">
        <f>IF(ISNUMBER(AP122),Tbl_Long_Hydro[[#This Row],[Volume elt]]+AP122,Tbl_Long_Hydro[[#This Row],[Volume elt]]*AO$4)</f>
        <v>#N/A</v>
      </c>
      <c r="AQ123" s="893" t="e">
        <f>IF(ISNUMBER(AQ122),Tbl_Long_Hydro[[#This Row],[Displacement]]*AQ$4,IF(ISNA(AQ122),NA(),0))</f>
        <v>#N/A</v>
      </c>
      <c r="AR123" s="900" t="e">
        <f>IF(ISNA(Tbl_Long_Hydro[[#This Row],[Draught]]),NA(),IFERROR(Tbl_Long_Hydro[[#This Row],[LX]]*B^3/12/Tbl_Long_Hydro[[#This Row],[Displacement]],0))</f>
        <v>#N/A</v>
      </c>
      <c r="AS123" s="903" t="e">
        <f>IF(ISNA(Tbl_Long_Hydro[[#This Row],[Draught]]),NA(),IFERROR((B*Tbl_Long_Hydro[[#This Row],[LX]]^3/12+(Tbl_Long_Hydro[[#This Row],[LCF]]-Tbl_Long_Hydro[[#This Row],[LCB]])*Tbl_Long_Hydro[[#This Row],[Waterplane area]]*Tbl_Long_Hydro[[#This Row],[LCF]]^2)/Tbl_Long_Hydro[[#This Row],[Displacement]],0))</f>
        <v>#N/A</v>
      </c>
      <c r="AT123" s="900" t="e">
        <f>Tbl_Long_Hydro[[#This Row],[Aft X]]+Tbl_Long_Hydro[[#This Row],[LX]]/2</f>
        <v>#N/A</v>
      </c>
      <c r="AU123" s="901" t="e">
        <f>IF(ISNUMBER(AU122),(AU122*AP122+Tbl_Long_Hydro[[#This Row],[X CoG elt]]*Tbl_Long_Hydro[[#This Row],[Volume elt]])/Tbl_Long_Hydro[[#This Row],[Displacement]],Tbl_Long_Hydro[[#This Row],[X CoG elt]])</f>
        <v>#N/A</v>
      </c>
      <c r="AV123" s="902" t="e">
        <f>IF(ISNA(Tbl_Long_Hydro[[#This Row],[Draught]]),NA(),0)</f>
        <v>#N/A</v>
      </c>
      <c r="AW123" s="876" t="e">
        <f>IF(ISNUMBER(AW122),(AW122*AP122+Tbl_Long_Hydro[[#This Row],[Z CoG elt]]*Tbl_Long_Hydro[[#This Row],[Volume elt]])/Tbl_Long_Hydro[[#This Row],[Displacement]],Tbl_Long_Hydro[[#This Row],[Z CoG elt]])</f>
        <v>#N/A</v>
      </c>
      <c r="AX123" s="899" t="e">
        <f>Tbl_Long_Hydro[[#This Row],[RMT]]+Tbl_Long_Hydro[[#This Row],[VCB]]</f>
        <v>#N/A</v>
      </c>
      <c r="AY123" s="904" t="e">
        <f>Tbl_Long_Hydro[[#This Row],[Displacement]]*Tbl_Long_Hydro[[#This Row],[RML]]/(100*Lpp)</f>
        <v>#N/A</v>
      </c>
      <c r="AZ123" s="956" t="e">
        <f>Tbl_Long_Hydro[[#This Row],[Draught]]</f>
        <v>#N/A</v>
      </c>
      <c r="BA123" s="959" t="e">
        <f>Tbl_Long_Hydro[[#This Row],[Displacement]]</f>
        <v>#N/A</v>
      </c>
      <c r="BB123" s="960" t="e">
        <f>Tbl_Long_Hydro[[#This Row],[Displac. SW]]</f>
        <v>#N/A</v>
      </c>
      <c r="BC123" s="964" t="e">
        <f>Tbl_Long_Hydro[[#This Row],[Waterplane area]]/100*$AQ$4</f>
        <v>#N/A</v>
      </c>
      <c r="BD123" s="961" t="e">
        <f>Tbl_Long_Hydro[[#This Row],[MCT]]</f>
        <v>#N/A</v>
      </c>
      <c r="BE123" s="962" t="e">
        <f>Tbl_Long_Hydro[[#This Row],[LCB]]</f>
        <v>#N/A</v>
      </c>
      <c r="BF123" s="962" t="e">
        <f>Tbl_Long_Hydro[[#This Row],[TCB]]</f>
        <v>#N/A</v>
      </c>
      <c r="BG123" s="962" t="e">
        <f>Tbl_Long_Hydro[[#This Row],[LCF]]</f>
        <v>#N/A</v>
      </c>
      <c r="BH123" s="963" t="e">
        <f>Tbl_Long_Hydro[[#This Row],[KMT]]</f>
        <v>#N/A</v>
      </c>
    </row>
    <row r="124" spans="11:60" x14ac:dyDescent="0.25">
      <c r="K124" s="156">
        <f t="shared" si="5"/>
        <v>118</v>
      </c>
      <c r="L124" s="164">
        <f t="shared" si="6"/>
        <v>59</v>
      </c>
      <c r="M124" s="262">
        <f>MATCH(Tbl_Long_Section[[#This Row],[X]],Tbl_Long_Definition[X],1)</f>
        <v>3</v>
      </c>
      <c r="N124" s="262">
        <f>IF(Tbl_Long_Section[[#This Row],[Nline Prev]]&lt;COUNT(Tbl_Long_Definition[X]),Tbl_Long_Section[[#This Row],[Nline Prev]]+1,Tbl_Long_Section[[#This Row],[Nline Prev]])</f>
        <v>4</v>
      </c>
      <c r="O124" s="162">
        <f>INDEX(Tbl_Long_Definition[X],Tbl_Long_Section[[#This Row],[Nline Prev]])</f>
        <v>55</v>
      </c>
      <c r="P124" s="263">
        <f>INDEX(Tbl_Long_Definition[X],Tbl_Long_Section[[#This Row],[Nline Next]])</f>
        <v>60</v>
      </c>
      <c r="Q124" s="160">
        <f>INDEX(Tbl_Long_Definition[H Deck-Bott.],Tbl_Long_Section[[#This Row],[Nline Prev]])</f>
        <v>4</v>
      </c>
      <c r="R124" s="161">
        <f>INDEX(Tbl_Long_Definition[H Deck-Bott.],Tbl_Long_Section[[#This Row],[Nline Next]])</f>
        <v>1.2</v>
      </c>
      <c r="S124"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1.76</v>
      </c>
      <c r="T124" s="8"/>
      <c r="V124" s="873" t="e">
        <f t="shared" si="8"/>
        <v>#N/A</v>
      </c>
      <c r="W124" s="885" t="e">
        <f>MATCH(Tbl_Long_Hydro[[#This Row],[Draught]],Tbl_Long_Definition[H k-bott],-1)</f>
        <v>#N/A</v>
      </c>
      <c r="X124"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24" s="886" t="e">
        <f>MATCH(Tbl_Long_Hydro[[#This Row],[Draught]],Tbl_Long_Definition[H k-bott],1)</f>
        <v>#N/A</v>
      </c>
      <c r="Z124"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24" s="888" t="e">
        <f>IF(ISNA(Tbl_Long_Hydro[[#This Row],[Draught]]),NA(),IFERROR(INDEX(Tbl_Long_Definition[X],Tbl_Long_Hydro[[#This Row],[Aft Nline prev]]),0))</f>
        <v>#N/A</v>
      </c>
      <c r="AB124" s="889" t="e">
        <f>IF(ISNA(Tbl_Long_Hydro[[#This Row],[Draught]]),NA(),IFERROR(INDEX(Tbl_Long_Definition[X],Tbl_Long_Hydro[[#This Row],[Aft Nline next]]),0))</f>
        <v>#N/A</v>
      </c>
      <c r="AC124" s="889" t="e">
        <f>IF(ISNA(Tbl_Long_Hydro[[#This Row],[Draught]]),NA(),INDEX(Tbl_Long_Definition[H k-bott],Tbl_Long_Hydro[[#This Row],[Aft Nline prev]]))</f>
        <v>#N/A</v>
      </c>
      <c r="AD124" s="889" t="e">
        <f>IF(ISNA(Tbl_Long_Hydro[[#This Row],[Draught]]),NA(),INDEX(Tbl_Long_Definition[H k-bott],Tbl_Long_Hydro[[#This Row],[Aft Nline next]]))</f>
        <v>#N/A</v>
      </c>
      <c r="AE124" s="888" t="e">
        <f>IF(ISNA(Tbl_Long_Hydro[[#This Row],[Draught]]),NA(),IFERROR(INDEX(Tbl_Long_Definition[X],Tbl_Long_Hydro[[#This Row],[Fore Nline prev]]),0))</f>
        <v>#N/A</v>
      </c>
      <c r="AF124" s="889" t="e">
        <f>IF(ISNA(Tbl_Long_Hydro[[#This Row],[Draught]]),NA(),IFERROR(INDEX(Tbl_Long_Definition[X],Tbl_Long_Hydro[[#This Row],[Fore Nline next]]),0))</f>
        <v>#N/A</v>
      </c>
      <c r="AG124" s="889" t="e">
        <f>IF(ISNA(Tbl_Long_Hydro[[#This Row],[Draught]]),NA(),INDEX(Tbl_Long_Definition[H k-bott],Tbl_Long_Hydro[[#This Row],[Fore Nline prev]]))</f>
        <v>#N/A</v>
      </c>
      <c r="AH124" s="890" t="e">
        <f>IF(ISNA(Tbl_Long_Hydro[[#This Row],[Draught]]),NA(),INDEX(Tbl_Long_Definition[H k-bott],Tbl_Long_Hydro[[#This Row],[Fore Nline next]]))</f>
        <v>#N/A</v>
      </c>
      <c r="AI124"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24"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24" s="894" t="e">
        <f>Tbl_Long_Hydro[[#This Row],[Fore X]]-Tbl_Long_Hydro[[#This Row],[Aft X]]</f>
        <v>#N/A</v>
      </c>
      <c r="AL124" s="884" t="e">
        <f>Tbl_Long_Hydro[[#This Row],[LX]]*B</f>
        <v>#N/A</v>
      </c>
      <c r="AM124" s="892" t="e">
        <f>IF(ISNUMBER(AM123),(AK123+Tbl_Long_Hydro[[#This Row],[LX]])*(Tbl_Long_Hydro[[#This Row],[Draught]]-V123)/2*B,(Tbl_Long_Hydro[[#This Row],[LX]])*Tbl_Long_Hydro[[#This Row],[Draught]]*B)</f>
        <v>#N/A</v>
      </c>
      <c r="AN124" s="899" t="e">
        <f>Tbl_Long_Hydro[[#This Row],[Aft X]]+Tbl_Long_Hydro[[#This Row],[LX]]/2</f>
        <v>#N/A</v>
      </c>
      <c r="AO124" s="876" t="e">
        <f>IF(ISNUMBER(AO123),(2*Tbl_Long_Hydro[[#This Row],[LX]]+AK123)/(Tbl_Long_Hydro[[#This Row],[LX]]+AK123)*(Tbl_Long_Hydro[[#This Row],[Draught]]-V123)/3+V123,Tbl_Long_Hydro[[#This Row],[Draught]]/2)</f>
        <v>#N/A</v>
      </c>
      <c r="AP124" s="898" t="e">
        <f>IF(ISNUMBER(AP123),Tbl_Long_Hydro[[#This Row],[Volume elt]]+AP123,Tbl_Long_Hydro[[#This Row],[Volume elt]]*AO$4)</f>
        <v>#N/A</v>
      </c>
      <c r="AQ124" s="893" t="e">
        <f>IF(ISNUMBER(AQ123),Tbl_Long_Hydro[[#This Row],[Displacement]]*AQ$4,IF(ISNA(AQ123),NA(),0))</f>
        <v>#N/A</v>
      </c>
      <c r="AR124" s="900" t="e">
        <f>IF(ISNA(Tbl_Long_Hydro[[#This Row],[Draught]]),NA(),IFERROR(Tbl_Long_Hydro[[#This Row],[LX]]*B^3/12/Tbl_Long_Hydro[[#This Row],[Displacement]],0))</f>
        <v>#N/A</v>
      </c>
      <c r="AS124" s="903" t="e">
        <f>IF(ISNA(Tbl_Long_Hydro[[#This Row],[Draught]]),NA(),IFERROR((B*Tbl_Long_Hydro[[#This Row],[LX]]^3/12+(Tbl_Long_Hydro[[#This Row],[LCF]]-Tbl_Long_Hydro[[#This Row],[LCB]])*Tbl_Long_Hydro[[#This Row],[Waterplane area]]*Tbl_Long_Hydro[[#This Row],[LCF]]^2)/Tbl_Long_Hydro[[#This Row],[Displacement]],0))</f>
        <v>#N/A</v>
      </c>
      <c r="AT124" s="900" t="e">
        <f>Tbl_Long_Hydro[[#This Row],[Aft X]]+Tbl_Long_Hydro[[#This Row],[LX]]/2</f>
        <v>#N/A</v>
      </c>
      <c r="AU124" s="901" t="e">
        <f>IF(ISNUMBER(AU123),(AU123*AP123+Tbl_Long_Hydro[[#This Row],[X CoG elt]]*Tbl_Long_Hydro[[#This Row],[Volume elt]])/Tbl_Long_Hydro[[#This Row],[Displacement]],Tbl_Long_Hydro[[#This Row],[X CoG elt]])</f>
        <v>#N/A</v>
      </c>
      <c r="AV124" s="902" t="e">
        <f>IF(ISNA(Tbl_Long_Hydro[[#This Row],[Draught]]),NA(),0)</f>
        <v>#N/A</v>
      </c>
      <c r="AW124" s="876" t="e">
        <f>IF(ISNUMBER(AW123),(AW123*AP123+Tbl_Long_Hydro[[#This Row],[Z CoG elt]]*Tbl_Long_Hydro[[#This Row],[Volume elt]])/Tbl_Long_Hydro[[#This Row],[Displacement]],Tbl_Long_Hydro[[#This Row],[Z CoG elt]])</f>
        <v>#N/A</v>
      </c>
      <c r="AX124" s="899" t="e">
        <f>Tbl_Long_Hydro[[#This Row],[RMT]]+Tbl_Long_Hydro[[#This Row],[VCB]]</f>
        <v>#N/A</v>
      </c>
      <c r="AY124" s="904" t="e">
        <f>Tbl_Long_Hydro[[#This Row],[Displacement]]*Tbl_Long_Hydro[[#This Row],[RML]]/(100*Lpp)</f>
        <v>#N/A</v>
      </c>
      <c r="AZ124" s="956" t="e">
        <f>Tbl_Long_Hydro[[#This Row],[Draught]]</f>
        <v>#N/A</v>
      </c>
      <c r="BA124" s="959" t="e">
        <f>Tbl_Long_Hydro[[#This Row],[Displacement]]</f>
        <v>#N/A</v>
      </c>
      <c r="BB124" s="960" t="e">
        <f>Tbl_Long_Hydro[[#This Row],[Displac. SW]]</f>
        <v>#N/A</v>
      </c>
      <c r="BC124" s="964" t="e">
        <f>Tbl_Long_Hydro[[#This Row],[Waterplane area]]/100*$AQ$4</f>
        <v>#N/A</v>
      </c>
      <c r="BD124" s="961" t="e">
        <f>Tbl_Long_Hydro[[#This Row],[MCT]]</f>
        <v>#N/A</v>
      </c>
      <c r="BE124" s="962" t="e">
        <f>Tbl_Long_Hydro[[#This Row],[LCB]]</f>
        <v>#N/A</v>
      </c>
      <c r="BF124" s="962" t="e">
        <f>Tbl_Long_Hydro[[#This Row],[TCB]]</f>
        <v>#N/A</v>
      </c>
      <c r="BG124" s="962" t="e">
        <f>Tbl_Long_Hydro[[#This Row],[LCF]]</f>
        <v>#N/A</v>
      </c>
      <c r="BH124" s="963" t="e">
        <f>Tbl_Long_Hydro[[#This Row],[KMT]]</f>
        <v>#N/A</v>
      </c>
    </row>
    <row r="125" spans="11:60" x14ac:dyDescent="0.25">
      <c r="K125" s="156">
        <f t="shared" si="5"/>
        <v>119</v>
      </c>
      <c r="L125" s="164">
        <f t="shared" si="6"/>
        <v>59.5</v>
      </c>
      <c r="M125" s="262">
        <f>MATCH(Tbl_Long_Section[[#This Row],[X]],Tbl_Long_Definition[X],1)</f>
        <v>3</v>
      </c>
      <c r="N125" s="262">
        <f>IF(Tbl_Long_Section[[#This Row],[Nline Prev]]&lt;COUNT(Tbl_Long_Definition[X]),Tbl_Long_Section[[#This Row],[Nline Prev]]+1,Tbl_Long_Section[[#This Row],[Nline Prev]])</f>
        <v>4</v>
      </c>
      <c r="O125" s="162">
        <f>INDEX(Tbl_Long_Definition[X],Tbl_Long_Section[[#This Row],[Nline Prev]])</f>
        <v>55</v>
      </c>
      <c r="P125" s="263">
        <f>INDEX(Tbl_Long_Definition[X],Tbl_Long_Section[[#This Row],[Nline Next]])</f>
        <v>60</v>
      </c>
      <c r="Q125" s="160">
        <f>INDEX(Tbl_Long_Definition[H Deck-Bott.],Tbl_Long_Section[[#This Row],[Nline Prev]])</f>
        <v>4</v>
      </c>
      <c r="R125" s="161">
        <f>INDEX(Tbl_Long_Definition[H Deck-Bott.],Tbl_Long_Section[[#This Row],[Nline Next]])</f>
        <v>1.2</v>
      </c>
      <c r="S125"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1.48</v>
      </c>
      <c r="T125" s="8"/>
      <c r="V125" s="873" t="e">
        <f t="shared" si="8"/>
        <v>#N/A</v>
      </c>
      <c r="W125" s="885" t="e">
        <f>MATCH(Tbl_Long_Hydro[[#This Row],[Draught]],Tbl_Long_Definition[H k-bott],-1)</f>
        <v>#N/A</v>
      </c>
      <c r="X125"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25" s="886" t="e">
        <f>MATCH(Tbl_Long_Hydro[[#This Row],[Draught]],Tbl_Long_Definition[H k-bott],1)</f>
        <v>#N/A</v>
      </c>
      <c r="Z125"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25" s="888" t="e">
        <f>IF(ISNA(Tbl_Long_Hydro[[#This Row],[Draught]]),NA(),IFERROR(INDEX(Tbl_Long_Definition[X],Tbl_Long_Hydro[[#This Row],[Aft Nline prev]]),0))</f>
        <v>#N/A</v>
      </c>
      <c r="AB125" s="889" t="e">
        <f>IF(ISNA(Tbl_Long_Hydro[[#This Row],[Draught]]),NA(),IFERROR(INDEX(Tbl_Long_Definition[X],Tbl_Long_Hydro[[#This Row],[Aft Nline next]]),0))</f>
        <v>#N/A</v>
      </c>
      <c r="AC125" s="889" t="e">
        <f>IF(ISNA(Tbl_Long_Hydro[[#This Row],[Draught]]),NA(),INDEX(Tbl_Long_Definition[H k-bott],Tbl_Long_Hydro[[#This Row],[Aft Nline prev]]))</f>
        <v>#N/A</v>
      </c>
      <c r="AD125" s="889" t="e">
        <f>IF(ISNA(Tbl_Long_Hydro[[#This Row],[Draught]]),NA(),INDEX(Tbl_Long_Definition[H k-bott],Tbl_Long_Hydro[[#This Row],[Aft Nline next]]))</f>
        <v>#N/A</v>
      </c>
      <c r="AE125" s="888" t="e">
        <f>IF(ISNA(Tbl_Long_Hydro[[#This Row],[Draught]]),NA(),IFERROR(INDEX(Tbl_Long_Definition[X],Tbl_Long_Hydro[[#This Row],[Fore Nline prev]]),0))</f>
        <v>#N/A</v>
      </c>
      <c r="AF125" s="889" t="e">
        <f>IF(ISNA(Tbl_Long_Hydro[[#This Row],[Draught]]),NA(),IFERROR(INDEX(Tbl_Long_Definition[X],Tbl_Long_Hydro[[#This Row],[Fore Nline next]]),0))</f>
        <v>#N/A</v>
      </c>
      <c r="AG125" s="889" t="e">
        <f>IF(ISNA(Tbl_Long_Hydro[[#This Row],[Draught]]),NA(),INDEX(Tbl_Long_Definition[H k-bott],Tbl_Long_Hydro[[#This Row],[Fore Nline prev]]))</f>
        <v>#N/A</v>
      </c>
      <c r="AH125" s="890" t="e">
        <f>IF(ISNA(Tbl_Long_Hydro[[#This Row],[Draught]]),NA(),INDEX(Tbl_Long_Definition[H k-bott],Tbl_Long_Hydro[[#This Row],[Fore Nline next]]))</f>
        <v>#N/A</v>
      </c>
      <c r="AI125"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25"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25" s="894" t="e">
        <f>Tbl_Long_Hydro[[#This Row],[Fore X]]-Tbl_Long_Hydro[[#This Row],[Aft X]]</f>
        <v>#N/A</v>
      </c>
      <c r="AL125" s="884" t="e">
        <f>Tbl_Long_Hydro[[#This Row],[LX]]*B</f>
        <v>#N/A</v>
      </c>
      <c r="AM125" s="892" t="e">
        <f>IF(ISNUMBER(AM124),(AK124+Tbl_Long_Hydro[[#This Row],[LX]])*(Tbl_Long_Hydro[[#This Row],[Draught]]-V124)/2*B,(Tbl_Long_Hydro[[#This Row],[LX]])*Tbl_Long_Hydro[[#This Row],[Draught]]*B)</f>
        <v>#N/A</v>
      </c>
      <c r="AN125" s="899" t="e">
        <f>Tbl_Long_Hydro[[#This Row],[Aft X]]+Tbl_Long_Hydro[[#This Row],[LX]]/2</f>
        <v>#N/A</v>
      </c>
      <c r="AO125" s="876" t="e">
        <f>IF(ISNUMBER(AO124),(2*Tbl_Long_Hydro[[#This Row],[LX]]+AK124)/(Tbl_Long_Hydro[[#This Row],[LX]]+AK124)*(Tbl_Long_Hydro[[#This Row],[Draught]]-V124)/3+V124,Tbl_Long_Hydro[[#This Row],[Draught]]/2)</f>
        <v>#N/A</v>
      </c>
      <c r="AP125" s="898" t="e">
        <f>IF(ISNUMBER(AP124),Tbl_Long_Hydro[[#This Row],[Volume elt]]+AP124,Tbl_Long_Hydro[[#This Row],[Volume elt]]*AO$4)</f>
        <v>#N/A</v>
      </c>
      <c r="AQ125" s="893" t="e">
        <f>IF(ISNUMBER(AQ124),Tbl_Long_Hydro[[#This Row],[Displacement]]*AQ$4,IF(ISNA(AQ124),NA(),0))</f>
        <v>#N/A</v>
      </c>
      <c r="AR125" s="900" t="e">
        <f>IF(ISNA(Tbl_Long_Hydro[[#This Row],[Draught]]),NA(),IFERROR(Tbl_Long_Hydro[[#This Row],[LX]]*B^3/12/Tbl_Long_Hydro[[#This Row],[Displacement]],0))</f>
        <v>#N/A</v>
      </c>
      <c r="AS125" s="903" t="e">
        <f>IF(ISNA(Tbl_Long_Hydro[[#This Row],[Draught]]),NA(),IFERROR((B*Tbl_Long_Hydro[[#This Row],[LX]]^3/12+(Tbl_Long_Hydro[[#This Row],[LCF]]-Tbl_Long_Hydro[[#This Row],[LCB]])*Tbl_Long_Hydro[[#This Row],[Waterplane area]]*Tbl_Long_Hydro[[#This Row],[LCF]]^2)/Tbl_Long_Hydro[[#This Row],[Displacement]],0))</f>
        <v>#N/A</v>
      </c>
      <c r="AT125" s="900" t="e">
        <f>Tbl_Long_Hydro[[#This Row],[Aft X]]+Tbl_Long_Hydro[[#This Row],[LX]]/2</f>
        <v>#N/A</v>
      </c>
      <c r="AU125" s="901" t="e">
        <f>IF(ISNUMBER(AU124),(AU124*AP124+Tbl_Long_Hydro[[#This Row],[X CoG elt]]*Tbl_Long_Hydro[[#This Row],[Volume elt]])/Tbl_Long_Hydro[[#This Row],[Displacement]],Tbl_Long_Hydro[[#This Row],[X CoG elt]])</f>
        <v>#N/A</v>
      </c>
      <c r="AV125" s="902" t="e">
        <f>IF(ISNA(Tbl_Long_Hydro[[#This Row],[Draught]]),NA(),0)</f>
        <v>#N/A</v>
      </c>
      <c r="AW125" s="876" t="e">
        <f>IF(ISNUMBER(AW124),(AW124*AP124+Tbl_Long_Hydro[[#This Row],[Z CoG elt]]*Tbl_Long_Hydro[[#This Row],[Volume elt]])/Tbl_Long_Hydro[[#This Row],[Displacement]],Tbl_Long_Hydro[[#This Row],[Z CoG elt]])</f>
        <v>#N/A</v>
      </c>
      <c r="AX125" s="899" t="e">
        <f>Tbl_Long_Hydro[[#This Row],[RMT]]+Tbl_Long_Hydro[[#This Row],[VCB]]</f>
        <v>#N/A</v>
      </c>
      <c r="AY125" s="904" t="e">
        <f>Tbl_Long_Hydro[[#This Row],[Displacement]]*Tbl_Long_Hydro[[#This Row],[RML]]/(100*Lpp)</f>
        <v>#N/A</v>
      </c>
      <c r="AZ125" s="956" t="e">
        <f>Tbl_Long_Hydro[[#This Row],[Draught]]</f>
        <v>#N/A</v>
      </c>
      <c r="BA125" s="959" t="e">
        <f>Tbl_Long_Hydro[[#This Row],[Displacement]]</f>
        <v>#N/A</v>
      </c>
      <c r="BB125" s="960" t="e">
        <f>Tbl_Long_Hydro[[#This Row],[Displac. SW]]</f>
        <v>#N/A</v>
      </c>
      <c r="BC125" s="964" t="e">
        <f>Tbl_Long_Hydro[[#This Row],[Waterplane area]]/100*$AQ$4</f>
        <v>#N/A</v>
      </c>
      <c r="BD125" s="961" t="e">
        <f>Tbl_Long_Hydro[[#This Row],[MCT]]</f>
        <v>#N/A</v>
      </c>
      <c r="BE125" s="962" t="e">
        <f>Tbl_Long_Hydro[[#This Row],[LCB]]</f>
        <v>#N/A</v>
      </c>
      <c r="BF125" s="962" t="e">
        <f>Tbl_Long_Hydro[[#This Row],[TCB]]</f>
        <v>#N/A</v>
      </c>
      <c r="BG125" s="962" t="e">
        <f>Tbl_Long_Hydro[[#This Row],[LCF]]</f>
        <v>#N/A</v>
      </c>
      <c r="BH125" s="963" t="e">
        <f>Tbl_Long_Hydro[[#This Row],[KMT]]</f>
        <v>#N/A</v>
      </c>
    </row>
    <row r="126" spans="11:60" x14ac:dyDescent="0.25">
      <c r="K126" s="156">
        <f t="shared" si="5"/>
        <v>120</v>
      </c>
      <c r="L126" s="164">
        <f t="shared" si="6"/>
        <v>60</v>
      </c>
      <c r="M126" s="262">
        <f>MATCH(Tbl_Long_Section[[#This Row],[X]],Tbl_Long_Definition[X],1)</f>
        <v>4</v>
      </c>
      <c r="N126" s="262">
        <f>IF(Tbl_Long_Section[[#This Row],[Nline Prev]]&lt;COUNT(Tbl_Long_Definition[X]),Tbl_Long_Section[[#This Row],[Nline Prev]]+1,Tbl_Long_Section[[#This Row],[Nline Prev]])</f>
        <v>4</v>
      </c>
      <c r="O126" s="162">
        <f>INDEX(Tbl_Long_Definition[X],Tbl_Long_Section[[#This Row],[Nline Prev]])</f>
        <v>60</v>
      </c>
      <c r="P126" s="263">
        <f>INDEX(Tbl_Long_Definition[X],Tbl_Long_Section[[#This Row],[Nline Next]])</f>
        <v>60</v>
      </c>
      <c r="Q126" s="160">
        <f>INDEX(Tbl_Long_Definition[H Deck-Bott.],Tbl_Long_Section[[#This Row],[Nline Prev]])</f>
        <v>1.2</v>
      </c>
      <c r="R126" s="161">
        <f>INDEX(Tbl_Long_Definition[H Deck-Bott.],Tbl_Long_Section[[#This Row],[Nline Next]])</f>
        <v>1.2</v>
      </c>
      <c r="S126" s="918">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1.2</v>
      </c>
      <c r="T126" s="8"/>
      <c r="V126" s="873" t="e">
        <f t="shared" si="8"/>
        <v>#N/A</v>
      </c>
      <c r="W126" s="885" t="e">
        <f>MATCH(Tbl_Long_Hydro[[#This Row],[Draught]],Tbl_Long_Definition[H k-bott],-1)</f>
        <v>#N/A</v>
      </c>
      <c r="X126"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26" s="886" t="e">
        <f>MATCH(Tbl_Long_Hydro[[#This Row],[Draught]],Tbl_Long_Definition[H k-bott],1)</f>
        <v>#N/A</v>
      </c>
      <c r="Z126"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26" s="888" t="e">
        <f>IF(ISNA(Tbl_Long_Hydro[[#This Row],[Draught]]),NA(),IFERROR(INDEX(Tbl_Long_Definition[X],Tbl_Long_Hydro[[#This Row],[Aft Nline prev]]),0))</f>
        <v>#N/A</v>
      </c>
      <c r="AB126" s="889" t="e">
        <f>IF(ISNA(Tbl_Long_Hydro[[#This Row],[Draught]]),NA(),IFERROR(INDEX(Tbl_Long_Definition[X],Tbl_Long_Hydro[[#This Row],[Aft Nline next]]),0))</f>
        <v>#N/A</v>
      </c>
      <c r="AC126" s="889" t="e">
        <f>IF(ISNA(Tbl_Long_Hydro[[#This Row],[Draught]]),NA(),INDEX(Tbl_Long_Definition[H k-bott],Tbl_Long_Hydro[[#This Row],[Aft Nline prev]]))</f>
        <v>#N/A</v>
      </c>
      <c r="AD126" s="889" t="e">
        <f>IF(ISNA(Tbl_Long_Hydro[[#This Row],[Draught]]),NA(),INDEX(Tbl_Long_Definition[H k-bott],Tbl_Long_Hydro[[#This Row],[Aft Nline next]]))</f>
        <v>#N/A</v>
      </c>
      <c r="AE126" s="888" t="e">
        <f>IF(ISNA(Tbl_Long_Hydro[[#This Row],[Draught]]),NA(),IFERROR(INDEX(Tbl_Long_Definition[X],Tbl_Long_Hydro[[#This Row],[Fore Nline prev]]),0))</f>
        <v>#N/A</v>
      </c>
      <c r="AF126" s="889" t="e">
        <f>IF(ISNA(Tbl_Long_Hydro[[#This Row],[Draught]]),NA(),IFERROR(INDEX(Tbl_Long_Definition[X],Tbl_Long_Hydro[[#This Row],[Fore Nline next]]),0))</f>
        <v>#N/A</v>
      </c>
      <c r="AG126" s="889" t="e">
        <f>IF(ISNA(Tbl_Long_Hydro[[#This Row],[Draught]]),NA(),INDEX(Tbl_Long_Definition[H k-bott],Tbl_Long_Hydro[[#This Row],[Fore Nline prev]]))</f>
        <v>#N/A</v>
      </c>
      <c r="AH126" s="890" t="e">
        <f>IF(ISNA(Tbl_Long_Hydro[[#This Row],[Draught]]),NA(),INDEX(Tbl_Long_Definition[H k-bott],Tbl_Long_Hydro[[#This Row],[Fore Nline next]]))</f>
        <v>#N/A</v>
      </c>
      <c r="AI126"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26"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26" s="894" t="e">
        <f>Tbl_Long_Hydro[[#This Row],[Fore X]]-Tbl_Long_Hydro[[#This Row],[Aft X]]</f>
        <v>#N/A</v>
      </c>
      <c r="AL126" s="884" t="e">
        <f>Tbl_Long_Hydro[[#This Row],[LX]]*B</f>
        <v>#N/A</v>
      </c>
      <c r="AM126" s="892" t="e">
        <f>IF(ISNUMBER(AM125),(AK125+Tbl_Long_Hydro[[#This Row],[LX]])*(Tbl_Long_Hydro[[#This Row],[Draught]]-V125)/2*B,(Tbl_Long_Hydro[[#This Row],[LX]])*Tbl_Long_Hydro[[#This Row],[Draught]]*B)</f>
        <v>#N/A</v>
      </c>
      <c r="AN126" s="899" t="e">
        <f>Tbl_Long_Hydro[[#This Row],[Aft X]]+Tbl_Long_Hydro[[#This Row],[LX]]/2</f>
        <v>#N/A</v>
      </c>
      <c r="AO126" s="876" t="e">
        <f>IF(ISNUMBER(AO125),(2*Tbl_Long_Hydro[[#This Row],[LX]]+AK125)/(Tbl_Long_Hydro[[#This Row],[LX]]+AK125)*(Tbl_Long_Hydro[[#This Row],[Draught]]-V125)/3+V125,Tbl_Long_Hydro[[#This Row],[Draught]]/2)</f>
        <v>#N/A</v>
      </c>
      <c r="AP126" s="898" t="e">
        <f>IF(ISNUMBER(AP125),Tbl_Long_Hydro[[#This Row],[Volume elt]]+AP125,Tbl_Long_Hydro[[#This Row],[Volume elt]]*AO$4)</f>
        <v>#N/A</v>
      </c>
      <c r="AQ126" s="893" t="e">
        <f>IF(ISNUMBER(AQ125),Tbl_Long_Hydro[[#This Row],[Displacement]]*AQ$4,IF(ISNA(AQ125),NA(),0))</f>
        <v>#N/A</v>
      </c>
      <c r="AR126" s="900" t="e">
        <f>IF(ISNA(Tbl_Long_Hydro[[#This Row],[Draught]]),NA(),IFERROR(Tbl_Long_Hydro[[#This Row],[LX]]*B^3/12/Tbl_Long_Hydro[[#This Row],[Displacement]],0))</f>
        <v>#N/A</v>
      </c>
      <c r="AS126" s="903" t="e">
        <f>IF(ISNA(Tbl_Long_Hydro[[#This Row],[Draught]]),NA(),IFERROR((B*Tbl_Long_Hydro[[#This Row],[LX]]^3/12+(Tbl_Long_Hydro[[#This Row],[LCF]]-Tbl_Long_Hydro[[#This Row],[LCB]])*Tbl_Long_Hydro[[#This Row],[Waterplane area]]*Tbl_Long_Hydro[[#This Row],[LCF]]^2)/Tbl_Long_Hydro[[#This Row],[Displacement]],0))</f>
        <v>#N/A</v>
      </c>
      <c r="AT126" s="900" t="e">
        <f>Tbl_Long_Hydro[[#This Row],[Aft X]]+Tbl_Long_Hydro[[#This Row],[LX]]/2</f>
        <v>#N/A</v>
      </c>
      <c r="AU126" s="901" t="e">
        <f>IF(ISNUMBER(AU125),(AU125*AP125+Tbl_Long_Hydro[[#This Row],[X CoG elt]]*Tbl_Long_Hydro[[#This Row],[Volume elt]])/Tbl_Long_Hydro[[#This Row],[Displacement]],Tbl_Long_Hydro[[#This Row],[X CoG elt]])</f>
        <v>#N/A</v>
      </c>
      <c r="AV126" s="902" t="e">
        <f>IF(ISNA(Tbl_Long_Hydro[[#This Row],[Draught]]),NA(),0)</f>
        <v>#N/A</v>
      </c>
      <c r="AW126" s="876" t="e">
        <f>IF(ISNUMBER(AW125),(AW125*AP125+Tbl_Long_Hydro[[#This Row],[Z CoG elt]]*Tbl_Long_Hydro[[#This Row],[Volume elt]])/Tbl_Long_Hydro[[#This Row],[Displacement]],Tbl_Long_Hydro[[#This Row],[Z CoG elt]])</f>
        <v>#N/A</v>
      </c>
      <c r="AX126" s="899" t="e">
        <f>Tbl_Long_Hydro[[#This Row],[RMT]]+Tbl_Long_Hydro[[#This Row],[VCB]]</f>
        <v>#N/A</v>
      </c>
      <c r="AY126" s="904" t="e">
        <f>Tbl_Long_Hydro[[#This Row],[Displacement]]*Tbl_Long_Hydro[[#This Row],[RML]]/(100*Lpp)</f>
        <v>#N/A</v>
      </c>
      <c r="AZ126" s="956" t="e">
        <f>Tbl_Long_Hydro[[#This Row],[Draught]]</f>
        <v>#N/A</v>
      </c>
      <c r="BA126" s="959" t="e">
        <f>Tbl_Long_Hydro[[#This Row],[Displacement]]</f>
        <v>#N/A</v>
      </c>
      <c r="BB126" s="960" t="e">
        <f>Tbl_Long_Hydro[[#This Row],[Displac. SW]]</f>
        <v>#N/A</v>
      </c>
      <c r="BC126" s="964" t="e">
        <f>Tbl_Long_Hydro[[#This Row],[Waterplane area]]/100*$AQ$4</f>
        <v>#N/A</v>
      </c>
      <c r="BD126" s="961" t="e">
        <f>Tbl_Long_Hydro[[#This Row],[MCT]]</f>
        <v>#N/A</v>
      </c>
      <c r="BE126" s="962" t="e">
        <f>Tbl_Long_Hydro[[#This Row],[LCB]]</f>
        <v>#N/A</v>
      </c>
      <c r="BF126" s="962" t="e">
        <f>Tbl_Long_Hydro[[#This Row],[TCB]]</f>
        <v>#N/A</v>
      </c>
      <c r="BG126" s="962" t="e">
        <f>Tbl_Long_Hydro[[#This Row],[LCF]]</f>
        <v>#N/A</v>
      </c>
      <c r="BH126" s="963" t="e">
        <f>Tbl_Long_Hydro[[#This Row],[KMT]]</f>
        <v>#N/A</v>
      </c>
    </row>
    <row r="127" spans="11:60" x14ac:dyDescent="0.25">
      <c r="K127" s="156" t="e">
        <f t="shared" si="5"/>
        <v>#N/A</v>
      </c>
      <c r="L127" s="164" t="e">
        <f t="shared" si="6"/>
        <v>#N/A</v>
      </c>
      <c r="M127" s="262" t="e">
        <f>MATCH(Tbl_Long_Section[[#This Row],[X]],Tbl_Long_Definition[X],1)</f>
        <v>#N/A</v>
      </c>
      <c r="N127" s="262" t="e">
        <f>IF(Tbl_Long_Section[[#This Row],[Nline Prev]]&lt;COUNT(Tbl_Long_Definition[X]),Tbl_Long_Section[[#This Row],[Nline Prev]]+1,Tbl_Long_Section[[#This Row],[Nline Prev]])</f>
        <v>#N/A</v>
      </c>
      <c r="O127" s="162" t="e">
        <f>INDEX(Tbl_Long_Definition[X],Tbl_Long_Section[[#This Row],[Nline Prev]])</f>
        <v>#N/A</v>
      </c>
      <c r="P127" s="263" t="e">
        <f>INDEX(Tbl_Long_Definition[X],Tbl_Long_Section[[#This Row],[Nline Next]])</f>
        <v>#N/A</v>
      </c>
      <c r="Q127" s="160" t="e">
        <f>INDEX(Tbl_Long_Definition[H Deck-Bott.],Tbl_Long_Section[[#This Row],[Nline Prev]])</f>
        <v>#N/A</v>
      </c>
      <c r="R127" s="161" t="e">
        <f>INDEX(Tbl_Long_Definition[H Deck-Bott.],Tbl_Long_Section[[#This Row],[Nline Next]])</f>
        <v>#N/A</v>
      </c>
      <c r="S127"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27" s="8"/>
      <c r="V127" s="873" t="e">
        <f t="shared" si="8"/>
        <v>#N/A</v>
      </c>
      <c r="W127" s="885" t="e">
        <f>MATCH(Tbl_Long_Hydro[[#This Row],[Draught]],Tbl_Long_Definition[H k-bott],-1)</f>
        <v>#N/A</v>
      </c>
      <c r="X127"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27" s="886" t="e">
        <f>MATCH(Tbl_Long_Hydro[[#This Row],[Draught]],Tbl_Long_Definition[H k-bott],1)</f>
        <v>#N/A</v>
      </c>
      <c r="Z127"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27" s="888" t="e">
        <f>IF(ISNA(Tbl_Long_Hydro[[#This Row],[Draught]]),NA(),IFERROR(INDEX(Tbl_Long_Definition[X],Tbl_Long_Hydro[[#This Row],[Aft Nline prev]]),0))</f>
        <v>#N/A</v>
      </c>
      <c r="AB127" s="889" t="e">
        <f>IF(ISNA(Tbl_Long_Hydro[[#This Row],[Draught]]),NA(),IFERROR(INDEX(Tbl_Long_Definition[X],Tbl_Long_Hydro[[#This Row],[Aft Nline next]]),0))</f>
        <v>#N/A</v>
      </c>
      <c r="AC127" s="889" t="e">
        <f>IF(ISNA(Tbl_Long_Hydro[[#This Row],[Draught]]),NA(),INDEX(Tbl_Long_Definition[H k-bott],Tbl_Long_Hydro[[#This Row],[Aft Nline prev]]))</f>
        <v>#N/A</v>
      </c>
      <c r="AD127" s="889" t="e">
        <f>IF(ISNA(Tbl_Long_Hydro[[#This Row],[Draught]]),NA(),INDEX(Tbl_Long_Definition[H k-bott],Tbl_Long_Hydro[[#This Row],[Aft Nline next]]))</f>
        <v>#N/A</v>
      </c>
      <c r="AE127" s="888" t="e">
        <f>IF(ISNA(Tbl_Long_Hydro[[#This Row],[Draught]]),NA(),IFERROR(INDEX(Tbl_Long_Definition[X],Tbl_Long_Hydro[[#This Row],[Fore Nline prev]]),0))</f>
        <v>#N/A</v>
      </c>
      <c r="AF127" s="889" t="e">
        <f>IF(ISNA(Tbl_Long_Hydro[[#This Row],[Draught]]),NA(),IFERROR(INDEX(Tbl_Long_Definition[X],Tbl_Long_Hydro[[#This Row],[Fore Nline next]]),0))</f>
        <v>#N/A</v>
      </c>
      <c r="AG127" s="889" t="e">
        <f>IF(ISNA(Tbl_Long_Hydro[[#This Row],[Draught]]),NA(),INDEX(Tbl_Long_Definition[H k-bott],Tbl_Long_Hydro[[#This Row],[Fore Nline prev]]))</f>
        <v>#N/A</v>
      </c>
      <c r="AH127" s="890" t="e">
        <f>IF(ISNA(Tbl_Long_Hydro[[#This Row],[Draught]]),NA(),INDEX(Tbl_Long_Definition[H k-bott],Tbl_Long_Hydro[[#This Row],[Fore Nline next]]))</f>
        <v>#N/A</v>
      </c>
      <c r="AI127"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27"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27" s="894" t="e">
        <f>Tbl_Long_Hydro[[#This Row],[Fore X]]-Tbl_Long_Hydro[[#This Row],[Aft X]]</f>
        <v>#N/A</v>
      </c>
      <c r="AL127" s="884" t="e">
        <f>Tbl_Long_Hydro[[#This Row],[LX]]*B</f>
        <v>#N/A</v>
      </c>
      <c r="AM127" s="892" t="e">
        <f>IF(ISNUMBER(AM126),(AK126+Tbl_Long_Hydro[[#This Row],[LX]])*(Tbl_Long_Hydro[[#This Row],[Draught]]-V126)/2*B,(Tbl_Long_Hydro[[#This Row],[LX]])*Tbl_Long_Hydro[[#This Row],[Draught]]*B)</f>
        <v>#N/A</v>
      </c>
      <c r="AN127" s="899" t="e">
        <f>Tbl_Long_Hydro[[#This Row],[Aft X]]+Tbl_Long_Hydro[[#This Row],[LX]]/2</f>
        <v>#N/A</v>
      </c>
      <c r="AO127" s="876" t="e">
        <f>IF(ISNUMBER(AO126),(2*Tbl_Long_Hydro[[#This Row],[LX]]+AK126)/(Tbl_Long_Hydro[[#This Row],[LX]]+AK126)*(Tbl_Long_Hydro[[#This Row],[Draught]]-V126)/3+V126,Tbl_Long_Hydro[[#This Row],[Draught]]/2)</f>
        <v>#N/A</v>
      </c>
      <c r="AP127" s="898" t="e">
        <f>IF(ISNUMBER(AP126),Tbl_Long_Hydro[[#This Row],[Volume elt]]+AP126,Tbl_Long_Hydro[[#This Row],[Volume elt]]*AO$4)</f>
        <v>#N/A</v>
      </c>
      <c r="AQ127" s="893" t="e">
        <f>IF(ISNUMBER(AQ126),Tbl_Long_Hydro[[#This Row],[Displacement]]*AQ$4,IF(ISNA(AQ126),NA(),0))</f>
        <v>#N/A</v>
      </c>
      <c r="AR127" s="900" t="e">
        <f>IF(ISNA(Tbl_Long_Hydro[[#This Row],[Draught]]),NA(),IFERROR(Tbl_Long_Hydro[[#This Row],[LX]]*B^3/12/Tbl_Long_Hydro[[#This Row],[Displacement]],0))</f>
        <v>#N/A</v>
      </c>
      <c r="AS127" s="903" t="e">
        <f>IF(ISNA(Tbl_Long_Hydro[[#This Row],[Draught]]),NA(),IFERROR((B*Tbl_Long_Hydro[[#This Row],[LX]]^3/12+(Tbl_Long_Hydro[[#This Row],[LCF]]-Tbl_Long_Hydro[[#This Row],[LCB]])*Tbl_Long_Hydro[[#This Row],[Waterplane area]]*Tbl_Long_Hydro[[#This Row],[LCF]]^2)/Tbl_Long_Hydro[[#This Row],[Displacement]],0))</f>
        <v>#N/A</v>
      </c>
      <c r="AT127" s="900" t="e">
        <f>Tbl_Long_Hydro[[#This Row],[Aft X]]+Tbl_Long_Hydro[[#This Row],[LX]]/2</f>
        <v>#N/A</v>
      </c>
      <c r="AU127" s="901" t="e">
        <f>IF(ISNUMBER(AU126),(AU126*AP126+Tbl_Long_Hydro[[#This Row],[X CoG elt]]*Tbl_Long_Hydro[[#This Row],[Volume elt]])/Tbl_Long_Hydro[[#This Row],[Displacement]],Tbl_Long_Hydro[[#This Row],[X CoG elt]])</f>
        <v>#N/A</v>
      </c>
      <c r="AV127" s="902" t="e">
        <f>IF(ISNA(Tbl_Long_Hydro[[#This Row],[Draught]]),NA(),0)</f>
        <v>#N/A</v>
      </c>
      <c r="AW127" s="876" t="e">
        <f>IF(ISNUMBER(AW126),(AW126*AP126+Tbl_Long_Hydro[[#This Row],[Z CoG elt]]*Tbl_Long_Hydro[[#This Row],[Volume elt]])/Tbl_Long_Hydro[[#This Row],[Displacement]],Tbl_Long_Hydro[[#This Row],[Z CoG elt]])</f>
        <v>#N/A</v>
      </c>
      <c r="AX127" s="899" t="e">
        <f>Tbl_Long_Hydro[[#This Row],[RMT]]+Tbl_Long_Hydro[[#This Row],[VCB]]</f>
        <v>#N/A</v>
      </c>
      <c r="AY127" s="904" t="e">
        <f>Tbl_Long_Hydro[[#This Row],[Displacement]]*Tbl_Long_Hydro[[#This Row],[RML]]/(100*Lpp)</f>
        <v>#N/A</v>
      </c>
      <c r="AZ127" s="956" t="e">
        <f>Tbl_Long_Hydro[[#This Row],[Draught]]</f>
        <v>#N/A</v>
      </c>
      <c r="BA127" s="959" t="e">
        <f>Tbl_Long_Hydro[[#This Row],[Displacement]]</f>
        <v>#N/A</v>
      </c>
      <c r="BB127" s="960" t="e">
        <f>Tbl_Long_Hydro[[#This Row],[Displac. SW]]</f>
        <v>#N/A</v>
      </c>
      <c r="BC127" s="964" t="e">
        <f>Tbl_Long_Hydro[[#This Row],[Waterplane area]]/100*$AQ$4</f>
        <v>#N/A</v>
      </c>
      <c r="BD127" s="961" t="e">
        <f>Tbl_Long_Hydro[[#This Row],[MCT]]</f>
        <v>#N/A</v>
      </c>
      <c r="BE127" s="962" t="e">
        <f>Tbl_Long_Hydro[[#This Row],[LCB]]</f>
        <v>#N/A</v>
      </c>
      <c r="BF127" s="962" t="e">
        <f>Tbl_Long_Hydro[[#This Row],[TCB]]</f>
        <v>#N/A</v>
      </c>
      <c r="BG127" s="962" t="e">
        <f>Tbl_Long_Hydro[[#This Row],[LCF]]</f>
        <v>#N/A</v>
      </c>
      <c r="BH127" s="963" t="e">
        <f>Tbl_Long_Hydro[[#This Row],[KMT]]</f>
        <v>#N/A</v>
      </c>
    </row>
    <row r="128" spans="11:60" x14ac:dyDescent="0.25">
      <c r="K128" s="156" t="e">
        <f t="shared" si="5"/>
        <v>#N/A</v>
      </c>
      <c r="L128" s="164" t="e">
        <f t="shared" si="6"/>
        <v>#N/A</v>
      </c>
      <c r="M128" s="262" t="e">
        <f>MATCH(Tbl_Long_Section[[#This Row],[X]],Tbl_Long_Definition[X],1)</f>
        <v>#N/A</v>
      </c>
      <c r="N128" s="262" t="e">
        <f>IF(Tbl_Long_Section[[#This Row],[Nline Prev]]&lt;COUNT(Tbl_Long_Definition[X]),Tbl_Long_Section[[#This Row],[Nline Prev]]+1,Tbl_Long_Section[[#This Row],[Nline Prev]])</f>
        <v>#N/A</v>
      </c>
      <c r="O128" s="162" t="e">
        <f>INDEX(Tbl_Long_Definition[X],Tbl_Long_Section[[#This Row],[Nline Prev]])</f>
        <v>#N/A</v>
      </c>
      <c r="P128" s="263" t="e">
        <f>INDEX(Tbl_Long_Definition[X],Tbl_Long_Section[[#This Row],[Nline Next]])</f>
        <v>#N/A</v>
      </c>
      <c r="Q128" s="160" t="e">
        <f>INDEX(Tbl_Long_Definition[H Deck-Bott.],Tbl_Long_Section[[#This Row],[Nline Prev]])</f>
        <v>#N/A</v>
      </c>
      <c r="R128" s="161" t="e">
        <f>INDEX(Tbl_Long_Definition[H Deck-Bott.],Tbl_Long_Section[[#This Row],[Nline Next]])</f>
        <v>#N/A</v>
      </c>
      <c r="S128"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28" s="8"/>
      <c r="V128" s="873" t="e">
        <f t="shared" si="8"/>
        <v>#N/A</v>
      </c>
      <c r="W128" s="885" t="e">
        <f>MATCH(Tbl_Long_Hydro[[#This Row],[Draught]],Tbl_Long_Definition[H k-bott],-1)</f>
        <v>#N/A</v>
      </c>
      <c r="X128"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28" s="886" t="e">
        <f>MATCH(Tbl_Long_Hydro[[#This Row],[Draught]],Tbl_Long_Definition[H k-bott],1)</f>
        <v>#N/A</v>
      </c>
      <c r="Z128"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28" s="888" t="e">
        <f>IF(ISNA(Tbl_Long_Hydro[[#This Row],[Draught]]),NA(),IFERROR(INDEX(Tbl_Long_Definition[X],Tbl_Long_Hydro[[#This Row],[Aft Nline prev]]),0))</f>
        <v>#N/A</v>
      </c>
      <c r="AB128" s="889" t="e">
        <f>IF(ISNA(Tbl_Long_Hydro[[#This Row],[Draught]]),NA(),IFERROR(INDEX(Tbl_Long_Definition[X],Tbl_Long_Hydro[[#This Row],[Aft Nline next]]),0))</f>
        <v>#N/A</v>
      </c>
      <c r="AC128" s="889" t="e">
        <f>IF(ISNA(Tbl_Long_Hydro[[#This Row],[Draught]]),NA(),INDEX(Tbl_Long_Definition[H k-bott],Tbl_Long_Hydro[[#This Row],[Aft Nline prev]]))</f>
        <v>#N/A</v>
      </c>
      <c r="AD128" s="889" t="e">
        <f>IF(ISNA(Tbl_Long_Hydro[[#This Row],[Draught]]),NA(),INDEX(Tbl_Long_Definition[H k-bott],Tbl_Long_Hydro[[#This Row],[Aft Nline next]]))</f>
        <v>#N/A</v>
      </c>
      <c r="AE128" s="888" t="e">
        <f>IF(ISNA(Tbl_Long_Hydro[[#This Row],[Draught]]),NA(),IFERROR(INDEX(Tbl_Long_Definition[X],Tbl_Long_Hydro[[#This Row],[Fore Nline prev]]),0))</f>
        <v>#N/A</v>
      </c>
      <c r="AF128" s="889" t="e">
        <f>IF(ISNA(Tbl_Long_Hydro[[#This Row],[Draught]]),NA(),IFERROR(INDEX(Tbl_Long_Definition[X],Tbl_Long_Hydro[[#This Row],[Fore Nline next]]),0))</f>
        <v>#N/A</v>
      </c>
      <c r="AG128" s="889" t="e">
        <f>IF(ISNA(Tbl_Long_Hydro[[#This Row],[Draught]]),NA(),INDEX(Tbl_Long_Definition[H k-bott],Tbl_Long_Hydro[[#This Row],[Fore Nline prev]]))</f>
        <v>#N/A</v>
      </c>
      <c r="AH128" s="890" t="e">
        <f>IF(ISNA(Tbl_Long_Hydro[[#This Row],[Draught]]),NA(),INDEX(Tbl_Long_Definition[H k-bott],Tbl_Long_Hydro[[#This Row],[Fore Nline next]]))</f>
        <v>#N/A</v>
      </c>
      <c r="AI128"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28"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28" s="894" t="e">
        <f>Tbl_Long_Hydro[[#This Row],[Fore X]]-Tbl_Long_Hydro[[#This Row],[Aft X]]</f>
        <v>#N/A</v>
      </c>
      <c r="AL128" s="884" t="e">
        <f>Tbl_Long_Hydro[[#This Row],[LX]]*B</f>
        <v>#N/A</v>
      </c>
      <c r="AM128" s="892" t="e">
        <f>IF(ISNUMBER(AM127),(AK127+Tbl_Long_Hydro[[#This Row],[LX]])*(Tbl_Long_Hydro[[#This Row],[Draught]]-V127)/2*B,(Tbl_Long_Hydro[[#This Row],[LX]])*Tbl_Long_Hydro[[#This Row],[Draught]]*B)</f>
        <v>#N/A</v>
      </c>
      <c r="AN128" s="899" t="e">
        <f>Tbl_Long_Hydro[[#This Row],[Aft X]]+Tbl_Long_Hydro[[#This Row],[LX]]/2</f>
        <v>#N/A</v>
      </c>
      <c r="AO128" s="876" t="e">
        <f>IF(ISNUMBER(AO127),(2*Tbl_Long_Hydro[[#This Row],[LX]]+AK127)/(Tbl_Long_Hydro[[#This Row],[LX]]+AK127)*(Tbl_Long_Hydro[[#This Row],[Draught]]-V127)/3+V127,Tbl_Long_Hydro[[#This Row],[Draught]]/2)</f>
        <v>#N/A</v>
      </c>
      <c r="AP128" s="898" t="e">
        <f>IF(ISNUMBER(AP127),Tbl_Long_Hydro[[#This Row],[Volume elt]]+AP127,Tbl_Long_Hydro[[#This Row],[Volume elt]]*AO$4)</f>
        <v>#N/A</v>
      </c>
      <c r="AQ128" s="893" t="e">
        <f>IF(ISNUMBER(AQ127),Tbl_Long_Hydro[[#This Row],[Displacement]]*AQ$4,IF(ISNA(AQ127),NA(),0))</f>
        <v>#N/A</v>
      </c>
      <c r="AR128" s="900" t="e">
        <f>IF(ISNA(Tbl_Long_Hydro[[#This Row],[Draught]]),NA(),IFERROR(Tbl_Long_Hydro[[#This Row],[LX]]*B^3/12/Tbl_Long_Hydro[[#This Row],[Displacement]],0))</f>
        <v>#N/A</v>
      </c>
      <c r="AS128" s="903" t="e">
        <f>IF(ISNA(Tbl_Long_Hydro[[#This Row],[Draught]]),NA(),IFERROR((B*Tbl_Long_Hydro[[#This Row],[LX]]^3/12+(Tbl_Long_Hydro[[#This Row],[LCF]]-Tbl_Long_Hydro[[#This Row],[LCB]])*Tbl_Long_Hydro[[#This Row],[Waterplane area]]*Tbl_Long_Hydro[[#This Row],[LCF]]^2)/Tbl_Long_Hydro[[#This Row],[Displacement]],0))</f>
        <v>#N/A</v>
      </c>
      <c r="AT128" s="900" t="e">
        <f>Tbl_Long_Hydro[[#This Row],[Aft X]]+Tbl_Long_Hydro[[#This Row],[LX]]/2</f>
        <v>#N/A</v>
      </c>
      <c r="AU128" s="901" t="e">
        <f>IF(ISNUMBER(AU127),(AU127*AP127+Tbl_Long_Hydro[[#This Row],[X CoG elt]]*Tbl_Long_Hydro[[#This Row],[Volume elt]])/Tbl_Long_Hydro[[#This Row],[Displacement]],Tbl_Long_Hydro[[#This Row],[X CoG elt]])</f>
        <v>#N/A</v>
      </c>
      <c r="AV128" s="902" t="e">
        <f>IF(ISNA(Tbl_Long_Hydro[[#This Row],[Draught]]),NA(),0)</f>
        <v>#N/A</v>
      </c>
      <c r="AW128" s="876" t="e">
        <f>IF(ISNUMBER(AW127),(AW127*AP127+Tbl_Long_Hydro[[#This Row],[Z CoG elt]]*Tbl_Long_Hydro[[#This Row],[Volume elt]])/Tbl_Long_Hydro[[#This Row],[Displacement]],Tbl_Long_Hydro[[#This Row],[Z CoG elt]])</f>
        <v>#N/A</v>
      </c>
      <c r="AX128" s="899" t="e">
        <f>Tbl_Long_Hydro[[#This Row],[RMT]]+Tbl_Long_Hydro[[#This Row],[VCB]]</f>
        <v>#N/A</v>
      </c>
      <c r="AY128" s="904" t="e">
        <f>Tbl_Long_Hydro[[#This Row],[Displacement]]*Tbl_Long_Hydro[[#This Row],[RML]]/(100*Lpp)</f>
        <v>#N/A</v>
      </c>
      <c r="AZ128" s="956" t="e">
        <f>Tbl_Long_Hydro[[#This Row],[Draught]]</f>
        <v>#N/A</v>
      </c>
      <c r="BA128" s="959" t="e">
        <f>Tbl_Long_Hydro[[#This Row],[Displacement]]</f>
        <v>#N/A</v>
      </c>
      <c r="BB128" s="960" t="e">
        <f>Tbl_Long_Hydro[[#This Row],[Displac. SW]]</f>
        <v>#N/A</v>
      </c>
      <c r="BC128" s="964" t="e">
        <f>Tbl_Long_Hydro[[#This Row],[Waterplane area]]/100*$AQ$4</f>
        <v>#N/A</v>
      </c>
      <c r="BD128" s="961" t="e">
        <f>Tbl_Long_Hydro[[#This Row],[MCT]]</f>
        <v>#N/A</v>
      </c>
      <c r="BE128" s="962" t="e">
        <f>Tbl_Long_Hydro[[#This Row],[LCB]]</f>
        <v>#N/A</v>
      </c>
      <c r="BF128" s="962" t="e">
        <f>Tbl_Long_Hydro[[#This Row],[TCB]]</f>
        <v>#N/A</v>
      </c>
      <c r="BG128" s="962" t="e">
        <f>Tbl_Long_Hydro[[#This Row],[LCF]]</f>
        <v>#N/A</v>
      </c>
      <c r="BH128" s="963" t="e">
        <f>Tbl_Long_Hydro[[#This Row],[KMT]]</f>
        <v>#N/A</v>
      </c>
    </row>
    <row r="129" spans="11:60" x14ac:dyDescent="0.25">
      <c r="K129" s="156" t="e">
        <f t="shared" si="5"/>
        <v>#N/A</v>
      </c>
      <c r="L129" s="164" t="e">
        <f t="shared" si="6"/>
        <v>#N/A</v>
      </c>
      <c r="M129" s="262" t="e">
        <f>MATCH(Tbl_Long_Section[[#This Row],[X]],Tbl_Long_Definition[X],1)</f>
        <v>#N/A</v>
      </c>
      <c r="N129" s="262" t="e">
        <f>IF(Tbl_Long_Section[[#This Row],[Nline Prev]]&lt;COUNT(Tbl_Long_Definition[X]),Tbl_Long_Section[[#This Row],[Nline Prev]]+1,Tbl_Long_Section[[#This Row],[Nline Prev]])</f>
        <v>#N/A</v>
      </c>
      <c r="O129" s="162" t="e">
        <f>INDEX(Tbl_Long_Definition[X],Tbl_Long_Section[[#This Row],[Nline Prev]])</f>
        <v>#N/A</v>
      </c>
      <c r="P129" s="263" t="e">
        <f>INDEX(Tbl_Long_Definition[X],Tbl_Long_Section[[#This Row],[Nline Next]])</f>
        <v>#N/A</v>
      </c>
      <c r="Q129" s="160" t="e">
        <f>INDEX(Tbl_Long_Definition[H Deck-Bott.],Tbl_Long_Section[[#This Row],[Nline Prev]])</f>
        <v>#N/A</v>
      </c>
      <c r="R129" s="161" t="e">
        <f>INDEX(Tbl_Long_Definition[H Deck-Bott.],Tbl_Long_Section[[#This Row],[Nline Next]])</f>
        <v>#N/A</v>
      </c>
      <c r="S129"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29" s="8"/>
      <c r="V129" s="873" t="e">
        <f t="shared" si="8"/>
        <v>#N/A</v>
      </c>
      <c r="W129" s="885" t="e">
        <f>MATCH(Tbl_Long_Hydro[[#This Row],[Draught]],Tbl_Long_Definition[H k-bott],-1)</f>
        <v>#N/A</v>
      </c>
      <c r="X129"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29" s="886" t="e">
        <f>MATCH(Tbl_Long_Hydro[[#This Row],[Draught]],Tbl_Long_Definition[H k-bott],1)</f>
        <v>#N/A</v>
      </c>
      <c r="Z129"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29" s="888" t="e">
        <f>IF(ISNA(Tbl_Long_Hydro[[#This Row],[Draught]]),NA(),IFERROR(INDEX(Tbl_Long_Definition[X],Tbl_Long_Hydro[[#This Row],[Aft Nline prev]]),0))</f>
        <v>#N/A</v>
      </c>
      <c r="AB129" s="889" t="e">
        <f>IF(ISNA(Tbl_Long_Hydro[[#This Row],[Draught]]),NA(),IFERROR(INDEX(Tbl_Long_Definition[X],Tbl_Long_Hydro[[#This Row],[Aft Nline next]]),0))</f>
        <v>#N/A</v>
      </c>
      <c r="AC129" s="889" t="e">
        <f>IF(ISNA(Tbl_Long_Hydro[[#This Row],[Draught]]),NA(),INDEX(Tbl_Long_Definition[H k-bott],Tbl_Long_Hydro[[#This Row],[Aft Nline prev]]))</f>
        <v>#N/A</v>
      </c>
      <c r="AD129" s="889" t="e">
        <f>IF(ISNA(Tbl_Long_Hydro[[#This Row],[Draught]]),NA(),INDEX(Tbl_Long_Definition[H k-bott],Tbl_Long_Hydro[[#This Row],[Aft Nline next]]))</f>
        <v>#N/A</v>
      </c>
      <c r="AE129" s="888" t="e">
        <f>IF(ISNA(Tbl_Long_Hydro[[#This Row],[Draught]]),NA(),IFERROR(INDEX(Tbl_Long_Definition[X],Tbl_Long_Hydro[[#This Row],[Fore Nline prev]]),0))</f>
        <v>#N/A</v>
      </c>
      <c r="AF129" s="889" t="e">
        <f>IF(ISNA(Tbl_Long_Hydro[[#This Row],[Draught]]),NA(),IFERROR(INDEX(Tbl_Long_Definition[X],Tbl_Long_Hydro[[#This Row],[Fore Nline next]]),0))</f>
        <v>#N/A</v>
      </c>
      <c r="AG129" s="889" t="e">
        <f>IF(ISNA(Tbl_Long_Hydro[[#This Row],[Draught]]),NA(),INDEX(Tbl_Long_Definition[H k-bott],Tbl_Long_Hydro[[#This Row],[Fore Nline prev]]))</f>
        <v>#N/A</v>
      </c>
      <c r="AH129" s="890" t="e">
        <f>IF(ISNA(Tbl_Long_Hydro[[#This Row],[Draught]]),NA(),INDEX(Tbl_Long_Definition[H k-bott],Tbl_Long_Hydro[[#This Row],[Fore Nline next]]))</f>
        <v>#N/A</v>
      </c>
      <c r="AI129"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29"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29" s="894" t="e">
        <f>Tbl_Long_Hydro[[#This Row],[Fore X]]-Tbl_Long_Hydro[[#This Row],[Aft X]]</f>
        <v>#N/A</v>
      </c>
      <c r="AL129" s="884" t="e">
        <f>Tbl_Long_Hydro[[#This Row],[LX]]*B</f>
        <v>#N/A</v>
      </c>
      <c r="AM129" s="892" t="e">
        <f>IF(ISNUMBER(AM128),(AK128+Tbl_Long_Hydro[[#This Row],[LX]])*(Tbl_Long_Hydro[[#This Row],[Draught]]-V128)/2*B,(Tbl_Long_Hydro[[#This Row],[LX]])*Tbl_Long_Hydro[[#This Row],[Draught]]*B)</f>
        <v>#N/A</v>
      </c>
      <c r="AN129" s="899" t="e">
        <f>Tbl_Long_Hydro[[#This Row],[Aft X]]+Tbl_Long_Hydro[[#This Row],[LX]]/2</f>
        <v>#N/A</v>
      </c>
      <c r="AO129" s="876" t="e">
        <f>IF(ISNUMBER(AO128),(2*Tbl_Long_Hydro[[#This Row],[LX]]+AK128)/(Tbl_Long_Hydro[[#This Row],[LX]]+AK128)*(Tbl_Long_Hydro[[#This Row],[Draught]]-V128)/3+V128,Tbl_Long_Hydro[[#This Row],[Draught]]/2)</f>
        <v>#N/A</v>
      </c>
      <c r="AP129" s="898" t="e">
        <f>IF(ISNUMBER(AP128),Tbl_Long_Hydro[[#This Row],[Volume elt]]+AP128,Tbl_Long_Hydro[[#This Row],[Volume elt]]*AO$4)</f>
        <v>#N/A</v>
      </c>
      <c r="AQ129" s="893" t="e">
        <f>IF(ISNUMBER(AQ128),Tbl_Long_Hydro[[#This Row],[Displacement]]*AQ$4,IF(ISNA(AQ128),NA(),0))</f>
        <v>#N/A</v>
      </c>
      <c r="AR129" s="900" t="e">
        <f>IF(ISNA(Tbl_Long_Hydro[[#This Row],[Draught]]),NA(),IFERROR(Tbl_Long_Hydro[[#This Row],[LX]]*B^3/12/Tbl_Long_Hydro[[#This Row],[Displacement]],0))</f>
        <v>#N/A</v>
      </c>
      <c r="AS129" s="903" t="e">
        <f>IF(ISNA(Tbl_Long_Hydro[[#This Row],[Draught]]),NA(),IFERROR((B*Tbl_Long_Hydro[[#This Row],[LX]]^3/12+(Tbl_Long_Hydro[[#This Row],[LCF]]-Tbl_Long_Hydro[[#This Row],[LCB]])*Tbl_Long_Hydro[[#This Row],[Waterplane area]]*Tbl_Long_Hydro[[#This Row],[LCF]]^2)/Tbl_Long_Hydro[[#This Row],[Displacement]],0))</f>
        <v>#N/A</v>
      </c>
      <c r="AT129" s="900" t="e">
        <f>Tbl_Long_Hydro[[#This Row],[Aft X]]+Tbl_Long_Hydro[[#This Row],[LX]]/2</f>
        <v>#N/A</v>
      </c>
      <c r="AU129" s="901" t="e">
        <f>IF(ISNUMBER(AU128),(AU128*AP128+Tbl_Long_Hydro[[#This Row],[X CoG elt]]*Tbl_Long_Hydro[[#This Row],[Volume elt]])/Tbl_Long_Hydro[[#This Row],[Displacement]],Tbl_Long_Hydro[[#This Row],[X CoG elt]])</f>
        <v>#N/A</v>
      </c>
      <c r="AV129" s="902" t="e">
        <f>IF(ISNA(Tbl_Long_Hydro[[#This Row],[Draught]]),NA(),0)</f>
        <v>#N/A</v>
      </c>
      <c r="AW129" s="876" t="e">
        <f>IF(ISNUMBER(AW128),(AW128*AP128+Tbl_Long_Hydro[[#This Row],[Z CoG elt]]*Tbl_Long_Hydro[[#This Row],[Volume elt]])/Tbl_Long_Hydro[[#This Row],[Displacement]],Tbl_Long_Hydro[[#This Row],[Z CoG elt]])</f>
        <v>#N/A</v>
      </c>
      <c r="AX129" s="899" t="e">
        <f>Tbl_Long_Hydro[[#This Row],[RMT]]+Tbl_Long_Hydro[[#This Row],[VCB]]</f>
        <v>#N/A</v>
      </c>
      <c r="AY129" s="904" t="e">
        <f>Tbl_Long_Hydro[[#This Row],[Displacement]]*Tbl_Long_Hydro[[#This Row],[RML]]/(100*Lpp)</f>
        <v>#N/A</v>
      </c>
      <c r="AZ129" s="956" t="e">
        <f>Tbl_Long_Hydro[[#This Row],[Draught]]</f>
        <v>#N/A</v>
      </c>
      <c r="BA129" s="959" t="e">
        <f>Tbl_Long_Hydro[[#This Row],[Displacement]]</f>
        <v>#N/A</v>
      </c>
      <c r="BB129" s="960" t="e">
        <f>Tbl_Long_Hydro[[#This Row],[Displac. SW]]</f>
        <v>#N/A</v>
      </c>
      <c r="BC129" s="964" t="e">
        <f>Tbl_Long_Hydro[[#This Row],[Waterplane area]]/100*$AQ$4</f>
        <v>#N/A</v>
      </c>
      <c r="BD129" s="961" t="e">
        <f>Tbl_Long_Hydro[[#This Row],[MCT]]</f>
        <v>#N/A</v>
      </c>
      <c r="BE129" s="962" t="e">
        <f>Tbl_Long_Hydro[[#This Row],[LCB]]</f>
        <v>#N/A</v>
      </c>
      <c r="BF129" s="962" t="e">
        <f>Tbl_Long_Hydro[[#This Row],[TCB]]</f>
        <v>#N/A</v>
      </c>
      <c r="BG129" s="962" t="e">
        <f>Tbl_Long_Hydro[[#This Row],[LCF]]</f>
        <v>#N/A</v>
      </c>
      <c r="BH129" s="963" t="e">
        <f>Tbl_Long_Hydro[[#This Row],[KMT]]</f>
        <v>#N/A</v>
      </c>
    </row>
    <row r="130" spans="11:60" x14ac:dyDescent="0.25">
      <c r="K130" s="156" t="e">
        <f t="shared" si="5"/>
        <v>#N/A</v>
      </c>
      <c r="L130" s="164" t="e">
        <f t="shared" si="6"/>
        <v>#N/A</v>
      </c>
      <c r="M130" s="262" t="e">
        <f>MATCH(Tbl_Long_Section[[#This Row],[X]],Tbl_Long_Definition[X],1)</f>
        <v>#N/A</v>
      </c>
      <c r="N130" s="262" t="e">
        <f>IF(Tbl_Long_Section[[#This Row],[Nline Prev]]&lt;COUNT(Tbl_Long_Definition[X]),Tbl_Long_Section[[#This Row],[Nline Prev]]+1,Tbl_Long_Section[[#This Row],[Nline Prev]])</f>
        <v>#N/A</v>
      </c>
      <c r="O130" s="162" t="e">
        <f>INDEX(Tbl_Long_Definition[X],Tbl_Long_Section[[#This Row],[Nline Prev]])</f>
        <v>#N/A</v>
      </c>
      <c r="P130" s="263" t="e">
        <f>INDEX(Tbl_Long_Definition[X],Tbl_Long_Section[[#This Row],[Nline Next]])</f>
        <v>#N/A</v>
      </c>
      <c r="Q130" s="160" t="e">
        <f>INDEX(Tbl_Long_Definition[H Deck-Bott.],Tbl_Long_Section[[#This Row],[Nline Prev]])</f>
        <v>#N/A</v>
      </c>
      <c r="R130" s="161" t="e">
        <f>INDEX(Tbl_Long_Definition[H Deck-Bott.],Tbl_Long_Section[[#This Row],[Nline Next]])</f>
        <v>#N/A</v>
      </c>
      <c r="S130"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30" s="8"/>
      <c r="V130" s="873" t="e">
        <f t="shared" si="8"/>
        <v>#N/A</v>
      </c>
      <c r="W130" s="885" t="e">
        <f>MATCH(Tbl_Long_Hydro[[#This Row],[Draught]],Tbl_Long_Definition[H k-bott],-1)</f>
        <v>#N/A</v>
      </c>
      <c r="X130"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30" s="886" t="e">
        <f>MATCH(Tbl_Long_Hydro[[#This Row],[Draught]],Tbl_Long_Definition[H k-bott],1)</f>
        <v>#N/A</v>
      </c>
      <c r="Z130"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30" s="888" t="e">
        <f>IF(ISNA(Tbl_Long_Hydro[[#This Row],[Draught]]),NA(),IFERROR(INDEX(Tbl_Long_Definition[X],Tbl_Long_Hydro[[#This Row],[Aft Nline prev]]),0))</f>
        <v>#N/A</v>
      </c>
      <c r="AB130" s="889" t="e">
        <f>IF(ISNA(Tbl_Long_Hydro[[#This Row],[Draught]]),NA(),IFERROR(INDEX(Tbl_Long_Definition[X],Tbl_Long_Hydro[[#This Row],[Aft Nline next]]),0))</f>
        <v>#N/A</v>
      </c>
      <c r="AC130" s="889" t="e">
        <f>IF(ISNA(Tbl_Long_Hydro[[#This Row],[Draught]]),NA(),INDEX(Tbl_Long_Definition[H k-bott],Tbl_Long_Hydro[[#This Row],[Aft Nline prev]]))</f>
        <v>#N/A</v>
      </c>
      <c r="AD130" s="889" t="e">
        <f>IF(ISNA(Tbl_Long_Hydro[[#This Row],[Draught]]),NA(),INDEX(Tbl_Long_Definition[H k-bott],Tbl_Long_Hydro[[#This Row],[Aft Nline next]]))</f>
        <v>#N/A</v>
      </c>
      <c r="AE130" s="888" t="e">
        <f>IF(ISNA(Tbl_Long_Hydro[[#This Row],[Draught]]),NA(),IFERROR(INDEX(Tbl_Long_Definition[X],Tbl_Long_Hydro[[#This Row],[Fore Nline prev]]),0))</f>
        <v>#N/A</v>
      </c>
      <c r="AF130" s="889" t="e">
        <f>IF(ISNA(Tbl_Long_Hydro[[#This Row],[Draught]]),NA(),IFERROR(INDEX(Tbl_Long_Definition[X],Tbl_Long_Hydro[[#This Row],[Fore Nline next]]),0))</f>
        <v>#N/A</v>
      </c>
      <c r="AG130" s="889" t="e">
        <f>IF(ISNA(Tbl_Long_Hydro[[#This Row],[Draught]]),NA(),INDEX(Tbl_Long_Definition[H k-bott],Tbl_Long_Hydro[[#This Row],[Fore Nline prev]]))</f>
        <v>#N/A</v>
      </c>
      <c r="AH130" s="890" t="e">
        <f>IF(ISNA(Tbl_Long_Hydro[[#This Row],[Draught]]),NA(),INDEX(Tbl_Long_Definition[H k-bott],Tbl_Long_Hydro[[#This Row],[Fore Nline next]]))</f>
        <v>#N/A</v>
      </c>
      <c r="AI130"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30"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30" s="894" t="e">
        <f>Tbl_Long_Hydro[[#This Row],[Fore X]]-Tbl_Long_Hydro[[#This Row],[Aft X]]</f>
        <v>#N/A</v>
      </c>
      <c r="AL130" s="884" t="e">
        <f>Tbl_Long_Hydro[[#This Row],[LX]]*B</f>
        <v>#N/A</v>
      </c>
      <c r="AM130" s="892" t="e">
        <f>IF(ISNUMBER(AM129),(AK129+Tbl_Long_Hydro[[#This Row],[LX]])*(Tbl_Long_Hydro[[#This Row],[Draught]]-V129)/2*B,(Tbl_Long_Hydro[[#This Row],[LX]])*Tbl_Long_Hydro[[#This Row],[Draught]]*B)</f>
        <v>#N/A</v>
      </c>
      <c r="AN130" s="899" t="e">
        <f>Tbl_Long_Hydro[[#This Row],[Aft X]]+Tbl_Long_Hydro[[#This Row],[LX]]/2</f>
        <v>#N/A</v>
      </c>
      <c r="AO130" s="876" t="e">
        <f>IF(ISNUMBER(AO129),(2*Tbl_Long_Hydro[[#This Row],[LX]]+AK129)/(Tbl_Long_Hydro[[#This Row],[LX]]+AK129)*(Tbl_Long_Hydro[[#This Row],[Draught]]-V129)/3+V129,Tbl_Long_Hydro[[#This Row],[Draught]]/2)</f>
        <v>#N/A</v>
      </c>
      <c r="AP130" s="898" t="e">
        <f>IF(ISNUMBER(AP129),Tbl_Long_Hydro[[#This Row],[Volume elt]]+AP129,Tbl_Long_Hydro[[#This Row],[Volume elt]]*AO$4)</f>
        <v>#N/A</v>
      </c>
      <c r="AQ130" s="893" t="e">
        <f>IF(ISNUMBER(AQ129),Tbl_Long_Hydro[[#This Row],[Displacement]]*AQ$4,IF(ISNA(AQ129),NA(),0))</f>
        <v>#N/A</v>
      </c>
      <c r="AR130" s="900" t="e">
        <f>IF(ISNA(Tbl_Long_Hydro[[#This Row],[Draught]]),NA(),IFERROR(Tbl_Long_Hydro[[#This Row],[LX]]*B^3/12/Tbl_Long_Hydro[[#This Row],[Displacement]],0))</f>
        <v>#N/A</v>
      </c>
      <c r="AS130" s="903" t="e">
        <f>IF(ISNA(Tbl_Long_Hydro[[#This Row],[Draught]]),NA(),IFERROR((B*Tbl_Long_Hydro[[#This Row],[LX]]^3/12+(Tbl_Long_Hydro[[#This Row],[LCF]]-Tbl_Long_Hydro[[#This Row],[LCB]])*Tbl_Long_Hydro[[#This Row],[Waterplane area]]*Tbl_Long_Hydro[[#This Row],[LCF]]^2)/Tbl_Long_Hydro[[#This Row],[Displacement]],0))</f>
        <v>#N/A</v>
      </c>
      <c r="AT130" s="900" t="e">
        <f>Tbl_Long_Hydro[[#This Row],[Aft X]]+Tbl_Long_Hydro[[#This Row],[LX]]/2</f>
        <v>#N/A</v>
      </c>
      <c r="AU130" s="901" t="e">
        <f>IF(ISNUMBER(AU129),(AU129*AP129+Tbl_Long_Hydro[[#This Row],[X CoG elt]]*Tbl_Long_Hydro[[#This Row],[Volume elt]])/Tbl_Long_Hydro[[#This Row],[Displacement]],Tbl_Long_Hydro[[#This Row],[X CoG elt]])</f>
        <v>#N/A</v>
      </c>
      <c r="AV130" s="902" t="e">
        <f>IF(ISNA(Tbl_Long_Hydro[[#This Row],[Draught]]),NA(),0)</f>
        <v>#N/A</v>
      </c>
      <c r="AW130" s="876" t="e">
        <f>IF(ISNUMBER(AW129),(AW129*AP129+Tbl_Long_Hydro[[#This Row],[Z CoG elt]]*Tbl_Long_Hydro[[#This Row],[Volume elt]])/Tbl_Long_Hydro[[#This Row],[Displacement]],Tbl_Long_Hydro[[#This Row],[Z CoG elt]])</f>
        <v>#N/A</v>
      </c>
      <c r="AX130" s="899" t="e">
        <f>Tbl_Long_Hydro[[#This Row],[RMT]]+Tbl_Long_Hydro[[#This Row],[VCB]]</f>
        <v>#N/A</v>
      </c>
      <c r="AY130" s="904" t="e">
        <f>Tbl_Long_Hydro[[#This Row],[Displacement]]*Tbl_Long_Hydro[[#This Row],[RML]]/(100*Lpp)</f>
        <v>#N/A</v>
      </c>
      <c r="AZ130" s="956" t="e">
        <f>Tbl_Long_Hydro[[#This Row],[Draught]]</f>
        <v>#N/A</v>
      </c>
      <c r="BA130" s="959" t="e">
        <f>Tbl_Long_Hydro[[#This Row],[Displacement]]</f>
        <v>#N/A</v>
      </c>
      <c r="BB130" s="960" t="e">
        <f>Tbl_Long_Hydro[[#This Row],[Displac. SW]]</f>
        <v>#N/A</v>
      </c>
      <c r="BC130" s="964" t="e">
        <f>Tbl_Long_Hydro[[#This Row],[Waterplane area]]/100*$AQ$4</f>
        <v>#N/A</v>
      </c>
      <c r="BD130" s="961" t="e">
        <f>Tbl_Long_Hydro[[#This Row],[MCT]]</f>
        <v>#N/A</v>
      </c>
      <c r="BE130" s="962" t="e">
        <f>Tbl_Long_Hydro[[#This Row],[LCB]]</f>
        <v>#N/A</v>
      </c>
      <c r="BF130" s="962" t="e">
        <f>Tbl_Long_Hydro[[#This Row],[TCB]]</f>
        <v>#N/A</v>
      </c>
      <c r="BG130" s="962" t="e">
        <f>Tbl_Long_Hydro[[#This Row],[LCF]]</f>
        <v>#N/A</v>
      </c>
      <c r="BH130" s="963" t="e">
        <f>Tbl_Long_Hydro[[#This Row],[KMT]]</f>
        <v>#N/A</v>
      </c>
    </row>
    <row r="131" spans="11:60" x14ac:dyDescent="0.25">
      <c r="K131" s="156" t="e">
        <f t="shared" si="5"/>
        <v>#N/A</v>
      </c>
      <c r="L131" s="164" t="e">
        <f t="shared" si="6"/>
        <v>#N/A</v>
      </c>
      <c r="M131" s="262" t="e">
        <f>MATCH(Tbl_Long_Section[[#This Row],[X]],Tbl_Long_Definition[X],1)</f>
        <v>#N/A</v>
      </c>
      <c r="N131" s="262" t="e">
        <f>IF(Tbl_Long_Section[[#This Row],[Nline Prev]]&lt;COUNT(Tbl_Long_Definition[X]),Tbl_Long_Section[[#This Row],[Nline Prev]]+1,Tbl_Long_Section[[#This Row],[Nline Prev]])</f>
        <v>#N/A</v>
      </c>
      <c r="O131" s="162" t="e">
        <f>INDEX(Tbl_Long_Definition[X],Tbl_Long_Section[[#This Row],[Nline Prev]])</f>
        <v>#N/A</v>
      </c>
      <c r="P131" s="263" t="e">
        <f>INDEX(Tbl_Long_Definition[X],Tbl_Long_Section[[#This Row],[Nline Next]])</f>
        <v>#N/A</v>
      </c>
      <c r="Q131" s="160" t="e">
        <f>INDEX(Tbl_Long_Definition[H Deck-Bott.],Tbl_Long_Section[[#This Row],[Nline Prev]])</f>
        <v>#N/A</v>
      </c>
      <c r="R131" s="161" t="e">
        <f>INDEX(Tbl_Long_Definition[H Deck-Bott.],Tbl_Long_Section[[#This Row],[Nline Next]])</f>
        <v>#N/A</v>
      </c>
      <c r="S131"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31" s="8"/>
      <c r="V131" s="873" t="e">
        <f t="shared" si="8"/>
        <v>#N/A</v>
      </c>
      <c r="W131" s="885" t="e">
        <f>MATCH(Tbl_Long_Hydro[[#This Row],[Draught]],Tbl_Long_Definition[H k-bott],-1)</f>
        <v>#N/A</v>
      </c>
      <c r="X131"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31" s="886" t="e">
        <f>MATCH(Tbl_Long_Hydro[[#This Row],[Draught]],Tbl_Long_Definition[H k-bott],1)</f>
        <v>#N/A</v>
      </c>
      <c r="Z131"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31" s="888" t="e">
        <f>IF(ISNA(Tbl_Long_Hydro[[#This Row],[Draught]]),NA(),IFERROR(INDEX(Tbl_Long_Definition[X],Tbl_Long_Hydro[[#This Row],[Aft Nline prev]]),0))</f>
        <v>#N/A</v>
      </c>
      <c r="AB131" s="889" t="e">
        <f>IF(ISNA(Tbl_Long_Hydro[[#This Row],[Draught]]),NA(),IFERROR(INDEX(Tbl_Long_Definition[X],Tbl_Long_Hydro[[#This Row],[Aft Nline next]]),0))</f>
        <v>#N/A</v>
      </c>
      <c r="AC131" s="889" t="e">
        <f>IF(ISNA(Tbl_Long_Hydro[[#This Row],[Draught]]),NA(),INDEX(Tbl_Long_Definition[H k-bott],Tbl_Long_Hydro[[#This Row],[Aft Nline prev]]))</f>
        <v>#N/A</v>
      </c>
      <c r="AD131" s="889" t="e">
        <f>IF(ISNA(Tbl_Long_Hydro[[#This Row],[Draught]]),NA(),INDEX(Tbl_Long_Definition[H k-bott],Tbl_Long_Hydro[[#This Row],[Aft Nline next]]))</f>
        <v>#N/A</v>
      </c>
      <c r="AE131" s="888" t="e">
        <f>IF(ISNA(Tbl_Long_Hydro[[#This Row],[Draught]]),NA(),IFERROR(INDEX(Tbl_Long_Definition[X],Tbl_Long_Hydro[[#This Row],[Fore Nline prev]]),0))</f>
        <v>#N/A</v>
      </c>
      <c r="AF131" s="889" t="e">
        <f>IF(ISNA(Tbl_Long_Hydro[[#This Row],[Draught]]),NA(),IFERROR(INDEX(Tbl_Long_Definition[X],Tbl_Long_Hydro[[#This Row],[Fore Nline next]]),0))</f>
        <v>#N/A</v>
      </c>
      <c r="AG131" s="889" t="e">
        <f>IF(ISNA(Tbl_Long_Hydro[[#This Row],[Draught]]),NA(),INDEX(Tbl_Long_Definition[H k-bott],Tbl_Long_Hydro[[#This Row],[Fore Nline prev]]))</f>
        <v>#N/A</v>
      </c>
      <c r="AH131" s="890" t="e">
        <f>IF(ISNA(Tbl_Long_Hydro[[#This Row],[Draught]]),NA(),INDEX(Tbl_Long_Definition[H k-bott],Tbl_Long_Hydro[[#This Row],[Fore Nline next]]))</f>
        <v>#N/A</v>
      </c>
      <c r="AI131"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31"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31" s="894" t="e">
        <f>Tbl_Long_Hydro[[#This Row],[Fore X]]-Tbl_Long_Hydro[[#This Row],[Aft X]]</f>
        <v>#N/A</v>
      </c>
      <c r="AL131" s="884" t="e">
        <f>Tbl_Long_Hydro[[#This Row],[LX]]*B</f>
        <v>#N/A</v>
      </c>
      <c r="AM131" s="892" t="e">
        <f>IF(ISNUMBER(AM130),(AK130+Tbl_Long_Hydro[[#This Row],[LX]])*(Tbl_Long_Hydro[[#This Row],[Draught]]-V130)/2*B,(Tbl_Long_Hydro[[#This Row],[LX]])*Tbl_Long_Hydro[[#This Row],[Draught]]*B)</f>
        <v>#N/A</v>
      </c>
      <c r="AN131" s="899" t="e">
        <f>Tbl_Long_Hydro[[#This Row],[Aft X]]+Tbl_Long_Hydro[[#This Row],[LX]]/2</f>
        <v>#N/A</v>
      </c>
      <c r="AO131" s="876" t="e">
        <f>IF(ISNUMBER(AO130),(2*Tbl_Long_Hydro[[#This Row],[LX]]+AK130)/(Tbl_Long_Hydro[[#This Row],[LX]]+AK130)*(Tbl_Long_Hydro[[#This Row],[Draught]]-V130)/3+V130,Tbl_Long_Hydro[[#This Row],[Draught]]/2)</f>
        <v>#N/A</v>
      </c>
      <c r="AP131" s="898" t="e">
        <f>IF(ISNUMBER(AP130),Tbl_Long_Hydro[[#This Row],[Volume elt]]+AP130,Tbl_Long_Hydro[[#This Row],[Volume elt]]*AO$4)</f>
        <v>#N/A</v>
      </c>
      <c r="AQ131" s="893" t="e">
        <f>IF(ISNUMBER(AQ130),Tbl_Long_Hydro[[#This Row],[Displacement]]*AQ$4,IF(ISNA(AQ130),NA(),0))</f>
        <v>#N/A</v>
      </c>
      <c r="AR131" s="900" t="e">
        <f>IF(ISNA(Tbl_Long_Hydro[[#This Row],[Draught]]),NA(),IFERROR(Tbl_Long_Hydro[[#This Row],[LX]]*B^3/12/Tbl_Long_Hydro[[#This Row],[Displacement]],0))</f>
        <v>#N/A</v>
      </c>
      <c r="AS131" s="903" t="e">
        <f>IF(ISNA(Tbl_Long_Hydro[[#This Row],[Draught]]),NA(),IFERROR((B*Tbl_Long_Hydro[[#This Row],[LX]]^3/12+(Tbl_Long_Hydro[[#This Row],[LCF]]-Tbl_Long_Hydro[[#This Row],[LCB]])*Tbl_Long_Hydro[[#This Row],[Waterplane area]]*Tbl_Long_Hydro[[#This Row],[LCF]]^2)/Tbl_Long_Hydro[[#This Row],[Displacement]],0))</f>
        <v>#N/A</v>
      </c>
      <c r="AT131" s="900" t="e">
        <f>Tbl_Long_Hydro[[#This Row],[Aft X]]+Tbl_Long_Hydro[[#This Row],[LX]]/2</f>
        <v>#N/A</v>
      </c>
      <c r="AU131" s="901" t="e">
        <f>IF(ISNUMBER(AU130),(AU130*AP130+Tbl_Long_Hydro[[#This Row],[X CoG elt]]*Tbl_Long_Hydro[[#This Row],[Volume elt]])/Tbl_Long_Hydro[[#This Row],[Displacement]],Tbl_Long_Hydro[[#This Row],[X CoG elt]])</f>
        <v>#N/A</v>
      </c>
      <c r="AV131" s="902" t="e">
        <f>IF(ISNA(Tbl_Long_Hydro[[#This Row],[Draught]]),NA(),0)</f>
        <v>#N/A</v>
      </c>
      <c r="AW131" s="876" t="e">
        <f>IF(ISNUMBER(AW130),(AW130*AP130+Tbl_Long_Hydro[[#This Row],[Z CoG elt]]*Tbl_Long_Hydro[[#This Row],[Volume elt]])/Tbl_Long_Hydro[[#This Row],[Displacement]],Tbl_Long_Hydro[[#This Row],[Z CoG elt]])</f>
        <v>#N/A</v>
      </c>
      <c r="AX131" s="899" t="e">
        <f>Tbl_Long_Hydro[[#This Row],[RMT]]+Tbl_Long_Hydro[[#This Row],[VCB]]</f>
        <v>#N/A</v>
      </c>
      <c r="AY131" s="904" t="e">
        <f>Tbl_Long_Hydro[[#This Row],[Displacement]]*Tbl_Long_Hydro[[#This Row],[RML]]/(100*Lpp)</f>
        <v>#N/A</v>
      </c>
      <c r="AZ131" s="956" t="e">
        <f>Tbl_Long_Hydro[[#This Row],[Draught]]</f>
        <v>#N/A</v>
      </c>
      <c r="BA131" s="959" t="e">
        <f>Tbl_Long_Hydro[[#This Row],[Displacement]]</f>
        <v>#N/A</v>
      </c>
      <c r="BB131" s="960" t="e">
        <f>Tbl_Long_Hydro[[#This Row],[Displac. SW]]</f>
        <v>#N/A</v>
      </c>
      <c r="BC131" s="964" t="e">
        <f>Tbl_Long_Hydro[[#This Row],[Waterplane area]]/100*$AQ$4</f>
        <v>#N/A</v>
      </c>
      <c r="BD131" s="961" t="e">
        <f>Tbl_Long_Hydro[[#This Row],[MCT]]</f>
        <v>#N/A</v>
      </c>
      <c r="BE131" s="962" t="e">
        <f>Tbl_Long_Hydro[[#This Row],[LCB]]</f>
        <v>#N/A</v>
      </c>
      <c r="BF131" s="962" t="e">
        <f>Tbl_Long_Hydro[[#This Row],[TCB]]</f>
        <v>#N/A</v>
      </c>
      <c r="BG131" s="962" t="e">
        <f>Tbl_Long_Hydro[[#This Row],[LCF]]</f>
        <v>#N/A</v>
      </c>
      <c r="BH131" s="963" t="e">
        <f>Tbl_Long_Hydro[[#This Row],[KMT]]</f>
        <v>#N/A</v>
      </c>
    </row>
    <row r="132" spans="11:60" x14ac:dyDescent="0.25">
      <c r="K132" s="156" t="e">
        <f t="shared" si="5"/>
        <v>#N/A</v>
      </c>
      <c r="L132" s="164" t="e">
        <f t="shared" si="6"/>
        <v>#N/A</v>
      </c>
      <c r="M132" s="262" t="e">
        <f>MATCH(Tbl_Long_Section[[#This Row],[X]],Tbl_Long_Definition[X],1)</f>
        <v>#N/A</v>
      </c>
      <c r="N132" s="262" t="e">
        <f>IF(Tbl_Long_Section[[#This Row],[Nline Prev]]&lt;COUNT(Tbl_Long_Definition[X]),Tbl_Long_Section[[#This Row],[Nline Prev]]+1,Tbl_Long_Section[[#This Row],[Nline Prev]])</f>
        <v>#N/A</v>
      </c>
      <c r="O132" s="162" t="e">
        <f>INDEX(Tbl_Long_Definition[X],Tbl_Long_Section[[#This Row],[Nline Prev]])</f>
        <v>#N/A</v>
      </c>
      <c r="P132" s="263" t="e">
        <f>INDEX(Tbl_Long_Definition[X],Tbl_Long_Section[[#This Row],[Nline Next]])</f>
        <v>#N/A</v>
      </c>
      <c r="Q132" s="160" t="e">
        <f>INDEX(Tbl_Long_Definition[H Deck-Bott.],Tbl_Long_Section[[#This Row],[Nline Prev]])</f>
        <v>#N/A</v>
      </c>
      <c r="R132" s="161" t="e">
        <f>INDEX(Tbl_Long_Definition[H Deck-Bott.],Tbl_Long_Section[[#This Row],[Nline Next]])</f>
        <v>#N/A</v>
      </c>
      <c r="S132"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32" s="8"/>
      <c r="V132" s="873" t="e">
        <f t="shared" si="8"/>
        <v>#N/A</v>
      </c>
      <c r="W132" s="885" t="e">
        <f>MATCH(Tbl_Long_Hydro[[#This Row],[Draught]],Tbl_Long_Definition[H k-bott],-1)</f>
        <v>#N/A</v>
      </c>
      <c r="X132"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32" s="886" t="e">
        <f>MATCH(Tbl_Long_Hydro[[#This Row],[Draught]],Tbl_Long_Definition[H k-bott],1)</f>
        <v>#N/A</v>
      </c>
      <c r="Z132"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32" s="888" t="e">
        <f>IF(ISNA(Tbl_Long_Hydro[[#This Row],[Draught]]),NA(),IFERROR(INDEX(Tbl_Long_Definition[X],Tbl_Long_Hydro[[#This Row],[Aft Nline prev]]),0))</f>
        <v>#N/A</v>
      </c>
      <c r="AB132" s="889" t="e">
        <f>IF(ISNA(Tbl_Long_Hydro[[#This Row],[Draught]]),NA(),IFERROR(INDEX(Tbl_Long_Definition[X],Tbl_Long_Hydro[[#This Row],[Aft Nline next]]),0))</f>
        <v>#N/A</v>
      </c>
      <c r="AC132" s="889" t="e">
        <f>IF(ISNA(Tbl_Long_Hydro[[#This Row],[Draught]]),NA(),INDEX(Tbl_Long_Definition[H k-bott],Tbl_Long_Hydro[[#This Row],[Aft Nline prev]]))</f>
        <v>#N/A</v>
      </c>
      <c r="AD132" s="889" t="e">
        <f>IF(ISNA(Tbl_Long_Hydro[[#This Row],[Draught]]),NA(),INDEX(Tbl_Long_Definition[H k-bott],Tbl_Long_Hydro[[#This Row],[Aft Nline next]]))</f>
        <v>#N/A</v>
      </c>
      <c r="AE132" s="888" t="e">
        <f>IF(ISNA(Tbl_Long_Hydro[[#This Row],[Draught]]),NA(),IFERROR(INDEX(Tbl_Long_Definition[X],Tbl_Long_Hydro[[#This Row],[Fore Nline prev]]),0))</f>
        <v>#N/A</v>
      </c>
      <c r="AF132" s="889" t="e">
        <f>IF(ISNA(Tbl_Long_Hydro[[#This Row],[Draught]]),NA(),IFERROR(INDEX(Tbl_Long_Definition[X],Tbl_Long_Hydro[[#This Row],[Fore Nline next]]),0))</f>
        <v>#N/A</v>
      </c>
      <c r="AG132" s="889" t="e">
        <f>IF(ISNA(Tbl_Long_Hydro[[#This Row],[Draught]]),NA(),INDEX(Tbl_Long_Definition[H k-bott],Tbl_Long_Hydro[[#This Row],[Fore Nline prev]]))</f>
        <v>#N/A</v>
      </c>
      <c r="AH132" s="890" t="e">
        <f>IF(ISNA(Tbl_Long_Hydro[[#This Row],[Draught]]),NA(),INDEX(Tbl_Long_Definition[H k-bott],Tbl_Long_Hydro[[#This Row],[Fore Nline next]]))</f>
        <v>#N/A</v>
      </c>
      <c r="AI132"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32"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32" s="894" t="e">
        <f>Tbl_Long_Hydro[[#This Row],[Fore X]]-Tbl_Long_Hydro[[#This Row],[Aft X]]</f>
        <v>#N/A</v>
      </c>
      <c r="AL132" s="884" t="e">
        <f>Tbl_Long_Hydro[[#This Row],[LX]]*B</f>
        <v>#N/A</v>
      </c>
      <c r="AM132" s="892" t="e">
        <f>IF(ISNUMBER(AM131),(AK131+Tbl_Long_Hydro[[#This Row],[LX]])*(Tbl_Long_Hydro[[#This Row],[Draught]]-V131)/2*B,(Tbl_Long_Hydro[[#This Row],[LX]])*Tbl_Long_Hydro[[#This Row],[Draught]]*B)</f>
        <v>#N/A</v>
      </c>
      <c r="AN132" s="899" t="e">
        <f>Tbl_Long_Hydro[[#This Row],[Aft X]]+Tbl_Long_Hydro[[#This Row],[LX]]/2</f>
        <v>#N/A</v>
      </c>
      <c r="AO132" s="876" t="e">
        <f>IF(ISNUMBER(AO131),(2*Tbl_Long_Hydro[[#This Row],[LX]]+AK131)/(Tbl_Long_Hydro[[#This Row],[LX]]+AK131)*(Tbl_Long_Hydro[[#This Row],[Draught]]-V131)/3+V131,Tbl_Long_Hydro[[#This Row],[Draught]]/2)</f>
        <v>#N/A</v>
      </c>
      <c r="AP132" s="898" t="e">
        <f>IF(ISNUMBER(AP131),Tbl_Long_Hydro[[#This Row],[Volume elt]]+AP131,Tbl_Long_Hydro[[#This Row],[Volume elt]]*AO$4)</f>
        <v>#N/A</v>
      </c>
      <c r="AQ132" s="893" t="e">
        <f>IF(ISNUMBER(AQ131),Tbl_Long_Hydro[[#This Row],[Displacement]]*AQ$4,IF(ISNA(AQ131),NA(),0))</f>
        <v>#N/A</v>
      </c>
      <c r="AR132" s="900" t="e">
        <f>IF(ISNA(Tbl_Long_Hydro[[#This Row],[Draught]]),NA(),IFERROR(Tbl_Long_Hydro[[#This Row],[LX]]*B^3/12/Tbl_Long_Hydro[[#This Row],[Displacement]],0))</f>
        <v>#N/A</v>
      </c>
      <c r="AS132" s="903" t="e">
        <f>IF(ISNA(Tbl_Long_Hydro[[#This Row],[Draught]]),NA(),IFERROR((B*Tbl_Long_Hydro[[#This Row],[LX]]^3/12+(Tbl_Long_Hydro[[#This Row],[LCF]]-Tbl_Long_Hydro[[#This Row],[LCB]])*Tbl_Long_Hydro[[#This Row],[Waterplane area]]*Tbl_Long_Hydro[[#This Row],[LCF]]^2)/Tbl_Long_Hydro[[#This Row],[Displacement]],0))</f>
        <v>#N/A</v>
      </c>
      <c r="AT132" s="900" t="e">
        <f>Tbl_Long_Hydro[[#This Row],[Aft X]]+Tbl_Long_Hydro[[#This Row],[LX]]/2</f>
        <v>#N/A</v>
      </c>
      <c r="AU132" s="901" t="e">
        <f>IF(ISNUMBER(AU131),(AU131*AP131+Tbl_Long_Hydro[[#This Row],[X CoG elt]]*Tbl_Long_Hydro[[#This Row],[Volume elt]])/Tbl_Long_Hydro[[#This Row],[Displacement]],Tbl_Long_Hydro[[#This Row],[X CoG elt]])</f>
        <v>#N/A</v>
      </c>
      <c r="AV132" s="902" t="e">
        <f>IF(ISNA(Tbl_Long_Hydro[[#This Row],[Draught]]),NA(),0)</f>
        <v>#N/A</v>
      </c>
      <c r="AW132" s="876" t="e">
        <f>IF(ISNUMBER(AW131),(AW131*AP131+Tbl_Long_Hydro[[#This Row],[Z CoG elt]]*Tbl_Long_Hydro[[#This Row],[Volume elt]])/Tbl_Long_Hydro[[#This Row],[Displacement]],Tbl_Long_Hydro[[#This Row],[Z CoG elt]])</f>
        <v>#N/A</v>
      </c>
      <c r="AX132" s="899" t="e">
        <f>Tbl_Long_Hydro[[#This Row],[RMT]]+Tbl_Long_Hydro[[#This Row],[VCB]]</f>
        <v>#N/A</v>
      </c>
      <c r="AY132" s="904" t="e">
        <f>Tbl_Long_Hydro[[#This Row],[Displacement]]*Tbl_Long_Hydro[[#This Row],[RML]]/(100*Lpp)</f>
        <v>#N/A</v>
      </c>
      <c r="AZ132" s="956" t="e">
        <f>Tbl_Long_Hydro[[#This Row],[Draught]]</f>
        <v>#N/A</v>
      </c>
      <c r="BA132" s="959" t="e">
        <f>Tbl_Long_Hydro[[#This Row],[Displacement]]</f>
        <v>#N/A</v>
      </c>
      <c r="BB132" s="960" t="e">
        <f>Tbl_Long_Hydro[[#This Row],[Displac. SW]]</f>
        <v>#N/A</v>
      </c>
      <c r="BC132" s="964" t="e">
        <f>Tbl_Long_Hydro[[#This Row],[Waterplane area]]/100*$AQ$4</f>
        <v>#N/A</v>
      </c>
      <c r="BD132" s="961" t="e">
        <f>Tbl_Long_Hydro[[#This Row],[MCT]]</f>
        <v>#N/A</v>
      </c>
      <c r="BE132" s="962" t="e">
        <f>Tbl_Long_Hydro[[#This Row],[LCB]]</f>
        <v>#N/A</v>
      </c>
      <c r="BF132" s="962" t="e">
        <f>Tbl_Long_Hydro[[#This Row],[TCB]]</f>
        <v>#N/A</v>
      </c>
      <c r="BG132" s="962" t="e">
        <f>Tbl_Long_Hydro[[#This Row],[LCF]]</f>
        <v>#N/A</v>
      </c>
      <c r="BH132" s="963" t="e">
        <f>Tbl_Long_Hydro[[#This Row],[KMT]]</f>
        <v>#N/A</v>
      </c>
    </row>
    <row r="133" spans="11:60" x14ac:dyDescent="0.25">
      <c r="K133" s="156" t="e">
        <f t="shared" si="5"/>
        <v>#N/A</v>
      </c>
      <c r="L133" s="164" t="e">
        <f t="shared" si="6"/>
        <v>#N/A</v>
      </c>
      <c r="M133" s="262" t="e">
        <f>MATCH(Tbl_Long_Section[[#This Row],[X]],Tbl_Long_Definition[X],1)</f>
        <v>#N/A</v>
      </c>
      <c r="N133" s="262" t="e">
        <f>IF(Tbl_Long_Section[[#This Row],[Nline Prev]]&lt;COUNT(Tbl_Long_Definition[X]),Tbl_Long_Section[[#This Row],[Nline Prev]]+1,Tbl_Long_Section[[#This Row],[Nline Prev]])</f>
        <v>#N/A</v>
      </c>
      <c r="O133" s="162" t="e">
        <f>INDEX(Tbl_Long_Definition[X],Tbl_Long_Section[[#This Row],[Nline Prev]])</f>
        <v>#N/A</v>
      </c>
      <c r="P133" s="263" t="e">
        <f>INDEX(Tbl_Long_Definition[X],Tbl_Long_Section[[#This Row],[Nline Next]])</f>
        <v>#N/A</v>
      </c>
      <c r="Q133" s="160" t="e">
        <f>INDEX(Tbl_Long_Definition[H Deck-Bott.],Tbl_Long_Section[[#This Row],[Nline Prev]])</f>
        <v>#N/A</v>
      </c>
      <c r="R133" s="161" t="e">
        <f>INDEX(Tbl_Long_Definition[H Deck-Bott.],Tbl_Long_Section[[#This Row],[Nline Next]])</f>
        <v>#N/A</v>
      </c>
      <c r="S133"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33" s="8"/>
      <c r="V133" s="873" t="e">
        <f t="shared" si="8"/>
        <v>#N/A</v>
      </c>
      <c r="W133" s="885" t="e">
        <f>MATCH(Tbl_Long_Hydro[[#This Row],[Draught]],Tbl_Long_Definition[H k-bott],-1)</f>
        <v>#N/A</v>
      </c>
      <c r="X133"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33" s="886" t="e">
        <f>MATCH(Tbl_Long_Hydro[[#This Row],[Draught]],Tbl_Long_Definition[H k-bott],1)</f>
        <v>#N/A</v>
      </c>
      <c r="Z133"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33" s="888" t="e">
        <f>IF(ISNA(Tbl_Long_Hydro[[#This Row],[Draught]]),NA(),IFERROR(INDEX(Tbl_Long_Definition[X],Tbl_Long_Hydro[[#This Row],[Aft Nline prev]]),0))</f>
        <v>#N/A</v>
      </c>
      <c r="AB133" s="889" t="e">
        <f>IF(ISNA(Tbl_Long_Hydro[[#This Row],[Draught]]),NA(),IFERROR(INDEX(Tbl_Long_Definition[X],Tbl_Long_Hydro[[#This Row],[Aft Nline next]]),0))</f>
        <v>#N/A</v>
      </c>
      <c r="AC133" s="889" t="e">
        <f>IF(ISNA(Tbl_Long_Hydro[[#This Row],[Draught]]),NA(),INDEX(Tbl_Long_Definition[H k-bott],Tbl_Long_Hydro[[#This Row],[Aft Nline prev]]))</f>
        <v>#N/A</v>
      </c>
      <c r="AD133" s="889" t="e">
        <f>IF(ISNA(Tbl_Long_Hydro[[#This Row],[Draught]]),NA(),INDEX(Tbl_Long_Definition[H k-bott],Tbl_Long_Hydro[[#This Row],[Aft Nline next]]))</f>
        <v>#N/A</v>
      </c>
      <c r="AE133" s="888" t="e">
        <f>IF(ISNA(Tbl_Long_Hydro[[#This Row],[Draught]]),NA(),IFERROR(INDEX(Tbl_Long_Definition[X],Tbl_Long_Hydro[[#This Row],[Fore Nline prev]]),0))</f>
        <v>#N/A</v>
      </c>
      <c r="AF133" s="889" t="e">
        <f>IF(ISNA(Tbl_Long_Hydro[[#This Row],[Draught]]),NA(),IFERROR(INDEX(Tbl_Long_Definition[X],Tbl_Long_Hydro[[#This Row],[Fore Nline next]]),0))</f>
        <v>#N/A</v>
      </c>
      <c r="AG133" s="889" t="e">
        <f>IF(ISNA(Tbl_Long_Hydro[[#This Row],[Draught]]),NA(),INDEX(Tbl_Long_Definition[H k-bott],Tbl_Long_Hydro[[#This Row],[Fore Nline prev]]))</f>
        <v>#N/A</v>
      </c>
      <c r="AH133" s="890" t="e">
        <f>IF(ISNA(Tbl_Long_Hydro[[#This Row],[Draught]]),NA(),INDEX(Tbl_Long_Definition[H k-bott],Tbl_Long_Hydro[[#This Row],[Fore Nline next]]))</f>
        <v>#N/A</v>
      </c>
      <c r="AI133"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33"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33" s="894" t="e">
        <f>Tbl_Long_Hydro[[#This Row],[Fore X]]-Tbl_Long_Hydro[[#This Row],[Aft X]]</f>
        <v>#N/A</v>
      </c>
      <c r="AL133" s="884" t="e">
        <f>Tbl_Long_Hydro[[#This Row],[LX]]*B</f>
        <v>#N/A</v>
      </c>
      <c r="AM133" s="892" t="e">
        <f>IF(ISNUMBER(AM132),(AK132+Tbl_Long_Hydro[[#This Row],[LX]])*(Tbl_Long_Hydro[[#This Row],[Draught]]-V132)/2*B,(Tbl_Long_Hydro[[#This Row],[LX]])*Tbl_Long_Hydro[[#This Row],[Draught]]*B)</f>
        <v>#N/A</v>
      </c>
      <c r="AN133" s="899" t="e">
        <f>Tbl_Long_Hydro[[#This Row],[Aft X]]+Tbl_Long_Hydro[[#This Row],[LX]]/2</f>
        <v>#N/A</v>
      </c>
      <c r="AO133" s="876" t="e">
        <f>IF(ISNUMBER(AO132),(2*Tbl_Long_Hydro[[#This Row],[LX]]+AK132)/(Tbl_Long_Hydro[[#This Row],[LX]]+AK132)*(Tbl_Long_Hydro[[#This Row],[Draught]]-V132)/3+V132,Tbl_Long_Hydro[[#This Row],[Draught]]/2)</f>
        <v>#N/A</v>
      </c>
      <c r="AP133" s="898" t="e">
        <f>IF(ISNUMBER(AP132),Tbl_Long_Hydro[[#This Row],[Volume elt]]+AP132,Tbl_Long_Hydro[[#This Row],[Volume elt]]*AO$4)</f>
        <v>#N/A</v>
      </c>
      <c r="AQ133" s="893" t="e">
        <f>IF(ISNUMBER(AQ132),Tbl_Long_Hydro[[#This Row],[Displacement]]*AQ$4,IF(ISNA(AQ132),NA(),0))</f>
        <v>#N/A</v>
      </c>
      <c r="AR133" s="900" t="e">
        <f>IF(ISNA(Tbl_Long_Hydro[[#This Row],[Draught]]),NA(),IFERROR(Tbl_Long_Hydro[[#This Row],[LX]]*B^3/12/Tbl_Long_Hydro[[#This Row],[Displacement]],0))</f>
        <v>#N/A</v>
      </c>
      <c r="AS133" s="903" t="e">
        <f>IF(ISNA(Tbl_Long_Hydro[[#This Row],[Draught]]),NA(),IFERROR((B*Tbl_Long_Hydro[[#This Row],[LX]]^3/12+(Tbl_Long_Hydro[[#This Row],[LCF]]-Tbl_Long_Hydro[[#This Row],[LCB]])*Tbl_Long_Hydro[[#This Row],[Waterplane area]]*Tbl_Long_Hydro[[#This Row],[LCF]]^2)/Tbl_Long_Hydro[[#This Row],[Displacement]],0))</f>
        <v>#N/A</v>
      </c>
      <c r="AT133" s="900" t="e">
        <f>Tbl_Long_Hydro[[#This Row],[Aft X]]+Tbl_Long_Hydro[[#This Row],[LX]]/2</f>
        <v>#N/A</v>
      </c>
      <c r="AU133" s="901" t="e">
        <f>IF(ISNUMBER(AU132),(AU132*AP132+Tbl_Long_Hydro[[#This Row],[X CoG elt]]*Tbl_Long_Hydro[[#This Row],[Volume elt]])/Tbl_Long_Hydro[[#This Row],[Displacement]],Tbl_Long_Hydro[[#This Row],[X CoG elt]])</f>
        <v>#N/A</v>
      </c>
      <c r="AV133" s="902" t="e">
        <f>IF(ISNA(Tbl_Long_Hydro[[#This Row],[Draught]]),NA(),0)</f>
        <v>#N/A</v>
      </c>
      <c r="AW133" s="876" t="e">
        <f>IF(ISNUMBER(AW132),(AW132*AP132+Tbl_Long_Hydro[[#This Row],[Z CoG elt]]*Tbl_Long_Hydro[[#This Row],[Volume elt]])/Tbl_Long_Hydro[[#This Row],[Displacement]],Tbl_Long_Hydro[[#This Row],[Z CoG elt]])</f>
        <v>#N/A</v>
      </c>
      <c r="AX133" s="899" t="e">
        <f>Tbl_Long_Hydro[[#This Row],[RMT]]+Tbl_Long_Hydro[[#This Row],[VCB]]</f>
        <v>#N/A</v>
      </c>
      <c r="AY133" s="904" t="e">
        <f>Tbl_Long_Hydro[[#This Row],[Displacement]]*Tbl_Long_Hydro[[#This Row],[RML]]/(100*Lpp)</f>
        <v>#N/A</v>
      </c>
      <c r="AZ133" s="956" t="e">
        <f>Tbl_Long_Hydro[[#This Row],[Draught]]</f>
        <v>#N/A</v>
      </c>
      <c r="BA133" s="959" t="e">
        <f>Tbl_Long_Hydro[[#This Row],[Displacement]]</f>
        <v>#N/A</v>
      </c>
      <c r="BB133" s="960" t="e">
        <f>Tbl_Long_Hydro[[#This Row],[Displac. SW]]</f>
        <v>#N/A</v>
      </c>
      <c r="BC133" s="964" t="e">
        <f>Tbl_Long_Hydro[[#This Row],[Waterplane area]]/100*$AQ$4</f>
        <v>#N/A</v>
      </c>
      <c r="BD133" s="961" t="e">
        <f>Tbl_Long_Hydro[[#This Row],[MCT]]</f>
        <v>#N/A</v>
      </c>
      <c r="BE133" s="962" t="e">
        <f>Tbl_Long_Hydro[[#This Row],[LCB]]</f>
        <v>#N/A</v>
      </c>
      <c r="BF133" s="962" t="e">
        <f>Tbl_Long_Hydro[[#This Row],[TCB]]</f>
        <v>#N/A</v>
      </c>
      <c r="BG133" s="962" t="e">
        <f>Tbl_Long_Hydro[[#This Row],[LCF]]</f>
        <v>#N/A</v>
      </c>
      <c r="BH133" s="963" t="e">
        <f>Tbl_Long_Hydro[[#This Row],[KMT]]</f>
        <v>#N/A</v>
      </c>
    </row>
    <row r="134" spans="11:60" x14ac:dyDescent="0.25">
      <c r="K134" s="156" t="e">
        <f t="shared" ref="K134:K197" si="9">IF(ISTEXT($K133),0,IF($K133+1&gt;Last_Frame,NA(),$K133+1))</f>
        <v>#N/A</v>
      </c>
      <c r="L134" s="164" t="e">
        <f t="shared" ref="L134:L197" si="10">IF(ISTEXT($L133),0,IF($L133+FE_size&gt;Lpp,IF($L133&lt;&gt;Lpp,Lpp,NA()),$L133+FE_size))</f>
        <v>#N/A</v>
      </c>
      <c r="M134" s="262" t="e">
        <f>MATCH(Tbl_Long_Section[[#This Row],[X]],Tbl_Long_Definition[X],1)</f>
        <v>#N/A</v>
      </c>
      <c r="N134" s="262" t="e">
        <f>IF(Tbl_Long_Section[[#This Row],[Nline Prev]]&lt;COUNT(Tbl_Long_Definition[X]),Tbl_Long_Section[[#This Row],[Nline Prev]]+1,Tbl_Long_Section[[#This Row],[Nline Prev]])</f>
        <v>#N/A</v>
      </c>
      <c r="O134" s="162" t="e">
        <f>INDEX(Tbl_Long_Definition[X],Tbl_Long_Section[[#This Row],[Nline Prev]])</f>
        <v>#N/A</v>
      </c>
      <c r="P134" s="263" t="e">
        <f>INDEX(Tbl_Long_Definition[X],Tbl_Long_Section[[#This Row],[Nline Next]])</f>
        <v>#N/A</v>
      </c>
      <c r="Q134" s="160" t="e">
        <f>INDEX(Tbl_Long_Definition[H Deck-Bott.],Tbl_Long_Section[[#This Row],[Nline Prev]])</f>
        <v>#N/A</v>
      </c>
      <c r="R134" s="161" t="e">
        <f>INDEX(Tbl_Long_Definition[H Deck-Bott.],Tbl_Long_Section[[#This Row],[Nline Next]])</f>
        <v>#N/A</v>
      </c>
      <c r="S134"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34" s="8"/>
      <c r="V134" s="873" t="e">
        <f t="shared" ref="V134:V165" si="11">IF(ISTEXT(V133),0,IF(V133+Δhydro&gt;M_depth,NA(),V133+Δhydro))</f>
        <v>#N/A</v>
      </c>
      <c r="W134" s="885" t="e">
        <f>MATCH(Tbl_Long_Hydro[[#This Row],[Draught]],Tbl_Long_Definition[H k-bott],-1)</f>
        <v>#N/A</v>
      </c>
      <c r="X134"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34" s="886" t="e">
        <f>MATCH(Tbl_Long_Hydro[[#This Row],[Draught]],Tbl_Long_Definition[H k-bott],1)</f>
        <v>#N/A</v>
      </c>
      <c r="Z134"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34" s="888" t="e">
        <f>IF(ISNA(Tbl_Long_Hydro[[#This Row],[Draught]]),NA(),IFERROR(INDEX(Tbl_Long_Definition[X],Tbl_Long_Hydro[[#This Row],[Aft Nline prev]]),0))</f>
        <v>#N/A</v>
      </c>
      <c r="AB134" s="889" t="e">
        <f>IF(ISNA(Tbl_Long_Hydro[[#This Row],[Draught]]),NA(),IFERROR(INDEX(Tbl_Long_Definition[X],Tbl_Long_Hydro[[#This Row],[Aft Nline next]]),0))</f>
        <v>#N/A</v>
      </c>
      <c r="AC134" s="889" t="e">
        <f>IF(ISNA(Tbl_Long_Hydro[[#This Row],[Draught]]),NA(),INDEX(Tbl_Long_Definition[H k-bott],Tbl_Long_Hydro[[#This Row],[Aft Nline prev]]))</f>
        <v>#N/A</v>
      </c>
      <c r="AD134" s="889" t="e">
        <f>IF(ISNA(Tbl_Long_Hydro[[#This Row],[Draught]]),NA(),INDEX(Tbl_Long_Definition[H k-bott],Tbl_Long_Hydro[[#This Row],[Aft Nline next]]))</f>
        <v>#N/A</v>
      </c>
      <c r="AE134" s="888" t="e">
        <f>IF(ISNA(Tbl_Long_Hydro[[#This Row],[Draught]]),NA(),IFERROR(INDEX(Tbl_Long_Definition[X],Tbl_Long_Hydro[[#This Row],[Fore Nline prev]]),0))</f>
        <v>#N/A</v>
      </c>
      <c r="AF134" s="889" t="e">
        <f>IF(ISNA(Tbl_Long_Hydro[[#This Row],[Draught]]),NA(),IFERROR(INDEX(Tbl_Long_Definition[X],Tbl_Long_Hydro[[#This Row],[Fore Nline next]]),0))</f>
        <v>#N/A</v>
      </c>
      <c r="AG134" s="889" t="e">
        <f>IF(ISNA(Tbl_Long_Hydro[[#This Row],[Draught]]),NA(),INDEX(Tbl_Long_Definition[H k-bott],Tbl_Long_Hydro[[#This Row],[Fore Nline prev]]))</f>
        <v>#N/A</v>
      </c>
      <c r="AH134" s="890" t="e">
        <f>IF(ISNA(Tbl_Long_Hydro[[#This Row],[Draught]]),NA(),INDEX(Tbl_Long_Definition[H k-bott],Tbl_Long_Hydro[[#This Row],[Fore Nline next]]))</f>
        <v>#N/A</v>
      </c>
      <c r="AI134"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34"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34" s="894" t="e">
        <f>Tbl_Long_Hydro[[#This Row],[Fore X]]-Tbl_Long_Hydro[[#This Row],[Aft X]]</f>
        <v>#N/A</v>
      </c>
      <c r="AL134" s="884" t="e">
        <f>Tbl_Long_Hydro[[#This Row],[LX]]*B</f>
        <v>#N/A</v>
      </c>
      <c r="AM134" s="892" t="e">
        <f>IF(ISNUMBER(AM133),(AK133+Tbl_Long_Hydro[[#This Row],[LX]])*(Tbl_Long_Hydro[[#This Row],[Draught]]-V133)/2*B,(Tbl_Long_Hydro[[#This Row],[LX]])*Tbl_Long_Hydro[[#This Row],[Draught]]*B)</f>
        <v>#N/A</v>
      </c>
      <c r="AN134" s="899" t="e">
        <f>Tbl_Long_Hydro[[#This Row],[Aft X]]+Tbl_Long_Hydro[[#This Row],[LX]]/2</f>
        <v>#N/A</v>
      </c>
      <c r="AO134" s="876" t="e">
        <f>IF(ISNUMBER(AO133),(2*Tbl_Long_Hydro[[#This Row],[LX]]+AK133)/(Tbl_Long_Hydro[[#This Row],[LX]]+AK133)*(Tbl_Long_Hydro[[#This Row],[Draught]]-V133)/3+V133,Tbl_Long_Hydro[[#This Row],[Draught]]/2)</f>
        <v>#N/A</v>
      </c>
      <c r="AP134" s="898" t="e">
        <f>IF(ISNUMBER(AP133),Tbl_Long_Hydro[[#This Row],[Volume elt]]+AP133,Tbl_Long_Hydro[[#This Row],[Volume elt]]*AO$4)</f>
        <v>#N/A</v>
      </c>
      <c r="AQ134" s="893" t="e">
        <f>IF(ISNUMBER(AQ133),Tbl_Long_Hydro[[#This Row],[Displacement]]*AQ$4,IF(ISNA(AQ133),NA(),0))</f>
        <v>#N/A</v>
      </c>
      <c r="AR134" s="900" t="e">
        <f>IF(ISNA(Tbl_Long_Hydro[[#This Row],[Draught]]),NA(),IFERROR(Tbl_Long_Hydro[[#This Row],[LX]]*B^3/12/Tbl_Long_Hydro[[#This Row],[Displacement]],0))</f>
        <v>#N/A</v>
      </c>
      <c r="AS134" s="903" t="e">
        <f>IF(ISNA(Tbl_Long_Hydro[[#This Row],[Draught]]),NA(),IFERROR((B*Tbl_Long_Hydro[[#This Row],[LX]]^3/12+(Tbl_Long_Hydro[[#This Row],[LCF]]-Tbl_Long_Hydro[[#This Row],[LCB]])*Tbl_Long_Hydro[[#This Row],[Waterplane area]]*Tbl_Long_Hydro[[#This Row],[LCF]]^2)/Tbl_Long_Hydro[[#This Row],[Displacement]],0))</f>
        <v>#N/A</v>
      </c>
      <c r="AT134" s="900" t="e">
        <f>Tbl_Long_Hydro[[#This Row],[Aft X]]+Tbl_Long_Hydro[[#This Row],[LX]]/2</f>
        <v>#N/A</v>
      </c>
      <c r="AU134" s="901" t="e">
        <f>IF(ISNUMBER(AU133),(AU133*AP133+Tbl_Long_Hydro[[#This Row],[X CoG elt]]*Tbl_Long_Hydro[[#This Row],[Volume elt]])/Tbl_Long_Hydro[[#This Row],[Displacement]],Tbl_Long_Hydro[[#This Row],[X CoG elt]])</f>
        <v>#N/A</v>
      </c>
      <c r="AV134" s="902" t="e">
        <f>IF(ISNA(Tbl_Long_Hydro[[#This Row],[Draught]]),NA(),0)</f>
        <v>#N/A</v>
      </c>
      <c r="AW134" s="876" t="e">
        <f>IF(ISNUMBER(AW133),(AW133*AP133+Tbl_Long_Hydro[[#This Row],[Z CoG elt]]*Tbl_Long_Hydro[[#This Row],[Volume elt]])/Tbl_Long_Hydro[[#This Row],[Displacement]],Tbl_Long_Hydro[[#This Row],[Z CoG elt]])</f>
        <v>#N/A</v>
      </c>
      <c r="AX134" s="899" t="e">
        <f>Tbl_Long_Hydro[[#This Row],[RMT]]+Tbl_Long_Hydro[[#This Row],[VCB]]</f>
        <v>#N/A</v>
      </c>
      <c r="AY134" s="904" t="e">
        <f>Tbl_Long_Hydro[[#This Row],[Displacement]]*Tbl_Long_Hydro[[#This Row],[RML]]/(100*Lpp)</f>
        <v>#N/A</v>
      </c>
      <c r="AZ134" s="956" t="e">
        <f>Tbl_Long_Hydro[[#This Row],[Draught]]</f>
        <v>#N/A</v>
      </c>
      <c r="BA134" s="959" t="e">
        <f>Tbl_Long_Hydro[[#This Row],[Displacement]]</f>
        <v>#N/A</v>
      </c>
      <c r="BB134" s="960" t="e">
        <f>Tbl_Long_Hydro[[#This Row],[Displac. SW]]</f>
        <v>#N/A</v>
      </c>
      <c r="BC134" s="964" t="e">
        <f>Tbl_Long_Hydro[[#This Row],[Waterplane area]]/100*$AQ$4</f>
        <v>#N/A</v>
      </c>
      <c r="BD134" s="961" t="e">
        <f>Tbl_Long_Hydro[[#This Row],[MCT]]</f>
        <v>#N/A</v>
      </c>
      <c r="BE134" s="962" t="e">
        <f>Tbl_Long_Hydro[[#This Row],[LCB]]</f>
        <v>#N/A</v>
      </c>
      <c r="BF134" s="962" t="e">
        <f>Tbl_Long_Hydro[[#This Row],[TCB]]</f>
        <v>#N/A</v>
      </c>
      <c r="BG134" s="962" t="e">
        <f>Tbl_Long_Hydro[[#This Row],[LCF]]</f>
        <v>#N/A</v>
      </c>
      <c r="BH134" s="963" t="e">
        <f>Tbl_Long_Hydro[[#This Row],[KMT]]</f>
        <v>#N/A</v>
      </c>
    </row>
    <row r="135" spans="11:60" x14ac:dyDescent="0.25">
      <c r="K135" s="156" t="e">
        <f t="shared" si="9"/>
        <v>#N/A</v>
      </c>
      <c r="L135" s="164" t="e">
        <f t="shared" si="10"/>
        <v>#N/A</v>
      </c>
      <c r="M135" s="262" t="e">
        <f>MATCH(Tbl_Long_Section[[#This Row],[X]],Tbl_Long_Definition[X],1)</f>
        <v>#N/A</v>
      </c>
      <c r="N135" s="262" t="e">
        <f>IF(Tbl_Long_Section[[#This Row],[Nline Prev]]&lt;COUNT(Tbl_Long_Definition[X]),Tbl_Long_Section[[#This Row],[Nline Prev]]+1,Tbl_Long_Section[[#This Row],[Nline Prev]])</f>
        <v>#N/A</v>
      </c>
      <c r="O135" s="162" t="e">
        <f>INDEX(Tbl_Long_Definition[X],Tbl_Long_Section[[#This Row],[Nline Prev]])</f>
        <v>#N/A</v>
      </c>
      <c r="P135" s="263" t="e">
        <f>INDEX(Tbl_Long_Definition[X],Tbl_Long_Section[[#This Row],[Nline Next]])</f>
        <v>#N/A</v>
      </c>
      <c r="Q135" s="160" t="e">
        <f>INDEX(Tbl_Long_Definition[H Deck-Bott.],Tbl_Long_Section[[#This Row],[Nline Prev]])</f>
        <v>#N/A</v>
      </c>
      <c r="R135" s="161" t="e">
        <f>INDEX(Tbl_Long_Definition[H Deck-Bott.],Tbl_Long_Section[[#This Row],[Nline Next]])</f>
        <v>#N/A</v>
      </c>
      <c r="S135"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35" s="8"/>
      <c r="V135" s="873" t="e">
        <f t="shared" si="11"/>
        <v>#N/A</v>
      </c>
      <c r="W135" s="885" t="e">
        <f>MATCH(Tbl_Long_Hydro[[#This Row],[Draught]],Tbl_Long_Definition[H k-bott],-1)</f>
        <v>#N/A</v>
      </c>
      <c r="X135"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35" s="886" t="e">
        <f>MATCH(Tbl_Long_Hydro[[#This Row],[Draught]],Tbl_Long_Definition[H k-bott],1)</f>
        <v>#N/A</v>
      </c>
      <c r="Z135"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35" s="888" t="e">
        <f>IF(ISNA(Tbl_Long_Hydro[[#This Row],[Draught]]),NA(),IFERROR(INDEX(Tbl_Long_Definition[X],Tbl_Long_Hydro[[#This Row],[Aft Nline prev]]),0))</f>
        <v>#N/A</v>
      </c>
      <c r="AB135" s="889" t="e">
        <f>IF(ISNA(Tbl_Long_Hydro[[#This Row],[Draught]]),NA(),IFERROR(INDEX(Tbl_Long_Definition[X],Tbl_Long_Hydro[[#This Row],[Aft Nline next]]),0))</f>
        <v>#N/A</v>
      </c>
      <c r="AC135" s="889" t="e">
        <f>IF(ISNA(Tbl_Long_Hydro[[#This Row],[Draught]]),NA(),INDEX(Tbl_Long_Definition[H k-bott],Tbl_Long_Hydro[[#This Row],[Aft Nline prev]]))</f>
        <v>#N/A</v>
      </c>
      <c r="AD135" s="889" t="e">
        <f>IF(ISNA(Tbl_Long_Hydro[[#This Row],[Draught]]),NA(),INDEX(Tbl_Long_Definition[H k-bott],Tbl_Long_Hydro[[#This Row],[Aft Nline next]]))</f>
        <v>#N/A</v>
      </c>
      <c r="AE135" s="888" t="e">
        <f>IF(ISNA(Tbl_Long_Hydro[[#This Row],[Draught]]),NA(),IFERROR(INDEX(Tbl_Long_Definition[X],Tbl_Long_Hydro[[#This Row],[Fore Nline prev]]),0))</f>
        <v>#N/A</v>
      </c>
      <c r="AF135" s="889" t="e">
        <f>IF(ISNA(Tbl_Long_Hydro[[#This Row],[Draught]]),NA(),IFERROR(INDEX(Tbl_Long_Definition[X],Tbl_Long_Hydro[[#This Row],[Fore Nline next]]),0))</f>
        <v>#N/A</v>
      </c>
      <c r="AG135" s="889" t="e">
        <f>IF(ISNA(Tbl_Long_Hydro[[#This Row],[Draught]]),NA(),INDEX(Tbl_Long_Definition[H k-bott],Tbl_Long_Hydro[[#This Row],[Fore Nline prev]]))</f>
        <v>#N/A</v>
      </c>
      <c r="AH135" s="890" t="e">
        <f>IF(ISNA(Tbl_Long_Hydro[[#This Row],[Draught]]),NA(),INDEX(Tbl_Long_Definition[H k-bott],Tbl_Long_Hydro[[#This Row],[Fore Nline next]]))</f>
        <v>#N/A</v>
      </c>
      <c r="AI135"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35"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35" s="894" t="e">
        <f>Tbl_Long_Hydro[[#This Row],[Fore X]]-Tbl_Long_Hydro[[#This Row],[Aft X]]</f>
        <v>#N/A</v>
      </c>
      <c r="AL135" s="884" t="e">
        <f>Tbl_Long_Hydro[[#This Row],[LX]]*B</f>
        <v>#N/A</v>
      </c>
      <c r="AM135" s="892" t="e">
        <f>IF(ISNUMBER(AM134),(AK134+Tbl_Long_Hydro[[#This Row],[LX]])*(Tbl_Long_Hydro[[#This Row],[Draught]]-V134)/2*B,(Tbl_Long_Hydro[[#This Row],[LX]])*Tbl_Long_Hydro[[#This Row],[Draught]]*B)</f>
        <v>#N/A</v>
      </c>
      <c r="AN135" s="899" t="e">
        <f>Tbl_Long_Hydro[[#This Row],[Aft X]]+Tbl_Long_Hydro[[#This Row],[LX]]/2</f>
        <v>#N/A</v>
      </c>
      <c r="AO135" s="876" t="e">
        <f>IF(ISNUMBER(AO134),(2*Tbl_Long_Hydro[[#This Row],[LX]]+AK134)/(Tbl_Long_Hydro[[#This Row],[LX]]+AK134)*(Tbl_Long_Hydro[[#This Row],[Draught]]-V134)/3+V134,Tbl_Long_Hydro[[#This Row],[Draught]]/2)</f>
        <v>#N/A</v>
      </c>
      <c r="AP135" s="898" t="e">
        <f>IF(ISNUMBER(AP134),Tbl_Long_Hydro[[#This Row],[Volume elt]]+AP134,Tbl_Long_Hydro[[#This Row],[Volume elt]]*AO$4)</f>
        <v>#N/A</v>
      </c>
      <c r="AQ135" s="893" t="e">
        <f>IF(ISNUMBER(AQ134),Tbl_Long_Hydro[[#This Row],[Displacement]]*AQ$4,IF(ISNA(AQ134),NA(),0))</f>
        <v>#N/A</v>
      </c>
      <c r="AR135" s="900" t="e">
        <f>IF(ISNA(Tbl_Long_Hydro[[#This Row],[Draught]]),NA(),IFERROR(Tbl_Long_Hydro[[#This Row],[LX]]*B^3/12/Tbl_Long_Hydro[[#This Row],[Displacement]],0))</f>
        <v>#N/A</v>
      </c>
      <c r="AS135" s="903" t="e">
        <f>IF(ISNA(Tbl_Long_Hydro[[#This Row],[Draught]]),NA(),IFERROR((B*Tbl_Long_Hydro[[#This Row],[LX]]^3/12+(Tbl_Long_Hydro[[#This Row],[LCF]]-Tbl_Long_Hydro[[#This Row],[LCB]])*Tbl_Long_Hydro[[#This Row],[Waterplane area]]*Tbl_Long_Hydro[[#This Row],[LCF]]^2)/Tbl_Long_Hydro[[#This Row],[Displacement]],0))</f>
        <v>#N/A</v>
      </c>
      <c r="AT135" s="900" t="e">
        <f>Tbl_Long_Hydro[[#This Row],[Aft X]]+Tbl_Long_Hydro[[#This Row],[LX]]/2</f>
        <v>#N/A</v>
      </c>
      <c r="AU135" s="901" t="e">
        <f>IF(ISNUMBER(AU134),(AU134*AP134+Tbl_Long_Hydro[[#This Row],[X CoG elt]]*Tbl_Long_Hydro[[#This Row],[Volume elt]])/Tbl_Long_Hydro[[#This Row],[Displacement]],Tbl_Long_Hydro[[#This Row],[X CoG elt]])</f>
        <v>#N/A</v>
      </c>
      <c r="AV135" s="902" t="e">
        <f>IF(ISNA(Tbl_Long_Hydro[[#This Row],[Draught]]),NA(),0)</f>
        <v>#N/A</v>
      </c>
      <c r="AW135" s="876" t="e">
        <f>IF(ISNUMBER(AW134),(AW134*AP134+Tbl_Long_Hydro[[#This Row],[Z CoG elt]]*Tbl_Long_Hydro[[#This Row],[Volume elt]])/Tbl_Long_Hydro[[#This Row],[Displacement]],Tbl_Long_Hydro[[#This Row],[Z CoG elt]])</f>
        <v>#N/A</v>
      </c>
      <c r="AX135" s="899" t="e">
        <f>Tbl_Long_Hydro[[#This Row],[RMT]]+Tbl_Long_Hydro[[#This Row],[VCB]]</f>
        <v>#N/A</v>
      </c>
      <c r="AY135" s="904" t="e">
        <f>Tbl_Long_Hydro[[#This Row],[Displacement]]*Tbl_Long_Hydro[[#This Row],[RML]]/(100*Lpp)</f>
        <v>#N/A</v>
      </c>
      <c r="AZ135" s="956" t="e">
        <f>Tbl_Long_Hydro[[#This Row],[Draught]]</f>
        <v>#N/A</v>
      </c>
      <c r="BA135" s="959" t="e">
        <f>Tbl_Long_Hydro[[#This Row],[Displacement]]</f>
        <v>#N/A</v>
      </c>
      <c r="BB135" s="960" t="e">
        <f>Tbl_Long_Hydro[[#This Row],[Displac. SW]]</f>
        <v>#N/A</v>
      </c>
      <c r="BC135" s="964" t="e">
        <f>Tbl_Long_Hydro[[#This Row],[Waterplane area]]/100*$AQ$4</f>
        <v>#N/A</v>
      </c>
      <c r="BD135" s="961" t="e">
        <f>Tbl_Long_Hydro[[#This Row],[MCT]]</f>
        <v>#N/A</v>
      </c>
      <c r="BE135" s="962" t="e">
        <f>Tbl_Long_Hydro[[#This Row],[LCB]]</f>
        <v>#N/A</v>
      </c>
      <c r="BF135" s="962" t="e">
        <f>Tbl_Long_Hydro[[#This Row],[TCB]]</f>
        <v>#N/A</v>
      </c>
      <c r="BG135" s="962" t="e">
        <f>Tbl_Long_Hydro[[#This Row],[LCF]]</f>
        <v>#N/A</v>
      </c>
      <c r="BH135" s="963" t="e">
        <f>Tbl_Long_Hydro[[#This Row],[KMT]]</f>
        <v>#N/A</v>
      </c>
    </row>
    <row r="136" spans="11:60" x14ac:dyDescent="0.25">
      <c r="K136" s="156" t="e">
        <f t="shared" si="9"/>
        <v>#N/A</v>
      </c>
      <c r="L136" s="164" t="e">
        <f t="shared" si="10"/>
        <v>#N/A</v>
      </c>
      <c r="M136" s="262" t="e">
        <f>MATCH(Tbl_Long_Section[[#This Row],[X]],Tbl_Long_Definition[X],1)</f>
        <v>#N/A</v>
      </c>
      <c r="N136" s="262" t="e">
        <f>IF(Tbl_Long_Section[[#This Row],[Nline Prev]]&lt;COUNT(Tbl_Long_Definition[X]),Tbl_Long_Section[[#This Row],[Nline Prev]]+1,Tbl_Long_Section[[#This Row],[Nline Prev]])</f>
        <v>#N/A</v>
      </c>
      <c r="O136" s="162" t="e">
        <f>INDEX(Tbl_Long_Definition[X],Tbl_Long_Section[[#This Row],[Nline Prev]])</f>
        <v>#N/A</v>
      </c>
      <c r="P136" s="263" t="e">
        <f>INDEX(Tbl_Long_Definition[X],Tbl_Long_Section[[#This Row],[Nline Next]])</f>
        <v>#N/A</v>
      </c>
      <c r="Q136" s="160" t="e">
        <f>INDEX(Tbl_Long_Definition[H Deck-Bott.],Tbl_Long_Section[[#This Row],[Nline Prev]])</f>
        <v>#N/A</v>
      </c>
      <c r="R136" s="161" t="e">
        <f>INDEX(Tbl_Long_Definition[H Deck-Bott.],Tbl_Long_Section[[#This Row],[Nline Next]])</f>
        <v>#N/A</v>
      </c>
      <c r="S136"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36" s="8"/>
      <c r="V136" s="873" t="e">
        <f t="shared" si="11"/>
        <v>#N/A</v>
      </c>
      <c r="W136" s="885" t="e">
        <f>MATCH(Tbl_Long_Hydro[[#This Row],[Draught]],Tbl_Long_Definition[H k-bott],-1)</f>
        <v>#N/A</v>
      </c>
      <c r="X136"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36" s="886" t="e">
        <f>MATCH(Tbl_Long_Hydro[[#This Row],[Draught]],Tbl_Long_Definition[H k-bott],1)</f>
        <v>#N/A</v>
      </c>
      <c r="Z136"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36" s="888" t="e">
        <f>IF(ISNA(Tbl_Long_Hydro[[#This Row],[Draught]]),NA(),IFERROR(INDEX(Tbl_Long_Definition[X],Tbl_Long_Hydro[[#This Row],[Aft Nline prev]]),0))</f>
        <v>#N/A</v>
      </c>
      <c r="AB136" s="889" t="e">
        <f>IF(ISNA(Tbl_Long_Hydro[[#This Row],[Draught]]),NA(),IFERROR(INDEX(Tbl_Long_Definition[X],Tbl_Long_Hydro[[#This Row],[Aft Nline next]]),0))</f>
        <v>#N/A</v>
      </c>
      <c r="AC136" s="889" t="e">
        <f>IF(ISNA(Tbl_Long_Hydro[[#This Row],[Draught]]),NA(),INDEX(Tbl_Long_Definition[H k-bott],Tbl_Long_Hydro[[#This Row],[Aft Nline prev]]))</f>
        <v>#N/A</v>
      </c>
      <c r="AD136" s="889" t="e">
        <f>IF(ISNA(Tbl_Long_Hydro[[#This Row],[Draught]]),NA(),INDEX(Tbl_Long_Definition[H k-bott],Tbl_Long_Hydro[[#This Row],[Aft Nline next]]))</f>
        <v>#N/A</v>
      </c>
      <c r="AE136" s="888" t="e">
        <f>IF(ISNA(Tbl_Long_Hydro[[#This Row],[Draught]]),NA(),IFERROR(INDEX(Tbl_Long_Definition[X],Tbl_Long_Hydro[[#This Row],[Fore Nline prev]]),0))</f>
        <v>#N/A</v>
      </c>
      <c r="AF136" s="889" t="e">
        <f>IF(ISNA(Tbl_Long_Hydro[[#This Row],[Draught]]),NA(),IFERROR(INDEX(Tbl_Long_Definition[X],Tbl_Long_Hydro[[#This Row],[Fore Nline next]]),0))</f>
        <v>#N/A</v>
      </c>
      <c r="AG136" s="889" t="e">
        <f>IF(ISNA(Tbl_Long_Hydro[[#This Row],[Draught]]),NA(),INDEX(Tbl_Long_Definition[H k-bott],Tbl_Long_Hydro[[#This Row],[Fore Nline prev]]))</f>
        <v>#N/A</v>
      </c>
      <c r="AH136" s="890" t="e">
        <f>IF(ISNA(Tbl_Long_Hydro[[#This Row],[Draught]]),NA(),INDEX(Tbl_Long_Definition[H k-bott],Tbl_Long_Hydro[[#This Row],[Fore Nline next]]))</f>
        <v>#N/A</v>
      </c>
      <c r="AI136"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36"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36" s="894" t="e">
        <f>Tbl_Long_Hydro[[#This Row],[Fore X]]-Tbl_Long_Hydro[[#This Row],[Aft X]]</f>
        <v>#N/A</v>
      </c>
      <c r="AL136" s="884" t="e">
        <f>Tbl_Long_Hydro[[#This Row],[LX]]*B</f>
        <v>#N/A</v>
      </c>
      <c r="AM136" s="892" t="e">
        <f>IF(ISNUMBER(AM135),(AK135+Tbl_Long_Hydro[[#This Row],[LX]])*(Tbl_Long_Hydro[[#This Row],[Draught]]-V135)/2*B,(Tbl_Long_Hydro[[#This Row],[LX]])*Tbl_Long_Hydro[[#This Row],[Draught]]*B)</f>
        <v>#N/A</v>
      </c>
      <c r="AN136" s="899" t="e">
        <f>Tbl_Long_Hydro[[#This Row],[Aft X]]+Tbl_Long_Hydro[[#This Row],[LX]]/2</f>
        <v>#N/A</v>
      </c>
      <c r="AO136" s="876" t="e">
        <f>IF(ISNUMBER(AO135),(2*Tbl_Long_Hydro[[#This Row],[LX]]+AK135)/(Tbl_Long_Hydro[[#This Row],[LX]]+AK135)*(Tbl_Long_Hydro[[#This Row],[Draught]]-V135)/3+V135,Tbl_Long_Hydro[[#This Row],[Draught]]/2)</f>
        <v>#N/A</v>
      </c>
      <c r="AP136" s="898" t="e">
        <f>IF(ISNUMBER(AP135),Tbl_Long_Hydro[[#This Row],[Volume elt]]+AP135,Tbl_Long_Hydro[[#This Row],[Volume elt]]*AO$4)</f>
        <v>#N/A</v>
      </c>
      <c r="AQ136" s="893" t="e">
        <f>IF(ISNUMBER(AQ135),Tbl_Long_Hydro[[#This Row],[Displacement]]*AQ$4,IF(ISNA(AQ135),NA(),0))</f>
        <v>#N/A</v>
      </c>
      <c r="AR136" s="900" t="e">
        <f>IF(ISNA(Tbl_Long_Hydro[[#This Row],[Draught]]),NA(),IFERROR(Tbl_Long_Hydro[[#This Row],[LX]]*B^3/12/Tbl_Long_Hydro[[#This Row],[Displacement]],0))</f>
        <v>#N/A</v>
      </c>
      <c r="AS136" s="903" t="e">
        <f>IF(ISNA(Tbl_Long_Hydro[[#This Row],[Draught]]),NA(),IFERROR((B*Tbl_Long_Hydro[[#This Row],[LX]]^3/12+(Tbl_Long_Hydro[[#This Row],[LCF]]-Tbl_Long_Hydro[[#This Row],[LCB]])*Tbl_Long_Hydro[[#This Row],[Waterplane area]]*Tbl_Long_Hydro[[#This Row],[LCF]]^2)/Tbl_Long_Hydro[[#This Row],[Displacement]],0))</f>
        <v>#N/A</v>
      </c>
      <c r="AT136" s="900" t="e">
        <f>Tbl_Long_Hydro[[#This Row],[Aft X]]+Tbl_Long_Hydro[[#This Row],[LX]]/2</f>
        <v>#N/A</v>
      </c>
      <c r="AU136" s="901" t="e">
        <f>IF(ISNUMBER(AU135),(AU135*AP135+Tbl_Long_Hydro[[#This Row],[X CoG elt]]*Tbl_Long_Hydro[[#This Row],[Volume elt]])/Tbl_Long_Hydro[[#This Row],[Displacement]],Tbl_Long_Hydro[[#This Row],[X CoG elt]])</f>
        <v>#N/A</v>
      </c>
      <c r="AV136" s="902" t="e">
        <f>IF(ISNA(Tbl_Long_Hydro[[#This Row],[Draught]]),NA(),0)</f>
        <v>#N/A</v>
      </c>
      <c r="AW136" s="876" t="e">
        <f>IF(ISNUMBER(AW135),(AW135*AP135+Tbl_Long_Hydro[[#This Row],[Z CoG elt]]*Tbl_Long_Hydro[[#This Row],[Volume elt]])/Tbl_Long_Hydro[[#This Row],[Displacement]],Tbl_Long_Hydro[[#This Row],[Z CoG elt]])</f>
        <v>#N/A</v>
      </c>
      <c r="AX136" s="899" t="e">
        <f>Tbl_Long_Hydro[[#This Row],[RMT]]+Tbl_Long_Hydro[[#This Row],[VCB]]</f>
        <v>#N/A</v>
      </c>
      <c r="AY136" s="904" t="e">
        <f>Tbl_Long_Hydro[[#This Row],[Displacement]]*Tbl_Long_Hydro[[#This Row],[RML]]/(100*Lpp)</f>
        <v>#N/A</v>
      </c>
      <c r="AZ136" s="956" t="e">
        <f>Tbl_Long_Hydro[[#This Row],[Draught]]</f>
        <v>#N/A</v>
      </c>
      <c r="BA136" s="959" t="e">
        <f>Tbl_Long_Hydro[[#This Row],[Displacement]]</f>
        <v>#N/A</v>
      </c>
      <c r="BB136" s="960" t="e">
        <f>Tbl_Long_Hydro[[#This Row],[Displac. SW]]</f>
        <v>#N/A</v>
      </c>
      <c r="BC136" s="964" t="e">
        <f>Tbl_Long_Hydro[[#This Row],[Waterplane area]]/100*$AQ$4</f>
        <v>#N/A</v>
      </c>
      <c r="BD136" s="961" t="e">
        <f>Tbl_Long_Hydro[[#This Row],[MCT]]</f>
        <v>#N/A</v>
      </c>
      <c r="BE136" s="962" t="e">
        <f>Tbl_Long_Hydro[[#This Row],[LCB]]</f>
        <v>#N/A</v>
      </c>
      <c r="BF136" s="962" t="e">
        <f>Tbl_Long_Hydro[[#This Row],[TCB]]</f>
        <v>#N/A</v>
      </c>
      <c r="BG136" s="962" t="e">
        <f>Tbl_Long_Hydro[[#This Row],[LCF]]</f>
        <v>#N/A</v>
      </c>
      <c r="BH136" s="963" t="e">
        <f>Tbl_Long_Hydro[[#This Row],[KMT]]</f>
        <v>#N/A</v>
      </c>
    </row>
    <row r="137" spans="11:60" x14ac:dyDescent="0.25">
      <c r="K137" s="156" t="e">
        <f t="shared" si="9"/>
        <v>#N/A</v>
      </c>
      <c r="L137" s="164" t="e">
        <f t="shared" si="10"/>
        <v>#N/A</v>
      </c>
      <c r="M137" s="262" t="e">
        <f>MATCH(Tbl_Long_Section[[#This Row],[X]],Tbl_Long_Definition[X],1)</f>
        <v>#N/A</v>
      </c>
      <c r="N137" s="262" t="e">
        <f>IF(Tbl_Long_Section[[#This Row],[Nline Prev]]&lt;COUNT(Tbl_Long_Definition[X]),Tbl_Long_Section[[#This Row],[Nline Prev]]+1,Tbl_Long_Section[[#This Row],[Nline Prev]])</f>
        <v>#N/A</v>
      </c>
      <c r="O137" s="162" t="e">
        <f>INDEX(Tbl_Long_Definition[X],Tbl_Long_Section[[#This Row],[Nline Prev]])</f>
        <v>#N/A</v>
      </c>
      <c r="P137" s="263" t="e">
        <f>INDEX(Tbl_Long_Definition[X],Tbl_Long_Section[[#This Row],[Nline Next]])</f>
        <v>#N/A</v>
      </c>
      <c r="Q137" s="160" t="e">
        <f>INDEX(Tbl_Long_Definition[H Deck-Bott.],Tbl_Long_Section[[#This Row],[Nline Prev]])</f>
        <v>#N/A</v>
      </c>
      <c r="R137" s="161" t="e">
        <f>INDEX(Tbl_Long_Definition[H Deck-Bott.],Tbl_Long_Section[[#This Row],[Nline Next]])</f>
        <v>#N/A</v>
      </c>
      <c r="S137"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37" s="8"/>
      <c r="V137" s="873" t="e">
        <f t="shared" si="11"/>
        <v>#N/A</v>
      </c>
      <c r="W137" s="885" t="e">
        <f>MATCH(Tbl_Long_Hydro[[#This Row],[Draught]],Tbl_Long_Definition[H k-bott],-1)</f>
        <v>#N/A</v>
      </c>
      <c r="X137"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37" s="886" t="e">
        <f>MATCH(Tbl_Long_Hydro[[#This Row],[Draught]],Tbl_Long_Definition[H k-bott],1)</f>
        <v>#N/A</v>
      </c>
      <c r="Z137"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37" s="888" t="e">
        <f>IF(ISNA(Tbl_Long_Hydro[[#This Row],[Draught]]),NA(),IFERROR(INDEX(Tbl_Long_Definition[X],Tbl_Long_Hydro[[#This Row],[Aft Nline prev]]),0))</f>
        <v>#N/A</v>
      </c>
      <c r="AB137" s="889" t="e">
        <f>IF(ISNA(Tbl_Long_Hydro[[#This Row],[Draught]]),NA(),IFERROR(INDEX(Tbl_Long_Definition[X],Tbl_Long_Hydro[[#This Row],[Aft Nline next]]),0))</f>
        <v>#N/A</v>
      </c>
      <c r="AC137" s="889" t="e">
        <f>IF(ISNA(Tbl_Long_Hydro[[#This Row],[Draught]]),NA(),INDEX(Tbl_Long_Definition[H k-bott],Tbl_Long_Hydro[[#This Row],[Aft Nline prev]]))</f>
        <v>#N/A</v>
      </c>
      <c r="AD137" s="889" t="e">
        <f>IF(ISNA(Tbl_Long_Hydro[[#This Row],[Draught]]),NA(),INDEX(Tbl_Long_Definition[H k-bott],Tbl_Long_Hydro[[#This Row],[Aft Nline next]]))</f>
        <v>#N/A</v>
      </c>
      <c r="AE137" s="888" t="e">
        <f>IF(ISNA(Tbl_Long_Hydro[[#This Row],[Draught]]),NA(),IFERROR(INDEX(Tbl_Long_Definition[X],Tbl_Long_Hydro[[#This Row],[Fore Nline prev]]),0))</f>
        <v>#N/A</v>
      </c>
      <c r="AF137" s="889" t="e">
        <f>IF(ISNA(Tbl_Long_Hydro[[#This Row],[Draught]]),NA(),IFERROR(INDEX(Tbl_Long_Definition[X],Tbl_Long_Hydro[[#This Row],[Fore Nline next]]),0))</f>
        <v>#N/A</v>
      </c>
      <c r="AG137" s="889" t="e">
        <f>IF(ISNA(Tbl_Long_Hydro[[#This Row],[Draught]]),NA(),INDEX(Tbl_Long_Definition[H k-bott],Tbl_Long_Hydro[[#This Row],[Fore Nline prev]]))</f>
        <v>#N/A</v>
      </c>
      <c r="AH137" s="890" t="e">
        <f>IF(ISNA(Tbl_Long_Hydro[[#This Row],[Draught]]),NA(),INDEX(Tbl_Long_Definition[H k-bott],Tbl_Long_Hydro[[#This Row],[Fore Nline next]]))</f>
        <v>#N/A</v>
      </c>
      <c r="AI137"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37"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37" s="894" t="e">
        <f>Tbl_Long_Hydro[[#This Row],[Fore X]]-Tbl_Long_Hydro[[#This Row],[Aft X]]</f>
        <v>#N/A</v>
      </c>
      <c r="AL137" s="884" t="e">
        <f>Tbl_Long_Hydro[[#This Row],[LX]]*B</f>
        <v>#N/A</v>
      </c>
      <c r="AM137" s="892" t="e">
        <f>IF(ISNUMBER(AM136),(AK136+Tbl_Long_Hydro[[#This Row],[LX]])*(Tbl_Long_Hydro[[#This Row],[Draught]]-V136)/2*B,(Tbl_Long_Hydro[[#This Row],[LX]])*Tbl_Long_Hydro[[#This Row],[Draught]]*B)</f>
        <v>#N/A</v>
      </c>
      <c r="AN137" s="899" t="e">
        <f>Tbl_Long_Hydro[[#This Row],[Aft X]]+Tbl_Long_Hydro[[#This Row],[LX]]/2</f>
        <v>#N/A</v>
      </c>
      <c r="AO137" s="876" t="e">
        <f>IF(ISNUMBER(AO136),(2*Tbl_Long_Hydro[[#This Row],[LX]]+AK136)/(Tbl_Long_Hydro[[#This Row],[LX]]+AK136)*(Tbl_Long_Hydro[[#This Row],[Draught]]-V136)/3+V136,Tbl_Long_Hydro[[#This Row],[Draught]]/2)</f>
        <v>#N/A</v>
      </c>
      <c r="AP137" s="898" t="e">
        <f>IF(ISNUMBER(AP136),Tbl_Long_Hydro[[#This Row],[Volume elt]]+AP136,Tbl_Long_Hydro[[#This Row],[Volume elt]]*AO$4)</f>
        <v>#N/A</v>
      </c>
      <c r="AQ137" s="893" t="e">
        <f>IF(ISNUMBER(AQ136),Tbl_Long_Hydro[[#This Row],[Displacement]]*AQ$4,IF(ISNA(AQ136),NA(),0))</f>
        <v>#N/A</v>
      </c>
      <c r="AR137" s="900" t="e">
        <f>IF(ISNA(Tbl_Long_Hydro[[#This Row],[Draught]]),NA(),IFERROR(Tbl_Long_Hydro[[#This Row],[LX]]*B^3/12/Tbl_Long_Hydro[[#This Row],[Displacement]],0))</f>
        <v>#N/A</v>
      </c>
      <c r="AS137" s="903" t="e">
        <f>IF(ISNA(Tbl_Long_Hydro[[#This Row],[Draught]]),NA(),IFERROR((B*Tbl_Long_Hydro[[#This Row],[LX]]^3/12+(Tbl_Long_Hydro[[#This Row],[LCF]]-Tbl_Long_Hydro[[#This Row],[LCB]])*Tbl_Long_Hydro[[#This Row],[Waterplane area]]*Tbl_Long_Hydro[[#This Row],[LCF]]^2)/Tbl_Long_Hydro[[#This Row],[Displacement]],0))</f>
        <v>#N/A</v>
      </c>
      <c r="AT137" s="900" t="e">
        <f>Tbl_Long_Hydro[[#This Row],[Aft X]]+Tbl_Long_Hydro[[#This Row],[LX]]/2</f>
        <v>#N/A</v>
      </c>
      <c r="AU137" s="901" t="e">
        <f>IF(ISNUMBER(AU136),(AU136*AP136+Tbl_Long_Hydro[[#This Row],[X CoG elt]]*Tbl_Long_Hydro[[#This Row],[Volume elt]])/Tbl_Long_Hydro[[#This Row],[Displacement]],Tbl_Long_Hydro[[#This Row],[X CoG elt]])</f>
        <v>#N/A</v>
      </c>
      <c r="AV137" s="902" t="e">
        <f>IF(ISNA(Tbl_Long_Hydro[[#This Row],[Draught]]),NA(),0)</f>
        <v>#N/A</v>
      </c>
      <c r="AW137" s="876" t="e">
        <f>IF(ISNUMBER(AW136),(AW136*AP136+Tbl_Long_Hydro[[#This Row],[Z CoG elt]]*Tbl_Long_Hydro[[#This Row],[Volume elt]])/Tbl_Long_Hydro[[#This Row],[Displacement]],Tbl_Long_Hydro[[#This Row],[Z CoG elt]])</f>
        <v>#N/A</v>
      </c>
      <c r="AX137" s="899" t="e">
        <f>Tbl_Long_Hydro[[#This Row],[RMT]]+Tbl_Long_Hydro[[#This Row],[VCB]]</f>
        <v>#N/A</v>
      </c>
      <c r="AY137" s="904" t="e">
        <f>Tbl_Long_Hydro[[#This Row],[Displacement]]*Tbl_Long_Hydro[[#This Row],[RML]]/(100*Lpp)</f>
        <v>#N/A</v>
      </c>
      <c r="AZ137" s="956" t="e">
        <f>Tbl_Long_Hydro[[#This Row],[Draught]]</f>
        <v>#N/A</v>
      </c>
      <c r="BA137" s="959" t="e">
        <f>Tbl_Long_Hydro[[#This Row],[Displacement]]</f>
        <v>#N/A</v>
      </c>
      <c r="BB137" s="960" t="e">
        <f>Tbl_Long_Hydro[[#This Row],[Displac. SW]]</f>
        <v>#N/A</v>
      </c>
      <c r="BC137" s="964" t="e">
        <f>Tbl_Long_Hydro[[#This Row],[Waterplane area]]/100*$AQ$4</f>
        <v>#N/A</v>
      </c>
      <c r="BD137" s="961" t="e">
        <f>Tbl_Long_Hydro[[#This Row],[MCT]]</f>
        <v>#N/A</v>
      </c>
      <c r="BE137" s="962" t="e">
        <f>Tbl_Long_Hydro[[#This Row],[LCB]]</f>
        <v>#N/A</v>
      </c>
      <c r="BF137" s="962" t="e">
        <f>Tbl_Long_Hydro[[#This Row],[TCB]]</f>
        <v>#N/A</v>
      </c>
      <c r="BG137" s="962" t="e">
        <f>Tbl_Long_Hydro[[#This Row],[LCF]]</f>
        <v>#N/A</v>
      </c>
      <c r="BH137" s="963" t="e">
        <f>Tbl_Long_Hydro[[#This Row],[KMT]]</f>
        <v>#N/A</v>
      </c>
    </row>
    <row r="138" spans="11:60" x14ac:dyDescent="0.25">
      <c r="K138" s="156" t="e">
        <f t="shared" si="9"/>
        <v>#N/A</v>
      </c>
      <c r="L138" s="164" t="e">
        <f t="shared" si="10"/>
        <v>#N/A</v>
      </c>
      <c r="M138" s="262" t="e">
        <f>MATCH(Tbl_Long_Section[[#This Row],[X]],Tbl_Long_Definition[X],1)</f>
        <v>#N/A</v>
      </c>
      <c r="N138" s="262" t="e">
        <f>IF(Tbl_Long_Section[[#This Row],[Nline Prev]]&lt;COUNT(Tbl_Long_Definition[X]),Tbl_Long_Section[[#This Row],[Nline Prev]]+1,Tbl_Long_Section[[#This Row],[Nline Prev]])</f>
        <v>#N/A</v>
      </c>
      <c r="O138" s="162" t="e">
        <f>INDEX(Tbl_Long_Definition[X],Tbl_Long_Section[[#This Row],[Nline Prev]])</f>
        <v>#N/A</v>
      </c>
      <c r="P138" s="263" t="e">
        <f>INDEX(Tbl_Long_Definition[X],Tbl_Long_Section[[#This Row],[Nline Next]])</f>
        <v>#N/A</v>
      </c>
      <c r="Q138" s="160" t="e">
        <f>INDEX(Tbl_Long_Definition[H Deck-Bott.],Tbl_Long_Section[[#This Row],[Nline Prev]])</f>
        <v>#N/A</v>
      </c>
      <c r="R138" s="161" t="e">
        <f>INDEX(Tbl_Long_Definition[H Deck-Bott.],Tbl_Long_Section[[#This Row],[Nline Next]])</f>
        <v>#N/A</v>
      </c>
      <c r="S138"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38" s="8"/>
      <c r="V138" s="873" t="e">
        <f t="shared" si="11"/>
        <v>#N/A</v>
      </c>
      <c r="W138" s="885" t="e">
        <f>MATCH(Tbl_Long_Hydro[[#This Row],[Draught]],Tbl_Long_Definition[H k-bott],-1)</f>
        <v>#N/A</v>
      </c>
      <c r="X138"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38" s="886" t="e">
        <f>MATCH(Tbl_Long_Hydro[[#This Row],[Draught]],Tbl_Long_Definition[H k-bott],1)</f>
        <v>#N/A</v>
      </c>
      <c r="Z138"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38" s="888" t="e">
        <f>IF(ISNA(Tbl_Long_Hydro[[#This Row],[Draught]]),NA(),IFERROR(INDEX(Tbl_Long_Definition[X],Tbl_Long_Hydro[[#This Row],[Aft Nline prev]]),0))</f>
        <v>#N/A</v>
      </c>
      <c r="AB138" s="889" t="e">
        <f>IF(ISNA(Tbl_Long_Hydro[[#This Row],[Draught]]),NA(),IFERROR(INDEX(Tbl_Long_Definition[X],Tbl_Long_Hydro[[#This Row],[Aft Nline next]]),0))</f>
        <v>#N/A</v>
      </c>
      <c r="AC138" s="889" t="e">
        <f>IF(ISNA(Tbl_Long_Hydro[[#This Row],[Draught]]),NA(),INDEX(Tbl_Long_Definition[H k-bott],Tbl_Long_Hydro[[#This Row],[Aft Nline prev]]))</f>
        <v>#N/A</v>
      </c>
      <c r="AD138" s="889" t="e">
        <f>IF(ISNA(Tbl_Long_Hydro[[#This Row],[Draught]]),NA(),INDEX(Tbl_Long_Definition[H k-bott],Tbl_Long_Hydro[[#This Row],[Aft Nline next]]))</f>
        <v>#N/A</v>
      </c>
      <c r="AE138" s="888" t="e">
        <f>IF(ISNA(Tbl_Long_Hydro[[#This Row],[Draught]]),NA(),IFERROR(INDEX(Tbl_Long_Definition[X],Tbl_Long_Hydro[[#This Row],[Fore Nline prev]]),0))</f>
        <v>#N/A</v>
      </c>
      <c r="AF138" s="889" t="e">
        <f>IF(ISNA(Tbl_Long_Hydro[[#This Row],[Draught]]),NA(),IFERROR(INDEX(Tbl_Long_Definition[X],Tbl_Long_Hydro[[#This Row],[Fore Nline next]]),0))</f>
        <v>#N/A</v>
      </c>
      <c r="AG138" s="889" t="e">
        <f>IF(ISNA(Tbl_Long_Hydro[[#This Row],[Draught]]),NA(),INDEX(Tbl_Long_Definition[H k-bott],Tbl_Long_Hydro[[#This Row],[Fore Nline prev]]))</f>
        <v>#N/A</v>
      </c>
      <c r="AH138" s="890" t="e">
        <f>IF(ISNA(Tbl_Long_Hydro[[#This Row],[Draught]]),NA(),INDEX(Tbl_Long_Definition[H k-bott],Tbl_Long_Hydro[[#This Row],[Fore Nline next]]))</f>
        <v>#N/A</v>
      </c>
      <c r="AI138"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38"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38" s="894" t="e">
        <f>Tbl_Long_Hydro[[#This Row],[Fore X]]-Tbl_Long_Hydro[[#This Row],[Aft X]]</f>
        <v>#N/A</v>
      </c>
      <c r="AL138" s="884" t="e">
        <f>Tbl_Long_Hydro[[#This Row],[LX]]*B</f>
        <v>#N/A</v>
      </c>
      <c r="AM138" s="892" t="e">
        <f>IF(ISNUMBER(AM137),(AK137+Tbl_Long_Hydro[[#This Row],[LX]])*(Tbl_Long_Hydro[[#This Row],[Draught]]-V137)/2*B,(Tbl_Long_Hydro[[#This Row],[LX]])*Tbl_Long_Hydro[[#This Row],[Draught]]*B)</f>
        <v>#N/A</v>
      </c>
      <c r="AN138" s="899" t="e">
        <f>Tbl_Long_Hydro[[#This Row],[Aft X]]+Tbl_Long_Hydro[[#This Row],[LX]]/2</f>
        <v>#N/A</v>
      </c>
      <c r="AO138" s="876" t="e">
        <f>IF(ISNUMBER(AO137),(2*Tbl_Long_Hydro[[#This Row],[LX]]+AK137)/(Tbl_Long_Hydro[[#This Row],[LX]]+AK137)*(Tbl_Long_Hydro[[#This Row],[Draught]]-V137)/3+V137,Tbl_Long_Hydro[[#This Row],[Draught]]/2)</f>
        <v>#N/A</v>
      </c>
      <c r="AP138" s="898" t="e">
        <f>IF(ISNUMBER(AP137),Tbl_Long_Hydro[[#This Row],[Volume elt]]+AP137,Tbl_Long_Hydro[[#This Row],[Volume elt]]*AO$4)</f>
        <v>#N/A</v>
      </c>
      <c r="AQ138" s="893" t="e">
        <f>IF(ISNUMBER(AQ137),Tbl_Long_Hydro[[#This Row],[Displacement]]*AQ$4,IF(ISNA(AQ137),NA(),0))</f>
        <v>#N/A</v>
      </c>
      <c r="AR138" s="900" t="e">
        <f>IF(ISNA(Tbl_Long_Hydro[[#This Row],[Draught]]),NA(),IFERROR(Tbl_Long_Hydro[[#This Row],[LX]]*B^3/12/Tbl_Long_Hydro[[#This Row],[Displacement]],0))</f>
        <v>#N/A</v>
      </c>
      <c r="AS138" s="903" t="e">
        <f>IF(ISNA(Tbl_Long_Hydro[[#This Row],[Draught]]),NA(),IFERROR((B*Tbl_Long_Hydro[[#This Row],[LX]]^3/12+(Tbl_Long_Hydro[[#This Row],[LCF]]-Tbl_Long_Hydro[[#This Row],[LCB]])*Tbl_Long_Hydro[[#This Row],[Waterplane area]]*Tbl_Long_Hydro[[#This Row],[LCF]]^2)/Tbl_Long_Hydro[[#This Row],[Displacement]],0))</f>
        <v>#N/A</v>
      </c>
      <c r="AT138" s="900" t="e">
        <f>Tbl_Long_Hydro[[#This Row],[Aft X]]+Tbl_Long_Hydro[[#This Row],[LX]]/2</f>
        <v>#N/A</v>
      </c>
      <c r="AU138" s="901" t="e">
        <f>IF(ISNUMBER(AU137),(AU137*AP137+Tbl_Long_Hydro[[#This Row],[X CoG elt]]*Tbl_Long_Hydro[[#This Row],[Volume elt]])/Tbl_Long_Hydro[[#This Row],[Displacement]],Tbl_Long_Hydro[[#This Row],[X CoG elt]])</f>
        <v>#N/A</v>
      </c>
      <c r="AV138" s="902" t="e">
        <f>IF(ISNA(Tbl_Long_Hydro[[#This Row],[Draught]]),NA(),0)</f>
        <v>#N/A</v>
      </c>
      <c r="AW138" s="876" t="e">
        <f>IF(ISNUMBER(AW137),(AW137*AP137+Tbl_Long_Hydro[[#This Row],[Z CoG elt]]*Tbl_Long_Hydro[[#This Row],[Volume elt]])/Tbl_Long_Hydro[[#This Row],[Displacement]],Tbl_Long_Hydro[[#This Row],[Z CoG elt]])</f>
        <v>#N/A</v>
      </c>
      <c r="AX138" s="899" t="e">
        <f>Tbl_Long_Hydro[[#This Row],[RMT]]+Tbl_Long_Hydro[[#This Row],[VCB]]</f>
        <v>#N/A</v>
      </c>
      <c r="AY138" s="904" t="e">
        <f>Tbl_Long_Hydro[[#This Row],[Displacement]]*Tbl_Long_Hydro[[#This Row],[RML]]/(100*Lpp)</f>
        <v>#N/A</v>
      </c>
      <c r="AZ138" s="956" t="e">
        <f>Tbl_Long_Hydro[[#This Row],[Draught]]</f>
        <v>#N/A</v>
      </c>
      <c r="BA138" s="959" t="e">
        <f>Tbl_Long_Hydro[[#This Row],[Displacement]]</f>
        <v>#N/A</v>
      </c>
      <c r="BB138" s="960" t="e">
        <f>Tbl_Long_Hydro[[#This Row],[Displac. SW]]</f>
        <v>#N/A</v>
      </c>
      <c r="BC138" s="964" t="e">
        <f>Tbl_Long_Hydro[[#This Row],[Waterplane area]]/100*$AQ$4</f>
        <v>#N/A</v>
      </c>
      <c r="BD138" s="961" t="e">
        <f>Tbl_Long_Hydro[[#This Row],[MCT]]</f>
        <v>#N/A</v>
      </c>
      <c r="BE138" s="962" t="e">
        <f>Tbl_Long_Hydro[[#This Row],[LCB]]</f>
        <v>#N/A</v>
      </c>
      <c r="BF138" s="962" t="e">
        <f>Tbl_Long_Hydro[[#This Row],[TCB]]</f>
        <v>#N/A</v>
      </c>
      <c r="BG138" s="962" t="e">
        <f>Tbl_Long_Hydro[[#This Row],[LCF]]</f>
        <v>#N/A</v>
      </c>
      <c r="BH138" s="963" t="e">
        <f>Tbl_Long_Hydro[[#This Row],[KMT]]</f>
        <v>#N/A</v>
      </c>
    </row>
    <row r="139" spans="11:60" x14ac:dyDescent="0.25">
      <c r="K139" s="156" t="e">
        <f t="shared" si="9"/>
        <v>#N/A</v>
      </c>
      <c r="L139" s="164" t="e">
        <f t="shared" si="10"/>
        <v>#N/A</v>
      </c>
      <c r="M139" s="262" t="e">
        <f>MATCH(Tbl_Long_Section[[#This Row],[X]],Tbl_Long_Definition[X],1)</f>
        <v>#N/A</v>
      </c>
      <c r="N139" s="262" t="e">
        <f>IF(Tbl_Long_Section[[#This Row],[Nline Prev]]&lt;COUNT(Tbl_Long_Definition[X]),Tbl_Long_Section[[#This Row],[Nline Prev]]+1,Tbl_Long_Section[[#This Row],[Nline Prev]])</f>
        <v>#N/A</v>
      </c>
      <c r="O139" s="162" t="e">
        <f>INDEX(Tbl_Long_Definition[X],Tbl_Long_Section[[#This Row],[Nline Prev]])</f>
        <v>#N/A</v>
      </c>
      <c r="P139" s="263" t="e">
        <f>INDEX(Tbl_Long_Definition[X],Tbl_Long_Section[[#This Row],[Nline Next]])</f>
        <v>#N/A</v>
      </c>
      <c r="Q139" s="160" t="e">
        <f>INDEX(Tbl_Long_Definition[H Deck-Bott.],Tbl_Long_Section[[#This Row],[Nline Prev]])</f>
        <v>#N/A</v>
      </c>
      <c r="R139" s="161" t="e">
        <f>INDEX(Tbl_Long_Definition[H Deck-Bott.],Tbl_Long_Section[[#This Row],[Nline Next]])</f>
        <v>#N/A</v>
      </c>
      <c r="S139"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39" s="8"/>
      <c r="V139" s="873" t="e">
        <f t="shared" si="11"/>
        <v>#N/A</v>
      </c>
      <c r="W139" s="885" t="e">
        <f>MATCH(Tbl_Long_Hydro[[#This Row],[Draught]],Tbl_Long_Definition[H k-bott],-1)</f>
        <v>#N/A</v>
      </c>
      <c r="X139"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39" s="886" t="e">
        <f>MATCH(Tbl_Long_Hydro[[#This Row],[Draught]],Tbl_Long_Definition[H k-bott],1)</f>
        <v>#N/A</v>
      </c>
      <c r="Z139"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39" s="888" t="e">
        <f>IF(ISNA(Tbl_Long_Hydro[[#This Row],[Draught]]),NA(),IFERROR(INDEX(Tbl_Long_Definition[X],Tbl_Long_Hydro[[#This Row],[Aft Nline prev]]),0))</f>
        <v>#N/A</v>
      </c>
      <c r="AB139" s="889" t="e">
        <f>IF(ISNA(Tbl_Long_Hydro[[#This Row],[Draught]]),NA(),IFERROR(INDEX(Tbl_Long_Definition[X],Tbl_Long_Hydro[[#This Row],[Aft Nline next]]),0))</f>
        <v>#N/A</v>
      </c>
      <c r="AC139" s="889" t="e">
        <f>IF(ISNA(Tbl_Long_Hydro[[#This Row],[Draught]]),NA(),INDEX(Tbl_Long_Definition[H k-bott],Tbl_Long_Hydro[[#This Row],[Aft Nline prev]]))</f>
        <v>#N/A</v>
      </c>
      <c r="AD139" s="889" t="e">
        <f>IF(ISNA(Tbl_Long_Hydro[[#This Row],[Draught]]),NA(),INDEX(Tbl_Long_Definition[H k-bott],Tbl_Long_Hydro[[#This Row],[Aft Nline next]]))</f>
        <v>#N/A</v>
      </c>
      <c r="AE139" s="888" t="e">
        <f>IF(ISNA(Tbl_Long_Hydro[[#This Row],[Draught]]),NA(),IFERROR(INDEX(Tbl_Long_Definition[X],Tbl_Long_Hydro[[#This Row],[Fore Nline prev]]),0))</f>
        <v>#N/A</v>
      </c>
      <c r="AF139" s="889" t="e">
        <f>IF(ISNA(Tbl_Long_Hydro[[#This Row],[Draught]]),NA(),IFERROR(INDEX(Tbl_Long_Definition[X],Tbl_Long_Hydro[[#This Row],[Fore Nline next]]),0))</f>
        <v>#N/A</v>
      </c>
      <c r="AG139" s="889" t="e">
        <f>IF(ISNA(Tbl_Long_Hydro[[#This Row],[Draught]]),NA(),INDEX(Tbl_Long_Definition[H k-bott],Tbl_Long_Hydro[[#This Row],[Fore Nline prev]]))</f>
        <v>#N/A</v>
      </c>
      <c r="AH139" s="890" t="e">
        <f>IF(ISNA(Tbl_Long_Hydro[[#This Row],[Draught]]),NA(),INDEX(Tbl_Long_Definition[H k-bott],Tbl_Long_Hydro[[#This Row],[Fore Nline next]]))</f>
        <v>#N/A</v>
      </c>
      <c r="AI139"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39"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39" s="894" t="e">
        <f>Tbl_Long_Hydro[[#This Row],[Fore X]]-Tbl_Long_Hydro[[#This Row],[Aft X]]</f>
        <v>#N/A</v>
      </c>
      <c r="AL139" s="884" t="e">
        <f>Tbl_Long_Hydro[[#This Row],[LX]]*B</f>
        <v>#N/A</v>
      </c>
      <c r="AM139" s="892" t="e">
        <f>IF(ISNUMBER(AM138),(AK138+Tbl_Long_Hydro[[#This Row],[LX]])*(Tbl_Long_Hydro[[#This Row],[Draught]]-V138)/2*B,(Tbl_Long_Hydro[[#This Row],[LX]])*Tbl_Long_Hydro[[#This Row],[Draught]]*B)</f>
        <v>#N/A</v>
      </c>
      <c r="AN139" s="899" t="e">
        <f>Tbl_Long_Hydro[[#This Row],[Aft X]]+Tbl_Long_Hydro[[#This Row],[LX]]/2</f>
        <v>#N/A</v>
      </c>
      <c r="AO139" s="876" t="e">
        <f>IF(ISNUMBER(AO138),(2*Tbl_Long_Hydro[[#This Row],[LX]]+AK138)/(Tbl_Long_Hydro[[#This Row],[LX]]+AK138)*(Tbl_Long_Hydro[[#This Row],[Draught]]-V138)/3+V138,Tbl_Long_Hydro[[#This Row],[Draught]]/2)</f>
        <v>#N/A</v>
      </c>
      <c r="AP139" s="898" t="e">
        <f>IF(ISNUMBER(AP138),Tbl_Long_Hydro[[#This Row],[Volume elt]]+AP138,Tbl_Long_Hydro[[#This Row],[Volume elt]]*AO$4)</f>
        <v>#N/A</v>
      </c>
      <c r="AQ139" s="893" t="e">
        <f>IF(ISNUMBER(AQ138),Tbl_Long_Hydro[[#This Row],[Displacement]]*AQ$4,IF(ISNA(AQ138),NA(),0))</f>
        <v>#N/A</v>
      </c>
      <c r="AR139" s="900" t="e">
        <f>IF(ISNA(Tbl_Long_Hydro[[#This Row],[Draught]]),NA(),IFERROR(Tbl_Long_Hydro[[#This Row],[LX]]*B^3/12/Tbl_Long_Hydro[[#This Row],[Displacement]],0))</f>
        <v>#N/A</v>
      </c>
      <c r="AS139" s="903" t="e">
        <f>IF(ISNA(Tbl_Long_Hydro[[#This Row],[Draught]]),NA(),IFERROR((B*Tbl_Long_Hydro[[#This Row],[LX]]^3/12+(Tbl_Long_Hydro[[#This Row],[LCF]]-Tbl_Long_Hydro[[#This Row],[LCB]])*Tbl_Long_Hydro[[#This Row],[Waterplane area]]*Tbl_Long_Hydro[[#This Row],[LCF]]^2)/Tbl_Long_Hydro[[#This Row],[Displacement]],0))</f>
        <v>#N/A</v>
      </c>
      <c r="AT139" s="900" t="e">
        <f>Tbl_Long_Hydro[[#This Row],[Aft X]]+Tbl_Long_Hydro[[#This Row],[LX]]/2</f>
        <v>#N/A</v>
      </c>
      <c r="AU139" s="901" t="e">
        <f>IF(ISNUMBER(AU138),(AU138*AP138+Tbl_Long_Hydro[[#This Row],[X CoG elt]]*Tbl_Long_Hydro[[#This Row],[Volume elt]])/Tbl_Long_Hydro[[#This Row],[Displacement]],Tbl_Long_Hydro[[#This Row],[X CoG elt]])</f>
        <v>#N/A</v>
      </c>
      <c r="AV139" s="902" t="e">
        <f>IF(ISNA(Tbl_Long_Hydro[[#This Row],[Draught]]),NA(),0)</f>
        <v>#N/A</v>
      </c>
      <c r="AW139" s="876" t="e">
        <f>IF(ISNUMBER(AW138),(AW138*AP138+Tbl_Long_Hydro[[#This Row],[Z CoG elt]]*Tbl_Long_Hydro[[#This Row],[Volume elt]])/Tbl_Long_Hydro[[#This Row],[Displacement]],Tbl_Long_Hydro[[#This Row],[Z CoG elt]])</f>
        <v>#N/A</v>
      </c>
      <c r="AX139" s="899" t="e">
        <f>Tbl_Long_Hydro[[#This Row],[RMT]]+Tbl_Long_Hydro[[#This Row],[VCB]]</f>
        <v>#N/A</v>
      </c>
      <c r="AY139" s="904" t="e">
        <f>Tbl_Long_Hydro[[#This Row],[Displacement]]*Tbl_Long_Hydro[[#This Row],[RML]]/(100*Lpp)</f>
        <v>#N/A</v>
      </c>
      <c r="AZ139" s="956" t="e">
        <f>Tbl_Long_Hydro[[#This Row],[Draught]]</f>
        <v>#N/A</v>
      </c>
      <c r="BA139" s="959" t="e">
        <f>Tbl_Long_Hydro[[#This Row],[Displacement]]</f>
        <v>#N/A</v>
      </c>
      <c r="BB139" s="960" t="e">
        <f>Tbl_Long_Hydro[[#This Row],[Displac. SW]]</f>
        <v>#N/A</v>
      </c>
      <c r="BC139" s="964" t="e">
        <f>Tbl_Long_Hydro[[#This Row],[Waterplane area]]/100*$AQ$4</f>
        <v>#N/A</v>
      </c>
      <c r="BD139" s="961" t="e">
        <f>Tbl_Long_Hydro[[#This Row],[MCT]]</f>
        <v>#N/A</v>
      </c>
      <c r="BE139" s="962" t="e">
        <f>Tbl_Long_Hydro[[#This Row],[LCB]]</f>
        <v>#N/A</v>
      </c>
      <c r="BF139" s="962" t="e">
        <f>Tbl_Long_Hydro[[#This Row],[TCB]]</f>
        <v>#N/A</v>
      </c>
      <c r="BG139" s="962" t="e">
        <f>Tbl_Long_Hydro[[#This Row],[LCF]]</f>
        <v>#N/A</v>
      </c>
      <c r="BH139" s="963" t="e">
        <f>Tbl_Long_Hydro[[#This Row],[KMT]]</f>
        <v>#N/A</v>
      </c>
    </row>
    <row r="140" spans="11:60" x14ac:dyDescent="0.25">
      <c r="K140" s="156" t="e">
        <f t="shared" si="9"/>
        <v>#N/A</v>
      </c>
      <c r="L140" s="164" t="e">
        <f t="shared" si="10"/>
        <v>#N/A</v>
      </c>
      <c r="M140" s="262" t="e">
        <f>MATCH(Tbl_Long_Section[[#This Row],[X]],Tbl_Long_Definition[X],1)</f>
        <v>#N/A</v>
      </c>
      <c r="N140" s="262" t="e">
        <f>IF(Tbl_Long_Section[[#This Row],[Nline Prev]]&lt;COUNT(Tbl_Long_Definition[X]),Tbl_Long_Section[[#This Row],[Nline Prev]]+1,Tbl_Long_Section[[#This Row],[Nline Prev]])</f>
        <v>#N/A</v>
      </c>
      <c r="O140" s="162" t="e">
        <f>INDEX(Tbl_Long_Definition[X],Tbl_Long_Section[[#This Row],[Nline Prev]])</f>
        <v>#N/A</v>
      </c>
      <c r="P140" s="263" t="e">
        <f>INDEX(Tbl_Long_Definition[X],Tbl_Long_Section[[#This Row],[Nline Next]])</f>
        <v>#N/A</v>
      </c>
      <c r="Q140" s="160" t="e">
        <f>INDEX(Tbl_Long_Definition[H Deck-Bott.],Tbl_Long_Section[[#This Row],[Nline Prev]])</f>
        <v>#N/A</v>
      </c>
      <c r="R140" s="161" t="e">
        <f>INDEX(Tbl_Long_Definition[H Deck-Bott.],Tbl_Long_Section[[#This Row],[Nline Next]])</f>
        <v>#N/A</v>
      </c>
      <c r="S140"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40" s="8"/>
      <c r="V140" s="873" t="e">
        <f t="shared" si="11"/>
        <v>#N/A</v>
      </c>
      <c r="W140" s="885" t="e">
        <f>MATCH(Tbl_Long_Hydro[[#This Row],[Draught]],Tbl_Long_Definition[H k-bott],-1)</f>
        <v>#N/A</v>
      </c>
      <c r="X140"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40" s="886" t="e">
        <f>MATCH(Tbl_Long_Hydro[[#This Row],[Draught]],Tbl_Long_Definition[H k-bott],1)</f>
        <v>#N/A</v>
      </c>
      <c r="Z140"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40" s="888" t="e">
        <f>IF(ISNA(Tbl_Long_Hydro[[#This Row],[Draught]]),NA(),IFERROR(INDEX(Tbl_Long_Definition[X],Tbl_Long_Hydro[[#This Row],[Aft Nline prev]]),0))</f>
        <v>#N/A</v>
      </c>
      <c r="AB140" s="889" t="e">
        <f>IF(ISNA(Tbl_Long_Hydro[[#This Row],[Draught]]),NA(),IFERROR(INDEX(Tbl_Long_Definition[X],Tbl_Long_Hydro[[#This Row],[Aft Nline next]]),0))</f>
        <v>#N/A</v>
      </c>
      <c r="AC140" s="889" t="e">
        <f>IF(ISNA(Tbl_Long_Hydro[[#This Row],[Draught]]),NA(),INDEX(Tbl_Long_Definition[H k-bott],Tbl_Long_Hydro[[#This Row],[Aft Nline prev]]))</f>
        <v>#N/A</v>
      </c>
      <c r="AD140" s="889" t="e">
        <f>IF(ISNA(Tbl_Long_Hydro[[#This Row],[Draught]]),NA(),INDEX(Tbl_Long_Definition[H k-bott],Tbl_Long_Hydro[[#This Row],[Aft Nline next]]))</f>
        <v>#N/A</v>
      </c>
      <c r="AE140" s="888" t="e">
        <f>IF(ISNA(Tbl_Long_Hydro[[#This Row],[Draught]]),NA(),IFERROR(INDEX(Tbl_Long_Definition[X],Tbl_Long_Hydro[[#This Row],[Fore Nline prev]]),0))</f>
        <v>#N/A</v>
      </c>
      <c r="AF140" s="889" t="e">
        <f>IF(ISNA(Tbl_Long_Hydro[[#This Row],[Draught]]),NA(),IFERROR(INDEX(Tbl_Long_Definition[X],Tbl_Long_Hydro[[#This Row],[Fore Nline next]]),0))</f>
        <v>#N/A</v>
      </c>
      <c r="AG140" s="889" t="e">
        <f>IF(ISNA(Tbl_Long_Hydro[[#This Row],[Draught]]),NA(),INDEX(Tbl_Long_Definition[H k-bott],Tbl_Long_Hydro[[#This Row],[Fore Nline prev]]))</f>
        <v>#N/A</v>
      </c>
      <c r="AH140" s="890" t="e">
        <f>IF(ISNA(Tbl_Long_Hydro[[#This Row],[Draught]]),NA(),INDEX(Tbl_Long_Definition[H k-bott],Tbl_Long_Hydro[[#This Row],[Fore Nline next]]))</f>
        <v>#N/A</v>
      </c>
      <c r="AI140"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40"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40" s="894" t="e">
        <f>Tbl_Long_Hydro[[#This Row],[Fore X]]-Tbl_Long_Hydro[[#This Row],[Aft X]]</f>
        <v>#N/A</v>
      </c>
      <c r="AL140" s="884" t="e">
        <f>Tbl_Long_Hydro[[#This Row],[LX]]*B</f>
        <v>#N/A</v>
      </c>
      <c r="AM140" s="892" t="e">
        <f>IF(ISNUMBER(AM139),(AK139+Tbl_Long_Hydro[[#This Row],[LX]])*(Tbl_Long_Hydro[[#This Row],[Draught]]-V139)/2*B,(Tbl_Long_Hydro[[#This Row],[LX]])*Tbl_Long_Hydro[[#This Row],[Draught]]*B)</f>
        <v>#N/A</v>
      </c>
      <c r="AN140" s="899" t="e">
        <f>Tbl_Long_Hydro[[#This Row],[Aft X]]+Tbl_Long_Hydro[[#This Row],[LX]]/2</f>
        <v>#N/A</v>
      </c>
      <c r="AO140" s="876" t="e">
        <f>IF(ISNUMBER(AO139),(2*Tbl_Long_Hydro[[#This Row],[LX]]+AK139)/(Tbl_Long_Hydro[[#This Row],[LX]]+AK139)*(Tbl_Long_Hydro[[#This Row],[Draught]]-V139)/3+V139,Tbl_Long_Hydro[[#This Row],[Draught]]/2)</f>
        <v>#N/A</v>
      </c>
      <c r="AP140" s="898" t="e">
        <f>IF(ISNUMBER(AP139),Tbl_Long_Hydro[[#This Row],[Volume elt]]+AP139,Tbl_Long_Hydro[[#This Row],[Volume elt]]*AO$4)</f>
        <v>#N/A</v>
      </c>
      <c r="AQ140" s="893" t="e">
        <f>IF(ISNUMBER(AQ139),Tbl_Long_Hydro[[#This Row],[Displacement]]*AQ$4,IF(ISNA(AQ139),NA(),0))</f>
        <v>#N/A</v>
      </c>
      <c r="AR140" s="900" t="e">
        <f>IF(ISNA(Tbl_Long_Hydro[[#This Row],[Draught]]),NA(),IFERROR(Tbl_Long_Hydro[[#This Row],[LX]]*B^3/12/Tbl_Long_Hydro[[#This Row],[Displacement]],0))</f>
        <v>#N/A</v>
      </c>
      <c r="AS140" s="903" t="e">
        <f>IF(ISNA(Tbl_Long_Hydro[[#This Row],[Draught]]),NA(),IFERROR((B*Tbl_Long_Hydro[[#This Row],[LX]]^3/12+(Tbl_Long_Hydro[[#This Row],[LCF]]-Tbl_Long_Hydro[[#This Row],[LCB]])*Tbl_Long_Hydro[[#This Row],[Waterplane area]]*Tbl_Long_Hydro[[#This Row],[LCF]]^2)/Tbl_Long_Hydro[[#This Row],[Displacement]],0))</f>
        <v>#N/A</v>
      </c>
      <c r="AT140" s="900" t="e">
        <f>Tbl_Long_Hydro[[#This Row],[Aft X]]+Tbl_Long_Hydro[[#This Row],[LX]]/2</f>
        <v>#N/A</v>
      </c>
      <c r="AU140" s="901" t="e">
        <f>IF(ISNUMBER(AU139),(AU139*AP139+Tbl_Long_Hydro[[#This Row],[X CoG elt]]*Tbl_Long_Hydro[[#This Row],[Volume elt]])/Tbl_Long_Hydro[[#This Row],[Displacement]],Tbl_Long_Hydro[[#This Row],[X CoG elt]])</f>
        <v>#N/A</v>
      </c>
      <c r="AV140" s="902" t="e">
        <f>IF(ISNA(Tbl_Long_Hydro[[#This Row],[Draught]]),NA(),0)</f>
        <v>#N/A</v>
      </c>
      <c r="AW140" s="876" t="e">
        <f>IF(ISNUMBER(AW139),(AW139*AP139+Tbl_Long_Hydro[[#This Row],[Z CoG elt]]*Tbl_Long_Hydro[[#This Row],[Volume elt]])/Tbl_Long_Hydro[[#This Row],[Displacement]],Tbl_Long_Hydro[[#This Row],[Z CoG elt]])</f>
        <v>#N/A</v>
      </c>
      <c r="AX140" s="899" t="e">
        <f>Tbl_Long_Hydro[[#This Row],[RMT]]+Tbl_Long_Hydro[[#This Row],[VCB]]</f>
        <v>#N/A</v>
      </c>
      <c r="AY140" s="904" t="e">
        <f>Tbl_Long_Hydro[[#This Row],[Displacement]]*Tbl_Long_Hydro[[#This Row],[RML]]/(100*Lpp)</f>
        <v>#N/A</v>
      </c>
      <c r="AZ140" s="956" t="e">
        <f>Tbl_Long_Hydro[[#This Row],[Draught]]</f>
        <v>#N/A</v>
      </c>
      <c r="BA140" s="959" t="e">
        <f>Tbl_Long_Hydro[[#This Row],[Displacement]]</f>
        <v>#N/A</v>
      </c>
      <c r="BB140" s="960" t="e">
        <f>Tbl_Long_Hydro[[#This Row],[Displac. SW]]</f>
        <v>#N/A</v>
      </c>
      <c r="BC140" s="964" t="e">
        <f>Tbl_Long_Hydro[[#This Row],[Waterplane area]]/100*$AQ$4</f>
        <v>#N/A</v>
      </c>
      <c r="BD140" s="961" t="e">
        <f>Tbl_Long_Hydro[[#This Row],[MCT]]</f>
        <v>#N/A</v>
      </c>
      <c r="BE140" s="962" t="e">
        <f>Tbl_Long_Hydro[[#This Row],[LCB]]</f>
        <v>#N/A</v>
      </c>
      <c r="BF140" s="962" t="e">
        <f>Tbl_Long_Hydro[[#This Row],[TCB]]</f>
        <v>#N/A</v>
      </c>
      <c r="BG140" s="962" t="e">
        <f>Tbl_Long_Hydro[[#This Row],[LCF]]</f>
        <v>#N/A</v>
      </c>
      <c r="BH140" s="963" t="e">
        <f>Tbl_Long_Hydro[[#This Row],[KMT]]</f>
        <v>#N/A</v>
      </c>
    </row>
    <row r="141" spans="11:60" x14ac:dyDescent="0.25">
      <c r="K141" s="156" t="e">
        <f t="shared" si="9"/>
        <v>#N/A</v>
      </c>
      <c r="L141" s="164" t="e">
        <f t="shared" si="10"/>
        <v>#N/A</v>
      </c>
      <c r="M141" s="262" t="e">
        <f>MATCH(Tbl_Long_Section[[#This Row],[X]],Tbl_Long_Definition[X],1)</f>
        <v>#N/A</v>
      </c>
      <c r="N141" s="262" t="e">
        <f>IF(Tbl_Long_Section[[#This Row],[Nline Prev]]&lt;COUNT(Tbl_Long_Definition[X]),Tbl_Long_Section[[#This Row],[Nline Prev]]+1,Tbl_Long_Section[[#This Row],[Nline Prev]])</f>
        <v>#N/A</v>
      </c>
      <c r="O141" s="162" t="e">
        <f>INDEX(Tbl_Long_Definition[X],Tbl_Long_Section[[#This Row],[Nline Prev]])</f>
        <v>#N/A</v>
      </c>
      <c r="P141" s="263" t="e">
        <f>INDEX(Tbl_Long_Definition[X],Tbl_Long_Section[[#This Row],[Nline Next]])</f>
        <v>#N/A</v>
      </c>
      <c r="Q141" s="160" t="e">
        <f>INDEX(Tbl_Long_Definition[H Deck-Bott.],Tbl_Long_Section[[#This Row],[Nline Prev]])</f>
        <v>#N/A</v>
      </c>
      <c r="R141" s="161" t="e">
        <f>INDEX(Tbl_Long_Definition[H Deck-Bott.],Tbl_Long_Section[[#This Row],[Nline Next]])</f>
        <v>#N/A</v>
      </c>
      <c r="S141"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41" s="8"/>
      <c r="V141" s="873" t="e">
        <f t="shared" si="11"/>
        <v>#N/A</v>
      </c>
      <c r="W141" s="885" t="e">
        <f>MATCH(Tbl_Long_Hydro[[#This Row],[Draught]],Tbl_Long_Definition[H k-bott],-1)</f>
        <v>#N/A</v>
      </c>
      <c r="X141"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41" s="886" t="e">
        <f>MATCH(Tbl_Long_Hydro[[#This Row],[Draught]],Tbl_Long_Definition[H k-bott],1)</f>
        <v>#N/A</v>
      </c>
      <c r="Z141"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41" s="888" t="e">
        <f>IF(ISNA(Tbl_Long_Hydro[[#This Row],[Draught]]),NA(),IFERROR(INDEX(Tbl_Long_Definition[X],Tbl_Long_Hydro[[#This Row],[Aft Nline prev]]),0))</f>
        <v>#N/A</v>
      </c>
      <c r="AB141" s="889" t="e">
        <f>IF(ISNA(Tbl_Long_Hydro[[#This Row],[Draught]]),NA(),IFERROR(INDEX(Tbl_Long_Definition[X],Tbl_Long_Hydro[[#This Row],[Aft Nline next]]),0))</f>
        <v>#N/A</v>
      </c>
      <c r="AC141" s="889" t="e">
        <f>IF(ISNA(Tbl_Long_Hydro[[#This Row],[Draught]]),NA(),INDEX(Tbl_Long_Definition[H k-bott],Tbl_Long_Hydro[[#This Row],[Aft Nline prev]]))</f>
        <v>#N/A</v>
      </c>
      <c r="AD141" s="889" t="e">
        <f>IF(ISNA(Tbl_Long_Hydro[[#This Row],[Draught]]),NA(),INDEX(Tbl_Long_Definition[H k-bott],Tbl_Long_Hydro[[#This Row],[Aft Nline next]]))</f>
        <v>#N/A</v>
      </c>
      <c r="AE141" s="888" t="e">
        <f>IF(ISNA(Tbl_Long_Hydro[[#This Row],[Draught]]),NA(),IFERROR(INDEX(Tbl_Long_Definition[X],Tbl_Long_Hydro[[#This Row],[Fore Nline prev]]),0))</f>
        <v>#N/A</v>
      </c>
      <c r="AF141" s="889" t="e">
        <f>IF(ISNA(Tbl_Long_Hydro[[#This Row],[Draught]]),NA(),IFERROR(INDEX(Tbl_Long_Definition[X],Tbl_Long_Hydro[[#This Row],[Fore Nline next]]),0))</f>
        <v>#N/A</v>
      </c>
      <c r="AG141" s="889" t="e">
        <f>IF(ISNA(Tbl_Long_Hydro[[#This Row],[Draught]]),NA(),INDEX(Tbl_Long_Definition[H k-bott],Tbl_Long_Hydro[[#This Row],[Fore Nline prev]]))</f>
        <v>#N/A</v>
      </c>
      <c r="AH141" s="890" t="e">
        <f>IF(ISNA(Tbl_Long_Hydro[[#This Row],[Draught]]),NA(),INDEX(Tbl_Long_Definition[H k-bott],Tbl_Long_Hydro[[#This Row],[Fore Nline next]]))</f>
        <v>#N/A</v>
      </c>
      <c r="AI141"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41"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41" s="894" t="e">
        <f>Tbl_Long_Hydro[[#This Row],[Fore X]]-Tbl_Long_Hydro[[#This Row],[Aft X]]</f>
        <v>#N/A</v>
      </c>
      <c r="AL141" s="884" t="e">
        <f>Tbl_Long_Hydro[[#This Row],[LX]]*B</f>
        <v>#N/A</v>
      </c>
      <c r="AM141" s="892" t="e">
        <f>IF(ISNUMBER(AM140),(AK140+Tbl_Long_Hydro[[#This Row],[LX]])*(Tbl_Long_Hydro[[#This Row],[Draught]]-V140)/2*B,(Tbl_Long_Hydro[[#This Row],[LX]])*Tbl_Long_Hydro[[#This Row],[Draught]]*B)</f>
        <v>#N/A</v>
      </c>
      <c r="AN141" s="899" t="e">
        <f>Tbl_Long_Hydro[[#This Row],[Aft X]]+Tbl_Long_Hydro[[#This Row],[LX]]/2</f>
        <v>#N/A</v>
      </c>
      <c r="AO141" s="876" t="e">
        <f>IF(ISNUMBER(AO140),(2*Tbl_Long_Hydro[[#This Row],[LX]]+AK140)/(Tbl_Long_Hydro[[#This Row],[LX]]+AK140)*(Tbl_Long_Hydro[[#This Row],[Draught]]-V140)/3+V140,Tbl_Long_Hydro[[#This Row],[Draught]]/2)</f>
        <v>#N/A</v>
      </c>
      <c r="AP141" s="898" t="e">
        <f>IF(ISNUMBER(AP140),Tbl_Long_Hydro[[#This Row],[Volume elt]]+AP140,Tbl_Long_Hydro[[#This Row],[Volume elt]]*AO$4)</f>
        <v>#N/A</v>
      </c>
      <c r="AQ141" s="893" t="e">
        <f>IF(ISNUMBER(AQ140),Tbl_Long_Hydro[[#This Row],[Displacement]]*AQ$4,IF(ISNA(AQ140),NA(),0))</f>
        <v>#N/A</v>
      </c>
      <c r="AR141" s="900" t="e">
        <f>IF(ISNA(Tbl_Long_Hydro[[#This Row],[Draught]]),NA(),IFERROR(Tbl_Long_Hydro[[#This Row],[LX]]*B^3/12/Tbl_Long_Hydro[[#This Row],[Displacement]],0))</f>
        <v>#N/A</v>
      </c>
      <c r="AS141" s="903" t="e">
        <f>IF(ISNA(Tbl_Long_Hydro[[#This Row],[Draught]]),NA(),IFERROR((B*Tbl_Long_Hydro[[#This Row],[LX]]^3/12+(Tbl_Long_Hydro[[#This Row],[LCF]]-Tbl_Long_Hydro[[#This Row],[LCB]])*Tbl_Long_Hydro[[#This Row],[Waterplane area]]*Tbl_Long_Hydro[[#This Row],[LCF]]^2)/Tbl_Long_Hydro[[#This Row],[Displacement]],0))</f>
        <v>#N/A</v>
      </c>
      <c r="AT141" s="900" t="e">
        <f>Tbl_Long_Hydro[[#This Row],[Aft X]]+Tbl_Long_Hydro[[#This Row],[LX]]/2</f>
        <v>#N/A</v>
      </c>
      <c r="AU141" s="901" t="e">
        <f>IF(ISNUMBER(AU140),(AU140*AP140+Tbl_Long_Hydro[[#This Row],[X CoG elt]]*Tbl_Long_Hydro[[#This Row],[Volume elt]])/Tbl_Long_Hydro[[#This Row],[Displacement]],Tbl_Long_Hydro[[#This Row],[X CoG elt]])</f>
        <v>#N/A</v>
      </c>
      <c r="AV141" s="902" t="e">
        <f>IF(ISNA(Tbl_Long_Hydro[[#This Row],[Draught]]),NA(),0)</f>
        <v>#N/A</v>
      </c>
      <c r="AW141" s="876" t="e">
        <f>IF(ISNUMBER(AW140),(AW140*AP140+Tbl_Long_Hydro[[#This Row],[Z CoG elt]]*Tbl_Long_Hydro[[#This Row],[Volume elt]])/Tbl_Long_Hydro[[#This Row],[Displacement]],Tbl_Long_Hydro[[#This Row],[Z CoG elt]])</f>
        <v>#N/A</v>
      </c>
      <c r="AX141" s="899" t="e">
        <f>Tbl_Long_Hydro[[#This Row],[RMT]]+Tbl_Long_Hydro[[#This Row],[VCB]]</f>
        <v>#N/A</v>
      </c>
      <c r="AY141" s="904" t="e">
        <f>Tbl_Long_Hydro[[#This Row],[Displacement]]*Tbl_Long_Hydro[[#This Row],[RML]]/(100*Lpp)</f>
        <v>#N/A</v>
      </c>
      <c r="AZ141" s="956" t="e">
        <f>Tbl_Long_Hydro[[#This Row],[Draught]]</f>
        <v>#N/A</v>
      </c>
      <c r="BA141" s="959" t="e">
        <f>Tbl_Long_Hydro[[#This Row],[Displacement]]</f>
        <v>#N/A</v>
      </c>
      <c r="BB141" s="960" t="e">
        <f>Tbl_Long_Hydro[[#This Row],[Displac. SW]]</f>
        <v>#N/A</v>
      </c>
      <c r="BC141" s="964" t="e">
        <f>Tbl_Long_Hydro[[#This Row],[Waterplane area]]/100*$AQ$4</f>
        <v>#N/A</v>
      </c>
      <c r="BD141" s="961" t="e">
        <f>Tbl_Long_Hydro[[#This Row],[MCT]]</f>
        <v>#N/A</v>
      </c>
      <c r="BE141" s="962" t="e">
        <f>Tbl_Long_Hydro[[#This Row],[LCB]]</f>
        <v>#N/A</v>
      </c>
      <c r="BF141" s="962" t="e">
        <f>Tbl_Long_Hydro[[#This Row],[TCB]]</f>
        <v>#N/A</v>
      </c>
      <c r="BG141" s="962" t="e">
        <f>Tbl_Long_Hydro[[#This Row],[LCF]]</f>
        <v>#N/A</v>
      </c>
      <c r="BH141" s="963" t="e">
        <f>Tbl_Long_Hydro[[#This Row],[KMT]]</f>
        <v>#N/A</v>
      </c>
    </row>
    <row r="142" spans="11:60" x14ac:dyDescent="0.25">
      <c r="K142" s="156" t="e">
        <f t="shared" si="9"/>
        <v>#N/A</v>
      </c>
      <c r="L142" s="164" t="e">
        <f t="shared" si="10"/>
        <v>#N/A</v>
      </c>
      <c r="M142" s="262" t="e">
        <f>MATCH(Tbl_Long_Section[[#This Row],[X]],Tbl_Long_Definition[X],1)</f>
        <v>#N/A</v>
      </c>
      <c r="N142" s="262" t="e">
        <f>IF(Tbl_Long_Section[[#This Row],[Nline Prev]]&lt;COUNT(Tbl_Long_Definition[X]),Tbl_Long_Section[[#This Row],[Nline Prev]]+1,Tbl_Long_Section[[#This Row],[Nline Prev]])</f>
        <v>#N/A</v>
      </c>
      <c r="O142" s="162" t="e">
        <f>INDEX(Tbl_Long_Definition[X],Tbl_Long_Section[[#This Row],[Nline Prev]])</f>
        <v>#N/A</v>
      </c>
      <c r="P142" s="263" t="e">
        <f>INDEX(Tbl_Long_Definition[X],Tbl_Long_Section[[#This Row],[Nline Next]])</f>
        <v>#N/A</v>
      </c>
      <c r="Q142" s="160" t="e">
        <f>INDEX(Tbl_Long_Definition[H Deck-Bott.],Tbl_Long_Section[[#This Row],[Nline Prev]])</f>
        <v>#N/A</v>
      </c>
      <c r="R142" s="161" t="e">
        <f>INDEX(Tbl_Long_Definition[H Deck-Bott.],Tbl_Long_Section[[#This Row],[Nline Next]])</f>
        <v>#N/A</v>
      </c>
      <c r="S142"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42" s="8"/>
      <c r="V142" s="873" t="e">
        <f t="shared" si="11"/>
        <v>#N/A</v>
      </c>
      <c r="W142" s="885" t="e">
        <f>MATCH(Tbl_Long_Hydro[[#This Row],[Draught]],Tbl_Long_Definition[H k-bott],-1)</f>
        <v>#N/A</v>
      </c>
      <c r="X142"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42" s="886" t="e">
        <f>MATCH(Tbl_Long_Hydro[[#This Row],[Draught]],Tbl_Long_Definition[H k-bott],1)</f>
        <v>#N/A</v>
      </c>
      <c r="Z142"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42" s="888" t="e">
        <f>IF(ISNA(Tbl_Long_Hydro[[#This Row],[Draught]]),NA(),IFERROR(INDEX(Tbl_Long_Definition[X],Tbl_Long_Hydro[[#This Row],[Aft Nline prev]]),0))</f>
        <v>#N/A</v>
      </c>
      <c r="AB142" s="889" t="e">
        <f>IF(ISNA(Tbl_Long_Hydro[[#This Row],[Draught]]),NA(),IFERROR(INDEX(Tbl_Long_Definition[X],Tbl_Long_Hydro[[#This Row],[Aft Nline next]]),0))</f>
        <v>#N/A</v>
      </c>
      <c r="AC142" s="889" t="e">
        <f>IF(ISNA(Tbl_Long_Hydro[[#This Row],[Draught]]),NA(),INDEX(Tbl_Long_Definition[H k-bott],Tbl_Long_Hydro[[#This Row],[Aft Nline prev]]))</f>
        <v>#N/A</v>
      </c>
      <c r="AD142" s="889" t="e">
        <f>IF(ISNA(Tbl_Long_Hydro[[#This Row],[Draught]]),NA(),INDEX(Tbl_Long_Definition[H k-bott],Tbl_Long_Hydro[[#This Row],[Aft Nline next]]))</f>
        <v>#N/A</v>
      </c>
      <c r="AE142" s="888" t="e">
        <f>IF(ISNA(Tbl_Long_Hydro[[#This Row],[Draught]]),NA(),IFERROR(INDEX(Tbl_Long_Definition[X],Tbl_Long_Hydro[[#This Row],[Fore Nline prev]]),0))</f>
        <v>#N/A</v>
      </c>
      <c r="AF142" s="889" t="e">
        <f>IF(ISNA(Tbl_Long_Hydro[[#This Row],[Draught]]),NA(),IFERROR(INDEX(Tbl_Long_Definition[X],Tbl_Long_Hydro[[#This Row],[Fore Nline next]]),0))</f>
        <v>#N/A</v>
      </c>
      <c r="AG142" s="889" t="e">
        <f>IF(ISNA(Tbl_Long_Hydro[[#This Row],[Draught]]),NA(),INDEX(Tbl_Long_Definition[H k-bott],Tbl_Long_Hydro[[#This Row],[Fore Nline prev]]))</f>
        <v>#N/A</v>
      </c>
      <c r="AH142" s="890" t="e">
        <f>IF(ISNA(Tbl_Long_Hydro[[#This Row],[Draught]]),NA(),INDEX(Tbl_Long_Definition[H k-bott],Tbl_Long_Hydro[[#This Row],[Fore Nline next]]))</f>
        <v>#N/A</v>
      </c>
      <c r="AI142"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42"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42" s="894" t="e">
        <f>Tbl_Long_Hydro[[#This Row],[Fore X]]-Tbl_Long_Hydro[[#This Row],[Aft X]]</f>
        <v>#N/A</v>
      </c>
      <c r="AL142" s="884" t="e">
        <f>Tbl_Long_Hydro[[#This Row],[LX]]*B</f>
        <v>#N/A</v>
      </c>
      <c r="AM142" s="892" t="e">
        <f>IF(ISNUMBER(AM141),(AK141+Tbl_Long_Hydro[[#This Row],[LX]])*(Tbl_Long_Hydro[[#This Row],[Draught]]-V141)/2*B,(Tbl_Long_Hydro[[#This Row],[LX]])*Tbl_Long_Hydro[[#This Row],[Draught]]*B)</f>
        <v>#N/A</v>
      </c>
      <c r="AN142" s="899" t="e">
        <f>Tbl_Long_Hydro[[#This Row],[Aft X]]+Tbl_Long_Hydro[[#This Row],[LX]]/2</f>
        <v>#N/A</v>
      </c>
      <c r="AO142" s="876" t="e">
        <f>IF(ISNUMBER(AO141),(2*Tbl_Long_Hydro[[#This Row],[LX]]+AK141)/(Tbl_Long_Hydro[[#This Row],[LX]]+AK141)*(Tbl_Long_Hydro[[#This Row],[Draught]]-V141)/3+V141,Tbl_Long_Hydro[[#This Row],[Draught]]/2)</f>
        <v>#N/A</v>
      </c>
      <c r="AP142" s="898" t="e">
        <f>IF(ISNUMBER(AP141),Tbl_Long_Hydro[[#This Row],[Volume elt]]+AP141,Tbl_Long_Hydro[[#This Row],[Volume elt]]*AO$4)</f>
        <v>#N/A</v>
      </c>
      <c r="AQ142" s="893" t="e">
        <f>IF(ISNUMBER(AQ141),Tbl_Long_Hydro[[#This Row],[Displacement]]*AQ$4,IF(ISNA(AQ141),NA(),0))</f>
        <v>#N/A</v>
      </c>
      <c r="AR142" s="900" t="e">
        <f>IF(ISNA(Tbl_Long_Hydro[[#This Row],[Draught]]),NA(),IFERROR(Tbl_Long_Hydro[[#This Row],[LX]]*B^3/12/Tbl_Long_Hydro[[#This Row],[Displacement]],0))</f>
        <v>#N/A</v>
      </c>
      <c r="AS142" s="903" t="e">
        <f>IF(ISNA(Tbl_Long_Hydro[[#This Row],[Draught]]),NA(),IFERROR((B*Tbl_Long_Hydro[[#This Row],[LX]]^3/12+(Tbl_Long_Hydro[[#This Row],[LCF]]-Tbl_Long_Hydro[[#This Row],[LCB]])*Tbl_Long_Hydro[[#This Row],[Waterplane area]]*Tbl_Long_Hydro[[#This Row],[LCF]]^2)/Tbl_Long_Hydro[[#This Row],[Displacement]],0))</f>
        <v>#N/A</v>
      </c>
      <c r="AT142" s="900" t="e">
        <f>Tbl_Long_Hydro[[#This Row],[Aft X]]+Tbl_Long_Hydro[[#This Row],[LX]]/2</f>
        <v>#N/A</v>
      </c>
      <c r="AU142" s="901" t="e">
        <f>IF(ISNUMBER(AU141),(AU141*AP141+Tbl_Long_Hydro[[#This Row],[X CoG elt]]*Tbl_Long_Hydro[[#This Row],[Volume elt]])/Tbl_Long_Hydro[[#This Row],[Displacement]],Tbl_Long_Hydro[[#This Row],[X CoG elt]])</f>
        <v>#N/A</v>
      </c>
      <c r="AV142" s="902" t="e">
        <f>IF(ISNA(Tbl_Long_Hydro[[#This Row],[Draught]]),NA(),0)</f>
        <v>#N/A</v>
      </c>
      <c r="AW142" s="876" t="e">
        <f>IF(ISNUMBER(AW141),(AW141*AP141+Tbl_Long_Hydro[[#This Row],[Z CoG elt]]*Tbl_Long_Hydro[[#This Row],[Volume elt]])/Tbl_Long_Hydro[[#This Row],[Displacement]],Tbl_Long_Hydro[[#This Row],[Z CoG elt]])</f>
        <v>#N/A</v>
      </c>
      <c r="AX142" s="899" t="e">
        <f>Tbl_Long_Hydro[[#This Row],[RMT]]+Tbl_Long_Hydro[[#This Row],[VCB]]</f>
        <v>#N/A</v>
      </c>
      <c r="AY142" s="904" t="e">
        <f>Tbl_Long_Hydro[[#This Row],[Displacement]]*Tbl_Long_Hydro[[#This Row],[RML]]/(100*Lpp)</f>
        <v>#N/A</v>
      </c>
      <c r="AZ142" s="956" t="e">
        <f>Tbl_Long_Hydro[[#This Row],[Draught]]</f>
        <v>#N/A</v>
      </c>
      <c r="BA142" s="959" t="e">
        <f>Tbl_Long_Hydro[[#This Row],[Displacement]]</f>
        <v>#N/A</v>
      </c>
      <c r="BB142" s="960" t="e">
        <f>Tbl_Long_Hydro[[#This Row],[Displac. SW]]</f>
        <v>#N/A</v>
      </c>
      <c r="BC142" s="964" t="e">
        <f>Tbl_Long_Hydro[[#This Row],[Waterplane area]]/100*$AQ$4</f>
        <v>#N/A</v>
      </c>
      <c r="BD142" s="961" t="e">
        <f>Tbl_Long_Hydro[[#This Row],[MCT]]</f>
        <v>#N/A</v>
      </c>
      <c r="BE142" s="962" t="e">
        <f>Tbl_Long_Hydro[[#This Row],[LCB]]</f>
        <v>#N/A</v>
      </c>
      <c r="BF142" s="962" t="e">
        <f>Tbl_Long_Hydro[[#This Row],[TCB]]</f>
        <v>#N/A</v>
      </c>
      <c r="BG142" s="962" t="e">
        <f>Tbl_Long_Hydro[[#This Row],[LCF]]</f>
        <v>#N/A</v>
      </c>
      <c r="BH142" s="963" t="e">
        <f>Tbl_Long_Hydro[[#This Row],[KMT]]</f>
        <v>#N/A</v>
      </c>
    </row>
    <row r="143" spans="11:60" x14ac:dyDescent="0.25">
      <c r="K143" s="156" t="e">
        <f t="shared" si="9"/>
        <v>#N/A</v>
      </c>
      <c r="L143" s="164" t="e">
        <f t="shared" si="10"/>
        <v>#N/A</v>
      </c>
      <c r="M143" s="262" t="e">
        <f>MATCH(Tbl_Long_Section[[#This Row],[X]],Tbl_Long_Definition[X],1)</f>
        <v>#N/A</v>
      </c>
      <c r="N143" s="262" t="e">
        <f>IF(Tbl_Long_Section[[#This Row],[Nline Prev]]&lt;COUNT(Tbl_Long_Definition[X]),Tbl_Long_Section[[#This Row],[Nline Prev]]+1,Tbl_Long_Section[[#This Row],[Nline Prev]])</f>
        <v>#N/A</v>
      </c>
      <c r="O143" s="162" t="e">
        <f>INDEX(Tbl_Long_Definition[X],Tbl_Long_Section[[#This Row],[Nline Prev]])</f>
        <v>#N/A</v>
      </c>
      <c r="P143" s="263" t="e">
        <f>INDEX(Tbl_Long_Definition[X],Tbl_Long_Section[[#This Row],[Nline Next]])</f>
        <v>#N/A</v>
      </c>
      <c r="Q143" s="160" t="e">
        <f>INDEX(Tbl_Long_Definition[H Deck-Bott.],Tbl_Long_Section[[#This Row],[Nline Prev]])</f>
        <v>#N/A</v>
      </c>
      <c r="R143" s="161" t="e">
        <f>INDEX(Tbl_Long_Definition[H Deck-Bott.],Tbl_Long_Section[[#This Row],[Nline Next]])</f>
        <v>#N/A</v>
      </c>
      <c r="S143"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43" s="8"/>
      <c r="V143" s="873" t="e">
        <f t="shared" si="11"/>
        <v>#N/A</v>
      </c>
      <c r="W143" s="885" t="e">
        <f>MATCH(Tbl_Long_Hydro[[#This Row],[Draught]],Tbl_Long_Definition[H k-bott],-1)</f>
        <v>#N/A</v>
      </c>
      <c r="X143"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43" s="886" t="e">
        <f>MATCH(Tbl_Long_Hydro[[#This Row],[Draught]],Tbl_Long_Definition[H k-bott],1)</f>
        <v>#N/A</v>
      </c>
      <c r="Z143"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43" s="888" t="e">
        <f>IF(ISNA(Tbl_Long_Hydro[[#This Row],[Draught]]),NA(),IFERROR(INDEX(Tbl_Long_Definition[X],Tbl_Long_Hydro[[#This Row],[Aft Nline prev]]),0))</f>
        <v>#N/A</v>
      </c>
      <c r="AB143" s="889" t="e">
        <f>IF(ISNA(Tbl_Long_Hydro[[#This Row],[Draught]]),NA(),IFERROR(INDEX(Tbl_Long_Definition[X],Tbl_Long_Hydro[[#This Row],[Aft Nline next]]),0))</f>
        <v>#N/A</v>
      </c>
      <c r="AC143" s="889" t="e">
        <f>IF(ISNA(Tbl_Long_Hydro[[#This Row],[Draught]]),NA(),INDEX(Tbl_Long_Definition[H k-bott],Tbl_Long_Hydro[[#This Row],[Aft Nline prev]]))</f>
        <v>#N/A</v>
      </c>
      <c r="AD143" s="889" t="e">
        <f>IF(ISNA(Tbl_Long_Hydro[[#This Row],[Draught]]),NA(),INDEX(Tbl_Long_Definition[H k-bott],Tbl_Long_Hydro[[#This Row],[Aft Nline next]]))</f>
        <v>#N/A</v>
      </c>
      <c r="AE143" s="888" t="e">
        <f>IF(ISNA(Tbl_Long_Hydro[[#This Row],[Draught]]),NA(),IFERROR(INDEX(Tbl_Long_Definition[X],Tbl_Long_Hydro[[#This Row],[Fore Nline prev]]),0))</f>
        <v>#N/A</v>
      </c>
      <c r="AF143" s="889" t="e">
        <f>IF(ISNA(Tbl_Long_Hydro[[#This Row],[Draught]]),NA(),IFERROR(INDEX(Tbl_Long_Definition[X],Tbl_Long_Hydro[[#This Row],[Fore Nline next]]),0))</f>
        <v>#N/A</v>
      </c>
      <c r="AG143" s="889" t="e">
        <f>IF(ISNA(Tbl_Long_Hydro[[#This Row],[Draught]]),NA(),INDEX(Tbl_Long_Definition[H k-bott],Tbl_Long_Hydro[[#This Row],[Fore Nline prev]]))</f>
        <v>#N/A</v>
      </c>
      <c r="AH143" s="890" t="e">
        <f>IF(ISNA(Tbl_Long_Hydro[[#This Row],[Draught]]),NA(),INDEX(Tbl_Long_Definition[H k-bott],Tbl_Long_Hydro[[#This Row],[Fore Nline next]]))</f>
        <v>#N/A</v>
      </c>
      <c r="AI143"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43"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43" s="894" t="e">
        <f>Tbl_Long_Hydro[[#This Row],[Fore X]]-Tbl_Long_Hydro[[#This Row],[Aft X]]</f>
        <v>#N/A</v>
      </c>
      <c r="AL143" s="884" t="e">
        <f>Tbl_Long_Hydro[[#This Row],[LX]]*B</f>
        <v>#N/A</v>
      </c>
      <c r="AM143" s="892" t="e">
        <f>IF(ISNUMBER(AM142),(AK142+Tbl_Long_Hydro[[#This Row],[LX]])*(Tbl_Long_Hydro[[#This Row],[Draught]]-V142)/2*B,(Tbl_Long_Hydro[[#This Row],[LX]])*Tbl_Long_Hydro[[#This Row],[Draught]]*B)</f>
        <v>#N/A</v>
      </c>
      <c r="AN143" s="899" t="e">
        <f>Tbl_Long_Hydro[[#This Row],[Aft X]]+Tbl_Long_Hydro[[#This Row],[LX]]/2</f>
        <v>#N/A</v>
      </c>
      <c r="AO143" s="876" t="e">
        <f>IF(ISNUMBER(AO142),(2*Tbl_Long_Hydro[[#This Row],[LX]]+AK142)/(Tbl_Long_Hydro[[#This Row],[LX]]+AK142)*(Tbl_Long_Hydro[[#This Row],[Draught]]-V142)/3+V142,Tbl_Long_Hydro[[#This Row],[Draught]]/2)</f>
        <v>#N/A</v>
      </c>
      <c r="AP143" s="898" t="e">
        <f>IF(ISNUMBER(AP142),Tbl_Long_Hydro[[#This Row],[Volume elt]]+AP142,Tbl_Long_Hydro[[#This Row],[Volume elt]]*AO$4)</f>
        <v>#N/A</v>
      </c>
      <c r="AQ143" s="893" t="e">
        <f>IF(ISNUMBER(AQ142),Tbl_Long_Hydro[[#This Row],[Displacement]]*AQ$4,IF(ISNA(AQ142),NA(),0))</f>
        <v>#N/A</v>
      </c>
      <c r="AR143" s="900" t="e">
        <f>IF(ISNA(Tbl_Long_Hydro[[#This Row],[Draught]]),NA(),IFERROR(Tbl_Long_Hydro[[#This Row],[LX]]*B^3/12/Tbl_Long_Hydro[[#This Row],[Displacement]],0))</f>
        <v>#N/A</v>
      </c>
      <c r="AS143" s="903" t="e">
        <f>IF(ISNA(Tbl_Long_Hydro[[#This Row],[Draught]]),NA(),IFERROR((B*Tbl_Long_Hydro[[#This Row],[LX]]^3/12+(Tbl_Long_Hydro[[#This Row],[LCF]]-Tbl_Long_Hydro[[#This Row],[LCB]])*Tbl_Long_Hydro[[#This Row],[Waterplane area]]*Tbl_Long_Hydro[[#This Row],[LCF]]^2)/Tbl_Long_Hydro[[#This Row],[Displacement]],0))</f>
        <v>#N/A</v>
      </c>
      <c r="AT143" s="900" t="e">
        <f>Tbl_Long_Hydro[[#This Row],[Aft X]]+Tbl_Long_Hydro[[#This Row],[LX]]/2</f>
        <v>#N/A</v>
      </c>
      <c r="AU143" s="901" t="e">
        <f>IF(ISNUMBER(AU142),(AU142*AP142+Tbl_Long_Hydro[[#This Row],[X CoG elt]]*Tbl_Long_Hydro[[#This Row],[Volume elt]])/Tbl_Long_Hydro[[#This Row],[Displacement]],Tbl_Long_Hydro[[#This Row],[X CoG elt]])</f>
        <v>#N/A</v>
      </c>
      <c r="AV143" s="902" t="e">
        <f>IF(ISNA(Tbl_Long_Hydro[[#This Row],[Draught]]),NA(),0)</f>
        <v>#N/A</v>
      </c>
      <c r="AW143" s="876" t="e">
        <f>IF(ISNUMBER(AW142),(AW142*AP142+Tbl_Long_Hydro[[#This Row],[Z CoG elt]]*Tbl_Long_Hydro[[#This Row],[Volume elt]])/Tbl_Long_Hydro[[#This Row],[Displacement]],Tbl_Long_Hydro[[#This Row],[Z CoG elt]])</f>
        <v>#N/A</v>
      </c>
      <c r="AX143" s="899" t="e">
        <f>Tbl_Long_Hydro[[#This Row],[RMT]]+Tbl_Long_Hydro[[#This Row],[VCB]]</f>
        <v>#N/A</v>
      </c>
      <c r="AY143" s="904" t="e">
        <f>Tbl_Long_Hydro[[#This Row],[Displacement]]*Tbl_Long_Hydro[[#This Row],[RML]]/(100*Lpp)</f>
        <v>#N/A</v>
      </c>
      <c r="AZ143" s="956" t="e">
        <f>Tbl_Long_Hydro[[#This Row],[Draught]]</f>
        <v>#N/A</v>
      </c>
      <c r="BA143" s="959" t="e">
        <f>Tbl_Long_Hydro[[#This Row],[Displacement]]</f>
        <v>#N/A</v>
      </c>
      <c r="BB143" s="960" t="e">
        <f>Tbl_Long_Hydro[[#This Row],[Displac. SW]]</f>
        <v>#N/A</v>
      </c>
      <c r="BC143" s="964" t="e">
        <f>Tbl_Long_Hydro[[#This Row],[Waterplane area]]/100*$AQ$4</f>
        <v>#N/A</v>
      </c>
      <c r="BD143" s="961" t="e">
        <f>Tbl_Long_Hydro[[#This Row],[MCT]]</f>
        <v>#N/A</v>
      </c>
      <c r="BE143" s="962" t="e">
        <f>Tbl_Long_Hydro[[#This Row],[LCB]]</f>
        <v>#N/A</v>
      </c>
      <c r="BF143" s="962" t="e">
        <f>Tbl_Long_Hydro[[#This Row],[TCB]]</f>
        <v>#N/A</v>
      </c>
      <c r="BG143" s="962" t="e">
        <f>Tbl_Long_Hydro[[#This Row],[LCF]]</f>
        <v>#N/A</v>
      </c>
      <c r="BH143" s="963" t="e">
        <f>Tbl_Long_Hydro[[#This Row],[KMT]]</f>
        <v>#N/A</v>
      </c>
    </row>
    <row r="144" spans="11:60" x14ac:dyDescent="0.25">
      <c r="K144" s="156" t="e">
        <f t="shared" si="9"/>
        <v>#N/A</v>
      </c>
      <c r="L144" s="164" t="e">
        <f t="shared" si="10"/>
        <v>#N/A</v>
      </c>
      <c r="M144" s="262" t="e">
        <f>MATCH(Tbl_Long_Section[[#This Row],[X]],Tbl_Long_Definition[X],1)</f>
        <v>#N/A</v>
      </c>
      <c r="N144" s="262" t="e">
        <f>IF(Tbl_Long_Section[[#This Row],[Nline Prev]]&lt;COUNT(Tbl_Long_Definition[X]),Tbl_Long_Section[[#This Row],[Nline Prev]]+1,Tbl_Long_Section[[#This Row],[Nline Prev]])</f>
        <v>#N/A</v>
      </c>
      <c r="O144" s="162" t="e">
        <f>INDEX(Tbl_Long_Definition[X],Tbl_Long_Section[[#This Row],[Nline Prev]])</f>
        <v>#N/A</v>
      </c>
      <c r="P144" s="263" t="e">
        <f>INDEX(Tbl_Long_Definition[X],Tbl_Long_Section[[#This Row],[Nline Next]])</f>
        <v>#N/A</v>
      </c>
      <c r="Q144" s="160" t="e">
        <f>INDEX(Tbl_Long_Definition[H Deck-Bott.],Tbl_Long_Section[[#This Row],[Nline Prev]])</f>
        <v>#N/A</v>
      </c>
      <c r="R144" s="161" t="e">
        <f>INDEX(Tbl_Long_Definition[H Deck-Bott.],Tbl_Long_Section[[#This Row],[Nline Next]])</f>
        <v>#N/A</v>
      </c>
      <c r="S144"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44" s="8"/>
      <c r="V144" s="873" t="e">
        <f t="shared" si="11"/>
        <v>#N/A</v>
      </c>
      <c r="W144" s="885" t="e">
        <f>MATCH(Tbl_Long_Hydro[[#This Row],[Draught]],Tbl_Long_Definition[H k-bott],-1)</f>
        <v>#N/A</v>
      </c>
      <c r="X144"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44" s="886" t="e">
        <f>MATCH(Tbl_Long_Hydro[[#This Row],[Draught]],Tbl_Long_Definition[H k-bott],1)</f>
        <v>#N/A</v>
      </c>
      <c r="Z144"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44" s="888" t="e">
        <f>IF(ISNA(Tbl_Long_Hydro[[#This Row],[Draught]]),NA(),IFERROR(INDEX(Tbl_Long_Definition[X],Tbl_Long_Hydro[[#This Row],[Aft Nline prev]]),0))</f>
        <v>#N/A</v>
      </c>
      <c r="AB144" s="889" t="e">
        <f>IF(ISNA(Tbl_Long_Hydro[[#This Row],[Draught]]),NA(),IFERROR(INDEX(Tbl_Long_Definition[X],Tbl_Long_Hydro[[#This Row],[Aft Nline next]]),0))</f>
        <v>#N/A</v>
      </c>
      <c r="AC144" s="889" t="e">
        <f>IF(ISNA(Tbl_Long_Hydro[[#This Row],[Draught]]),NA(),INDEX(Tbl_Long_Definition[H k-bott],Tbl_Long_Hydro[[#This Row],[Aft Nline prev]]))</f>
        <v>#N/A</v>
      </c>
      <c r="AD144" s="889" t="e">
        <f>IF(ISNA(Tbl_Long_Hydro[[#This Row],[Draught]]),NA(),INDEX(Tbl_Long_Definition[H k-bott],Tbl_Long_Hydro[[#This Row],[Aft Nline next]]))</f>
        <v>#N/A</v>
      </c>
      <c r="AE144" s="888" t="e">
        <f>IF(ISNA(Tbl_Long_Hydro[[#This Row],[Draught]]),NA(),IFERROR(INDEX(Tbl_Long_Definition[X],Tbl_Long_Hydro[[#This Row],[Fore Nline prev]]),0))</f>
        <v>#N/A</v>
      </c>
      <c r="AF144" s="889" t="e">
        <f>IF(ISNA(Tbl_Long_Hydro[[#This Row],[Draught]]),NA(),IFERROR(INDEX(Tbl_Long_Definition[X],Tbl_Long_Hydro[[#This Row],[Fore Nline next]]),0))</f>
        <v>#N/A</v>
      </c>
      <c r="AG144" s="889" t="e">
        <f>IF(ISNA(Tbl_Long_Hydro[[#This Row],[Draught]]),NA(),INDEX(Tbl_Long_Definition[H k-bott],Tbl_Long_Hydro[[#This Row],[Fore Nline prev]]))</f>
        <v>#N/A</v>
      </c>
      <c r="AH144" s="890" t="e">
        <f>IF(ISNA(Tbl_Long_Hydro[[#This Row],[Draught]]),NA(),INDEX(Tbl_Long_Definition[H k-bott],Tbl_Long_Hydro[[#This Row],[Fore Nline next]]))</f>
        <v>#N/A</v>
      </c>
      <c r="AI144"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44"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44" s="894" t="e">
        <f>Tbl_Long_Hydro[[#This Row],[Fore X]]-Tbl_Long_Hydro[[#This Row],[Aft X]]</f>
        <v>#N/A</v>
      </c>
      <c r="AL144" s="884" t="e">
        <f>Tbl_Long_Hydro[[#This Row],[LX]]*B</f>
        <v>#N/A</v>
      </c>
      <c r="AM144" s="892" t="e">
        <f>IF(ISNUMBER(AM143),(AK143+Tbl_Long_Hydro[[#This Row],[LX]])*(Tbl_Long_Hydro[[#This Row],[Draught]]-V143)/2*B,(Tbl_Long_Hydro[[#This Row],[LX]])*Tbl_Long_Hydro[[#This Row],[Draught]]*B)</f>
        <v>#N/A</v>
      </c>
      <c r="AN144" s="899" t="e">
        <f>Tbl_Long_Hydro[[#This Row],[Aft X]]+Tbl_Long_Hydro[[#This Row],[LX]]/2</f>
        <v>#N/A</v>
      </c>
      <c r="AO144" s="876" t="e">
        <f>IF(ISNUMBER(AO143),(2*Tbl_Long_Hydro[[#This Row],[LX]]+AK143)/(Tbl_Long_Hydro[[#This Row],[LX]]+AK143)*(Tbl_Long_Hydro[[#This Row],[Draught]]-V143)/3+V143,Tbl_Long_Hydro[[#This Row],[Draught]]/2)</f>
        <v>#N/A</v>
      </c>
      <c r="AP144" s="898" t="e">
        <f>IF(ISNUMBER(AP143),Tbl_Long_Hydro[[#This Row],[Volume elt]]+AP143,Tbl_Long_Hydro[[#This Row],[Volume elt]]*AO$4)</f>
        <v>#N/A</v>
      </c>
      <c r="AQ144" s="893" t="e">
        <f>IF(ISNUMBER(AQ143),Tbl_Long_Hydro[[#This Row],[Displacement]]*AQ$4,IF(ISNA(AQ143),NA(),0))</f>
        <v>#N/A</v>
      </c>
      <c r="AR144" s="900" t="e">
        <f>IF(ISNA(Tbl_Long_Hydro[[#This Row],[Draught]]),NA(),IFERROR(Tbl_Long_Hydro[[#This Row],[LX]]*B^3/12/Tbl_Long_Hydro[[#This Row],[Displacement]],0))</f>
        <v>#N/A</v>
      </c>
      <c r="AS144" s="903" t="e">
        <f>IF(ISNA(Tbl_Long_Hydro[[#This Row],[Draught]]),NA(),IFERROR((B*Tbl_Long_Hydro[[#This Row],[LX]]^3/12+(Tbl_Long_Hydro[[#This Row],[LCF]]-Tbl_Long_Hydro[[#This Row],[LCB]])*Tbl_Long_Hydro[[#This Row],[Waterplane area]]*Tbl_Long_Hydro[[#This Row],[LCF]]^2)/Tbl_Long_Hydro[[#This Row],[Displacement]],0))</f>
        <v>#N/A</v>
      </c>
      <c r="AT144" s="900" t="e">
        <f>Tbl_Long_Hydro[[#This Row],[Aft X]]+Tbl_Long_Hydro[[#This Row],[LX]]/2</f>
        <v>#N/A</v>
      </c>
      <c r="AU144" s="901" t="e">
        <f>IF(ISNUMBER(AU143),(AU143*AP143+Tbl_Long_Hydro[[#This Row],[X CoG elt]]*Tbl_Long_Hydro[[#This Row],[Volume elt]])/Tbl_Long_Hydro[[#This Row],[Displacement]],Tbl_Long_Hydro[[#This Row],[X CoG elt]])</f>
        <v>#N/A</v>
      </c>
      <c r="AV144" s="902" t="e">
        <f>IF(ISNA(Tbl_Long_Hydro[[#This Row],[Draught]]),NA(),0)</f>
        <v>#N/A</v>
      </c>
      <c r="AW144" s="876" t="e">
        <f>IF(ISNUMBER(AW143),(AW143*AP143+Tbl_Long_Hydro[[#This Row],[Z CoG elt]]*Tbl_Long_Hydro[[#This Row],[Volume elt]])/Tbl_Long_Hydro[[#This Row],[Displacement]],Tbl_Long_Hydro[[#This Row],[Z CoG elt]])</f>
        <v>#N/A</v>
      </c>
      <c r="AX144" s="899" t="e">
        <f>Tbl_Long_Hydro[[#This Row],[RMT]]+Tbl_Long_Hydro[[#This Row],[VCB]]</f>
        <v>#N/A</v>
      </c>
      <c r="AY144" s="904" t="e">
        <f>Tbl_Long_Hydro[[#This Row],[Displacement]]*Tbl_Long_Hydro[[#This Row],[RML]]/(100*Lpp)</f>
        <v>#N/A</v>
      </c>
      <c r="AZ144" s="956" t="e">
        <f>Tbl_Long_Hydro[[#This Row],[Draught]]</f>
        <v>#N/A</v>
      </c>
      <c r="BA144" s="959" t="e">
        <f>Tbl_Long_Hydro[[#This Row],[Displacement]]</f>
        <v>#N/A</v>
      </c>
      <c r="BB144" s="960" t="e">
        <f>Tbl_Long_Hydro[[#This Row],[Displac. SW]]</f>
        <v>#N/A</v>
      </c>
      <c r="BC144" s="964" t="e">
        <f>Tbl_Long_Hydro[[#This Row],[Waterplane area]]/100*$AQ$4</f>
        <v>#N/A</v>
      </c>
      <c r="BD144" s="961" t="e">
        <f>Tbl_Long_Hydro[[#This Row],[MCT]]</f>
        <v>#N/A</v>
      </c>
      <c r="BE144" s="962" t="e">
        <f>Tbl_Long_Hydro[[#This Row],[LCB]]</f>
        <v>#N/A</v>
      </c>
      <c r="BF144" s="962" t="e">
        <f>Tbl_Long_Hydro[[#This Row],[TCB]]</f>
        <v>#N/A</v>
      </c>
      <c r="BG144" s="962" t="e">
        <f>Tbl_Long_Hydro[[#This Row],[LCF]]</f>
        <v>#N/A</v>
      </c>
      <c r="BH144" s="963" t="e">
        <f>Tbl_Long_Hydro[[#This Row],[KMT]]</f>
        <v>#N/A</v>
      </c>
    </row>
    <row r="145" spans="11:60" x14ac:dyDescent="0.25">
      <c r="K145" s="156" t="e">
        <f t="shared" si="9"/>
        <v>#N/A</v>
      </c>
      <c r="L145" s="164" t="e">
        <f t="shared" si="10"/>
        <v>#N/A</v>
      </c>
      <c r="M145" s="262" t="e">
        <f>MATCH(Tbl_Long_Section[[#This Row],[X]],Tbl_Long_Definition[X],1)</f>
        <v>#N/A</v>
      </c>
      <c r="N145" s="262" t="e">
        <f>IF(Tbl_Long_Section[[#This Row],[Nline Prev]]&lt;COUNT(Tbl_Long_Definition[X]),Tbl_Long_Section[[#This Row],[Nline Prev]]+1,Tbl_Long_Section[[#This Row],[Nline Prev]])</f>
        <v>#N/A</v>
      </c>
      <c r="O145" s="162" t="e">
        <f>INDEX(Tbl_Long_Definition[X],Tbl_Long_Section[[#This Row],[Nline Prev]])</f>
        <v>#N/A</v>
      </c>
      <c r="P145" s="263" t="e">
        <f>INDEX(Tbl_Long_Definition[X],Tbl_Long_Section[[#This Row],[Nline Next]])</f>
        <v>#N/A</v>
      </c>
      <c r="Q145" s="160" t="e">
        <f>INDEX(Tbl_Long_Definition[H Deck-Bott.],Tbl_Long_Section[[#This Row],[Nline Prev]])</f>
        <v>#N/A</v>
      </c>
      <c r="R145" s="161" t="e">
        <f>INDEX(Tbl_Long_Definition[H Deck-Bott.],Tbl_Long_Section[[#This Row],[Nline Next]])</f>
        <v>#N/A</v>
      </c>
      <c r="S145"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45" s="8"/>
      <c r="V145" s="873" t="e">
        <f t="shared" si="11"/>
        <v>#N/A</v>
      </c>
      <c r="W145" s="885" t="e">
        <f>MATCH(Tbl_Long_Hydro[[#This Row],[Draught]],Tbl_Long_Definition[H k-bott],-1)</f>
        <v>#N/A</v>
      </c>
      <c r="X145"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45" s="886" t="e">
        <f>MATCH(Tbl_Long_Hydro[[#This Row],[Draught]],Tbl_Long_Definition[H k-bott],1)</f>
        <v>#N/A</v>
      </c>
      <c r="Z145"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45" s="888" t="e">
        <f>IF(ISNA(Tbl_Long_Hydro[[#This Row],[Draught]]),NA(),IFERROR(INDEX(Tbl_Long_Definition[X],Tbl_Long_Hydro[[#This Row],[Aft Nline prev]]),0))</f>
        <v>#N/A</v>
      </c>
      <c r="AB145" s="889" t="e">
        <f>IF(ISNA(Tbl_Long_Hydro[[#This Row],[Draught]]),NA(),IFERROR(INDEX(Tbl_Long_Definition[X],Tbl_Long_Hydro[[#This Row],[Aft Nline next]]),0))</f>
        <v>#N/A</v>
      </c>
      <c r="AC145" s="889" t="e">
        <f>IF(ISNA(Tbl_Long_Hydro[[#This Row],[Draught]]),NA(),INDEX(Tbl_Long_Definition[H k-bott],Tbl_Long_Hydro[[#This Row],[Aft Nline prev]]))</f>
        <v>#N/A</v>
      </c>
      <c r="AD145" s="889" t="e">
        <f>IF(ISNA(Tbl_Long_Hydro[[#This Row],[Draught]]),NA(),INDEX(Tbl_Long_Definition[H k-bott],Tbl_Long_Hydro[[#This Row],[Aft Nline next]]))</f>
        <v>#N/A</v>
      </c>
      <c r="AE145" s="888" t="e">
        <f>IF(ISNA(Tbl_Long_Hydro[[#This Row],[Draught]]),NA(),IFERROR(INDEX(Tbl_Long_Definition[X],Tbl_Long_Hydro[[#This Row],[Fore Nline prev]]),0))</f>
        <v>#N/A</v>
      </c>
      <c r="AF145" s="889" t="e">
        <f>IF(ISNA(Tbl_Long_Hydro[[#This Row],[Draught]]),NA(),IFERROR(INDEX(Tbl_Long_Definition[X],Tbl_Long_Hydro[[#This Row],[Fore Nline next]]),0))</f>
        <v>#N/A</v>
      </c>
      <c r="AG145" s="889" t="e">
        <f>IF(ISNA(Tbl_Long_Hydro[[#This Row],[Draught]]),NA(),INDEX(Tbl_Long_Definition[H k-bott],Tbl_Long_Hydro[[#This Row],[Fore Nline prev]]))</f>
        <v>#N/A</v>
      </c>
      <c r="AH145" s="890" t="e">
        <f>IF(ISNA(Tbl_Long_Hydro[[#This Row],[Draught]]),NA(),INDEX(Tbl_Long_Definition[H k-bott],Tbl_Long_Hydro[[#This Row],[Fore Nline next]]))</f>
        <v>#N/A</v>
      </c>
      <c r="AI145"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45"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45" s="894" t="e">
        <f>Tbl_Long_Hydro[[#This Row],[Fore X]]-Tbl_Long_Hydro[[#This Row],[Aft X]]</f>
        <v>#N/A</v>
      </c>
      <c r="AL145" s="884" t="e">
        <f>Tbl_Long_Hydro[[#This Row],[LX]]*B</f>
        <v>#N/A</v>
      </c>
      <c r="AM145" s="892" t="e">
        <f>IF(ISNUMBER(AM144),(AK144+Tbl_Long_Hydro[[#This Row],[LX]])*(Tbl_Long_Hydro[[#This Row],[Draught]]-V144)/2*B,(Tbl_Long_Hydro[[#This Row],[LX]])*Tbl_Long_Hydro[[#This Row],[Draught]]*B)</f>
        <v>#N/A</v>
      </c>
      <c r="AN145" s="899" t="e">
        <f>Tbl_Long_Hydro[[#This Row],[Aft X]]+Tbl_Long_Hydro[[#This Row],[LX]]/2</f>
        <v>#N/A</v>
      </c>
      <c r="AO145" s="876" t="e">
        <f>IF(ISNUMBER(AO144),(2*Tbl_Long_Hydro[[#This Row],[LX]]+AK144)/(Tbl_Long_Hydro[[#This Row],[LX]]+AK144)*(Tbl_Long_Hydro[[#This Row],[Draught]]-V144)/3+V144,Tbl_Long_Hydro[[#This Row],[Draught]]/2)</f>
        <v>#N/A</v>
      </c>
      <c r="AP145" s="898" t="e">
        <f>IF(ISNUMBER(AP144),Tbl_Long_Hydro[[#This Row],[Volume elt]]+AP144,Tbl_Long_Hydro[[#This Row],[Volume elt]]*AO$4)</f>
        <v>#N/A</v>
      </c>
      <c r="AQ145" s="893" t="e">
        <f>IF(ISNUMBER(AQ144),Tbl_Long_Hydro[[#This Row],[Displacement]]*AQ$4,IF(ISNA(AQ144),NA(),0))</f>
        <v>#N/A</v>
      </c>
      <c r="AR145" s="900" t="e">
        <f>IF(ISNA(Tbl_Long_Hydro[[#This Row],[Draught]]),NA(),IFERROR(Tbl_Long_Hydro[[#This Row],[LX]]*B^3/12/Tbl_Long_Hydro[[#This Row],[Displacement]],0))</f>
        <v>#N/A</v>
      </c>
      <c r="AS145" s="903" t="e">
        <f>IF(ISNA(Tbl_Long_Hydro[[#This Row],[Draught]]),NA(),IFERROR((B*Tbl_Long_Hydro[[#This Row],[LX]]^3/12+(Tbl_Long_Hydro[[#This Row],[LCF]]-Tbl_Long_Hydro[[#This Row],[LCB]])*Tbl_Long_Hydro[[#This Row],[Waterplane area]]*Tbl_Long_Hydro[[#This Row],[LCF]]^2)/Tbl_Long_Hydro[[#This Row],[Displacement]],0))</f>
        <v>#N/A</v>
      </c>
      <c r="AT145" s="900" t="e">
        <f>Tbl_Long_Hydro[[#This Row],[Aft X]]+Tbl_Long_Hydro[[#This Row],[LX]]/2</f>
        <v>#N/A</v>
      </c>
      <c r="AU145" s="901" t="e">
        <f>IF(ISNUMBER(AU144),(AU144*AP144+Tbl_Long_Hydro[[#This Row],[X CoG elt]]*Tbl_Long_Hydro[[#This Row],[Volume elt]])/Tbl_Long_Hydro[[#This Row],[Displacement]],Tbl_Long_Hydro[[#This Row],[X CoG elt]])</f>
        <v>#N/A</v>
      </c>
      <c r="AV145" s="902" t="e">
        <f>IF(ISNA(Tbl_Long_Hydro[[#This Row],[Draught]]),NA(),0)</f>
        <v>#N/A</v>
      </c>
      <c r="AW145" s="876" t="e">
        <f>IF(ISNUMBER(AW144),(AW144*AP144+Tbl_Long_Hydro[[#This Row],[Z CoG elt]]*Tbl_Long_Hydro[[#This Row],[Volume elt]])/Tbl_Long_Hydro[[#This Row],[Displacement]],Tbl_Long_Hydro[[#This Row],[Z CoG elt]])</f>
        <v>#N/A</v>
      </c>
      <c r="AX145" s="899" t="e">
        <f>Tbl_Long_Hydro[[#This Row],[RMT]]+Tbl_Long_Hydro[[#This Row],[VCB]]</f>
        <v>#N/A</v>
      </c>
      <c r="AY145" s="904" t="e">
        <f>Tbl_Long_Hydro[[#This Row],[Displacement]]*Tbl_Long_Hydro[[#This Row],[RML]]/(100*Lpp)</f>
        <v>#N/A</v>
      </c>
      <c r="AZ145" s="956" t="e">
        <f>Tbl_Long_Hydro[[#This Row],[Draught]]</f>
        <v>#N/A</v>
      </c>
      <c r="BA145" s="959" t="e">
        <f>Tbl_Long_Hydro[[#This Row],[Displacement]]</f>
        <v>#N/A</v>
      </c>
      <c r="BB145" s="960" t="e">
        <f>Tbl_Long_Hydro[[#This Row],[Displac. SW]]</f>
        <v>#N/A</v>
      </c>
      <c r="BC145" s="964" t="e">
        <f>Tbl_Long_Hydro[[#This Row],[Waterplane area]]/100*$AQ$4</f>
        <v>#N/A</v>
      </c>
      <c r="BD145" s="961" t="e">
        <f>Tbl_Long_Hydro[[#This Row],[MCT]]</f>
        <v>#N/A</v>
      </c>
      <c r="BE145" s="962" t="e">
        <f>Tbl_Long_Hydro[[#This Row],[LCB]]</f>
        <v>#N/A</v>
      </c>
      <c r="BF145" s="962" t="e">
        <f>Tbl_Long_Hydro[[#This Row],[TCB]]</f>
        <v>#N/A</v>
      </c>
      <c r="BG145" s="962" t="e">
        <f>Tbl_Long_Hydro[[#This Row],[LCF]]</f>
        <v>#N/A</v>
      </c>
      <c r="BH145" s="963" t="e">
        <f>Tbl_Long_Hydro[[#This Row],[KMT]]</f>
        <v>#N/A</v>
      </c>
    </row>
    <row r="146" spans="11:60" x14ac:dyDescent="0.25">
      <c r="K146" s="156" t="e">
        <f t="shared" si="9"/>
        <v>#N/A</v>
      </c>
      <c r="L146" s="164" t="e">
        <f t="shared" si="10"/>
        <v>#N/A</v>
      </c>
      <c r="M146" s="262" t="e">
        <f>MATCH(Tbl_Long_Section[[#This Row],[X]],Tbl_Long_Definition[X],1)</f>
        <v>#N/A</v>
      </c>
      <c r="N146" s="262" t="e">
        <f>IF(Tbl_Long_Section[[#This Row],[Nline Prev]]&lt;COUNT(Tbl_Long_Definition[X]),Tbl_Long_Section[[#This Row],[Nline Prev]]+1,Tbl_Long_Section[[#This Row],[Nline Prev]])</f>
        <v>#N/A</v>
      </c>
      <c r="O146" s="162" t="e">
        <f>INDEX(Tbl_Long_Definition[X],Tbl_Long_Section[[#This Row],[Nline Prev]])</f>
        <v>#N/A</v>
      </c>
      <c r="P146" s="263" t="e">
        <f>INDEX(Tbl_Long_Definition[X],Tbl_Long_Section[[#This Row],[Nline Next]])</f>
        <v>#N/A</v>
      </c>
      <c r="Q146" s="160" t="e">
        <f>INDEX(Tbl_Long_Definition[H Deck-Bott.],Tbl_Long_Section[[#This Row],[Nline Prev]])</f>
        <v>#N/A</v>
      </c>
      <c r="R146" s="161" t="e">
        <f>INDEX(Tbl_Long_Definition[H Deck-Bott.],Tbl_Long_Section[[#This Row],[Nline Next]])</f>
        <v>#N/A</v>
      </c>
      <c r="S146"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46" s="8"/>
      <c r="V146" s="873" t="e">
        <f t="shared" si="11"/>
        <v>#N/A</v>
      </c>
      <c r="W146" s="885" t="e">
        <f>MATCH(Tbl_Long_Hydro[[#This Row],[Draught]],Tbl_Long_Definition[H k-bott],-1)</f>
        <v>#N/A</v>
      </c>
      <c r="X146"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46" s="886" t="e">
        <f>MATCH(Tbl_Long_Hydro[[#This Row],[Draught]],Tbl_Long_Definition[H k-bott],1)</f>
        <v>#N/A</v>
      </c>
      <c r="Z146"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46" s="888" t="e">
        <f>IF(ISNA(Tbl_Long_Hydro[[#This Row],[Draught]]),NA(),IFERROR(INDEX(Tbl_Long_Definition[X],Tbl_Long_Hydro[[#This Row],[Aft Nline prev]]),0))</f>
        <v>#N/A</v>
      </c>
      <c r="AB146" s="889" t="e">
        <f>IF(ISNA(Tbl_Long_Hydro[[#This Row],[Draught]]),NA(),IFERROR(INDEX(Tbl_Long_Definition[X],Tbl_Long_Hydro[[#This Row],[Aft Nline next]]),0))</f>
        <v>#N/A</v>
      </c>
      <c r="AC146" s="889" t="e">
        <f>IF(ISNA(Tbl_Long_Hydro[[#This Row],[Draught]]),NA(),INDEX(Tbl_Long_Definition[H k-bott],Tbl_Long_Hydro[[#This Row],[Aft Nline prev]]))</f>
        <v>#N/A</v>
      </c>
      <c r="AD146" s="889" t="e">
        <f>IF(ISNA(Tbl_Long_Hydro[[#This Row],[Draught]]),NA(),INDEX(Tbl_Long_Definition[H k-bott],Tbl_Long_Hydro[[#This Row],[Aft Nline next]]))</f>
        <v>#N/A</v>
      </c>
      <c r="AE146" s="888" t="e">
        <f>IF(ISNA(Tbl_Long_Hydro[[#This Row],[Draught]]),NA(),IFERROR(INDEX(Tbl_Long_Definition[X],Tbl_Long_Hydro[[#This Row],[Fore Nline prev]]),0))</f>
        <v>#N/A</v>
      </c>
      <c r="AF146" s="889" t="e">
        <f>IF(ISNA(Tbl_Long_Hydro[[#This Row],[Draught]]),NA(),IFERROR(INDEX(Tbl_Long_Definition[X],Tbl_Long_Hydro[[#This Row],[Fore Nline next]]),0))</f>
        <v>#N/A</v>
      </c>
      <c r="AG146" s="889" t="e">
        <f>IF(ISNA(Tbl_Long_Hydro[[#This Row],[Draught]]),NA(),INDEX(Tbl_Long_Definition[H k-bott],Tbl_Long_Hydro[[#This Row],[Fore Nline prev]]))</f>
        <v>#N/A</v>
      </c>
      <c r="AH146" s="890" t="e">
        <f>IF(ISNA(Tbl_Long_Hydro[[#This Row],[Draught]]),NA(),INDEX(Tbl_Long_Definition[H k-bott],Tbl_Long_Hydro[[#This Row],[Fore Nline next]]))</f>
        <v>#N/A</v>
      </c>
      <c r="AI146"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46"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46" s="894" t="e">
        <f>Tbl_Long_Hydro[[#This Row],[Fore X]]-Tbl_Long_Hydro[[#This Row],[Aft X]]</f>
        <v>#N/A</v>
      </c>
      <c r="AL146" s="884" t="e">
        <f>Tbl_Long_Hydro[[#This Row],[LX]]*B</f>
        <v>#N/A</v>
      </c>
      <c r="AM146" s="892" t="e">
        <f>IF(ISNUMBER(AM145),(AK145+Tbl_Long_Hydro[[#This Row],[LX]])*(Tbl_Long_Hydro[[#This Row],[Draught]]-V145)/2*B,(Tbl_Long_Hydro[[#This Row],[LX]])*Tbl_Long_Hydro[[#This Row],[Draught]]*B)</f>
        <v>#N/A</v>
      </c>
      <c r="AN146" s="899" t="e">
        <f>Tbl_Long_Hydro[[#This Row],[Aft X]]+Tbl_Long_Hydro[[#This Row],[LX]]/2</f>
        <v>#N/A</v>
      </c>
      <c r="AO146" s="876" t="e">
        <f>IF(ISNUMBER(AO145),(2*Tbl_Long_Hydro[[#This Row],[LX]]+AK145)/(Tbl_Long_Hydro[[#This Row],[LX]]+AK145)*(Tbl_Long_Hydro[[#This Row],[Draught]]-V145)/3+V145,Tbl_Long_Hydro[[#This Row],[Draught]]/2)</f>
        <v>#N/A</v>
      </c>
      <c r="AP146" s="898" t="e">
        <f>IF(ISNUMBER(AP145),Tbl_Long_Hydro[[#This Row],[Volume elt]]+AP145,Tbl_Long_Hydro[[#This Row],[Volume elt]]*AO$4)</f>
        <v>#N/A</v>
      </c>
      <c r="AQ146" s="893" t="e">
        <f>IF(ISNUMBER(AQ145),Tbl_Long_Hydro[[#This Row],[Displacement]]*AQ$4,IF(ISNA(AQ145),NA(),0))</f>
        <v>#N/A</v>
      </c>
      <c r="AR146" s="900" t="e">
        <f>IF(ISNA(Tbl_Long_Hydro[[#This Row],[Draught]]),NA(),IFERROR(Tbl_Long_Hydro[[#This Row],[LX]]*B^3/12/Tbl_Long_Hydro[[#This Row],[Displacement]],0))</f>
        <v>#N/A</v>
      </c>
      <c r="AS146" s="903" t="e">
        <f>IF(ISNA(Tbl_Long_Hydro[[#This Row],[Draught]]),NA(),IFERROR((B*Tbl_Long_Hydro[[#This Row],[LX]]^3/12+(Tbl_Long_Hydro[[#This Row],[LCF]]-Tbl_Long_Hydro[[#This Row],[LCB]])*Tbl_Long_Hydro[[#This Row],[Waterplane area]]*Tbl_Long_Hydro[[#This Row],[LCF]]^2)/Tbl_Long_Hydro[[#This Row],[Displacement]],0))</f>
        <v>#N/A</v>
      </c>
      <c r="AT146" s="900" t="e">
        <f>Tbl_Long_Hydro[[#This Row],[Aft X]]+Tbl_Long_Hydro[[#This Row],[LX]]/2</f>
        <v>#N/A</v>
      </c>
      <c r="AU146" s="901" t="e">
        <f>IF(ISNUMBER(AU145),(AU145*AP145+Tbl_Long_Hydro[[#This Row],[X CoG elt]]*Tbl_Long_Hydro[[#This Row],[Volume elt]])/Tbl_Long_Hydro[[#This Row],[Displacement]],Tbl_Long_Hydro[[#This Row],[X CoG elt]])</f>
        <v>#N/A</v>
      </c>
      <c r="AV146" s="902" t="e">
        <f>IF(ISNA(Tbl_Long_Hydro[[#This Row],[Draught]]),NA(),0)</f>
        <v>#N/A</v>
      </c>
      <c r="AW146" s="876" t="e">
        <f>IF(ISNUMBER(AW145),(AW145*AP145+Tbl_Long_Hydro[[#This Row],[Z CoG elt]]*Tbl_Long_Hydro[[#This Row],[Volume elt]])/Tbl_Long_Hydro[[#This Row],[Displacement]],Tbl_Long_Hydro[[#This Row],[Z CoG elt]])</f>
        <v>#N/A</v>
      </c>
      <c r="AX146" s="899" t="e">
        <f>Tbl_Long_Hydro[[#This Row],[RMT]]+Tbl_Long_Hydro[[#This Row],[VCB]]</f>
        <v>#N/A</v>
      </c>
      <c r="AY146" s="904" t="e">
        <f>Tbl_Long_Hydro[[#This Row],[Displacement]]*Tbl_Long_Hydro[[#This Row],[RML]]/(100*Lpp)</f>
        <v>#N/A</v>
      </c>
      <c r="AZ146" s="956" t="e">
        <f>Tbl_Long_Hydro[[#This Row],[Draught]]</f>
        <v>#N/A</v>
      </c>
      <c r="BA146" s="959" t="e">
        <f>Tbl_Long_Hydro[[#This Row],[Displacement]]</f>
        <v>#N/A</v>
      </c>
      <c r="BB146" s="960" t="e">
        <f>Tbl_Long_Hydro[[#This Row],[Displac. SW]]</f>
        <v>#N/A</v>
      </c>
      <c r="BC146" s="964" t="e">
        <f>Tbl_Long_Hydro[[#This Row],[Waterplane area]]/100*$AQ$4</f>
        <v>#N/A</v>
      </c>
      <c r="BD146" s="961" t="e">
        <f>Tbl_Long_Hydro[[#This Row],[MCT]]</f>
        <v>#N/A</v>
      </c>
      <c r="BE146" s="962" t="e">
        <f>Tbl_Long_Hydro[[#This Row],[LCB]]</f>
        <v>#N/A</v>
      </c>
      <c r="BF146" s="962" t="e">
        <f>Tbl_Long_Hydro[[#This Row],[TCB]]</f>
        <v>#N/A</v>
      </c>
      <c r="BG146" s="962" t="e">
        <f>Tbl_Long_Hydro[[#This Row],[LCF]]</f>
        <v>#N/A</v>
      </c>
      <c r="BH146" s="963" t="e">
        <f>Tbl_Long_Hydro[[#This Row],[KMT]]</f>
        <v>#N/A</v>
      </c>
    </row>
    <row r="147" spans="11:60" x14ac:dyDescent="0.25">
      <c r="K147" s="156" t="e">
        <f t="shared" si="9"/>
        <v>#N/A</v>
      </c>
      <c r="L147" s="164" t="e">
        <f t="shared" si="10"/>
        <v>#N/A</v>
      </c>
      <c r="M147" s="262" t="e">
        <f>MATCH(Tbl_Long_Section[[#This Row],[X]],Tbl_Long_Definition[X],1)</f>
        <v>#N/A</v>
      </c>
      <c r="N147" s="262" t="e">
        <f>IF(Tbl_Long_Section[[#This Row],[Nline Prev]]&lt;COUNT(Tbl_Long_Definition[X]),Tbl_Long_Section[[#This Row],[Nline Prev]]+1,Tbl_Long_Section[[#This Row],[Nline Prev]])</f>
        <v>#N/A</v>
      </c>
      <c r="O147" s="162" t="e">
        <f>INDEX(Tbl_Long_Definition[X],Tbl_Long_Section[[#This Row],[Nline Prev]])</f>
        <v>#N/A</v>
      </c>
      <c r="P147" s="263" t="e">
        <f>INDEX(Tbl_Long_Definition[X],Tbl_Long_Section[[#This Row],[Nline Next]])</f>
        <v>#N/A</v>
      </c>
      <c r="Q147" s="160" t="e">
        <f>INDEX(Tbl_Long_Definition[H Deck-Bott.],Tbl_Long_Section[[#This Row],[Nline Prev]])</f>
        <v>#N/A</v>
      </c>
      <c r="R147" s="161" t="e">
        <f>INDEX(Tbl_Long_Definition[H Deck-Bott.],Tbl_Long_Section[[#This Row],[Nline Next]])</f>
        <v>#N/A</v>
      </c>
      <c r="S147"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47" s="8"/>
      <c r="V147" s="873" t="e">
        <f t="shared" si="11"/>
        <v>#N/A</v>
      </c>
      <c r="W147" s="885" t="e">
        <f>MATCH(Tbl_Long_Hydro[[#This Row],[Draught]],Tbl_Long_Definition[H k-bott],-1)</f>
        <v>#N/A</v>
      </c>
      <c r="X147"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47" s="886" t="e">
        <f>MATCH(Tbl_Long_Hydro[[#This Row],[Draught]],Tbl_Long_Definition[H k-bott],1)</f>
        <v>#N/A</v>
      </c>
      <c r="Z147"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47" s="888" t="e">
        <f>IF(ISNA(Tbl_Long_Hydro[[#This Row],[Draught]]),NA(),IFERROR(INDEX(Tbl_Long_Definition[X],Tbl_Long_Hydro[[#This Row],[Aft Nline prev]]),0))</f>
        <v>#N/A</v>
      </c>
      <c r="AB147" s="889" t="e">
        <f>IF(ISNA(Tbl_Long_Hydro[[#This Row],[Draught]]),NA(),IFERROR(INDEX(Tbl_Long_Definition[X],Tbl_Long_Hydro[[#This Row],[Aft Nline next]]),0))</f>
        <v>#N/A</v>
      </c>
      <c r="AC147" s="889" t="e">
        <f>IF(ISNA(Tbl_Long_Hydro[[#This Row],[Draught]]),NA(),INDEX(Tbl_Long_Definition[H k-bott],Tbl_Long_Hydro[[#This Row],[Aft Nline prev]]))</f>
        <v>#N/A</v>
      </c>
      <c r="AD147" s="889" t="e">
        <f>IF(ISNA(Tbl_Long_Hydro[[#This Row],[Draught]]),NA(),INDEX(Tbl_Long_Definition[H k-bott],Tbl_Long_Hydro[[#This Row],[Aft Nline next]]))</f>
        <v>#N/A</v>
      </c>
      <c r="AE147" s="888" t="e">
        <f>IF(ISNA(Tbl_Long_Hydro[[#This Row],[Draught]]),NA(),IFERROR(INDEX(Tbl_Long_Definition[X],Tbl_Long_Hydro[[#This Row],[Fore Nline prev]]),0))</f>
        <v>#N/A</v>
      </c>
      <c r="AF147" s="889" t="e">
        <f>IF(ISNA(Tbl_Long_Hydro[[#This Row],[Draught]]),NA(),IFERROR(INDEX(Tbl_Long_Definition[X],Tbl_Long_Hydro[[#This Row],[Fore Nline next]]),0))</f>
        <v>#N/A</v>
      </c>
      <c r="AG147" s="889" t="e">
        <f>IF(ISNA(Tbl_Long_Hydro[[#This Row],[Draught]]),NA(),INDEX(Tbl_Long_Definition[H k-bott],Tbl_Long_Hydro[[#This Row],[Fore Nline prev]]))</f>
        <v>#N/A</v>
      </c>
      <c r="AH147" s="890" t="e">
        <f>IF(ISNA(Tbl_Long_Hydro[[#This Row],[Draught]]),NA(),INDEX(Tbl_Long_Definition[H k-bott],Tbl_Long_Hydro[[#This Row],[Fore Nline next]]))</f>
        <v>#N/A</v>
      </c>
      <c r="AI147"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47"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47" s="894" t="e">
        <f>Tbl_Long_Hydro[[#This Row],[Fore X]]-Tbl_Long_Hydro[[#This Row],[Aft X]]</f>
        <v>#N/A</v>
      </c>
      <c r="AL147" s="884" t="e">
        <f>Tbl_Long_Hydro[[#This Row],[LX]]*B</f>
        <v>#N/A</v>
      </c>
      <c r="AM147" s="892" t="e">
        <f>IF(ISNUMBER(AM146),(AK146+Tbl_Long_Hydro[[#This Row],[LX]])*(Tbl_Long_Hydro[[#This Row],[Draught]]-V146)/2*B,(Tbl_Long_Hydro[[#This Row],[LX]])*Tbl_Long_Hydro[[#This Row],[Draught]]*B)</f>
        <v>#N/A</v>
      </c>
      <c r="AN147" s="899" t="e">
        <f>Tbl_Long_Hydro[[#This Row],[Aft X]]+Tbl_Long_Hydro[[#This Row],[LX]]/2</f>
        <v>#N/A</v>
      </c>
      <c r="AO147" s="876" t="e">
        <f>IF(ISNUMBER(AO146),(2*Tbl_Long_Hydro[[#This Row],[LX]]+AK146)/(Tbl_Long_Hydro[[#This Row],[LX]]+AK146)*(Tbl_Long_Hydro[[#This Row],[Draught]]-V146)/3+V146,Tbl_Long_Hydro[[#This Row],[Draught]]/2)</f>
        <v>#N/A</v>
      </c>
      <c r="AP147" s="898" t="e">
        <f>IF(ISNUMBER(AP146),Tbl_Long_Hydro[[#This Row],[Volume elt]]+AP146,Tbl_Long_Hydro[[#This Row],[Volume elt]]*AO$4)</f>
        <v>#N/A</v>
      </c>
      <c r="AQ147" s="893" t="e">
        <f>IF(ISNUMBER(AQ146),Tbl_Long_Hydro[[#This Row],[Displacement]]*AQ$4,IF(ISNA(AQ146),NA(),0))</f>
        <v>#N/A</v>
      </c>
      <c r="AR147" s="900" t="e">
        <f>IF(ISNA(Tbl_Long_Hydro[[#This Row],[Draught]]),NA(),IFERROR(Tbl_Long_Hydro[[#This Row],[LX]]*B^3/12/Tbl_Long_Hydro[[#This Row],[Displacement]],0))</f>
        <v>#N/A</v>
      </c>
      <c r="AS147" s="903" t="e">
        <f>IF(ISNA(Tbl_Long_Hydro[[#This Row],[Draught]]),NA(),IFERROR((B*Tbl_Long_Hydro[[#This Row],[LX]]^3/12+(Tbl_Long_Hydro[[#This Row],[LCF]]-Tbl_Long_Hydro[[#This Row],[LCB]])*Tbl_Long_Hydro[[#This Row],[Waterplane area]]*Tbl_Long_Hydro[[#This Row],[LCF]]^2)/Tbl_Long_Hydro[[#This Row],[Displacement]],0))</f>
        <v>#N/A</v>
      </c>
      <c r="AT147" s="900" t="e">
        <f>Tbl_Long_Hydro[[#This Row],[Aft X]]+Tbl_Long_Hydro[[#This Row],[LX]]/2</f>
        <v>#N/A</v>
      </c>
      <c r="AU147" s="901" t="e">
        <f>IF(ISNUMBER(AU146),(AU146*AP146+Tbl_Long_Hydro[[#This Row],[X CoG elt]]*Tbl_Long_Hydro[[#This Row],[Volume elt]])/Tbl_Long_Hydro[[#This Row],[Displacement]],Tbl_Long_Hydro[[#This Row],[X CoG elt]])</f>
        <v>#N/A</v>
      </c>
      <c r="AV147" s="902" t="e">
        <f>IF(ISNA(Tbl_Long_Hydro[[#This Row],[Draught]]),NA(),0)</f>
        <v>#N/A</v>
      </c>
      <c r="AW147" s="876" t="e">
        <f>IF(ISNUMBER(AW146),(AW146*AP146+Tbl_Long_Hydro[[#This Row],[Z CoG elt]]*Tbl_Long_Hydro[[#This Row],[Volume elt]])/Tbl_Long_Hydro[[#This Row],[Displacement]],Tbl_Long_Hydro[[#This Row],[Z CoG elt]])</f>
        <v>#N/A</v>
      </c>
      <c r="AX147" s="899" t="e">
        <f>Tbl_Long_Hydro[[#This Row],[RMT]]+Tbl_Long_Hydro[[#This Row],[VCB]]</f>
        <v>#N/A</v>
      </c>
      <c r="AY147" s="904" t="e">
        <f>Tbl_Long_Hydro[[#This Row],[Displacement]]*Tbl_Long_Hydro[[#This Row],[RML]]/(100*Lpp)</f>
        <v>#N/A</v>
      </c>
      <c r="AZ147" s="956" t="e">
        <f>Tbl_Long_Hydro[[#This Row],[Draught]]</f>
        <v>#N/A</v>
      </c>
      <c r="BA147" s="959" t="e">
        <f>Tbl_Long_Hydro[[#This Row],[Displacement]]</f>
        <v>#N/A</v>
      </c>
      <c r="BB147" s="960" t="e">
        <f>Tbl_Long_Hydro[[#This Row],[Displac. SW]]</f>
        <v>#N/A</v>
      </c>
      <c r="BC147" s="964" t="e">
        <f>Tbl_Long_Hydro[[#This Row],[Waterplane area]]/100*$AQ$4</f>
        <v>#N/A</v>
      </c>
      <c r="BD147" s="961" t="e">
        <f>Tbl_Long_Hydro[[#This Row],[MCT]]</f>
        <v>#N/A</v>
      </c>
      <c r="BE147" s="962" t="e">
        <f>Tbl_Long_Hydro[[#This Row],[LCB]]</f>
        <v>#N/A</v>
      </c>
      <c r="BF147" s="962" t="e">
        <f>Tbl_Long_Hydro[[#This Row],[TCB]]</f>
        <v>#N/A</v>
      </c>
      <c r="BG147" s="962" t="e">
        <f>Tbl_Long_Hydro[[#This Row],[LCF]]</f>
        <v>#N/A</v>
      </c>
      <c r="BH147" s="963" t="e">
        <f>Tbl_Long_Hydro[[#This Row],[KMT]]</f>
        <v>#N/A</v>
      </c>
    </row>
    <row r="148" spans="11:60" x14ac:dyDescent="0.25">
      <c r="K148" s="156" t="e">
        <f t="shared" si="9"/>
        <v>#N/A</v>
      </c>
      <c r="L148" s="164" t="e">
        <f t="shared" si="10"/>
        <v>#N/A</v>
      </c>
      <c r="M148" s="262" t="e">
        <f>MATCH(Tbl_Long_Section[[#This Row],[X]],Tbl_Long_Definition[X],1)</f>
        <v>#N/A</v>
      </c>
      <c r="N148" s="262" t="e">
        <f>IF(Tbl_Long_Section[[#This Row],[Nline Prev]]&lt;COUNT(Tbl_Long_Definition[X]),Tbl_Long_Section[[#This Row],[Nline Prev]]+1,Tbl_Long_Section[[#This Row],[Nline Prev]])</f>
        <v>#N/A</v>
      </c>
      <c r="O148" s="162" t="e">
        <f>INDEX(Tbl_Long_Definition[X],Tbl_Long_Section[[#This Row],[Nline Prev]])</f>
        <v>#N/A</v>
      </c>
      <c r="P148" s="263" t="e">
        <f>INDEX(Tbl_Long_Definition[X],Tbl_Long_Section[[#This Row],[Nline Next]])</f>
        <v>#N/A</v>
      </c>
      <c r="Q148" s="160" t="e">
        <f>INDEX(Tbl_Long_Definition[H Deck-Bott.],Tbl_Long_Section[[#This Row],[Nline Prev]])</f>
        <v>#N/A</v>
      </c>
      <c r="R148" s="161" t="e">
        <f>INDEX(Tbl_Long_Definition[H Deck-Bott.],Tbl_Long_Section[[#This Row],[Nline Next]])</f>
        <v>#N/A</v>
      </c>
      <c r="S148"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48" s="8"/>
      <c r="V148" s="873" t="e">
        <f t="shared" si="11"/>
        <v>#N/A</v>
      </c>
      <c r="W148" s="885" t="e">
        <f>MATCH(Tbl_Long_Hydro[[#This Row],[Draught]],Tbl_Long_Definition[H k-bott],-1)</f>
        <v>#N/A</v>
      </c>
      <c r="X148"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48" s="886" t="e">
        <f>MATCH(Tbl_Long_Hydro[[#This Row],[Draught]],Tbl_Long_Definition[H k-bott],1)</f>
        <v>#N/A</v>
      </c>
      <c r="Z148"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48" s="888" t="e">
        <f>IF(ISNA(Tbl_Long_Hydro[[#This Row],[Draught]]),NA(),IFERROR(INDEX(Tbl_Long_Definition[X],Tbl_Long_Hydro[[#This Row],[Aft Nline prev]]),0))</f>
        <v>#N/A</v>
      </c>
      <c r="AB148" s="889" t="e">
        <f>IF(ISNA(Tbl_Long_Hydro[[#This Row],[Draught]]),NA(),IFERROR(INDEX(Tbl_Long_Definition[X],Tbl_Long_Hydro[[#This Row],[Aft Nline next]]),0))</f>
        <v>#N/A</v>
      </c>
      <c r="AC148" s="889" t="e">
        <f>IF(ISNA(Tbl_Long_Hydro[[#This Row],[Draught]]),NA(),INDEX(Tbl_Long_Definition[H k-bott],Tbl_Long_Hydro[[#This Row],[Aft Nline prev]]))</f>
        <v>#N/A</v>
      </c>
      <c r="AD148" s="889" t="e">
        <f>IF(ISNA(Tbl_Long_Hydro[[#This Row],[Draught]]),NA(),INDEX(Tbl_Long_Definition[H k-bott],Tbl_Long_Hydro[[#This Row],[Aft Nline next]]))</f>
        <v>#N/A</v>
      </c>
      <c r="AE148" s="888" t="e">
        <f>IF(ISNA(Tbl_Long_Hydro[[#This Row],[Draught]]),NA(),IFERROR(INDEX(Tbl_Long_Definition[X],Tbl_Long_Hydro[[#This Row],[Fore Nline prev]]),0))</f>
        <v>#N/A</v>
      </c>
      <c r="AF148" s="889" t="e">
        <f>IF(ISNA(Tbl_Long_Hydro[[#This Row],[Draught]]),NA(),IFERROR(INDEX(Tbl_Long_Definition[X],Tbl_Long_Hydro[[#This Row],[Fore Nline next]]),0))</f>
        <v>#N/A</v>
      </c>
      <c r="AG148" s="889" t="e">
        <f>IF(ISNA(Tbl_Long_Hydro[[#This Row],[Draught]]),NA(),INDEX(Tbl_Long_Definition[H k-bott],Tbl_Long_Hydro[[#This Row],[Fore Nline prev]]))</f>
        <v>#N/A</v>
      </c>
      <c r="AH148" s="890" t="e">
        <f>IF(ISNA(Tbl_Long_Hydro[[#This Row],[Draught]]),NA(),INDEX(Tbl_Long_Definition[H k-bott],Tbl_Long_Hydro[[#This Row],[Fore Nline next]]))</f>
        <v>#N/A</v>
      </c>
      <c r="AI148"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48"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48" s="894" t="e">
        <f>Tbl_Long_Hydro[[#This Row],[Fore X]]-Tbl_Long_Hydro[[#This Row],[Aft X]]</f>
        <v>#N/A</v>
      </c>
      <c r="AL148" s="884" t="e">
        <f>Tbl_Long_Hydro[[#This Row],[LX]]*B</f>
        <v>#N/A</v>
      </c>
      <c r="AM148" s="892" t="e">
        <f>IF(ISNUMBER(AM147),(AK147+Tbl_Long_Hydro[[#This Row],[LX]])*(Tbl_Long_Hydro[[#This Row],[Draught]]-V147)/2*B,(Tbl_Long_Hydro[[#This Row],[LX]])*Tbl_Long_Hydro[[#This Row],[Draught]]*B)</f>
        <v>#N/A</v>
      </c>
      <c r="AN148" s="899" t="e">
        <f>Tbl_Long_Hydro[[#This Row],[Aft X]]+Tbl_Long_Hydro[[#This Row],[LX]]/2</f>
        <v>#N/A</v>
      </c>
      <c r="AO148" s="876" t="e">
        <f>IF(ISNUMBER(AO147),(2*Tbl_Long_Hydro[[#This Row],[LX]]+AK147)/(Tbl_Long_Hydro[[#This Row],[LX]]+AK147)*(Tbl_Long_Hydro[[#This Row],[Draught]]-V147)/3+V147,Tbl_Long_Hydro[[#This Row],[Draught]]/2)</f>
        <v>#N/A</v>
      </c>
      <c r="AP148" s="898" t="e">
        <f>IF(ISNUMBER(AP147),Tbl_Long_Hydro[[#This Row],[Volume elt]]+AP147,Tbl_Long_Hydro[[#This Row],[Volume elt]]*AO$4)</f>
        <v>#N/A</v>
      </c>
      <c r="AQ148" s="893" t="e">
        <f>IF(ISNUMBER(AQ147),Tbl_Long_Hydro[[#This Row],[Displacement]]*AQ$4,IF(ISNA(AQ147),NA(),0))</f>
        <v>#N/A</v>
      </c>
      <c r="AR148" s="900" t="e">
        <f>IF(ISNA(Tbl_Long_Hydro[[#This Row],[Draught]]),NA(),IFERROR(Tbl_Long_Hydro[[#This Row],[LX]]*B^3/12/Tbl_Long_Hydro[[#This Row],[Displacement]],0))</f>
        <v>#N/A</v>
      </c>
      <c r="AS148" s="903" t="e">
        <f>IF(ISNA(Tbl_Long_Hydro[[#This Row],[Draught]]),NA(),IFERROR((B*Tbl_Long_Hydro[[#This Row],[LX]]^3/12+(Tbl_Long_Hydro[[#This Row],[LCF]]-Tbl_Long_Hydro[[#This Row],[LCB]])*Tbl_Long_Hydro[[#This Row],[Waterplane area]]*Tbl_Long_Hydro[[#This Row],[LCF]]^2)/Tbl_Long_Hydro[[#This Row],[Displacement]],0))</f>
        <v>#N/A</v>
      </c>
      <c r="AT148" s="900" t="e">
        <f>Tbl_Long_Hydro[[#This Row],[Aft X]]+Tbl_Long_Hydro[[#This Row],[LX]]/2</f>
        <v>#N/A</v>
      </c>
      <c r="AU148" s="901" t="e">
        <f>IF(ISNUMBER(AU147),(AU147*AP147+Tbl_Long_Hydro[[#This Row],[X CoG elt]]*Tbl_Long_Hydro[[#This Row],[Volume elt]])/Tbl_Long_Hydro[[#This Row],[Displacement]],Tbl_Long_Hydro[[#This Row],[X CoG elt]])</f>
        <v>#N/A</v>
      </c>
      <c r="AV148" s="902" t="e">
        <f>IF(ISNA(Tbl_Long_Hydro[[#This Row],[Draught]]),NA(),0)</f>
        <v>#N/A</v>
      </c>
      <c r="AW148" s="876" t="e">
        <f>IF(ISNUMBER(AW147),(AW147*AP147+Tbl_Long_Hydro[[#This Row],[Z CoG elt]]*Tbl_Long_Hydro[[#This Row],[Volume elt]])/Tbl_Long_Hydro[[#This Row],[Displacement]],Tbl_Long_Hydro[[#This Row],[Z CoG elt]])</f>
        <v>#N/A</v>
      </c>
      <c r="AX148" s="899" t="e">
        <f>Tbl_Long_Hydro[[#This Row],[RMT]]+Tbl_Long_Hydro[[#This Row],[VCB]]</f>
        <v>#N/A</v>
      </c>
      <c r="AY148" s="904" t="e">
        <f>Tbl_Long_Hydro[[#This Row],[Displacement]]*Tbl_Long_Hydro[[#This Row],[RML]]/(100*Lpp)</f>
        <v>#N/A</v>
      </c>
      <c r="AZ148" s="956" t="e">
        <f>Tbl_Long_Hydro[[#This Row],[Draught]]</f>
        <v>#N/A</v>
      </c>
      <c r="BA148" s="959" t="e">
        <f>Tbl_Long_Hydro[[#This Row],[Displacement]]</f>
        <v>#N/A</v>
      </c>
      <c r="BB148" s="960" t="e">
        <f>Tbl_Long_Hydro[[#This Row],[Displac. SW]]</f>
        <v>#N/A</v>
      </c>
      <c r="BC148" s="964" t="e">
        <f>Tbl_Long_Hydro[[#This Row],[Waterplane area]]/100*$AQ$4</f>
        <v>#N/A</v>
      </c>
      <c r="BD148" s="961" t="e">
        <f>Tbl_Long_Hydro[[#This Row],[MCT]]</f>
        <v>#N/A</v>
      </c>
      <c r="BE148" s="962" t="e">
        <f>Tbl_Long_Hydro[[#This Row],[LCB]]</f>
        <v>#N/A</v>
      </c>
      <c r="BF148" s="962" t="e">
        <f>Tbl_Long_Hydro[[#This Row],[TCB]]</f>
        <v>#N/A</v>
      </c>
      <c r="BG148" s="962" t="e">
        <f>Tbl_Long_Hydro[[#This Row],[LCF]]</f>
        <v>#N/A</v>
      </c>
      <c r="BH148" s="963" t="e">
        <f>Tbl_Long_Hydro[[#This Row],[KMT]]</f>
        <v>#N/A</v>
      </c>
    </row>
    <row r="149" spans="11:60" x14ac:dyDescent="0.25">
      <c r="K149" s="156" t="e">
        <f t="shared" si="9"/>
        <v>#N/A</v>
      </c>
      <c r="L149" s="164" t="e">
        <f t="shared" si="10"/>
        <v>#N/A</v>
      </c>
      <c r="M149" s="262" t="e">
        <f>MATCH(Tbl_Long_Section[[#This Row],[X]],Tbl_Long_Definition[X],1)</f>
        <v>#N/A</v>
      </c>
      <c r="N149" s="262" t="e">
        <f>IF(Tbl_Long_Section[[#This Row],[Nline Prev]]&lt;COUNT(Tbl_Long_Definition[X]),Tbl_Long_Section[[#This Row],[Nline Prev]]+1,Tbl_Long_Section[[#This Row],[Nline Prev]])</f>
        <v>#N/A</v>
      </c>
      <c r="O149" s="162" t="e">
        <f>INDEX(Tbl_Long_Definition[X],Tbl_Long_Section[[#This Row],[Nline Prev]])</f>
        <v>#N/A</v>
      </c>
      <c r="P149" s="263" t="e">
        <f>INDEX(Tbl_Long_Definition[X],Tbl_Long_Section[[#This Row],[Nline Next]])</f>
        <v>#N/A</v>
      </c>
      <c r="Q149" s="160" t="e">
        <f>INDEX(Tbl_Long_Definition[H Deck-Bott.],Tbl_Long_Section[[#This Row],[Nline Prev]])</f>
        <v>#N/A</v>
      </c>
      <c r="R149" s="161" t="e">
        <f>INDEX(Tbl_Long_Definition[H Deck-Bott.],Tbl_Long_Section[[#This Row],[Nline Next]])</f>
        <v>#N/A</v>
      </c>
      <c r="S149"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49" s="8"/>
      <c r="V149" s="873" t="e">
        <f t="shared" si="11"/>
        <v>#N/A</v>
      </c>
      <c r="W149" s="885" t="e">
        <f>MATCH(Tbl_Long_Hydro[[#This Row],[Draught]],Tbl_Long_Definition[H k-bott],-1)</f>
        <v>#N/A</v>
      </c>
      <c r="X149"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49" s="886" t="e">
        <f>MATCH(Tbl_Long_Hydro[[#This Row],[Draught]],Tbl_Long_Definition[H k-bott],1)</f>
        <v>#N/A</v>
      </c>
      <c r="Z149"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49" s="888" t="e">
        <f>IF(ISNA(Tbl_Long_Hydro[[#This Row],[Draught]]),NA(),IFERROR(INDEX(Tbl_Long_Definition[X],Tbl_Long_Hydro[[#This Row],[Aft Nline prev]]),0))</f>
        <v>#N/A</v>
      </c>
      <c r="AB149" s="889" t="e">
        <f>IF(ISNA(Tbl_Long_Hydro[[#This Row],[Draught]]),NA(),IFERROR(INDEX(Tbl_Long_Definition[X],Tbl_Long_Hydro[[#This Row],[Aft Nline next]]),0))</f>
        <v>#N/A</v>
      </c>
      <c r="AC149" s="889" t="e">
        <f>IF(ISNA(Tbl_Long_Hydro[[#This Row],[Draught]]),NA(),INDEX(Tbl_Long_Definition[H k-bott],Tbl_Long_Hydro[[#This Row],[Aft Nline prev]]))</f>
        <v>#N/A</v>
      </c>
      <c r="AD149" s="889" t="e">
        <f>IF(ISNA(Tbl_Long_Hydro[[#This Row],[Draught]]),NA(),INDEX(Tbl_Long_Definition[H k-bott],Tbl_Long_Hydro[[#This Row],[Aft Nline next]]))</f>
        <v>#N/A</v>
      </c>
      <c r="AE149" s="888" t="e">
        <f>IF(ISNA(Tbl_Long_Hydro[[#This Row],[Draught]]),NA(),IFERROR(INDEX(Tbl_Long_Definition[X],Tbl_Long_Hydro[[#This Row],[Fore Nline prev]]),0))</f>
        <v>#N/A</v>
      </c>
      <c r="AF149" s="889" t="e">
        <f>IF(ISNA(Tbl_Long_Hydro[[#This Row],[Draught]]),NA(),IFERROR(INDEX(Tbl_Long_Definition[X],Tbl_Long_Hydro[[#This Row],[Fore Nline next]]),0))</f>
        <v>#N/A</v>
      </c>
      <c r="AG149" s="889" t="e">
        <f>IF(ISNA(Tbl_Long_Hydro[[#This Row],[Draught]]),NA(),INDEX(Tbl_Long_Definition[H k-bott],Tbl_Long_Hydro[[#This Row],[Fore Nline prev]]))</f>
        <v>#N/A</v>
      </c>
      <c r="AH149" s="890" t="e">
        <f>IF(ISNA(Tbl_Long_Hydro[[#This Row],[Draught]]),NA(),INDEX(Tbl_Long_Definition[H k-bott],Tbl_Long_Hydro[[#This Row],[Fore Nline next]]))</f>
        <v>#N/A</v>
      </c>
      <c r="AI149"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49"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49" s="894" t="e">
        <f>Tbl_Long_Hydro[[#This Row],[Fore X]]-Tbl_Long_Hydro[[#This Row],[Aft X]]</f>
        <v>#N/A</v>
      </c>
      <c r="AL149" s="884" t="e">
        <f>Tbl_Long_Hydro[[#This Row],[LX]]*B</f>
        <v>#N/A</v>
      </c>
      <c r="AM149" s="892" t="e">
        <f>IF(ISNUMBER(AM148),(AK148+Tbl_Long_Hydro[[#This Row],[LX]])*(Tbl_Long_Hydro[[#This Row],[Draught]]-V148)/2*B,(Tbl_Long_Hydro[[#This Row],[LX]])*Tbl_Long_Hydro[[#This Row],[Draught]]*B)</f>
        <v>#N/A</v>
      </c>
      <c r="AN149" s="899" t="e">
        <f>Tbl_Long_Hydro[[#This Row],[Aft X]]+Tbl_Long_Hydro[[#This Row],[LX]]/2</f>
        <v>#N/A</v>
      </c>
      <c r="AO149" s="876" t="e">
        <f>IF(ISNUMBER(AO148),(2*Tbl_Long_Hydro[[#This Row],[LX]]+AK148)/(Tbl_Long_Hydro[[#This Row],[LX]]+AK148)*(Tbl_Long_Hydro[[#This Row],[Draught]]-V148)/3+V148,Tbl_Long_Hydro[[#This Row],[Draught]]/2)</f>
        <v>#N/A</v>
      </c>
      <c r="AP149" s="898" t="e">
        <f>IF(ISNUMBER(AP148),Tbl_Long_Hydro[[#This Row],[Volume elt]]+AP148,Tbl_Long_Hydro[[#This Row],[Volume elt]]*AO$4)</f>
        <v>#N/A</v>
      </c>
      <c r="AQ149" s="893" t="e">
        <f>IF(ISNUMBER(AQ148),Tbl_Long_Hydro[[#This Row],[Displacement]]*AQ$4,IF(ISNA(AQ148),NA(),0))</f>
        <v>#N/A</v>
      </c>
      <c r="AR149" s="900" t="e">
        <f>IF(ISNA(Tbl_Long_Hydro[[#This Row],[Draught]]),NA(),IFERROR(Tbl_Long_Hydro[[#This Row],[LX]]*B^3/12/Tbl_Long_Hydro[[#This Row],[Displacement]],0))</f>
        <v>#N/A</v>
      </c>
      <c r="AS149" s="903" t="e">
        <f>IF(ISNA(Tbl_Long_Hydro[[#This Row],[Draught]]),NA(),IFERROR((B*Tbl_Long_Hydro[[#This Row],[LX]]^3/12+(Tbl_Long_Hydro[[#This Row],[LCF]]-Tbl_Long_Hydro[[#This Row],[LCB]])*Tbl_Long_Hydro[[#This Row],[Waterplane area]]*Tbl_Long_Hydro[[#This Row],[LCF]]^2)/Tbl_Long_Hydro[[#This Row],[Displacement]],0))</f>
        <v>#N/A</v>
      </c>
      <c r="AT149" s="900" t="e">
        <f>Tbl_Long_Hydro[[#This Row],[Aft X]]+Tbl_Long_Hydro[[#This Row],[LX]]/2</f>
        <v>#N/A</v>
      </c>
      <c r="AU149" s="901" t="e">
        <f>IF(ISNUMBER(AU148),(AU148*AP148+Tbl_Long_Hydro[[#This Row],[X CoG elt]]*Tbl_Long_Hydro[[#This Row],[Volume elt]])/Tbl_Long_Hydro[[#This Row],[Displacement]],Tbl_Long_Hydro[[#This Row],[X CoG elt]])</f>
        <v>#N/A</v>
      </c>
      <c r="AV149" s="902" t="e">
        <f>IF(ISNA(Tbl_Long_Hydro[[#This Row],[Draught]]),NA(),0)</f>
        <v>#N/A</v>
      </c>
      <c r="AW149" s="876" t="e">
        <f>IF(ISNUMBER(AW148),(AW148*AP148+Tbl_Long_Hydro[[#This Row],[Z CoG elt]]*Tbl_Long_Hydro[[#This Row],[Volume elt]])/Tbl_Long_Hydro[[#This Row],[Displacement]],Tbl_Long_Hydro[[#This Row],[Z CoG elt]])</f>
        <v>#N/A</v>
      </c>
      <c r="AX149" s="899" t="e">
        <f>Tbl_Long_Hydro[[#This Row],[RMT]]+Tbl_Long_Hydro[[#This Row],[VCB]]</f>
        <v>#N/A</v>
      </c>
      <c r="AY149" s="904" t="e">
        <f>Tbl_Long_Hydro[[#This Row],[Displacement]]*Tbl_Long_Hydro[[#This Row],[RML]]/(100*Lpp)</f>
        <v>#N/A</v>
      </c>
      <c r="AZ149" s="956" t="e">
        <f>Tbl_Long_Hydro[[#This Row],[Draught]]</f>
        <v>#N/A</v>
      </c>
      <c r="BA149" s="959" t="e">
        <f>Tbl_Long_Hydro[[#This Row],[Displacement]]</f>
        <v>#N/A</v>
      </c>
      <c r="BB149" s="960" t="e">
        <f>Tbl_Long_Hydro[[#This Row],[Displac. SW]]</f>
        <v>#N/A</v>
      </c>
      <c r="BC149" s="964" t="e">
        <f>Tbl_Long_Hydro[[#This Row],[Waterplane area]]/100*$AQ$4</f>
        <v>#N/A</v>
      </c>
      <c r="BD149" s="961" t="e">
        <f>Tbl_Long_Hydro[[#This Row],[MCT]]</f>
        <v>#N/A</v>
      </c>
      <c r="BE149" s="962" t="e">
        <f>Tbl_Long_Hydro[[#This Row],[LCB]]</f>
        <v>#N/A</v>
      </c>
      <c r="BF149" s="962" t="e">
        <f>Tbl_Long_Hydro[[#This Row],[TCB]]</f>
        <v>#N/A</v>
      </c>
      <c r="BG149" s="962" t="e">
        <f>Tbl_Long_Hydro[[#This Row],[LCF]]</f>
        <v>#N/A</v>
      </c>
      <c r="BH149" s="963" t="e">
        <f>Tbl_Long_Hydro[[#This Row],[KMT]]</f>
        <v>#N/A</v>
      </c>
    </row>
    <row r="150" spans="11:60" x14ac:dyDescent="0.25">
      <c r="K150" s="156" t="e">
        <f t="shared" si="9"/>
        <v>#N/A</v>
      </c>
      <c r="L150" s="164" t="e">
        <f t="shared" si="10"/>
        <v>#N/A</v>
      </c>
      <c r="M150" s="262" t="e">
        <f>MATCH(Tbl_Long_Section[[#This Row],[X]],Tbl_Long_Definition[X],1)</f>
        <v>#N/A</v>
      </c>
      <c r="N150" s="262" t="e">
        <f>IF(Tbl_Long_Section[[#This Row],[Nline Prev]]&lt;COUNT(Tbl_Long_Definition[X]),Tbl_Long_Section[[#This Row],[Nline Prev]]+1,Tbl_Long_Section[[#This Row],[Nline Prev]])</f>
        <v>#N/A</v>
      </c>
      <c r="O150" s="162" t="e">
        <f>INDEX(Tbl_Long_Definition[X],Tbl_Long_Section[[#This Row],[Nline Prev]])</f>
        <v>#N/A</v>
      </c>
      <c r="P150" s="263" t="e">
        <f>INDEX(Tbl_Long_Definition[X],Tbl_Long_Section[[#This Row],[Nline Next]])</f>
        <v>#N/A</v>
      </c>
      <c r="Q150" s="160" t="e">
        <f>INDEX(Tbl_Long_Definition[H Deck-Bott.],Tbl_Long_Section[[#This Row],[Nline Prev]])</f>
        <v>#N/A</v>
      </c>
      <c r="R150" s="161" t="e">
        <f>INDEX(Tbl_Long_Definition[H Deck-Bott.],Tbl_Long_Section[[#This Row],[Nline Next]])</f>
        <v>#N/A</v>
      </c>
      <c r="S150"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50" s="8"/>
      <c r="V150" s="873" t="e">
        <f t="shared" si="11"/>
        <v>#N/A</v>
      </c>
      <c r="W150" s="885" t="e">
        <f>MATCH(Tbl_Long_Hydro[[#This Row],[Draught]],Tbl_Long_Definition[H k-bott],-1)</f>
        <v>#N/A</v>
      </c>
      <c r="X150"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50" s="886" t="e">
        <f>MATCH(Tbl_Long_Hydro[[#This Row],[Draught]],Tbl_Long_Definition[H k-bott],1)</f>
        <v>#N/A</v>
      </c>
      <c r="Z150"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50" s="888" t="e">
        <f>IF(ISNA(Tbl_Long_Hydro[[#This Row],[Draught]]),NA(),IFERROR(INDEX(Tbl_Long_Definition[X],Tbl_Long_Hydro[[#This Row],[Aft Nline prev]]),0))</f>
        <v>#N/A</v>
      </c>
      <c r="AB150" s="889" t="e">
        <f>IF(ISNA(Tbl_Long_Hydro[[#This Row],[Draught]]),NA(),IFERROR(INDEX(Tbl_Long_Definition[X],Tbl_Long_Hydro[[#This Row],[Aft Nline next]]),0))</f>
        <v>#N/A</v>
      </c>
      <c r="AC150" s="889" t="e">
        <f>IF(ISNA(Tbl_Long_Hydro[[#This Row],[Draught]]),NA(),INDEX(Tbl_Long_Definition[H k-bott],Tbl_Long_Hydro[[#This Row],[Aft Nline prev]]))</f>
        <v>#N/A</v>
      </c>
      <c r="AD150" s="889" t="e">
        <f>IF(ISNA(Tbl_Long_Hydro[[#This Row],[Draught]]),NA(),INDEX(Tbl_Long_Definition[H k-bott],Tbl_Long_Hydro[[#This Row],[Aft Nline next]]))</f>
        <v>#N/A</v>
      </c>
      <c r="AE150" s="888" t="e">
        <f>IF(ISNA(Tbl_Long_Hydro[[#This Row],[Draught]]),NA(),IFERROR(INDEX(Tbl_Long_Definition[X],Tbl_Long_Hydro[[#This Row],[Fore Nline prev]]),0))</f>
        <v>#N/A</v>
      </c>
      <c r="AF150" s="889" t="e">
        <f>IF(ISNA(Tbl_Long_Hydro[[#This Row],[Draught]]),NA(),IFERROR(INDEX(Tbl_Long_Definition[X],Tbl_Long_Hydro[[#This Row],[Fore Nline next]]),0))</f>
        <v>#N/A</v>
      </c>
      <c r="AG150" s="889" t="e">
        <f>IF(ISNA(Tbl_Long_Hydro[[#This Row],[Draught]]),NA(),INDEX(Tbl_Long_Definition[H k-bott],Tbl_Long_Hydro[[#This Row],[Fore Nline prev]]))</f>
        <v>#N/A</v>
      </c>
      <c r="AH150" s="890" t="e">
        <f>IF(ISNA(Tbl_Long_Hydro[[#This Row],[Draught]]),NA(),INDEX(Tbl_Long_Definition[H k-bott],Tbl_Long_Hydro[[#This Row],[Fore Nline next]]))</f>
        <v>#N/A</v>
      </c>
      <c r="AI150"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50"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50" s="894" t="e">
        <f>Tbl_Long_Hydro[[#This Row],[Fore X]]-Tbl_Long_Hydro[[#This Row],[Aft X]]</f>
        <v>#N/A</v>
      </c>
      <c r="AL150" s="884" t="e">
        <f>Tbl_Long_Hydro[[#This Row],[LX]]*B</f>
        <v>#N/A</v>
      </c>
      <c r="AM150" s="892" t="e">
        <f>IF(ISNUMBER(AM149),(AK149+Tbl_Long_Hydro[[#This Row],[LX]])*(Tbl_Long_Hydro[[#This Row],[Draught]]-V149)/2*B,(Tbl_Long_Hydro[[#This Row],[LX]])*Tbl_Long_Hydro[[#This Row],[Draught]]*B)</f>
        <v>#N/A</v>
      </c>
      <c r="AN150" s="899" t="e">
        <f>Tbl_Long_Hydro[[#This Row],[Aft X]]+Tbl_Long_Hydro[[#This Row],[LX]]/2</f>
        <v>#N/A</v>
      </c>
      <c r="AO150" s="876" t="e">
        <f>IF(ISNUMBER(AO149),(2*Tbl_Long_Hydro[[#This Row],[LX]]+AK149)/(Tbl_Long_Hydro[[#This Row],[LX]]+AK149)*(Tbl_Long_Hydro[[#This Row],[Draught]]-V149)/3+V149,Tbl_Long_Hydro[[#This Row],[Draught]]/2)</f>
        <v>#N/A</v>
      </c>
      <c r="AP150" s="898" t="e">
        <f>IF(ISNUMBER(AP149),Tbl_Long_Hydro[[#This Row],[Volume elt]]+AP149,Tbl_Long_Hydro[[#This Row],[Volume elt]]*AO$4)</f>
        <v>#N/A</v>
      </c>
      <c r="AQ150" s="893" t="e">
        <f>IF(ISNUMBER(AQ149),Tbl_Long_Hydro[[#This Row],[Displacement]]*AQ$4,IF(ISNA(AQ149),NA(),0))</f>
        <v>#N/A</v>
      </c>
      <c r="AR150" s="900" t="e">
        <f>IF(ISNA(Tbl_Long_Hydro[[#This Row],[Draught]]),NA(),IFERROR(Tbl_Long_Hydro[[#This Row],[LX]]*B^3/12/Tbl_Long_Hydro[[#This Row],[Displacement]],0))</f>
        <v>#N/A</v>
      </c>
      <c r="AS150" s="903" t="e">
        <f>IF(ISNA(Tbl_Long_Hydro[[#This Row],[Draught]]),NA(),IFERROR((B*Tbl_Long_Hydro[[#This Row],[LX]]^3/12+(Tbl_Long_Hydro[[#This Row],[LCF]]-Tbl_Long_Hydro[[#This Row],[LCB]])*Tbl_Long_Hydro[[#This Row],[Waterplane area]]*Tbl_Long_Hydro[[#This Row],[LCF]]^2)/Tbl_Long_Hydro[[#This Row],[Displacement]],0))</f>
        <v>#N/A</v>
      </c>
      <c r="AT150" s="900" t="e">
        <f>Tbl_Long_Hydro[[#This Row],[Aft X]]+Tbl_Long_Hydro[[#This Row],[LX]]/2</f>
        <v>#N/A</v>
      </c>
      <c r="AU150" s="901" t="e">
        <f>IF(ISNUMBER(AU149),(AU149*AP149+Tbl_Long_Hydro[[#This Row],[X CoG elt]]*Tbl_Long_Hydro[[#This Row],[Volume elt]])/Tbl_Long_Hydro[[#This Row],[Displacement]],Tbl_Long_Hydro[[#This Row],[X CoG elt]])</f>
        <v>#N/A</v>
      </c>
      <c r="AV150" s="902" t="e">
        <f>IF(ISNA(Tbl_Long_Hydro[[#This Row],[Draught]]),NA(),0)</f>
        <v>#N/A</v>
      </c>
      <c r="AW150" s="876" t="e">
        <f>IF(ISNUMBER(AW149),(AW149*AP149+Tbl_Long_Hydro[[#This Row],[Z CoG elt]]*Tbl_Long_Hydro[[#This Row],[Volume elt]])/Tbl_Long_Hydro[[#This Row],[Displacement]],Tbl_Long_Hydro[[#This Row],[Z CoG elt]])</f>
        <v>#N/A</v>
      </c>
      <c r="AX150" s="899" t="e">
        <f>Tbl_Long_Hydro[[#This Row],[RMT]]+Tbl_Long_Hydro[[#This Row],[VCB]]</f>
        <v>#N/A</v>
      </c>
      <c r="AY150" s="904" t="e">
        <f>Tbl_Long_Hydro[[#This Row],[Displacement]]*Tbl_Long_Hydro[[#This Row],[RML]]/(100*Lpp)</f>
        <v>#N/A</v>
      </c>
      <c r="AZ150" s="956" t="e">
        <f>Tbl_Long_Hydro[[#This Row],[Draught]]</f>
        <v>#N/A</v>
      </c>
      <c r="BA150" s="959" t="e">
        <f>Tbl_Long_Hydro[[#This Row],[Displacement]]</f>
        <v>#N/A</v>
      </c>
      <c r="BB150" s="960" t="e">
        <f>Tbl_Long_Hydro[[#This Row],[Displac. SW]]</f>
        <v>#N/A</v>
      </c>
      <c r="BC150" s="964" t="e">
        <f>Tbl_Long_Hydro[[#This Row],[Waterplane area]]/100*$AQ$4</f>
        <v>#N/A</v>
      </c>
      <c r="BD150" s="961" t="e">
        <f>Tbl_Long_Hydro[[#This Row],[MCT]]</f>
        <v>#N/A</v>
      </c>
      <c r="BE150" s="962" t="e">
        <f>Tbl_Long_Hydro[[#This Row],[LCB]]</f>
        <v>#N/A</v>
      </c>
      <c r="BF150" s="962" t="e">
        <f>Tbl_Long_Hydro[[#This Row],[TCB]]</f>
        <v>#N/A</v>
      </c>
      <c r="BG150" s="962" t="e">
        <f>Tbl_Long_Hydro[[#This Row],[LCF]]</f>
        <v>#N/A</v>
      </c>
      <c r="BH150" s="963" t="e">
        <f>Tbl_Long_Hydro[[#This Row],[KMT]]</f>
        <v>#N/A</v>
      </c>
    </row>
    <row r="151" spans="11:60" x14ac:dyDescent="0.25">
      <c r="K151" s="156" t="e">
        <f t="shared" si="9"/>
        <v>#N/A</v>
      </c>
      <c r="L151" s="164" t="e">
        <f t="shared" si="10"/>
        <v>#N/A</v>
      </c>
      <c r="M151" s="262" t="e">
        <f>MATCH(Tbl_Long_Section[[#This Row],[X]],Tbl_Long_Definition[X],1)</f>
        <v>#N/A</v>
      </c>
      <c r="N151" s="262" t="e">
        <f>IF(Tbl_Long_Section[[#This Row],[Nline Prev]]&lt;COUNT(Tbl_Long_Definition[X]),Tbl_Long_Section[[#This Row],[Nline Prev]]+1,Tbl_Long_Section[[#This Row],[Nline Prev]])</f>
        <v>#N/A</v>
      </c>
      <c r="O151" s="162" t="e">
        <f>INDEX(Tbl_Long_Definition[X],Tbl_Long_Section[[#This Row],[Nline Prev]])</f>
        <v>#N/A</v>
      </c>
      <c r="P151" s="263" t="e">
        <f>INDEX(Tbl_Long_Definition[X],Tbl_Long_Section[[#This Row],[Nline Next]])</f>
        <v>#N/A</v>
      </c>
      <c r="Q151" s="160" t="e">
        <f>INDEX(Tbl_Long_Definition[H Deck-Bott.],Tbl_Long_Section[[#This Row],[Nline Prev]])</f>
        <v>#N/A</v>
      </c>
      <c r="R151" s="161" t="e">
        <f>INDEX(Tbl_Long_Definition[H Deck-Bott.],Tbl_Long_Section[[#This Row],[Nline Next]])</f>
        <v>#N/A</v>
      </c>
      <c r="S151"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51" s="8"/>
      <c r="V151" s="873" t="e">
        <f t="shared" si="11"/>
        <v>#N/A</v>
      </c>
      <c r="W151" s="885" t="e">
        <f>MATCH(Tbl_Long_Hydro[[#This Row],[Draught]],Tbl_Long_Definition[H k-bott],-1)</f>
        <v>#N/A</v>
      </c>
      <c r="X151"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51" s="886" t="e">
        <f>MATCH(Tbl_Long_Hydro[[#This Row],[Draught]],Tbl_Long_Definition[H k-bott],1)</f>
        <v>#N/A</v>
      </c>
      <c r="Z151"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51" s="888" t="e">
        <f>IF(ISNA(Tbl_Long_Hydro[[#This Row],[Draught]]),NA(),IFERROR(INDEX(Tbl_Long_Definition[X],Tbl_Long_Hydro[[#This Row],[Aft Nline prev]]),0))</f>
        <v>#N/A</v>
      </c>
      <c r="AB151" s="889" t="e">
        <f>IF(ISNA(Tbl_Long_Hydro[[#This Row],[Draught]]),NA(),IFERROR(INDEX(Tbl_Long_Definition[X],Tbl_Long_Hydro[[#This Row],[Aft Nline next]]),0))</f>
        <v>#N/A</v>
      </c>
      <c r="AC151" s="889" t="e">
        <f>IF(ISNA(Tbl_Long_Hydro[[#This Row],[Draught]]),NA(),INDEX(Tbl_Long_Definition[H k-bott],Tbl_Long_Hydro[[#This Row],[Aft Nline prev]]))</f>
        <v>#N/A</v>
      </c>
      <c r="AD151" s="889" t="e">
        <f>IF(ISNA(Tbl_Long_Hydro[[#This Row],[Draught]]),NA(),INDEX(Tbl_Long_Definition[H k-bott],Tbl_Long_Hydro[[#This Row],[Aft Nline next]]))</f>
        <v>#N/A</v>
      </c>
      <c r="AE151" s="888" t="e">
        <f>IF(ISNA(Tbl_Long_Hydro[[#This Row],[Draught]]),NA(),IFERROR(INDEX(Tbl_Long_Definition[X],Tbl_Long_Hydro[[#This Row],[Fore Nline prev]]),0))</f>
        <v>#N/A</v>
      </c>
      <c r="AF151" s="889" t="e">
        <f>IF(ISNA(Tbl_Long_Hydro[[#This Row],[Draught]]),NA(),IFERROR(INDEX(Tbl_Long_Definition[X],Tbl_Long_Hydro[[#This Row],[Fore Nline next]]),0))</f>
        <v>#N/A</v>
      </c>
      <c r="AG151" s="889" t="e">
        <f>IF(ISNA(Tbl_Long_Hydro[[#This Row],[Draught]]),NA(),INDEX(Tbl_Long_Definition[H k-bott],Tbl_Long_Hydro[[#This Row],[Fore Nline prev]]))</f>
        <v>#N/A</v>
      </c>
      <c r="AH151" s="890" t="e">
        <f>IF(ISNA(Tbl_Long_Hydro[[#This Row],[Draught]]),NA(),INDEX(Tbl_Long_Definition[H k-bott],Tbl_Long_Hydro[[#This Row],[Fore Nline next]]))</f>
        <v>#N/A</v>
      </c>
      <c r="AI151"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51"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51" s="894" t="e">
        <f>Tbl_Long_Hydro[[#This Row],[Fore X]]-Tbl_Long_Hydro[[#This Row],[Aft X]]</f>
        <v>#N/A</v>
      </c>
      <c r="AL151" s="884" t="e">
        <f>Tbl_Long_Hydro[[#This Row],[LX]]*B</f>
        <v>#N/A</v>
      </c>
      <c r="AM151" s="892" t="e">
        <f>IF(ISNUMBER(AM150),(AK150+Tbl_Long_Hydro[[#This Row],[LX]])*(Tbl_Long_Hydro[[#This Row],[Draught]]-V150)/2*B,(Tbl_Long_Hydro[[#This Row],[LX]])*Tbl_Long_Hydro[[#This Row],[Draught]]*B)</f>
        <v>#N/A</v>
      </c>
      <c r="AN151" s="899" t="e">
        <f>Tbl_Long_Hydro[[#This Row],[Aft X]]+Tbl_Long_Hydro[[#This Row],[LX]]/2</f>
        <v>#N/A</v>
      </c>
      <c r="AO151" s="876" t="e">
        <f>IF(ISNUMBER(AO150),(2*Tbl_Long_Hydro[[#This Row],[LX]]+AK150)/(Tbl_Long_Hydro[[#This Row],[LX]]+AK150)*(Tbl_Long_Hydro[[#This Row],[Draught]]-V150)/3+V150,Tbl_Long_Hydro[[#This Row],[Draught]]/2)</f>
        <v>#N/A</v>
      </c>
      <c r="AP151" s="898" t="e">
        <f>IF(ISNUMBER(AP150),Tbl_Long_Hydro[[#This Row],[Volume elt]]+AP150,Tbl_Long_Hydro[[#This Row],[Volume elt]]*AO$4)</f>
        <v>#N/A</v>
      </c>
      <c r="AQ151" s="893" t="e">
        <f>IF(ISNUMBER(AQ150),Tbl_Long_Hydro[[#This Row],[Displacement]]*AQ$4,IF(ISNA(AQ150),NA(),0))</f>
        <v>#N/A</v>
      </c>
      <c r="AR151" s="900" t="e">
        <f>IF(ISNA(Tbl_Long_Hydro[[#This Row],[Draught]]),NA(),IFERROR(Tbl_Long_Hydro[[#This Row],[LX]]*B^3/12/Tbl_Long_Hydro[[#This Row],[Displacement]],0))</f>
        <v>#N/A</v>
      </c>
      <c r="AS151" s="903" t="e">
        <f>IF(ISNA(Tbl_Long_Hydro[[#This Row],[Draught]]),NA(),IFERROR((B*Tbl_Long_Hydro[[#This Row],[LX]]^3/12+(Tbl_Long_Hydro[[#This Row],[LCF]]-Tbl_Long_Hydro[[#This Row],[LCB]])*Tbl_Long_Hydro[[#This Row],[Waterplane area]]*Tbl_Long_Hydro[[#This Row],[LCF]]^2)/Tbl_Long_Hydro[[#This Row],[Displacement]],0))</f>
        <v>#N/A</v>
      </c>
      <c r="AT151" s="900" t="e">
        <f>Tbl_Long_Hydro[[#This Row],[Aft X]]+Tbl_Long_Hydro[[#This Row],[LX]]/2</f>
        <v>#N/A</v>
      </c>
      <c r="AU151" s="901" t="e">
        <f>IF(ISNUMBER(AU150),(AU150*AP150+Tbl_Long_Hydro[[#This Row],[X CoG elt]]*Tbl_Long_Hydro[[#This Row],[Volume elt]])/Tbl_Long_Hydro[[#This Row],[Displacement]],Tbl_Long_Hydro[[#This Row],[X CoG elt]])</f>
        <v>#N/A</v>
      </c>
      <c r="AV151" s="902" t="e">
        <f>IF(ISNA(Tbl_Long_Hydro[[#This Row],[Draught]]),NA(),0)</f>
        <v>#N/A</v>
      </c>
      <c r="AW151" s="876" t="e">
        <f>IF(ISNUMBER(AW150),(AW150*AP150+Tbl_Long_Hydro[[#This Row],[Z CoG elt]]*Tbl_Long_Hydro[[#This Row],[Volume elt]])/Tbl_Long_Hydro[[#This Row],[Displacement]],Tbl_Long_Hydro[[#This Row],[Z CoG elt]])</f>
        <v>#N/A</v>
      </c>
      <c r="AX151" s="899" t="e">
        <f>Tbl_Long_Hydro[[#This Row],[RMT]]+Tbl_Long_Hydro[[#This Row],[VCB]]</f>
        <v>#N/A</v>
      </c>
      <c r="AY151" s="904" t="e">
        <f>Tbl_Long_Hydro[[#This Row],[Displacement]]*Tbl_Long_Hydro[[#This Row],[RML]]/(100*Lpp)</f>
        <v>#N/A</v>
      </c>
      <c r="AZ151" s="956" t="e">
        <f>Tbl_Long_Hydro[[#This Row],[Draught]]</f>
        <v>#N/A</v>
      </c>
      <c r="BA151" s="959" t="e">
        <f>Tbl_Long_Hydro[[#This Row],[Displacement]]</f>
        <v>#N/A</v>
      </c>
      <c r="BB151" s="960" t="e">
        <f>Tbl_Long_Hydro[[#This Row],[Displac. SW]]</f>
        <v>#N/A</v>
      </c>
      <c r="BC151" s="964" t="e">
        <f>Tbl_Long_Hydro[[#This Row],[Waterplane area]]/100*$AQ$4</f>
        <v>#N/A</v>
      </c>
      <c r="BD151" s="961" t="e">
        <f>Tbl_Long_Hydro[[#This Row],[MCT]]</f>
        <v>#N/A</v>
      </c>
      <c r="BE151" s="962" t="e">
        <f>Tbl_Long_Hydro[[#This Row],[LCB]]</f>
        <v>#N/A</v>
      </c>
      <c r="BF151" s="962" t="e">
        <f>Tbl_Long_Hydro[[#This Row],[TCB]]</f>
        <v>#N/A</v>
      </c>
      <c r="BG151" s="962" t="e">
        <f>Tbl_Long_Hydro[[#This Row],[LCF]]</f>
        <v>#N/A</v>
      </c>
      <c r="BH151" s="963" t="e">
        <f>Tbl_Long_Hydro[[#This Row],[KMT]]</f>
        <v>#N/A</v>
      </c>
    </row>
    <row r="152" spans="11:60" x14ac:dyDescent="0.25">
      <c r="K152" s="156" t="e">
        <f t="shared" si="9"/>
        <v>#N/A</v>
      </c>
      <c r="L152" s="164" t="e">
        <f t="shared" si="10"/>
        <v>#N/A</v>
      </c>
      <c r="M152" s="262" t="e">
        <f>MATCH(Tbl_Long_Section[[#This Row],[X]],Tbl_Long_Definition[X],1)</f>
        <v>#N/A</v>
      </c>
      <c r="N152" s="262" t="e">
        <f>IF(Tbl_Long_Section[[#This Row],[Nline Prev]]&lt;COUNT(Tbl_Long_Definition[X]),Tbl_Long_Section[[#This Row],[Nline Prev]]+1,Tbl_Long_Section[[#This Row],[Nline Prev]])</f>
        <v>#N/A</v>
      </c>
      <c r="O152" s="162" t="e">
        <f>INDEX(Tbl_Long_Definition[X],Tbl_Long_Section[[#This Row],[Nline Prev]])</f>
        <v>#N/A</v>
      </c>
      <c r="P152" s="263" t="e">
        <f>INDEX(Tbl_Long_Definition[X],Tbl_Long_Section[[#This Row],[Nline Next]])</f>
        <v>#N/A</v>
      </c>
      <c r="Q152" s="160" t="e">
        <f>INDEX(Tbl_Long_Definition[H Deck-Bott.],Tbl_Long_Section[[#This Row],[Nline Prev]])</f>
        <v>#N/A</v>
      </c>
      <c r="R152" s="161" t="e">
        <f>INDEX(Tbl_Long_Definition[H Deck-Bott.],Tbl_Long_Section[[#This Row],[Nline Next]])</f>
        <v>#N/A</v>
      </c>
      <c r="S152"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52" s="8"/>
      <c r="V152" s="873" t="e">
        <f t="shared" si="11"/>
        <v>#N/A</v>
      </c>
      <c r="W152" s="885" t="e">
        <f>MATCH(Tbl_Long_Hydro[[#This Row],[Draught]],Tbl_Long_Definition[H k-bott],-1)</f>
        <v>#N/A</v>
      </c>
      <c r="X152"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52" s="886" t="e">
        <f>MATCH(Tbl_Long_Hydro[[#This Row],[Draught]],Tbl_Long_Definition[H k-bott],1)</f>
        <v>#N/A</v>
      </c>
      <c r="Z152"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52" s="888" t="e">
        <f>IF(ISNA(Tbl_Long_Hydro[[#This Row],[Draught]]),NA(),IFERROR(INDEX(Tbl_Long_Definition[X],Tbl_Long_Hydro[[#This Row],[Aft Nline prev]]),0))</f>
        <v>#N/A</v>
      </c>
      <c r="AB152" s="889" t="e">
        <f>IF(ISNA(Tbl_Long_Hydro[[#This Row],[Draught]]),NA(),IFERROR(INDEX(Tbl_Long_Definition[X],Tbl_Long_Hydro[[#This Row],[Aft Nline next]]),0))</f>
        <v>#N/A</v>
      </c>
      <c r="AC152" s="889" t="e">
        <f>IF(ISNA(Tbl_Long_Hydro[[#This Row],[Draught]]),NA(),INDEX(Tbl_Long_Definition[H k-bott],Tbl_Long_Hydro[[#This Row],[Aft Nline prev]]))</f>
        <v>#N/A</v>
      </c>
      <c r="AD152" s="889" t="e">
        <f>IF(ISNA(Tbl_Long_Hydro[[#This Row],[Draught]]),NA(),INDEX(Tbl_Long_Definition[H k-bott],Tbl_Long_Hydro[[#This Row],[Aft Nline next]]))</f>
        <v>#N/A</v>
      </c>
      <c r="AE152" s="888" t="e">
        <f>IF(ISNA(Tbl_Long_Hydro[[#This Row],[Draught]]),NA(),IFERROR(INDEX(Tbl_Long_Definition[X],Tbl_Long_Hydro[[#This Row],[Fore Nline prev]]),0))</f>
        <v>#N/A</v>
      </c>
      <c r="AF152" s="889" t="e">
        <f>IF(ISNA(Tbl_Long_Hydro[[#This Row],[Draught]]),NA(),IFERROR(INDEX(Tbl_Long_Definition[X],Tbl_Long_Hydro[[#This Row],[Fore Nline next]]),0))</f>
        <v>#N/A</v>
      </c>
      <c r="AG152" s="889" t="e">
        <f>IF(ISNA(Tbl_Long_Hydro[[#This Row],[Draught]]),NA(),INDEX(Tbl_Long_Definition[H k-bott],Tbl_Long_Hydro[[#This Row],[Fore Nline prev]]))</f>
        <v>#N/A</v>
      </c>
      <c r="AH152" s="890" t="e">
        <f>IF(ISNA(Tbl_Long_Hydro[[#This Row],[Draught]]),NA(),INDEX(Tbl_Long_Definition[H k-bott],Tbl_Long_Hydro[[#This Row],[Fore Nline next]]))</f>
        <v>#N/A</v>
      </c>
      <c r="AI152"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52"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52" s="894" t="e">
        <f>Tbl_Long_Hydro[[#This Row],[Fore X]]-Tbl_Long_Hydro[[#This Row],[Aft X]]</f>
        <v>#N/A</v>
      </c>
      <c r="AL152" s="884" t="e">
        <f>Tbl_Long_Hydro[[#This Row],[LX]]*B</f>
        <v>#N/A</v>
      </c>
      <c r="AM152" s="892" t="e">
        <f>IF(ISNUMBER(AM151),(AK151+Tbl_Long_Hydro[[#This Row],[LX]])*(Tbl_Long_Hydro[[#This Row],[Draught]]-V151)/2*B,(Tbl_Long_Hydro[[#This Row],[LX]])*Tbl_Long_Hydro[[#This Row],[Draught]]*B)</f>
        <v>#N/A</v>
      </c>
      <c r="AN152" s="899" t="e">
        <f>Tbl_Long_Hydro[[#This Row],[Aft X]]+Tbl_Long_Hydro[[#This Row],[LX]]/2</f>
        <v>#N/A</v>
      </c>
      <c r="AO152" s="876" t="e">
        <f>IF(ISNUMBER(AO151),(2*Tbl_Long_Hydro[[#This Row],[LX]]+AK151)/(Tbl_Long_Hydro[[#This Row],[LX]]+AK151)*(Tbl_Long_Hydro[[#This Row],[Draught]]-V151)/3+V151,Tbl_Long_Hydro[[#This Row],[Draught]]/2)</f>
        <v>#N/A</v>
      </c>
      <c r="AP152" s="898" t="e">
        <f>IF(ISNUMBER(AP151),Tbl_Long_Hydro[[#This Row],[Volume elt]]+AP151,Tbl_Long_Hydro[[#This Row],[Volume elt]]*AO$4)</f>
        <v>#N/A</v>
      </c>
      <c r="AQ152" s="893" t="e">
        <f>IF(ISNUMBER(AQ151),Tbl_Long_Hydro[[#This Row],[Displacement]]*AQ$4,IF(ISNA(AQ151),NA(),0))</f>
        <v>#N/A</v>
      </c>
      <c r="AR152" s="900" t="e">
        <f>IF(ISNA(Tbl_Long_Hydro[[#This Row],[Draught]]),NA(),IFERROR(Tbl_Long_Hydro[[#This Row],[LX]]*B^3/12/Tbl_Long_Hydro[[#This Row],[Displacement]],0))</f>
        <v>#N/A</v>
      </c>
      <c r="AS152" s="903" t="e">
        <f>IF(ISNA(Tbl_Long_Hydro[[#This Row],[Draught]]),NA(),IFERROR((B*Tbl_Long_Hydro[[#This Row],[LX]]^3/12+(Tbl_Long_Hydro[[#This Row],[LCF]]-Tbl_Long_Hydro[[#This Row],[LCB]])*Tbl_Long_Hydro[[#This Row],[Waterplane area]]*Tbl_Long_Hydro[[#This Row],[LCF]]^2)/Tbl_Long_Hydro[[#This Row],[Displacement]],0))</f>
        <v>#N/A</v>
      </c>
      <c r="AT152" s="900" t="e">
        <f>Tbl_Long_Hydro[[#This Row],[Aft X]]+Tbl_Long_Hydro[[#This Row],[LX]]/2</f>
        <v>#N/A</v>
      </c>
      <c r="AU152" s="901" t="e">
        <f>IF(ISNUMBER(AU151),(AU151*AP151+Tbl_Long_Hydro[[#This Row],[X CoG elt]]*Tbl_Long_Hydro[[#This Row],[Volume elt]])/Tbl_Long_Hydro[[#This Row],[Displacement]],Tbl_Long_Hydro[[#This Row],[X CoG elt]])</f>
        <v>#N/A</v>
      </c>
      <c r="AV152" s="902" t="e">
        <f>IF(ISNA(Tbl_Long_Hydro[[#This Row],[Draught]]),NA(),0)</f>
        <v>#N/A</v>
      </c>
      <c r="AW152" s="876" t="e">
        <f>IF(ISNUMBER(AW151),(AW151*AP151+Tbl_Long_Hydro[[#This Row],[Z CoG elt]]*Tbl_Long_Hydro[[#This Row],[Volume elt]])/Tbl_Long_Hydro[[#This Row],[Displacement]],Tbl_Long_Hydro[[#This Row],[Z CoG elt]])</f>
        <v>#N/A</v>
      </c>
      <c r="AX152" s="899" t="e">
        <f>Tbl_Long_Hydro[[#This Row],[RMT]]+Tbl_Long_Hydro[[#This Row],[VCB]]</f>
        <v>#N/A</v>
      </c>
      <c r="AY152" s="904" t="e">
        <f>Tbl_Long_Hydro[[#This Row],[Displacement]]*Tbl_Long_Hydro[[#This Row],[RML]]/(100*Lpp)</f>
        <v>#N/A</v>
      </c>
      <c r="AZ152" s="956" t="e">
        <f>Tbl_Long_Hydro[[#This Row],[Draught]]</f>
        <v>#N/A</v>
      </c>
      <c r="BA152" s="959" t="e">
        <f>Tbl_Long_Hydro[[#This Row],[Displacement]]</f>
        <v>#N/A</v>
      </c>
      <c r="BB152" s="960" t="e">
        <f>Tbl_Long_Hydro[[#This Row],[Displac. SW]]</f>
        <v>#N/A</v>
      </c>
      <c r="BC152" s="964" t="e">
        <f>Tbl_Long_Hydro[[#This Row],[Waterplane area]]/100*$AQ$4</f>
        <v>#N/A</v>
      </c>
      <c r="BD152" s="961" t="e">
        <f>Tbl_Long_Hydro[[#This Row],[MCT]]</f>
        <v>#N/A</v>
      </c>
      <c r="BE152" s="962" t="e">
        <f>Tbl_Long_Hydro[[#This Row],[LCB]]</f>
        <v>#N/A</v>
      </c>
      <c r="BF152" s="962" t="e">
        <f>Tbl_Long_Hydro[[#This Row],[TCB]]</f>
        <v>#N/A</v>
      </c>
      <c r="BG152" s="962" t="e">
        <f>Tbl_Long_Hydro[[#This Row],[LCF]]</f>
        <v>#N/A</v>
      </c>
      <c r="BH152" s="963" t="e">
        <f>Tbl_Long_Hydro[[#This Row],[KMT]]</f>
        <v>#N/A</v>
      </c>
    </row>
    <row r="153" spans="11:60" x14ac:dyDescent="0.25">
      <c r="K153" s="156" t="e">
        <f t="shared" si="9"/>
        <v>#N/A</v>
      </c>
      <c r="L153" s="164" t="e">
        <f t="shared" si="10"/>
        <v>#N/A</v>
      </c>
      <c r="M153" s="262" t="e">
        <f>MATCH(Tbl_Long_Section[[#This Row],[X]],Tbl_Long_Definition[X],1)</f>
        <v>#N/A</v>
      </c>
      <c r="N153" s="262" t="e">
        <f>IF(Tbl_Long_Section[[#This Row],[Nline Prev]]&lt;COUNT(Tbl_Long_Definition[X]),Tbl_Long_Section[[#This Row],[Nline Prev]]+1,Tbl_Long_Section[[#This Row],[Nline Prev]])</f>
        <v>#N/A</v>
      </c>
      <c r="O153" s="162" t="e">
        <f>INDEX(Tbl_Long_Definition[X],Tbl_Long_Section[[#This Row],[Nline Prev]])</f>
        <v>#N/A</v>
      </c>
      <c r="P153" s="263" t="e">
        <f>INDEX(Tbl_Long_Definition[X],Tbl_Long_Section[[#This Row],[Nline Next]])</f>
        <v>#N/A</v>
      </c>
      <c r="Q153" s="160" t="e">
        <f>INDEX(Tbl_Long_Definition[H Deck-Bott.],Tbl_Long_Section[[#This Row],[Nline Prev]])</f>
        <v>#N/A</v>
      </c>
      <c r="R153" s="161" t="e">
        <f>INDEX(Tbl_Long_Definition[H Deck-Bott.],Tbl_Long_Section[[#This Row],[Nline Next]])</f>
        <v>#N/A</v>
      </c>
      <c r="S153"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53" s="8"/>
      <c r="V153" s="873" t="e">
        <f t="shared" si="11"/>
        <v>#N/A</v>
      </c>
      <c r="W153" s="885" t="e">
        <f>MATCH(Tbl_Long_Hydro[[#This Row],[Draught]],Tbl_Long_Definition[H k-bott],-1)</f>
        <v>#N/A</v>
      </c>
      <c r="X153"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53" s="886" t="e">
        <f>MATCH(Tbl_Long_Hydro[[#This Row],[Draught]],Tbl_Long_Definition[H k-bott],1)</f>
        <v>#N/A</v>
      </c>
      <c r="Z153"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53" s="888" t="e">
        <f>IF(ISNA(Tbl_Long_Hydro[[#This Row],[Draught]]),NA(),IFERROR(INDEX(Tbl_Long_Definition[X],Tbl_Long_Hydro[[#This Row],[Aft Nline prev]]),0))</f>
        <v>#N/A</v>
      </c>
      <c r="AB153" s="889" t="e">
        <f>IF(ISNA(Tbl_Long_Hydro[[#This Row],[Draught]]),NA(),IFERROR(INDEX(Tbl_Long_Definition[X],Tbl_Long_Hydro[[#This Row],[Aft Nline next]]),0))</f>
        <v>#N/A</v>
      </c>
      <c r="AC153" s="889" t="e">
        <f>IF(ISNA(Tbl_Long_Hydro[[#This Row],[Draught]]),NA(),INDEX(Tbl_Long_Definition[H k-bott],Tbl_Long_Hydro[[#This Row],[Aft Nline prev]]))</f>
        <v>#N/A</v>
      </c>
      <c r="AD153" s="889" t="e">
        <f>IF(ISNA(Tbl_Long_Hydro[[#This Row],[Draught]]),NA(),INDEX(Tbl_Long_Definition[H k-bott],Tbl_Long_Hydro[[#This Row],[Aft Nline next]]))</f>
        <v>#N/A</v>
      </c>
      <c r="AE153" s="888" t="e">
        <f>IF(ISNA(Tbl_Long_Hydro[[#This Row],[Draught]]),NA(),IFERROR(INDEX(Tbl_Long_Definition[X],Tbl_Long_Hydro[[#This Row],[Fore Nline prev]]),0))</f>
        <v>#N/A</v>
      </c>
      <c r="AF153" s="889" t="e">
        <f>IF(ISNA(Tbl_Long_Hydro[[#This Row],[Draught]]),NA(),IFERROR(INDEX(Tbl_Long_Definition[X],Tbl_Long_Hydro[[#This Row],[Fore Nline next]]),0))</f>
        <v>#N/A</v>
      </c>
      <c r="AG153" s="889" t="e">
        <f>IF(ISNA(Tbl_Long_Hydro[[#This Row],[Draught]]),NA(),INDEX(Tbl_Long_Definition[H k-bott],Tbl_Long_Hydro[[#This Row],[Fore Nline prev]]))</f>
        <v>#N/A</v>
      </c>
      <c r="AH153" s="890" t="e">
        <f>IF(ISNA(Tbl_Long_Hydro[[#This Row],[Draught]]),NA(),INDEX(Tbl_Long_Definition[H k-bott],Tbl_Long_Hydro[[#This Row],[Fore Nline next]]))</f>
        <v>#N/A</v>
      </c>
      <c r="AI153"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53"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53" s="894" t="e">
        <f>Tbl_Long_Hydro[[#This Row],[Fore X]]-Tbl_Long_Hydro[[#This Row],[Aft X]]</f>
        <v>#N/A</v>
      </c>
      <c r="AL153" s="884" t="e">
        <f>Tbl_Long_Hydro[[#This Row],[LX]]*B</f>
        <v>#N/A</v>
      </c>
      <c r="AM153" s="892" t="e">
        <f>IF(ISNUMBER(AM152),(AK152+Tbl_Long_Hydro[[#This Row],[LX]])*(Tbl_Long_Hydro[[#This Row],[Draught]]-V152)/2*B,(Tbl_Long_Hydro[[#This Row],[LX]])*Tbl_Long_Hydro[[#This Row],[Draught]]*B)</f>
        <v>#N/A</v>
      </c>
      <c r="AN153" s="899" t="e">
        <f>Tbl_Long_Hydro[[#This Row],[Aft X]]+Tbl_Long_Hydro[[#This Row],[LX]]/2</f>
        <v>#N/A</v>
      </c>
      <c r="AO153" s="876" t="e">
        <f>IF(ISNUMBER(AO152),(2*Tbl_Long_Hydro[[#This Row],[LX]]+AK152)/(Tbl_Long_Hydro[[#This Row],[LX]]+AK152)*(Tbl_Long_Hydro[[#This Row],[Draught]]-V152)/3+V152,Tbl_Long_Hydro[[#This Row],[Draught]]/2)</f>
        <v>#N/A</v>
      </c>
      <c r="AP153" s="898" t="e">
        <f>IF(ISNUMBER(AP152),Tbl_Long_Hydro[[#This Row],[Volume elt]]+AP152,Tbl_Long_Hydro[[#This Row],[Volume elt]]*AO$4)</f>
        <v>#N/A</v>
      </c>
      <c r="AQ153" s="893" t="e">
        <f>IF(ISNUMBER(AQ152),Tbl_Long_Hydro[[#This Row],[Displacement]]*AQ$4,IF(ISNA(AQ152),NA(),0))</f>
        <v>#N/A</v>
      </c>
      <c r="AR153" s="900" t="e">
        <f>IF(ISNA(Tbl_Long_Hydro[[#This Row],[Draught]]),NA(),IFERROR(Tbl_Long_Hydro[[#This Row],[LX]]*B^3/12/Tbl_Long_Hydro[[#This Row],[Displacement]],0))</f>
        <v>#N/A</v>
      </c>
      <c r="AS153" s="903" t="e">
        <f>IF(ISNA(Tbl_Long_Hydro[[#This Row],[Draught]]),NA(),IFERROR((B*Tbl_Long_Hydro[[#This Row],[LX]]^3/12+(Tbl_Long_Hydro[[#This Row],[LCF]]-Tbl_Long_Hydro[[#This Row],[LCB]])*Tbl_Long_Hydro[[#This Row],[Waterplane area]]*Tbl_Long_Hydro[[#This Row],[LCF]]^2)/Tbl_Long_Hydro[[#This Row],[Displacement]],0))</f>
        <v>#N/A</v>
      </c>
      <c r="AT153" s="900" t="e">
        <f>Tbl_Long_Hydro[[#This Row],[Aft X]]+Tbl_Long_Hydro[[#This Row],[LX]]/2</f>
        <v>#N/A</v>
      </c>
      <c r="AU153" s="901" t="e">
        <f>IF(ISNUMBER(AU152),(AU152*AP152+Tbl_Long_Hydro[[#This Row],[X CoG elt]]*Tbl_Long_Hydro[[#This Row],[Volume elt]])/Tbl_Long_Hydro[[#This Row],[Displacement]],Tbl_Long_Hydro[[#This Row],[X CoG elt]])</f>
        <v>#N/A</v>
      </c>
      <c r="AV153" s="902" t="e">
        <f>IF(ISNA(Tbl_Long_Hydro[[#This Row],[Draught]]),NA(),0)</f>
        <v>#N/A</v>
      </c>
      <c r="AW153" s="876" t="e">
        <f>IF(ISNUMBER(AW152),(AW152*AP152+Tbl_Long_Hydro[[#This Row],[Z CoG elt]]*Tbl_Long_Hydro[[#This Row],[Volume elt]])/Tbl_Long_Hydro[[#This Row],[Displacement]],Tbl_Long_Hydro[[#This Row],[Z CoG elt]])</f>
        <v>#N/A</v>
      </c>
      <c r="AX153" s="899" t="e">
        <f>Tbl_Long_Hydro[[#This Row],[RMT]]+Tbl_Long_Hydro[[#This Row],[VCB]]</f>
        <v>#N/A</v>
      </c>
      <c r="AY153" s="904" t="e">
        <f>Tbl_Long_Hydro[[#This Row],[Displacement]]*Tbl_Long_Hydro[[#This Row],[RML]]/(100*Lpp)</f>
        <v>#N/A</v>
      </c>
      <c r="AZ153" s="956" t="e">
        <f>Tbl_Long_Hydro[[#This Row],[Draught]]</f>
        <v>#N/A</v>
      </c>
      <c r="BA153" s="959" t="e">
        <f>Tbl_Long_Hydro[[#This Row],[Displacement]]</f>
        <v>#N/A</v>
      </c>
      <c r="BB153" s="960" t="e">
        <f>Tbl_Long_Hydro[[#This Row],[Displac. SW]]</f>
        <v>#N/A</v>
      </c>
      <c r="BC153" s="964" t="e">
        <f>Tbl_Long_Hydro[[#This Row],[Waterplane area]]/100*$AQ$4</f>
        <v>#N/A</v>
      </c>
      <c r="BD153" s="961" t="e">
        <f>Tbl_Long_Hydro[[#This Row],[MCT]]</f>
        <v>#N/A</v>
      </c>
      <c r="BE153" s="962" t="e">
        <f>Tbl_Long_Hydro[[#This Row],[LCB]]</f>
        <v>#N/A</v>
      </c>
      <c r="BF153" s="962" t="e">
        <f>Tbl_Long_Hydro[[#This Row],[TCB]]</f>
        <v>#N/A</v>
      </c>
      <c r="BG153" s="962" t="e">
        <f>Tbl_Long_Hydro[[#This Row],[LCF]]</f>
        <v>#N/A</v>
      </c>
      <c r="BH153" s="963" t="e">
        <f>Tbl_Long_Hydro[[#This Row],[KMT]]</f>
        <v>#N/A</v>
      </c>
    </row>
    <row r="154" spans="11:60" x14ac:dyDescent="0.25">
      <c r="K154" s="156" t="e">
        <f t="shared" si="9"/>
        <v>#N/A</v>
      </c>
      <c r="L154" s="164" t="e">
        <f t="shared" si="10"/>
        <v>#N/A</v>
      </c>
      <c r="M154" s="262" t="e">
        <f>MATCH(Tbl_Long_Section[[#This Row],[X]],Tbl_Long_Definition[X],1)</f>
        <v>#N/A</v>
      </c>
      <c r="N154" s="262" t="e">
        <f>IF(Tbl_Long_Section[[#This Row],[Nline Prev]]&lt;COUNT(Tbl_Long_Definition[X]),Tbl_Long_Section[[#This Row],[Nline Prev]]+1,Tbl_Long_Section[[#This Row],[Nline Prev]])</f>
        <v>#N/A</v>
      </c>
      <c r="O154" s="162" t="e">
        <f>INDEX(Tbl_Long_Definition[X],Tbl_Long_Section[[#This Row],[Nline Prev]])</f>
        <v>#N/A</v>
      </c>
      <c r="P154" s="263" t="e">
        <f>INDEX(Tbl_Long_Definition[X],Tbl_Long_Section[[#This Row],[Nline Next]])</f>
        <v>#N/A</v>
      </c>
      <c r="Q154" s="160" t="e">
        <f>INDEX(Tbl_Long_Definition[H Deck-Bott.],Tbl_Long_Section[[#This Row],[Nline Prev]])</f>
        <v>#N/A</v>
      </c>
      <c r="R154" s="161" t="e">
        <f>INDEX(Tbl_Long_Definition[H Deck-Bott.],Tbl_Long_Section[[#This Row],[Nline Next]])</f>
        <v>#N/A</v>
      </c>
      <c r="S154"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54" s="8"/>
      <c r="V154" s="873" t="e">
        <f t="shared" si="11"/>
        <v>#N/A</v>
      </c>
      <c r="W154" s="885" t="e">
        <f>MATCH(Tbl_Long_Hydro[[#This Row],[Draught]],Tbl_Long_Definition[H k-bott],-1)</f>
        <v>#N/A</v>
      </c>
      <c r="X154"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54" s="886" t="e">
        <f>MATCH(Tbl_Long_Hydro[[#This Row],[Draught]],Tbl_Long_Definition[H k-bott],1)</f>
        <v>#N/A</v>
      </c>
      <c r="Z154"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54" s="888" t="e">
        <f>IF(ISNA(Tbl_Long_Hydro[[#This Row],[Draught]]),NA(),IFERROR(INDEX(Tbl_Long_Definition[X],Tbl_Long_Hydro[[#This Row],[Aft Nline prev]]),0))</f>
        <v>#N/A</v>
      </c>
      <c r="AB154" s="889" t="e">
        <f>IF(ISNA(Tbl_Long_Hydro[[#This Row],[Draught]]),NA(),IFERROR(INDEX(Tbl_Long_Definition[X],Tbl_Long_Hydro[[#This Row],[Aft Nline next]]),0))</f>
        <v>#N/A</v>
      </c>
      <c r="AC154" s="889" t="e">
        <f>IF(ISNA(Tbl_Long_Hydro[[#This Row],[Draught]]),NA(),INDEX(Tbl_Long_Definition[H k-bott],Tbl_Long_Hydro[[#This Row],[Aft Nline prev]]))</f>
        <v>#N/A</v>
      </c>
      <c r="AD154" s="889" t="e">
        <f>IF(ISNA(Tbl_Long_Hydro[[#This Row],[Draught]]),NA(),INDEX(Tbl_Long_Definition[H k-bott],Tbl_Long_Hydro[[#This Row],[Aft Nline next]]))</f>
        <v>#N/A</v>
      </c>
      <c r="AE154" s="888" t="e">
        <f>IF(ISNA(Tbl_Long_Hydro[[#This Row],[Draught]]),NA(),IFERROR(INDEX(Tbl_Long_Definition[X],Tbl_Long_Hydro[[#This Row],[Fore Nline prev]]),0))</f>
        <v>#N/A</v>
      </c>
      <c r="AF154" s="889" t="e">
        <f>IF(ISNA(Tbl_Long_Hydro[[#This Row],[Draught]]),NA(),IFERROR(INDEX(Tbl_Long_Definition[X],Tbl_Long_Hydro[[#This Row],[Fore Nline next]]),0))</f>
        <v>#N/A</v>
      </c>
      <c r="AG154" s="889" t="e">
        <f>IF(ISNA(Tbl_Long_Hydro[[#This Row],[Draught]]),NA(),INDEX(Tbl_Long_Definition[H k-bott],Tbl_Long_Hydro[[#This Row],[Fore Nline prev]]))</f>
        <v>#N/A</v>
      </c>
      <c r="AH154" s="890" t="e">
        <f>IF(ISNA(Tbl_Long_Hydro[[#This Row],[Draught]]),NA(),INDEX(Tbl_Long_Definition[H k-bott],Tbl_Long_Hydro[[#This Row],[Fore Nline next]]))</f>
        <v>#N/A</v>
      </c>
      <c r="AI154"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54"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54" s="894" t="e">
        <f>Tbl_Long_Hydro[[#This Row],[Fore X]]-Tbl_Long_Hydro[[#This Row],[Aft X]]</f>
        <v>#N/A</v>
      </c>
      <c r="AL154" s="884" t="e">
        <f>Tbl_Long_Hydro[[#This Row],[LX]]*B</f>
        <v>#N/A</v>
      </c>
      <c r="AM154" s="892" t="e">
        <f>IF(ISNUMBER(AM153),(AK153+Tbl_Long_Hydro[[#This Row],[LX]])*(Tbl_Long_Hydro[[#This Row],[Draught]]-V153)/2*B,(Tbl_Long_Hydro[[#This Row],[LX]])*Tbl_Long_Hydro[[#This Row],[Draught]]*B)</f>
        <v>#N/A</v>
      </c>
      <c r="AN154" s="899" t="e">
        <f>Tbl_Long_Hydro[[#This Row],[Aft X]]+Tbl_Long_Hydro[[#This Row],[LX]]/2</f>
        <v>#N/A</v>
      </c>
      <c r="AO154" s="876" t="e">
        <f>IF(ISNUMBER(AO153),(2*Tbl_Long_Hydro[[#This Row],[LX]]+AK153)/(Tbl_Long_Hydro[[#This Row],[LX]]+AK153)*(Tbl_Long_Hydro[[#This Row],[Draught]]-V153)/3+V153,Tbl_Long_Hydro[[#This Row],[Draught]]/2)</f>
        <v>#N/A</v>
      </c>
      <c r="AP154" s="898" t="e">
        <f>IF(ISNUMBER(AP153),Tbl_Long_Hydro[[#This Row],[Volume elt]]+AP153,Tbl_Long_Hydro[[#This Row],[Volume elt]]*AO$4)</f>
        <v>#N/A</v>
      </c>
      <c r="AQ154" s="893" t="e">
        <f>IF(ISNUMBER(AQ153),Tbl_Long_Hydro[[#This Row],[Displacement]]*AQ$4,IF(ISNA(AQ153),NA(),0))</f>
        <v>#N/A</v>
      </c>
      <c r="AR154" s="900" t="e">
        <f>IF(ISNA(Tbl_Long_Hydro[[#This Row],[Draught]]),NA(),IFERROR(Tbl_Long_Hydro[[#This Row],[LX]]*B^3/12/Tbl_Long_Hydro[[#This Row],[Displacement]],0))</f>
        <v>#N/A</v>
      </c>
      <c r="AS154" s="903" t="e">
        <f>IF(ISNA(Tbl_Long_Hydro[[#This Row],[Draught]]),NA(),IFERROR((B*Tbl_Long_Hydro[[#This Row],[LX]]^3/12+(Tbl_Long_Hydro[[#This Row],[LCF]]-Tbl_Long_Hydro[[#This Row],[LCB]])*Tbl_Long_Hydro[[#This Row],[Waterplane area]]*Tbl_Long_Hydro[[#This Row],[LCF]]^2)/Tbl_Long_Hydro[[#This Row],[Displacement]],0))</f>
        <v>#N/A</v>
      </c>
      <c r="AT154" s="900" t="e">
        <f>Tbl_Long_Hydro[[#This Row],[Aft X]]+Tbl_Long_Hydro[[#This Row],[LX]]/2</f>
        <v>#N/A</v>
      </c>
      <c r="AU154" s="901" t="e">
        <f>IF(ISNUMBER(AU153),(AU153*AP153+Tbl_Long_Hydro[[#This Row],[X CoG elt]]*Tbl_Long_Hydro[[#This Row],[Volume elt]])/Tbl_Long_Hydro[[#This Row],[Displacement]],Tbl_Long_Hydro[[#This Row],[X CoG elt]])</f>
        <v>#N/A</v>
      </c>
      <c r="AV154" s="902" t="e">
        <f>IF(ISNA(Tbl_Long_Hydro[[#This Row],[Draught]]),NA(),0)</f>
        <v>#N/A</v>
      </c>
      <c r="AW154" s="876" t="e">
        <f>IF(ISNUMBER(AW153),(AW153*AP153+Tbl_Long_Hydro[[#This Row],[Z CoG elt]]*Tbl_Long_Hydro[[#This Row],[Volume elt]])/Tbl_Long_Hydro[[#This Row],[Displacement]],Tbl_Long_Hydro[[#This Row],[Z CoG elt]])</f>
        <v>#N/A</v>
      </c>
      <c r="AX154" s="899" t="e">
        <f>Tbl_Long_Hydro[[#This Row],[RMT]]+Tbl_Long_Hydro[[#This Row],[VCB]]</f>
        <v>#N/A</v>
      </c>
      <c r="AY154" s="904" t="e">
        <f>Tbl_Long_Hydro[[#This Row],[Displacement]]*Tbl_Long_Hydro[[#This Row],[RML]]/(100*Lpp)</f>
        <v>#N/A</v>
      </c>
      <c r="AZ154" s="956" t="e">
        <f>Tbl_Long_Hydro[[#This Row],[Draught]]</f>
        <v>#N/A</v>
      </c>
      <c r="BA154" s="959" t="e">
        <f>Tbl_Long_Hydro[[#This Row],[Displacement]]</f>
        <v>#N/A</v>
      </c>
      <c r="BB154" s="960" t="e">
        <f>Tbl_Long_Hydro[[#This Row],[Displac. SW]]</f>
        <v>#N/A</v>
      </c>
      <c r="BC154" s="964" t="e">
        <f>Tbl_Long_Hydro[[#This Row],[Waterplane area]]/100*$AQ$4</f>
        <v>#N/A</v>
      </c>
      <c r="BD154" s="961" t="e">
        <f>Tbl_Long_Hydro[[#This Row],[MCT]]</f>
        <v>#N/A</v>
      </c>
      <c r="BE154" s="962" t="e">
        <f>Tbl_Long_Hydro[[#This Row],[LCB]]</f>
        <v>#N/A</v>
      </c>
      <c r="BF154" s="962" t="e">
        <f>Tbl_Long_Hydro[[#This Row],[TCB]]</f>
        <v>#N/A</v>
      </c>
      <c r="BG154" s="962" t="e">
        <f>Tbl_Long_Hydro[[#This Row],[LCF]]</f>
        <v>#N/A</v>
      </c>
      <c r="BH154" s="963" t="e">
        <f>Tbl_Long_Hydro[[#This Row],[KMT]]</f>
        <v>#N/A</v>
      </c>
    </row>
    <row r="155" spans="11:60" x14ac:dyDescent="0.25">
      <c r="K155" s="156" t="e">
        <f t="shared" si="9"/>
        <v>#N/A</v>
      </c>
      <c r="L155" s="164" t="e">
        <f t="shared" si="10"/>
        <v>#N/A</v>
      </c>
      <c r="M155" s="262" t="e">
        <f>MATCH(Tbl_Long_Section[[#This Row],[X]],Tbl_Long_Definition[X],1)</f>
        <v>#N/A</v>
      </c>
      <c r="N155" s="262" t="e">
        <f>IF(Tbl_Long_Section[[#This Row],[Nline Prev]]&lt;COUNT(Tbl_Long_Definition[X]),Tbl_Long_Section[[#This Row],[Nline Prev]]+1,Tbl_Long_Section[[#This Row],[Nline Prev]])</f>
        <v>#N/A</v>
      </c>
      <c r="O155" s="162" t="e">
        <f>INDEX(Tbl_Long_Definition[X],Tbl_Long_Section[[#This Row],[Nline Prev]])</f>
        <v>#N/A</v>
      </c>
      <c r="P155" s="263" t="e">
        <f>INDEX(Tbl_Long_Definition[X],Tbl_Long_Section[[#This Row],[Nline Next]])</f>
        <v>#N/A</v>
      </c>
      <c r="Q155" s="160" t="e">
        <f>INDEX(Tbl_Long_Definition[H Deck-Bott.],Tbl_Long_Section[[#This Row],[Nline Prev]])</f>
        <v>#N/A</v>
      </c>
      <c r="R155" s="161" t="e">
        <f>INDEX(Tbl_Long_Definition[H Deck-Bott.],Tbl_Long_Section[[#This Row],[Nline Next]])</f>
        <v>#N/A</v>
      </c>
      <c r="S155"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55" s="8"/>
      <c r="V155" s="873" t="e">
        <f t="shared" si="11"/>
        <v>#N/A</v>
      </c>
      <c r="W155" s="885" t="e">
        <f>MATCH(Tbl_Long_Hydro[[#This Row],[Draught]],Tbl_Long_Definition[H k-bott],-1)</f>
        <v>#N/A</v>
      </c>
      <c r="X155"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55" s="886" t="e">
        <f>MATCH(Tbl_Long_Hydro[[#This Row],[Draught]],Tbl_Long_Definition[H k-bott],1)</f>
        <v>#N/A</v>
      </c>
      <c r="Z155"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55" s="888" t="e">
        <f>IF(ISNA(Tbl_Long_Hydro[[#This Row],[Draught]]),NA(),IFERROR(INDEX(Tbl_Long_Definition[X],Tbl_Long_Hydro[[#This Row],[Aft Nline prev]]),0))</f>
        <v>#N/A</v>
      </c>
      <c r="AB155" s="889" t="e">
        <f>IF(ISNA(Tbl_Long_Hydro[[#This Row],[Draught]]),NA(),IFERROR(INDEX(Tbl_Long_Definition[X],Tbl_Long_Hydro[[#This Row],[Aft Nline next]]),0))</f>
        <v>#N/A</v>
      </c>
      <c r="AC155" s="889" t="e">
        <f>IF(ISNA(Tbl_Long_Hydro[[#This Row],[Draught]]),NA(),INDEX(Tbl_Long_Definition[H k-bott],Tbl_Long_Hydro[[#This Row],[Aft Nline prev]]))</f>
        <v>#N/A</v>
      </c>
      <c r="AD155" s="889" t="e">
        <f>IF(ISNA(Tbl_Long_Hydro[[#This Row],[Draught]]),NA(),INDEX(Tbl_Long_Definition[H k-bott],Tbl_Long_Hydro[[#This Row],[Aft Nline next]]))</f>
        <v>#N/A</v>
      </c>
      <c r="AE155" s="888" t="e">
        <f>IF(ISNA(Tbl_Long_Hydro[[#This Row],[Draught]]),NA(),IFERROR(INDEX(Tbl_Long_Definition[X],Tbl_Long_Hydro[[#This Row],[Fore Nline prev]]),0))</f>
        <v>#N/A</v>
      </c>
      <c r="AF155" s="889" t="e">
        <f>IF(ISNA(Tbl_Long_Hydro[[#This Row],[Draught]]),NA(),IFERROR(INDEX(Tbl_Long_Definition[X],Tbl_Long_Hydro[[#This Row],[Fore Nline next]]),0))</f>
        <v>#N/A</v>
      </c>
      <c r="AG155" s="889" t="e">
        <f>IF(ISNA(Tbl_Long_Hydro[[#This Row],[Draught]]),NA(),INDEX(Tbl_Long_Definition[H k-bott],Tbl_Long_Hydro[[#This Row],[Fore Nline prev]]))</f>
        <v>#N/A</v>
      </c>
      <c r="AH155" s="890" t="e">
        <f>IF(ISNA(Tbl_Long_Hydro[[#This Row],[Draught]]),NA(),INDEX(Tbl_Long_Definition[H k-bott],Tbl_Long_Hydro[[#This Row],[Fore Nline next]]))</f>
        <v>#N/A</v>
      </c>
      <c r="AI155"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55"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55" s="894" t="e">
        <f>Tbl_Long_Hydro[[#This Row],[Fore X]]-Tbl_Long_Hydro[[#This Row],[Aft X]]</f>
        <v>#N/A</v>
      </c>
      <c r="AL155" s="884" t="e">
        <f>Tbl_Long_Hydro[[#This Row],[LX]]*B</f>
        <v>#N/A</v>
      </c>
      <c r="AM155" s="892" t="e">
        <f>IF(ISNUMBER(AM154),(AK154+Tbl_Long_Hydro[[#This Row],[LX]])*(Tbl_Long_Hydro[[#This Row],[Draught]]-V154)/2*B,(Tbl_Long_Hydro[[#This Row],[LX]])*Tbl_Long_Hydro[[#This Row],[Draught]]*B)</f>
        <v>#N/A</v>
      </c>
      <c r="AN155" s="899" t="e">
        <f>Tbl_Long_Hydro[[#This Row],[Aft X]]+Tbl_Long_Hydro[[#This Row],[LX]]/2</f>
        <v>#N/A</v>
      </c>
      <c r="AO155" s="876" t="e">
        <f>IF(ISNUMBER(AO154),(2*Tbl_Long_Hydro[[#This Row],[LX]]+AK154)/(Tbl_Long_Hydro[[#This Row],[LX]]+AK154)*(Tbl_Long_Hydro[[#This Row],[Draught]]-V154)/3+V154,Tbl_Long_Hydro[[#This Row],[Draught]]/2)</f>
        <v>#N/A</v>
      </c>
      <c r="AP155" s="898" t="e">
        <f>IF(ISNUMBER(AP154),Tbl_Long_Hydro[[#This Row],[Volume elt]]+AP154,Tbl_Long_Hydro[[#This Row],[Volume elt]]*AO$4)</f>
        <v>#N/A</v>
      </c>
      <c r="AQ155" s="893" t="e">
        <f>IF(ISNUMBER(AQ154),Tbl_Long_Hydro[[#This Row],[Displacement]]*AQ$4,IF(ISNA(AQ154),NA(),0))</f>
        <v>#N/A</v>
      </c>
      <c r="AR155" s="900" t="e">
        <f>IF(ISNA(Tbl_Long_Hydro[[#This Row],[Draught]]),NA(),IFERROR(Tbl_Long_Hydro[[#This Row],[LX]]*B^3/12/Tbl_Long_Hydro[[#This Row],[Displacement]],0))</f>
        <v>#N/A</v>
      </c>
      <c r="AS155" s="903" t="e">
        <f>IF(ISNA(Tbl_Long_Hydro[[#This Row],[Draught]]),NA(),IFERROR((B*Tbl_Long_Hydro[[#This Row],[LX]]^3/12+(Tbl_Long_Hydro[[#This Row],[LCF]]-Tbl_Long_Hydro[[#This Row],[LCB]])*Tbl_Long_Hydro[[#This Row],[Waterplane area]]*Tbl_Long_Hydro[[#This Row],[LCF]]^2)/Tbl_Long_Hydro[[#This Row],[Displacement]],0))</f>
        <v>#N/A</v>
      </c>
      <c r="AT155" s="900" t="e">
        <f>Tbl_Long_Hydro[[#This Row],[Aft X]]+Tbl_Long_Hydro[[#This Row],[LX]]/2</f>
        <v>#N/A</v>
      </c>
      <c r="AU155" s="901" t="e">
        <f>IF(ISNUMBER(AU154),(AU154*AP154+Tbl_Long_Hydro[[#This Row],[X CoG elt]]*Tbl_Long_Hydro[[#This Row],[Volume elt]])/Tbl_Long_Hydro[[#This Row],[Displacement]],Tbl_Long_Hydro[[#This Row],[X CoG elt]])</f>
        <v>#N/A</v>
      </c>
      <c r="AV155" s="902" t="e">
        <f>IF(ISNA(Tbl_Long_Hydro[[#This Row],[Draught]]),NA(),0)</f>
        <v>#N/A</v>
      </c>
      <c r="AW155" s="876" t="e">
        <f>IF(ISNUMBER(AW154),(AW154*AP154+Tbl_Long_Hydro[[#This Row],[Z CoG elt]]*Tbl_Long_Hydro[[#This Row],[Volume elt]])/Tbl_Long_Hydro[[#This Row],[Displacement]],Tbl_Long_Hydro[[#This Row],[Z CoG elt]])</f>
        <v>#N/A</v>
      </c>
      <c r="AX155" s="899" t="e">
        <f>Tbl_Long_Hydro[[#This Row],[RMT]]+Tbl_Long_Hydro[[#This Row],[VCB]]</f>
        <v>#N/A</v>
      </c>
      <c r="AY155" s="904" t="e">
        <f>Tbl_Long_Hydro[[#This Row],[Displacement]]*Tbl_Long_Hydro[[#This Row],[RML]]/(100*Lpp)</f>
        <v>#N/A</v>
      </c>
      <c r="AZ155" s="956" t="e">
        <f>Tbl_Long_Hydro[[#This Row],[Draught]]</f>
        <v>#N/A</v>
      </c>
      <c r="BA155" s="959" t="e">
        <f>Tbl_Long_Hydro[[#This Row],[Displacement]]</f>
        <v>#N/A</v>
      </c>
      <c r="BB155" s="960" t="e">
        <f>Tbl_Long_Hydro[[#This Row],[Displac. SW]]</f>
        <v>#N/A</v>
      </c>
      <c r="BC155" s="964" t="e">
        <f>Tbl_Long_Hydro[[#This Row],[Waterplane area]]/100*$AQ$4</f>
        <v>#N/A</v>
      </c>
      <c r="BD155" s="961" t="e">
        <f>Tbl_Long_Hydro[[#This Row],[MCT]]</f>
        <v>#N/A</v>
      </c>
      <c r="BE155" s="962" t="e">
        <f>Tbl_Long_Hydro[[#This Row],[LCB]]</f>
        <v>#N/A</v>
      </c>
      <c r="BF155" s="962" t="e">
        <f>Tbl_Long_Hydro[[#This Row],[TCB]]</f>
        <v>#N/A</v>
      </c>
      <c r="BG155" s="962" t="e">
        <f>Tbl_Long_Hydro[[#This Row],[LCF]]</f>
        <v>#N/A</v>
      </c>
      <c r="BH155" s="963" t="e">
        <f>Tbl_Long_Hydro[[#This Row],[KMT]]</f>
        <v>#N/A</v>
      </c>
    </row>
    <row r="156" spans="11:60" x14ac:dyDescent="0.25">
      <c r="K156" s="156" t="e">
        <f t="shared" si="9"/>
        <v>#N/A</v>
      </c>
      <c r="L156" s="164" t="e">
        <f t="shared" si="10"/>
        <v>#N/A</v>
      </c>
      <c r="M156" s="262" t="e">
        <f>MATCH(Tbl_Long_Section[[#This Row],[X]],Tbl_Long_Definition[X],1)</f>
        <v>#N/A</v>
      </c>
      <c r="N156" s="262" t="e">
        <f>IF(Tbl_Long_Section[[#This Row],[Nline Prev]]&lt;COUNT(Tbl_Long_Definition[X]),Tbl_Long_Section[[#This Row],[Nline Prev]]+1,Tbl_Long_Section[[#This Row],[Nline Prev]])</f>
        <v>#N/A</v>
      </c>
      <c r="O156" s="162" t="e">
        <f>INDEX(Tbl_Long_Definition[X],Tbl_Long_Section[[#This Row],[Nline Prev]])</f>
        <v>#N/A</v>
      </c>
      <c r="P156" s="263" t="e">
        <f>INDEX(Tbl_Long_Definition[X],Tbl_Long_Section[[#This Row],[Nline Next]])</f>
        <v>#N/A</v>
      </c>
      <c r="Q156" s="160" t="e">
        <f>INDEX(Tbl_Long_Definition[H Deck-Bott.],Tbl_Long_Section[[#This Row],[Nline Prev]])</f>
        <v>#N/A</v>
      </c>
      <c r="R156" s="161" t="e">
        <f>INDEX(Tbl_Long_Definition[H Deck-Bott.],Tbl_Long_Section[[#This Row],[Nline Next]])</f>
        <v>#N/A</v>
      </c>
      <c r="S156"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56" s="8"/>
      <c r="V156" s="873" t="e">
        <f t="shared" si="11"/>
        <v>#N/A</v>
      </c>
      <c r="W156" s="885" t="e">
        <f>MATCH(Tbl_Long_Hydro[[#This Row],[Draught]],Tbl_Long_Definition[H k-bott],-1)</f>
        <v>#N/A</v>
      </c>
      <c r="X156"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56" s="886" t="e">
        <f>MATCH(Tbl_Long_Hydro[[#This Row],[Draught]],Tbl_Long_Definition[H k-bott],1)</f>
        <v>#N/A</v>
      </c>
      <c r="Z156"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56" s="888" t="e">
        <f>IF(ISNA(Tbl_Long_Hydro[[#This Row],[Draught]]),NA(),IFERROR(INDEX(Tbl_Long_Definition[X],Tbl_Long_Hydro[[#This Row],[Aft Nline prev]]),0))</f>
        <v>#N/A</v>
      </c>
      <c r="AB156" s="889" t="e">
        <f>IF(ISNA(Tbl_Long_Hydro[[#This Row],[Draught]]),NA(),IFERROR(INDEX(Tbl_Long_Definition[X],Tbl_Long_Hydro[[#This Row],[Aft Nline next]]),0))</f>
        <v>#N/A</v>
      </c>
      <c r="AC156" s="889" t="e">
        <f>IF(ISNA(Tbl_Long_Hydro[[#This Row],[Draught]]),NA(),INDEX(Tbl_Long_Definition[H k-bott],Tbl_Long_Hydro[[#This Row],[Aft Nline prev]]))</f>
        <v>#N/A</v>
      </c>
      <c r="AD156" s="889" t="e">
        <f>IF(ISNA(Tbl_Long_Hydro[[#This Row],[Draught]]),NA(),INDEX(Tbl_Long_Definition[H k-bott],Tbl_Long_Hydro[[#This Row],[Aft Nline next]]))</f>
        <v>#N/A</v>
      </c>
      <c r="AE156" s="888" t="e">
        <f>IF(ISNA(Tbl_Long_Hydro[[#This Row],[Draught]]),NA(),IFERROR(INDEX(Tbl_Long_Definition[X],Tbl_Long_Hydro[[#This Row],[Fore Nline prev]]),0))</f>
        <v>#N/A</v>
      </c>
      <c r="AF156" s="889" t="e">
        <f>IF(ISNA(Tbl_Long_Hydro[[#This Row],[Draught]]),NA(),IFERROR(INDEX(Tbl_Long_Definition[X],Tbl_Long_Hydro[[#This Row],[Fore Nline next]]),0))</f>
        <v>#N/A</v>
      </c>
      <c r="AG156" s="889" t="e">
        <f>IF(ISNA(Tbl_Long_Hydro[[#This Row],[Draught]]),NA(),INDEX(Tbl_Long_Definition[H k-bott],Tbl_Long_Hydro[[#This Row],[Fore Nline prev]]))</f>
        <v>#N/A</v>
      </c>
      <c r="AH156" s="890" t="e">
        <f>IF(ISNA(Tbl_Long_Hydro[[#This Row],[Draught]]),NA(),INDEX(Tbl_Long_Definition[H k-bott],Tbl_Long_Hydro[[#This Row],[Fore Nline next]]))</f>
        <v>#N/A</v>
      </c>
      <c r="AI156"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56"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56" s="894" t="e">
        <f>Tbl_Long_Hydro[[#This Row],[Fore X]]-Tbl_Long_Hydro[[#This Row],[Aft X]]</f>
        <v>#N/A</v>
      </c>
      <c r="AL156" s="884" t="e">
        <f>Tbl_Long_Hydro[[#This Row],[LX]]*B</f>
        <v>#N/A</v>
      </c>
      <c r="AM156" s="892" t="e">
        <f>IF(ISNUMBER(AM155),(AK155+Tbl_Long_Hydro[[#This Row],[LX]])*(Tbl_Long_Hydro[[#This Row],[Draught]]-V155)/2*B,(Tbl_Long_Hydro[[#This Row],[LX]])*Tbl_Long_Hydro[[#This Row],[Draught]]*B)</f>
        <v>#N/A</v>
      </c>
      <c r="AN156" s="899" t="e">
        <f>Tbl_Long_Hydro[[#This Row],[Aft X]]+Tbl_Long_Hydro[[#This Row],[LX]]/2</f>
        <v>#N/A</v>
      </c>
      <c r="AO156" s="876" t="e">
        <f>IF(ISNUMBER(AO155),(2*Tbl_Long_Hydro[[#This Row],[LX]]+AK155)/(Tbl_Long_Hydro[[#This Row],[LX]]+AK155)*(Tbl_Long_Hydro[[#This Row],[Draught]]-V155)/3+V155,Tbl_Long_Hydro[[#This Row],[Draught]]/2)</f>
        <v>#N/A</v>
      </c>
      <c r="AP156" s="898" t="e">
        <f>IF(ISNUMBER(AP155),Tbl_Long_Hydro[[#This Row],[Volume elt]]+AP155,Tbl_Long_Hydro[[#This Row],[Volume elt]]*AO$4)</f>
        <v>#N/A</v>
      </c>
      <c r="AQ156" s="893" t="e">
        <f>IF(ISNUMBER(AQ155),Tbl_Long_Hydro[[#This Row],[Displacement]]*AQ$4,IF(ISNA(AQ155),NA(),0))</f>
        <v>#N/A</v>
      </c>
      <c r="AR156" s="900" t="e">
        <f>IF(ISNA(Tbl_Long_Hydro[[#This Row],[Draught]]),NA(),IFERROR(Tbl_Long_Hydro[[#This Row],[LX]]*B^3/12/Tbl_Long_Hydro[[#This Row],[Displacement]],0))</f>
        <v>#N/A</v>
      </c>
      <c r="AS156" s="903" t="e">
        <f>IF(ISNA(Tbl_Long_Hydro[[#This Row],[Draught]]),NA(),IFERROR((B*Tbl_Long_Hydro[[#This Row],[LX]]^3/12+(Tbl_Long_Hydro[[#This Row],[LCF]]-Tbl_Long_Hydro[[#This Row],[LCB]])*Tbl_Long_Hydro[[#This Row],[Waterplane area]]*Tbl_Long_Hydro[[#This Row],[LCF]]^2)/Tbl_Long_Hydro[[#This Row],[Displacement]],0))</f>
        <v>#N/A</v>
      </c>
      <c r="AT156" s="900" t="e">
        <f>Tbl_Long_Hydro[[#This Row],[Aft X]]+Tbl_Long_Hydro[[#This Row],[LX]]/2</f>
        <v>#N/A</v>
      </c>
      <c r="AU156" s="901" t="e">
        <f>IF(ISNUMBER(AU155),(AU155*AP155+Tbl_Long_Hydro[[#This Row],[X CoG elt]]*Tbl_Long_Hydro[[#This Row],[Volume elt]])/Tbl_Long_Hydro[[#This Row],[Displacement]],Tbl_Long_Hydro[[#This Row],[X CoG elt]])</f>
        <v>#N/A</v>
      </c>
      <c r="AV156" s="902" t="e">
        <f>IF(ISNA(Tbl_Long_Hydro[[#This Row],[Draught]]),NA(),0)</f>
        <v>#N/A</v>
      </c>
      <c r="AW156" s="876" t="e">
        <f>IF(ISNUMBER(AW155),(AW155*AP155+Tbl_Long_Hydro[[#This Row],[Z CoG elt]]*Tbl_Long_Hydro[[#This Row],[Volume elt]])/Tbl_Long_Hydro[[#This Row],[Displacement]],Tbl_Long_Hydro[[#This Row],[Z CoG elt]])</f>
        <v>#N/A</v>
      </c>
      <c r="AX156" s="899" t="e">
        <f>Tbl_Long_Hydro[[#This Row],[RMT]]+Tbl_Long_Hydro[[#This Row],[VCB]]</f>
        <v>#N/A</v>
      </c>
      <c r="AY156" s="904" t="e">
        <f>Tbl_Long_Hydro[[#This Row],[Displacement]]*Tbl_Long_Hydro[[#This Row],[RML]]/(100*Lpp)</f>
        <v>#N/A</v>
      </c>
      <c r="AZ156" s="956" t="e">
        <f>Tbl_Long_Hydro[[#This Row],[Draught]]</f>
        <v>#N/A</v>
      </c>
      <c r="BA156" s="959" t="e">
        <f>Tbl_Long_Hydro[[#This Row],[Displacement]]</f>
        <v>#N/A</v>
      </c>
      <c r="BB156" s="960" t="e">
        <f>Tbl_Long_Hydro[[#This Row],[Displac. SW]]</f>
        <v>#N/A</v>
      </c>
      <c r="BC156" s="964" t="e">
        <f>Tbl_Long_Hydro[[#This Row],[Waterplane area]]/100*$AQ$4</f>
        <v>#N/A</v>
      </c>
      <c r="BD156" s="961" t="e">
        <f>Tbl_Long_Hydro[[#This Row],[MCT]]</f>
        <v>#N/A</v>
      </c>
      <c r="BE156" s="962" t="e">
        <f>Tbl_Long_Hydro[[#This Row],[LCB]]</f>
        <v>#N/A</v>
      </c>
      <c r="BF156" s="962" t="e">
        <f>Tbl_Long_Hydro[[#This Row],[TCB]]</f>
        <v>#N/A</v>
      </c>
      <c r="BG156" s="962" t="e">
        <f>Tbl_Long_Hydro[[#This Row],[LCF]]</f>
        <v>#N/A</v>
      </c>
      <c r="BH156" s="963" t="e">
        <f>Tbl_Long_Hydro[[#This Row],[KMT]]</f>
        <v>#N/A</v>
      </c>
    </row>
    <row r="157" spans="11:60" x14ac:dyDescent="0.25">
      <c r="K157" s="156" t="e">
        <f t="shared" si="9"/>
        <v>#N/A</v>
      </c>
      <c r="L157" s="164" t="e">
        <f t="shared" si="10"/>
        <v>#N/A</v>
      </c>
      <c r="M157" s="262" t="e">
        <f>MATCH(Tbl_Long_Section[[#This Row],[X]],Tbl_Long_Definition[X],1)</f>
        <v>#N/A</v>
      </c>
      <c r="N157" s="262" t="e">
        <f>IF(Tbl_Long_Section[[#This Row],[Nline Prev]]&lt;COUNT(Tbl_Long_Definition[X]),Tbl_Long_Section[[#This Row],[Nline Prev]]+1,Tbl_Long_Section[[#This Row],[Nline Prev]])</f>
        <v>#N/A</v>
      </c>
      <c r="O157" s="162" t="e">
        <f>INDEX(Tbl_Long_Definition[X],Tbl_Long_Section[[#This Row],[Nline Prev]])</f>
        <v>#N/A</v>
      </c>
      <c r="P157" s="263" t="e">
        <f>INDEX(Tbl_Long_Definition[X],Tbl_Long_Section[[#This Row],[Nline Next]])</f>
        <v>#N/A</v>
      </c>
      <c r="Q157" s="160" t="e">
        <f>INDEX(Tbl_Long_Definition[H Deck-Bott.],Tbl_Long_Section[[#This Row],[Nline Prev]])</f>
        <v>#N/A</v>
      </c>
      <c r="R157" s="161" t="e">
        <f>INDEX(Tbl_Long_Definition[H Deck-Bott.],Tbl_Long_Section[[#This Row],[Nline Next]])</f>
        <v>#N/A</v>
      </c>
      <c r="S157"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57" s="8"/>
      <c r="V157" s="873" t="e">
        <f t="shared" si="11"/>
        <v>#N/A</v>
      </c>
      <c r="W157" s="885" t="e">
        <f>MATCH(Tbl_Long_Hydro[[#This Row],[Draught]],Tbl_Long_Definition[H k-bott],-1)</f>
        <v>#N/A</v>
      </c>
      <c r="X157"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57" s="886" t="e">
        <f>MATCH(Tbl_Long_Hydro[[#This Row],[Draught]],Tbl_Long_Definition[H k-bott],1)</f>
        <v>#N/A</v>
      </c>
      <c r="Z157"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57" s="888" t="e">
        <f>IF(ISNA(Tbl_Long_Hydro[[#This Row],[Draught]]),NA(),IFERROR(INDEX(Tbl_Long_Definition[X],Tbl_Long_Hydro[[#This Row],[Aft Nline prev]]),0))</f>
        <v>#N/A</v>
      </c>
      <c r="AB157" s="889" t="e">
        <f>IF(ISNA(Tbl_Long_Hydro[[#This Row],[Draught]]),NA(),IFERROR(INDEX(Tbl_Long_Definition[X],Tbl_Long_Hydro[[#This Row],[Aft Nline next]]),0))</f>
        <v>#N/A</v>
      </c>
      <c r="AC157" s="889" t="e">
        <f>IF(ISNA(Tbl_Long_Hydro[[#This Row],[Draught]]),NA(),INDEX(Tbl_Long_Definition[H k-bott],Tbl_Long_Hydro[[#This Row],[Aft Nline prev]]))</f>
        <v>#N/A</v>
      </c>
      <c r="AD157" s="889" t="e">
        <f>IF(ISNA(Tbl_Long_Hydro[[#This Row],[Draught]]),NA(),INDEX(Tbl_Long_Definition[H k-bott],Tbl_Long_Hydro[[#This Row],[Aft Nline next]]))</f>
        <v>#N/A</v>
      </c>
      <c r="AE157" s="888" t="e">
        <f>IF(ISNA(Tbl_Long_Hydro[[#This Row],[Draught]]),NA(),IFERROR(INDEX(Tbl_Long_Definition[X],Tbl_Long_Hydro[[#This Row],[Fore Nline prev]]),0))</f>
        <v>#N/A</v>
      </c>
      <c r="AF157" s="889" t="e">
        <f>IF(ISNA(Tbl_Long_Hydro[[#This Row],[Draught]]),NA(),IFERROR(INDEX(Tbl_Long_Definition[X],Tbl_Long_Hydro[[#This Row],[Fore Nline next]]),0))</f>
        <v>#N/A</v>
      </c>
      <c r="AG157" s="889" t="e">
        <f>IF(ISNA(Tbl_Long_Hydro[[#This Row],[Draught]]),NA(),INDEX(Tbl_Long_Definition[H k-bott],Tbl_Long_Hydro[[#This Row],[Fore Nline prev]]))</f>
        <v>#N/A</v>
      </c>
      <c r="AH157" s="890" t="e">
        <f>IF(ISNA(Tbl_Long_Hydro[[#This Row],[Draught]]),NA(),INDEX(Tbl_Long_Definition[H k-bott],Tbl_Long_Hydro[[#This Row],[Fore Nline next]]))</f>
        <v>#N/A</v>
      </c>
      <c r="AI157"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57"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57" s="894" t="e">
        <f>Tbl_Long_Hydro[[#This Row],[Fore X]]-Tbl_Long_Hydro[[#This Row],[Aft X]]</f>
        <v>#N/A</v>
      </c>
      <c r="AL157" s="884" t="e">
        <f>Tbl_Long_Hydro[[#This Row],[LX]]*B</f>
        <v>#N/A</v>
      </c>
      <c r="AM157" s="892" t="e">
        <f>IF(ISNUMBER(AM156),(AK156+Tbl_Long_Hydro[[#This Row],[LX]])*(Tbl_Long_Hydro[[#This Row],[Draught]]-V156)/2*B,(Tbl_Long_Hydro[[#This Row],[LX]])*Tbl_Long_Hydro[[#This Row],[Draught]]*B)</f>
        <v>#N/A</v>
      </c>
      <c r="AN157" s="899" t="e">
        <f>Tbl_Long_Hydro[[#This Row],[Aft X]]+Tbl_Long_Hydro[[#This Row],[LX]]/2</f>
        <v>#N/A</v>
      </c>
      <c r="AO157" s="876" t="e">
        <f>IF(ISNUMBER(AO156),(2*Tbl_Long_Hydro[[#This Row],[LX]]+AK156)/(Tbl_Long_Hydro[[#This Row],[LX]]+AK156)*(Tbl_Long_Hydro[[#This Row],[Draught]]-V156)/3+V156,Tbl_Long_Hydro[[#This Row],[Draught]]/2)</f>
        <v>#N/A</v>
      </c>
      <c r="AP157" s="898" t="e">
        <f>IF(ISNUMBER(AP156),Tbl_Long_Hydro[[#This Row],[Volume elt]]+AP156,Tbl_Long_Hydro[[#This Row],[Volume elt]]*AO$4)</f>
        <v>#N/A</v>
      </c>
      <c r="AQ157" s="893" t="e">
        <f>IF(ISNUMBER(AQ156),Tbl_Long_Hydro[[#This Row],[Displacement]]*AQ$4,IF(ISNA(AQ156),NA(),0))</f>
        <v>#N/A</v>
      </c>
      <c r="AR157" s="900" t="e">
        <f>IF(ISNA(Tbl_Long_Hydro[[#This Row],[Draught]]),NA(),IFERROR(Tbl_Long_Hydro[[#This Row],[LX]]*B^3/12/Tbl_Long_Hydro[[#This Row],[Displacement]],0))</f>
        <v>#N/A</v>
      </c>
      <c r="AS157" s="903" t="e">
        <f>IF(ISNA(Tbl_Long_Hydro[[#This Row],[Draught]]),NA(),IFERROR((B*Tbl_Long_Hydro[[#This Row],[LX]]^3/12+(Tbl_Long_Hydro[[#This Row],[LCF]]-Tbl_Long_Hydro[[#This Row],[LCB]])*Tbl_Long_Hydro[[#This Row],[Waterplane area]]*Tbl_Long_Hydro[[#This Row],[LCF]]^2)/Tbl_Long_Hydro[[#This Row],[Displacement]],0))</f>
        <v>#N/A</v>
      </c>
      <c r="AT157" s="900" t="e">
        <f>Tbl_Long_Hydro[[#This Row],[Aft X]]+Tbl_Long_Hydro[[#This Row],[LX]]/2</f>
        <v>#N/A</v>
      </c>
      <c r="AU157" s="901" t="e">
        <f>IF(ISNUMBER(AU156),(AU156*AP156+Tbl_Long_Hydro[[#This Row],[X CoG elt]]*Tbl_Long_Hydro[[#This Row],[Volume elt]])/Tbl_Long_Hydro[[#This Row],[Displacement]],Tbl_Long_Hydro[[#This Row],[X CoG elt]])</f>
        <v>#N/A</v>
      </c>
      <c r="AV157" s="902" t="e">
        <f>IF(ISNA(Tbl_Long_Hydro[[#This Row],[Draught]]),NA(),0)</f>
        <v>#N/A</v>
      </c>
      <c r="AW157" s="876" t="e">
        <f>IF(ISNUMBER(AW156),(AW156*AP156+Tbl_Long_Hydro[[#This Row],[Z CoG elt]]*Tbl_Long_Hydro[[#This Row],[Volume elt]])/Tbl_Long_Hydro[[#This Row],[Displacement]],Tbl_Long_Hydro[[#This Row],[Z CoG elt]])</f>
        <v>#N/A</v>
      </c>
      <c r="AX157" s="899" t="e">
        <f>Tbl_Long_Hydro[[#This Row],[RMT]]+Tbl_Long_Hydro[[#This Row],[VCB]]</f>
        <v>#N/A</v>
      </c>
      <c r="AY157" s="904" t="e">
        <f>Tbl_Long_Hydro[[#This Row],[Displacement]]*Tbl_Long_Hydro[[#This Row],[RML]]/(100*Lpp)</f>
        <v>#N/A</v>
      </c>
      <c r="AZ157" s="956" t="e">
        <f>Tbl_Long_Hydro[[#This Row],[Draught]]</f>
        <v>#N/A</v>
      </c>
      <c r="BA157" s="959" t="e">
        <f>Tbl_Long_Hydro[[#This Row],[Displacement]]</f>
        <v>#N/A</v>
      </c>
      <c r="BB157" s="960" t="e">
        <f>Tbl_Long_Hydro[[#This Row],[Displac. SW]]</f>
        <v>#N/A</v>
      </c>
      <c r="BC157" s="964" t="e">
        <f>Tbl_Long_Hydro[[#This Row],[Waterplane area]]/100*$AQ$4</f>
        <v>#N/A</v>
      </c>
      <c r="BD157" s="961" t="e">
        <f>Tbl_Long_Hydro[[#This Row],[MCT]]</f>
        <v>#N/A</v>
      </c>
      <c r="BE157" s="962" t="e">
        <f>Tbl_Long_Hydro[[#This Row],[LCB]]</f>
        <v>#N/A</v>
      </c>
      <c r="BF157" s="962" t="e">
        <f>Tbl_Long_Hydro[[#This Row],[TCB]]</f>
        <v>#N/A</v>
      </c>
      <c r="BG157" s="962" t="e">
        <f>Tbl_Long_Hydro[[#This Row],[LCF]]</f>
        <v>#N/A</v>
      </c>
      <c r="BH157" s="963" t="e">
        <f>Tbl_Long_Hydro[[#This Row],[KMT]]</f>
        <v>#N/A</v>
      </c>
    </row>
    <row r="158" spans="11:60" x14ac:dyDescent="0.25">
      <c r="K158" s="156" t="e">
        <f t="shared" si="9"/>
        <v>#N/A</v>
      </c>
      <c r="L158" s="164" t="e">
        <f t="shared" si="10"/>
        <v>#N/A</v>
      </c>
      <c r="M158" s="262" t="e">
        <f>MATCH(Tbl_Long_Section[[#This Row],[X]],Tbl_Long_Definition[X],1)</f>
        <v>#N/A</v>
      </c>
      <c r="N158" s="262" t="e">
        <f>IF(Tbl_Long_Section[[#This Row],[Nline Prev]]&lt;COUNT(Tbl_Long_Definition[X]),Tbl_Long_Section[[#This Row],[Nline Prev]]+1,Tbl_Long_Section[[#This Row],[Nline Prev]])</f>
        <v>#N/A</v>
      </c>
      <c r="O158" s="162" t="e">
        <f>INDEX(Tbl_Long_Definition[X],Tbl_Long_Section[[#This Row],[Nline Prev]])</f>
        <v>#N/A</v>
      </c>
      <c r="P158" s="263" t="e">
        <f>INDEX(Tbl_Long_Definition[X],Tbl_Long_Section[[#This Row],[Nline Next]])</f>
        <v>#N/A</v>
      </c>
      <c r="Q158" s="160" t="e">
        <f>INDEX(Tbl_Long_Definition[H Deck-Bott.],Tbl_Long_Section[[#This Row],[Nline Prev]])</f>
        <v>#N/A</v>
      </c>
      <c r="R158" s="161" t="e">
        <f>INDEX(Tbl_Long_Definition[H Deck-Bott.],Tbl_Long_Section[[#This Row],[Nline Next]])</f>
        <v>#N/A</v>
      </c>
      <c r="S158"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58" s="8"/>
      <c r="V158" s="873" t="e">
        <f t="shared" si="11"/>
        <v>#N/A</v>
      </c>
      <c r="W158" s="885" t="e">
        <f>MATCH(Tbl_Long_Hydro[[#This Row],[Draught]],Tbl_Long_Definition[H k-bott],-1)</f>
        <v>#N/A</v>
      </c>
      <c r="X158"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58" s="886" t="e">
        <f>MATCH(Tbl_Long_Hydro[[#This Row],[Draught]],Tbl_Long_Definition[H k-bott],1)</f>
        <v>#N/A</v>
      </c>
      <c r="Z158"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58" s="888" t="e">
        <f>IF(ISNA(Tbl_Long_Hydro[[#This Row],[Draught]]),NA(),IFERROR(INDEX(Tbl_Long_Definition[X],Tbl_Long_Hydro[[#This Row],[Aft Nline prev]]),0))</f>
        <v>#N/A</v>
      </c>
      <c r="AB158" s="889" t="e">
        <f>IF(ISNA(Tbl_Long_Hydro[[#This Row],[Draught]]),NA(),IFERROR(INDEX(Tbl_Long_Definition[X],Tbl_Long_Hydro[[#This Row],[Aft Nline next]]),0))</f>
        <v>#N/A</v>
      </c>
      <c r="AC158" s="889" t="e">
        <f>IF(ISNA(Tbl_Long_Hydro[[#This Row],[Draught]]),NA(),INDEX(Tbl_Long_Definition[H k-bott],Tbl_Long_Hydro[[#This Row],[Aft Nline prev]]))</f>
        <v>#N/A</v>
      </c>
      <c r="AD158" s="889" t="e">
        <f>IF(ISNA(Tbl_Long_Hydro[[#This Row],[Draught]]),NA(),INDEX(Tbl_Long_Definition[H k-bott],Tbl_Long_Hydro[[#This Row],[Aft Nline next]]))</f>
        <v>#N/A</v>
      </c>
      <c r="AE158" s="888" t="e">
        <f>IF(ISNA(Tbl_Long_Hydro[[#This Row],[Draught]]),NA(),IFERROR(INDEX(Tbl_Long_Definition[X],Tbl_Long_Hydro[[#This Row],[Fore Nline prev]]),0))</f>
        <v>#N/A</v>
      </c>
      <c r="AF158" s="889" t="e">
        <f>IF(ISNA(Tbl_Long_Hydro[[#This Row],[Draught]]),NA(),IFERROR(INDEX(Tbl_Long_Definition[X],Tbl_Long_Hydro[[#This Row],[Fore Nline next]]),0))</f>
        <v>#N/A</v>
      </c>
      <c r="AG158" s="889" t="e">
        <f>IF(ISNA(Tbl_Long_Hydro[[#This Row],[Draught]]),NA(),INDEX(Tbl_Long_Definition[H k-bott],Tbl_Long_Hydro[[#This Row],[Fore Nline prev]]))</f>
        <v>#N/A</v>
      </c>
      <c r="AH158" s="890" t="e">
        <f>IF(ISNA(Tbl_Long_Hydro[[#This Row],[Draught]]),NA(),INDEX(Tbl_Long_Definition[H k-bott],Tbl_Long_Hydro[[#This Row],[Fore Nline next]]))</f>
        <v>#N/A</v>
      </c>
      <c r="AI158"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58"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58" s="894" t="e">
        <f>Tbl_Long_Hydro[[#This Row],[Fore X]]-Tbl_Long_Hydro[[#This Row],[Aft X]]</f>
        <v>#N/A</v>
      </c>
      <c r="AL158" s="884" t="e">
        <f>Tbl_Long_Hydro[[#This Row],[LX]]*B</f>
        <v>#N/A</v>
      </c>
      <c r="AM158" s="892" t="e">
        <f>IF(ISNUMBER(AM157),(AK157+Tbl_Long_Hydro[[#This Row],[LX]])*(Tbl_Long_Hydro[[#This Row],[Draught]]-V157)/2*B,(Tbl_Long_Hydro[[#This Row],[LX]])*Tbl_Long_Hydro[[#This Row],[Draught]]*B)</f>
        <v>#N/A</v>
      </c>
      <c r="AN158" s="899" t="e">
        <f>Tbl_Long_Hydro[[#This Row],[Aft X]]+Tbl_Long_Hydro[[#This Row],[LX]]/2</f>
        <v>#N/A</v>
      </c>
      <c r="AO158" s="876" t="e">
        <f>IF(ISNUMBER(AO157),(2*Tbl_Long_Hydro[[#This Row],[LX]]+AK157)/(Tbl_Long_Hydro[[#This Row],[LX]]+AK157)*(Tbl_Long_Hydro[[#This Row],[Draught]]-V157)/3+V157,Tbl_Long_Hydro[[#This Row],[Draught]]/2)</f>
        <v>#N/A</v>
      </c>
      <c r="AP158" s="898" t="e">
        <f>IF(ISNUMBER(AP157),Tbl_Long_Hydro[[#This Row],[Volume elt]]+AP157,Tbl_Long_Hydro[[#This Row],[Volume elt]]*AO$4)</f>
        <v>#N/A</v>
      </c>
      <c r="AQ158" s="893" t="e">
        <f>IF(ISNUMBER(AQ157),Tbl_Long_Hydro[[#This Row],[Displacement]]*AQ$4,IF(ISNA(AQ157),NA(),0))</f>
        <v>#N/A</v>
      </c>
      <c r="AR158" s="900" t="e">
        <f>IF(ISNA(Tbl_Long_Hydro[[#This Row],[Draught]]),NA(),IFERROR(Tbl_Long_Hydro[[#This Row],[LX]]*B^3/12/Tbl_Long_Hydro[[#This Row],[Displacement]],0))</f>
        <v>#N/A</v>
      </c>
      <c r="AS158" s="903" t="e">
        <f>IF(ISNA(Tbl_Long_Hydro[[#This Row],[Draught]]),NA(),IFERROR((B*Tbl_Long_Hydro[[#This Row],[LX]]^3/12+(Tbl_Long_Hydro[[#This Row],[LCF]]-Tbl_Long_Hydro[[#This Row],[LCB]])*Tbl_Long_Hydro[[#This Row],[Waterplane area]]*Tbl_Long_Hydro[[#This Row],[LCF]]^2)/Tbl_Long_Hydro[[#This Row],[Displacement]],0))</f>
        <v>#N/A</v>
      </c>
      <c r="AT158" s="900" t="e">
        <f>Tbl_Long_Hydro[[#This Row],[Aft X]]+Tbl_Long_Hydro[[#This Row],[LX]]/2</f>
        <v>#N/A</v>
      </c>
      <c r="AU158" s="901" t="e">
        <f>IF(ISNUMBER(AU157),(AU157*AP157+Tbl_Long_Hydro[[#This Row],[X CoG elt]]*Tbl_Long_Hydro[[#This Row],[Volume elt]])/Tbl_Long_Hydro[[#This Row],[Displacement]],Tbl_Long_Hydro[[#This Row],[X CoG elt]])</f>
        <v>#N/A</v>
      </c>
      <c r="AV158" s="902" t="e">
        <f>IF(ISNA(Tbl_Long_Hydro[[#This Row],[Draught]]),NA(),0)</f>
        <v>#N/A</v>
      </c>
      <c r="AW158" s="876" t="e">
        <f>IF(ISNUMBER(AW157),(AW157*AP157+Tbl_Long_Hydro[[#This Row],[Z CoG elt]]*Tbl_Long_Hydro[[#This Row],[Volume elt]])/Tbl_Long_Hydro[[#This Row],[Displacement]],Tbl_Long_Hydro[[#This Row],[Z CoG elt]])</f>
        <v>#N/A</v>
      </c>
      <c r="AX158" s="899" t="e">
        <f>Tbl_Long_Hydro[[#This Row],[RMT]]+Tbl_Long_Hydro[[#This Row],[VCB]]</f>
        <v>#N/A</v>
      </c>
      <c r="AY158" s="904" t="e">
        <f>Tbl_Long_Hydro[[#This Row],[Displacement]]*Tbl_Long_Hydro[[#This Row],[RML]]/(100*Lpp)</f>
        <v>#N/A</v>
      </c>
      <c r="AZ158" s="956" t="e">
        <f>Tbl_Long_Hydro[[#This Row],[Draught]]</f>
        <v>#N/A</v>
      </c>
      <c r="BA158" s="959" t="e">
        <f>Tbl_Long_Hydro[[#This Row],[Displacement]]</f>
        <v>#N/A</v>
      </c>
      <c r="BB158" s="960" t="e">
        <f>Tbl_Long_Hydro[[#This Row],[Displac. SW]]</f>
        <v>#N/A</v>
      </c>
      <c r="BC158" s="964" t="e">
        <f>Tbl_Long_Hydro[[#This Row],[Waterplane area]]/100*$AQ$4</f>
        <v>#N/A</v>
      </c>
      <c r="BD158" s="961" t="e">
        <f>Tbl_Long_Hydro[[#This Row],[MCT]]</f>
        <v>#N/A</v>
      </c>
      <c r="BE158" s="962" t="e">
        <f>Tbl_Long_Hydro[[#This Row],[LCB]]</f>
        <v>#N/A</v>
      </c>
      <c r="BF158" s="962" t="e">
        <f>Tbl_Long_Hydro[[#This Row],[TCB]]</f>
        <v>#N/A</v>
      </c>
      <c r="BG158" s="962" t="e">
        <f>Tbl_Long_Hydro[[#This Row],[LCF]]</f>
        <v>#N/A</v>
      </c>
      <c r="BH158" s="963" t="e">
        <f>Tbl_Long_Hydro[[#This Row],[KMT]]</f>
        <v>#N/A</v>
      </c>
    </row>
    <row r="159" spans="11:60" x14ac:dyDescent="0.25">
      <c r="K159" s="156" t="e">
        <f t="shared" si="9"/>
        <v>#N/A</v>
      </c>
      <c r="L159" s="164" t="e">
        <f t="shared" si="10"/>
        <v>#N/A</v>
      </c>
      <c r="M159" s="262" t="e">
        <f>MATCH(Tbl_Long_Section[[#This Row],[X]],Tbl_Long_Definition[X],1)</f>
        <v>#N/A</v>
      </c>
      <c r="N159" s="262" t="e">
        <f>IF(Tbl_Long_Section[[#This Row],[Nline Prev]]&lt;COUNT(Tbl_Long_Definition[X]),Tbl_Long_Section[[#This Row],[Nline Prev]]+1,Tbl_Long_Section[[#This Row],[Nline Prev]])</f>
        <v>#N/A</v>
      </c>
      <c r="O159" s="162" t="e">
        <f>INDEX(Tbl_Long_Definition[X],Tbl_Long_Section[[#This Row],[Nline Prev]])</f>
        <v>#N/A</v>
      </c>
      <c r="P159" s="263" t="e">
        <f>INDEX(Tbl_Long_Definition[X],Tbl_Long_Section[[#This Row],[Nline Next]])</f>
        <v>#N/A</v>
      </c>
      <c r="Q159" s="160" t="e">
        <f>INDEX(Tbl_Long_Definition[H Deck-Bott.],Tbl_Long_Section[[#This Row],[Nline Prev]])</f>
        <v>#N/A</v>
      </c>
      <c r="R159" s="161" t="e">
        <f>INDEX(Tbl_Long_Definition[H Deck-Bott.],Tbl_Long_Section[[#This Row],[Nline Next]])</f>
        <v>#N/A</v>
      </c>
      <c r="S159"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59" s="8"/>
      <c r="V159" s="873" t="e">
        <f t="shared" si="11"/>
        <v>#N/A</v>
      </c>
      <c r="W159" s="885" t="e">
        <f>MATCH(Tbl_Long_Hydro[[#This Row],[Draught]],Tbl_Long_Definition[H k-bott],-1)</f>
        <v>#N/A</v>
      </c>
      <c r="X159"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59" s="886" t="e">
        <f>MATCH(Tbl_Long_Hydro[[#This Row],[Draught]],Tbl_Long_Definition[H k-bott],1)</f>
        <v>#N/A</v>
      </c>
      <c r="Z159"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59" s="888" t="e">
        <f>IF(ISNA(Tbl_Long_Hydro[[#This Row],[Draught]]),NA(),IFERROR(INDEX(Tbl_Long_Definition[X],Tbl_Long_Hydro[[#This Row],[Aft Nline prev]]),0))</f>
        <v>#N/A</v>
      </c>
      <c r="AB159" s="889" t="e">
        <f>IF(ISNA(Tbl_Long_Hydro[[#This Row],[Draught]]),NA(),IFERROR(INDEX(Tbl_Long_Definition[X],Tbl_Long_Hydro[[#This Row],[Aft Nline next]]),0))</f>
        <v>#N/A</v>
      </c>
      <c r="AC159" s="889" t="e">
        <f>IF(ISNA(Tbl_Long_Hydro[[#This Row],[Draught]]),NA(),INDEX(Tbl_Long_Definition[H k-bott],Tbl_Long_Hydro[[#This Row],[Aft Nline prev]]))</f>
        <v>#N/A</v>
      </c>
      <c r="AD159" s="889" t="e">
        <f>IF(ISNA(Tbl_Long_Hydro[[#This Row],[Draught]]),NA(),INDEX(Tbl_Long_Definition[H k-bott],Tbl_Long_Hydro[[#This Row],[Aft Nline next]]))</f>
        <v>#N/A</v>
      </c>
      <c r="AE159" s="888" t="e">
        <f>IF(ISNA(Tbl_Long_Hydro[[#This Row],[Draught]]),NA(),IFERROR(INDEX(Tbl_Long_Definition[X],Tbl_Long_Hydro[[#This Row],[Fore Nline prev]]),0))</f>
        <v>#N/A</v>
      </c>
      <c r="AF159" s="889" t="e">
        <f>IF(ISNA(Tbl_Long_Hydro[[#This Row],[Draught]]),NA(),IFERROR(INDEX(Tbl_Long_Definition[X],Tbl_Long_Hydro[[#This Row],[Fore Nline next]]),0))</f>
        <v>#N/A</v>
      </c>
      <c r="AG159" s="889" t="e">
        <f>IF(ISNA(Tbl_Long_Hydro[[#This Row],[Draught]]),NA(),INDEX(Tbl_Long_Definition[H k-bott],Tbl_Long_Hydro[[#This Row],[Fore Nline prev]]))</f>
        <v>#N/A</v>
      </c>
      <c r="AH159" s="890" t="e">
        <f>IF(ISNA(Tbl_Long_Hydro[[#This Row],[Draught]]),NA(),INDEX(Tbl_Long_Definition[H k-bott],Tbl_Long_Hydro[[#This Row],[Fore Nline next]]))</f>
        <v>#N/A</v>
      </c>
      <c r="AI159"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59"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59" s="894" t="e">
        <f>Tbl_Long_Hydro[[#This Row],[Fore X]]-Tbl_Long_Hydro[[#This Row],[Aft X]]</f>
        <v>#N/A</v>
      </c>
      <c r="AL159" s="884" t="e">
        <f>Tbl_Long_Hydro[[#This Row],[LX]]*B</f>
        <v>#N/A</v>
      </c>
      <c r="AM159" s="892" t="e">
        <f>IF(ISNUMBER(AM158),(AK158+Tbl_Long_Hydro[[#This Row],[LX]])*(Tbl_Long_Hydro[[#This Row],[Draught]]-V158)/2*B,(Tbl_Long_Hydro[[#This Row],[LX]])*Tbl_Long_Hydro[[#This Row],[Draught]]*B)</f>
        <v>#N/A</v>
      </c>
      <c r="AN159" s="899" t="e">
        <f>Tbl_Long_Hydro[[#This Row],[Aft X]]+Tbl_Long_Hydro[[#This Row],[LX]]/2</f>
        <v>#N/A</v>
      </c>
      <c r="AO159" s="876" t="e">
        <f>IF(ISNUMBER(AO158),(2*Tbl_Long_Hydro[[#This Row],[LX]]+AK158)/(Tbl_Long_Hydro[[#This Row],[LX]]+AK158)*(Tbl_Long_Hydro[[#This Row],[Draught]]-V158)/3+V158,Tbl_Long_Hydro[[#This Row],[Draught]]/2)</f>
        <v>#N/A</v>
      </c>
      <c r="AP159" s="898" t="e">
        <f>IF(ISNUMBER(AP158),Tbl_Long_Hydro[[#This Row],[Volume elt]]+AP158,Tbl_Long_Hydro[[#This Row],[Volume elt]]*AO$4)</f>
        <v>#N/A</v>
      </c>
      <c r="AQ159" s="893" t="e">
        <f>IF(ISNUMBER(AQ158),Tbl_Long_Hydro[[#This Row],[Displacement]]*AQ$4,IF(ISNA(AQ158),NA(),0))</f>
        <v>#N/A</v>
      </c>
      <c r="AR159" s="900" t="e">
        <f>IF(ISNA(Tbl_Long_Hydro[[#This Row],[Draught]]),NA(),IFERROR(Tbl_Long_Hydro[[#This Row],[LX]]*B^3/12/Tbl_Long_Hydro[[#This Row],[Displacement]],0))</f>
        <v>#N/A</v>
      </c>
      <c r="AS159" s="903" t="e">
        <f>IF(ISNA(Tbl_Long_Hydro[[#This Row],[Draught]]),NA(),IFERROR((B*Tbl_Long_Hydro[[#This Row],[LX]]^3/12+(Tbl_Long_Hydro[[#This Row],[LCF]]-Tbl_Long_Hydro[[#This Row],[LCB]])*Tbl_Long_Hydro[[#This Row],[Waterplane area]]*Tbl_Long_Hydro[[#This Row],[LCF]]^2)/Tbl_Long_Hydro[[#This Row],[Displacement]],0))</f>
        <v>#N/A</v>
      </c>
      <c r="AT159" s="900" t="e">
        <f>Tbl_Long_Hydro[[#This Row],[Aft X]]+Tbl_Long_Hydro[[#This Row],[LX]]/2</f>
        <v>#N/A</v>
      </c>
      <c r="AU159" s="901" t="e">
        <f>IF(ISNUMBER(AU158),(AU158*AP158+Tbl_Long_Hydro[[#This Row],[X CoG elt]]*Tbl_Long_Hydro[[#This Row],[Volume elt]])/Tbl_Long_Hydro[[#This Row],[Displacement]],Tbl_Long_Hydro[[#This Row],[X CoG elt]])</f>
        <v>#N/A</v>
      </c>
      <c r="AV159" s="902" t="e">
        <f>IF(ISNA(Tbl_Long_Hydro[[#This Row],[Draught]]),NA(),0)</f>
        <v>#N/A</v>
      </c>
      <c r="AW159" s="876" t="e">
        <f>IF(ISNUMBER(AW158),(AW158*AP158+Tbl_Long_Hydro[[#This Row],[Z CoG elt]]*Tbl_Long_Hydro[[#This Row],[Volume elt]])/Tbl_Long_Hydro[[#This Row],[Displacement]],Tbl_Long_Hydro[[#This Row],[Z CoG elt]])</f>
        <v>#N/A</v>
      </c>
      <c r="AX159" s="899" t="e">
        <f>Tbl_Long_Hydro[[#This Row],[RMT]]+Tbl_Long_Hydro[[#This Row],[VCB]]</f>
        <v>#N/A</v>
      </c>
      <c r="AY159" s="904" t="e">
        <f>Tbl_Long_Hydro[[#This Row],[Displacement]]*Tbl_Long_Hydro[[#This Row],[RML]]/(100*Lpp)</f>
        <v>#N/A</v>
      </c>
      <c r="AZ159" s="956" t="e">
        <f>Tbl_Long_Hydro[[#This Row],[Draught]]</f>
        <v>#N/A</v>
      </c>
      <c r="BA159" s="959" t="e">
        <f>Tbl_Long_Hydro[[#This Row],[Displacement]]</f>
        <v>#N/A</v>
      </c>
      <c r="BB159" s="960" t="e">
        <f>Tbl_Long_Hydro[[#This Row],[Displac. SW]]</f>
        <v>#N/A</v>
      </c>
      <c r="BC159" s="964" t="e">
        <f>Tbl_Long_Hydro[[#This Row],[Waterplane area]]/100*$AQ$4</f>
        <v>#N/A</v>
      </c>
      <c r="BD159" s="961" t="e">
        <f>Tbl_Long_Hydro[[#This Row],[MCT]]</f>
        <v>#N/A</v>
      </c>
      <c r="BE159" s="962" t="e">
        <f>Tbl_Long_Hydro[[#This Row],[LCB]]</f>
        <v>#N/A</v>
      </c>
      <c r="BF159" s="962" t="e">
        <f>Tbl_Long_Hydro[[#This Row],[TCB]]</f>
        <v>#N/A</v>
      </c>
      <c r="BG159" s="962" t="e">
        <f>Tbl_Long_Hydro[[#This Row],[LCF]]</f>
        <v>#N/A</v>
      </c>
      <c r="BH159" s="963" t="e">
        <f>Tbl_Long_Hydro[[#This Row],[KMT]]</f>
        <v>#N/A</v>
      </c>
    </row>
    <row r="160" spans="11:60" x14ac:dyDescent="0.25">
      <c r="K160" s="156" t="e">
        <f t="shared" si="9"/>
        <v>#N/A</v>
      </c>
      <c r="L160" s="164" t="e">
        <f t="shared" si="10"/>
        <v>#N/A</v>
      </c>
      <c r="M160" s="262" t="e">
        <f>MATCH(Tbl_Long_Section[[#This Row],[X]],Tbl_Long_Definition[X],1)</f>
        <v>#N/A</v>
      </c>
      <c r="N160" s="262" t="e">
        <f>IF(Tbl_Long_Section[[#This Row],[Nline Prev]]&lt;COUNT(Tbl_Long_Definition[X]),Tbl_Long_Section[[#This Row],[Nline Prev]]+1,Tbl_Long_Section[[#This Row],[Nline Prev]])</f>
        <v>#N/A</v>
      </c>
      <c r="O160" s="162" t="e">
        <f>INDEX(Tbl_Long_Definition[X],Tbl_Long_Section[[#This Row],[Nline Prev]])</f>
        <v>#N/A</v>
      </c>
      <c r="P160" s="263" t="e">
        <f>INDEX(Tbl_Long_Definition[X],Tbl_Long_Section[[#This Row],[Nline Next]])</f>
        <v>#N/A</v>
      </c>
      <c r="Q160" s="160" t="e">
        <f>INDEX(Tbl_Long_Definition[H Deck-Bott.],Tbl_Long_Section[[#This Row],[Nline Prev]])</f>
        <v>#N/A</v>
      </c>
      <c r="R160" s="161" t="e">
        <f>INDEX(Tbl_Long_Definition[H Deck-Bott.],Tbl_Long_Section[[#This Row],[Nline Next]])</f>
        <v>#N/A</v>
      </c>
      <c r="S160"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60" s="8"/>
      <c r="V160" s="873" t="e">
        <f t="shared" si="11"/>
        <v>#N/A</v>
      </c>
      <c r="W160" s="885" t="e">
        <f>MATCH(Tbl_Long_Hydro[[#This Row],[Draught]],Tbl_Long_Definition[H k-bott],-1)</f>
        <v>#N/A</v>
      </c>
      <c r="X160"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60" s="886" t="e">
        <f>MATCH(Tbl_Long_Hydro[[#This Row],[Draught]],Tbl_Long_Definition[H k-bott],1)</f>
        <v>#N/A</v>
      </c>
      <c r="Z160"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60" s="888" t="e">
        <f>IF(ISNA(Tbl_Long_Hydro[[#This Row],[Draught]]),NA(),IFERROR(INDEX(Tbl_Long_Definition[X],Tbl_Long_Hydro[[#This Row],[Aft Nline prev]]),0))</f>
        <v>#N/A</v>
      </c>
      <c r="AB160" s="889" t="e">
        <f>IF(ISNA(Tbl_Long_Hydro[[#This Row],[Draught]]),NA(),IFERROR(INDEX(Tbl_Long_Definition[X],Tbl_Long_Hydro[[#This Row],[Aft Nline next]]),0))</f>
        <v>#N/A</v>
      </c>
      <c r="AC160" s="889" t="e">
        <f>IF(ISNA(Tbl_Long_Hydro[[#This Row],[Draught]]),NA(),INDEX(Tbl_Long_Definition[H k-bott],Tbl_Long_Hydro[[#This Row],[Aft Nline prev]]))</f>
        <v>#N/A</v>
      </c>
      <c r="AD160" s="889" t="e">
        <f>IF(ISNA(Tbl_Long_Hydro[[#This Row],[Draught]]),NA(),INDEX(Tbl_Long_Definition[H k-bott],Tbl_Long_Hydro[[#This Row],[Aft Nline next]]))</f>
        <v>#N/A</v>
      </c>
      <c r="AE160" s="888" t="e">
        <f>IF(ISNA(Tbl_Long_Hydro[[#This Row],[Draught]]),NA(),IFERROR(INDEX(Tbl_Long_Definition[X],Tbl_Long_Hydro[[#This Row],[Fore Nline prev]]),0))</f>
        <v>#N/A</v>
      </c>
      <c r="AF160" s="889" t="e">
        <f>IF(ISNA(Tbl_Long_Hydro[[#This Row],[Draught]]),NA(),IFERROR(INDEX(Tbl_Long_Definition[X],Tbl_Long_Hydro[[#This Row],[Fore Nline next]]),0))</f>
        <v>#N/A</v>
      </c>
      <c r="AG160" s="889" t="e">
        <f>IF(ISNA(Tbl_Long_Hydro[[#This Row],[Draught]]),NA(),INDEX(Tbl_Long_Definition[H k-bott],Tbl_Long_Hydro[[#This Row],[Fore Nline prev]]))</f>
        <v>#N/A</v>
      </c>
      <c r="AH160" s="890" t="e">
        <f>IF(ISNA(Tbl_Long_Hydro[[#This Row],[Draught]]),NA(),INDEX(Tbl_Long_Definition[H k-bott],Tbl_Long_Hydro[[#This Row],[Fore Nline next]]))</f>
        <v>#N/A</v>
      </c>
      <c r="AI160"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60"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60" s="894" t="e">
        <f>Tbl_Long_Hydro[[#This Row],[Fore X]]-Tbl_Long_Hydro[[#This Row],[Aft X]]</f>
        <v>#N/A</v>
      </c>
      <c r="AL160" s="884" t="e">
        <f>Tbl_Long_Hydro[[#This Row],[LX]]*B</f>
        <v>#N/A</v>
      </c>
      <c r="AM160" s="892" t="e">
        <f>IF(ISNUMBER(AM159),(AK159+Tbl_Long_Hydro[[#This Row],[LX]])*(Tbl_Long_Hydro[[#This Row],[Draught]]-V159)/2*B,(Tbl_Long_Hydro[[#This Row],[LX]])*Tbl_Long_Hydro[[#This Row],[Draught]]*B)</f>
        <v>#N/A</v>
      </c>
      <c r="AN160" s="899" t="e">
        <f>Tbl_Long_Hydro[[#This Row],[Aft X]]+Tbl_Long_Hydro[[#This Row],[LX]]/2</f>
        <v>#N/A</v>
      </c>
      <c r="AO160" s="876" t="e">
        <f>IF(ISNUMBER(AO159),(2*Tbl_Long_Hydro[[#This Row],[LX]]+AK159)/(Tbl_Long_Hydro[[#This Row],[LX]]+AK159)*(Tbl_Long_Hydro[[#This Row],[Draught]]-V159)/3+V159,Tbl_Long_Hydro[[#This Row],[Draught]]/2)</f>
        <v>#N/A</v>
      </c>
      <c r="AP160" s="898" t="e">
        <f>IF(ISNUMBER(AP159),Tbl_Long_Hydro[[#This Row],[Volume elt]]+AP159,Tbl_Long_Hydro[[#This Row],[Volume elt]]*AO$4)</f>
        <v>#N/A</v>
      </c>
      <c r="AQ160" s="893" t="e">
        <f>IF(ISNUMBER(AQ159),Tbl_Long_Hydro[[#This Row],[Displacement]]*AQ$4,IF(ISNA(AQ159),NA(),0))</f>
        <v>#N/A</v>
      </c>
      <c r="AR160" s="900" t="e">
        <f>IF(ISNA(Tbl_Long_Hydro[[#This Row],[Draught]]),NA(),IFERROR(Tbl_Long_Hydro[[#This Row],[LX]]*B^3/12/Tbl_Long_Hydro[[#This Row],[Displacement]],0))</f>
        <v>#N/A</v>
      </c>
      <c r="AS160" s="903" t="e">
        <f>IF(ISNA(Tbl_Long_Hydro[[#This Row],[Draught]]),NA(),IFERROR((B*Tbl_Long_Hydro[[#This Row],[LX]]^3/12+(Tbl_Long_Hydro[[#This Row],[LCF]]-Tbl_Long_Hydro[[#This Row],[LCB]])*Tbl_Long_Hydro[[#This Row],[Waterplane area]]*Tbl_Long_Hydro[[#This Row],[LCF]]^2)/Tbl_Long_Hydro[[#This Row],[Displacement]],0))</f>
        <v>#N/A</v>
      </c>
      <c r="AT160" s="900" t="e">
        <f>Tbl_Long_Hydro[[#This Row],[Aft X]]+Tbl_Long_Hydro[[#This Row],[LX]]/2</f>
        <v>#N/A</v>
      </c>
      <c r="AU160" s="901" t="e">
        <f>IF(ISNUMBER(AU159),(AU159*AP159+Tbl_Long_Hydro[[#This Row],[X CoG elt]]*Tbl_Long_Hydro[[#This Row],[Volume elt]])/Tbl_Long_Hydro[[#This Row],[Displacement]],Tbl_Long_Hydro[[#This Row],[X CoG elt]])</f>
        <v>#N/A</v>
      </c>
      <c r="AV160" s="902" t="e">
        <f>IF(ISNA(Tbl_Long_Hydro[[#This Row],[Draught]]),NA(),0)</f>
        <v>#N/A</v>
      </c>
      <c r="AW160" s="876" t="e">
        <f>IF(ISNUMBER(AW159),(AW159*AP159+Tbl_Long_Hydro[[#This Row],[Z CoG elt]]*Tbl_Long_Hydro[[#This Row],[Volume elt]])/Tbl_Long_Hydro[[#This Row],[Displacement]],Tbl_Long_Hydro[[#This Row],[Z CoG elt]])</f>
        <v>#N/A</v>
      </c>
      <c r="AX160" s="899" t="e">
        <f>Tbl_Long_Hydro[[#This Row],[RMT]]+Tbl_Long_Hydro[[#This Row],[VCB]]</f>
        <v>#N/A</v>
      </c>
      <c r="AY160" s="904" t="e">
        <f>Tbl_Long_Hydro[[#This Row],[Displacement]]*Tbl_Long_Hydro[[#This Row],[RML]]/(100*Lpp)</f>
        <v>#N/A</v>
      </c>
      <c r="AZ160" s="956" t="e">
        <f>Tbl_Long_Hydro[[#This Row],[Draught]]</f>
        <v>#N/A</v>
      </c>
      <c r="BA160" s="959" t="e">
        <f>Tbl_Long_Hydro[[#This Row],[Displacement]]</f>
        <v>#N/A</v>
      </c>
      <c r="BB160" s="960" t="e">
        <f>Tbl_Long_Hydro[[#This Row],[Displac. SW]]</f>
        <v>#N/A</v>
      </c>
      <c r="BC160" s="964" t="e">
        <f>Tbl_Long_Hydro[[#This Row],[Waterplane area]]/100*$AQ$4</f>
        <v>#N/A</v>
      </c>
      <c r="BD160" s="961" t="e">
        <f>Tbl_Long_Hydro[[#This Row],[MCT]]</f>
        <v>#N/A</v>
      </c>
      <c r="BE160" s="962" t="e">
        <f>Tbl_Long_Hydro[[#This Row],[LCB]]</f>
        <v>#N/A</v>
      </c>
      <c r="BF160" s="962" t="e">
        <f>Tbl_Long_Hydro[[#This Row],[TCB]]</f>
        <v>#N/A</v>
      </c>
      <c r="BG160" s="962" t="e">
        <f>Tbl_Long_Hydro[[#This Row],[LCF]]</f>
        <v>#N/A</v>
      </c>
      <c r="BH160" s="963" t="e">
        <f>Tbl_Long_Hydro[[#This Row],[KMT]]</f>
        <v>#N/A</v>
      </c>
    </row>
    <row r="161" spans="11:60" x14ac:dyDescent="0.25">
      <c r="K161" s="156" t="e">
        <f t="shared" si="9"/>
        <v>#N/A</v>
      </c>
      <c r="L161" s="164" t="e">
        <f t="shared" si="10"/>
        <v>#N/A</v>
      </c>
      <c r="M161" s="262" t="e">
        <f>MATCH(Tbl_Long_Section[[#This Row],[X]],Tbl_Long_Definition[X],1)</f>
        <v>#N/A</v>
      </c>
      <c r="N161" s="262" t="e">
        <f>IF(Tbl_Long_Section[[#This Row],[Nline Prev]]&lt;COUNT(Tbl_Long_Definition[X]),Tbl_Long_Section[[#This Row],[Nline Prev]]+1,Tbl_Long_Section[[#This Row],[Nline Prev]])</f>
        <v>#N/A</v>
      </c>
      <c r="O161" s="162" t="e">
        <f>INDEX(Tbl_Long_Definition[X],Tbl_Long_Section[[#This Row],[Nline Prev]])</f>
        <v>#N/A</v>
      </c>
      <c r="P161" s="263" t="e">
        <f>INDEX(Tbl_Long_Definition[X],Tbl_Long_Section[[#This Row],[Nline Next]])</f>
        <v>#N/A</v>
      </c>
      <c r="Q161" s="160" t="e">
        <f>INDEX(Tbl_Long_Definition[H Deck-Bott.],Tbl_Long_Section[[#This Row],[Nline Prev]])</f>
        <v>#N/A</v>
      </c>
      <c r="R161" s="161" t="e">
        <f>INDEX(Tbl_Long_Definition[H Deck-Bott.],Tbl_Long_Section[[#This Row],[Nline Next]])</f>
        <v>#N/A</v>
      </c>
      <c r="S161"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61" s="8"/>
      <c r="V161" s="873" t="e">
        <f t="shared" si="11"/>
        <v>#N/A</v>
      </c>
      <c r="W161" s="885" t="e">
        <f>MATCH(Tbl_Long_Hydro[[#This Row],[Draught]],Tbl_Long_Definition[H k-bott],-1)</f>
        <v>#N/A</v>
      </c>
      <c r="X161"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61" s="886" t="e">
        <f>MATCH(Tbl_Long_Hydro[[#This Row],[Draught]],Tbl_Long_Definition[H k-bott],1)</f>
        <v>#N/A</v>
      </c>
      <c r="Z161"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61" s="888" t="e">
        <f>IF(ISNA(Tbl_Long_Hydro[[#This Row],[Draught]]),NA(),IFERROR(INDEX(Tbl_Long_Definition[X],Tbl_Long_Hydro[[#This Row],[Aft Nline prev]]),0))</f>
        <v>#N/A</v>
      </c>
      <c r="AB161" s="889" t="e">
        <f>IF(ISNA(Tbl_Long_Hydro[[#This Row],[Draught]]),NA(),IFERROR(INDEX(Tbl_Long_Definition[X],Tbl_Long_Hydro[[#This Row],[Aft Nline next]]),0))</f>
        <v>#N/A</v>
      </c>
      <c r="AC161" s="889" t="e">
        <f>IF(ISNA(Tbl_Long_Hydro[[#This Row],[Draught]]),NA(),INDEX(Tbl_Long_Definition[H k-bott],Tbl_Long_Hydro[[#This Row],[Aft Nline prev]]))</f>
        <v>#N/A</v>
      </c>
      <c r="AD161" s="889" t="e">
        <f>IF(ISNA(Tbl_Long_Hydro[[#This Row],[Draught]]),NA(),INDEX(Tbl_Long_Definition[H k-bott],Tbl_Long_Hydro[[#This Row],[Aft Nline next]]))</f>
        <v>#N/A</v>
      </c>
      <c r="AE161" s="888" t="e">
        <f>IF(ISNA(Tbl_Long_Hydro[[#This Row],[Draught]]),NA(),IFERROR(INDEX(Tbl_Long_Definition[X],Tbl_Long_Hydro[[#This Row],[Fore Nline prev]]),0))</f>
        <v>#N/A</v>
      </c>
      <c r="AF161" s="889" t="e">
        <f>IF(ISNA(Tbl_Long_Hydro[[#This Row],[Draught]]),NA(),IFERROR(INDEX(Tbl_Long_Definition[X],Tbl_Long_Hydro[[#This Row],[Fore Nline next]]),0))</f>
        <v>#N/A</v>
      </c>
      <c r="AG161" s="889" t="e">
        <f>IF(ISNA(Tbl_Long_Hydro[[#This Row],[Draught]]),NA(),INDEX(Tbl_Long_Definition[H k-bott],Tbl_Long_Hydro[[#This Row],[Fore Nline prev]]))</f>
        <v>#N/A</v>
      </c>
      <c r="AH161" s="890" t="e">
        <f>IF(ISNA(Tbl_Long_Hydro[[#This Row],[Draught]]),NA(),INDEX(Tbl_Long_Definition[H k-bott],Tbl_Long_Hydro[[#This Row],[Fore Nline next]]))</f>
        <v>#N/A</v>
      </c>
      <c r="AI161"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61"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61" s="894" t="e">
        <f>Tbl_Long_Hydro[[#This Row],[Fore X]]-Tbl_Long_Hydro[[#This Row],[Aft X]]</f>
        <v>#N/A</v>
      </c>
      <c r="AL161" s="884" t="e">
        <f>Tbl_Long_Hydro[[#This Row],[LX]]*B</f>
        <v>#N/A</v>
      </c>
      <c r="AM161" s="892" t="e">
        <f>IF(ISNUMBER(AM160),(AK160+Tbl_Long_Hydro[[#This Row],[LX]])*(Tbl_Long_Hydro[[#This Row],[Draught]]-V160)/2*B,(Tbl_Long_Hydro[[#This Row],[LX]])*Tbl_Long_Hydro[[#This Row],[Draught]]*B)</f>
        <v>#N/A</v>
      </c>
      <c r="AN161" s="899" t="e">
        <f>Tbl_Long_Hydro[[#This Row],[Aft X]]+Tbl_Long_Hydro[[#This Row],[LX]]/2</f>
        <v>#N/A</v>
      </c>
      <c r="AO161" s="876" t="e">
        <f>IF(ISNUMBER(AO160),(2*Tbl_Long_Hydro[[#This Row],[LX]]+AK160)/(Tbl_Long_Hydro[[#This Row],[LX]]+AK160)*(Tbl_Long_Hydro[[#This Row],[Draught]]-V160)/3+V160,Tbl_Long_Hydro[[#This Row],[Draught]]/2)</f>
        <v>#N/A</v>
      </c>
      <c r="AP161" s="898" t="e">
        <f>IF(ISNUMBER(AP160),Tbl_Long_Hydro[[#This Row],[Volume elt]]+AP160,Tbl_Long_Hydro[[#This Row],[Volume elt]]*AO$4)</f>
        <v>#N/A</v>
      </c>
      <c r="AQ161" s="893" t="e">
        <f>IF(ISNUMBER(AQ160),Tbl_Long_Hydro[[#This Row],[Displacement]]*AQ$4,IF(ISNA(AQ160),NA(),0))</f>
        <v>#N/A</v>
      </c>
      <c r="AR161" s="900" t="e">
        <f>IF(ISNA(Tbl_Long_Hydro[[#This Row],[Draught]]),NA(),IFERROR(Tbl_Long_Hydro[[#This Row],[LX]]*B^3/12/Tbl_Long_Hydro[[#This Row],[Displacement]],0))</f>
        <v>#N/A</v>
      </c>
      <c r="AS161" s="903" t="e">
        <f>IF(ISNA(Tbl_Long_Hydro[[#This Row],[Draught]]),NA(),IFERROR((B*Tbl_Long_Hydro[[#This Row],[LX]]^3/12+(Tbl_Long_Hydro[[#This Row],[LCF]]-Tbl_Long_Hydro[[#This Row],[LCB]])*Tbl_Long_Hydro[[#This Row],[Waterplane area]]*Tbl_Long_Hydro[[#This Row],[LCF]]^2)/Tbl_Long_Hydro[[#This Row],[Displacement]],0))</f>
        <v>#N/A</v>
      </c>
      <c r="AT161" s="900" t="e">
        <f>Tbl_Long_Hydro[[#This Row],[Aft X]]+Tbl_Long_Hydro[[#This Row],[LX]]/2</f>
        <v>#N/A</v>
      </c>
      <c r="AU161" s="901" t="e">
        <f>IF(ISNUMBER(AU160),(AU160*AP160+Tbl_Long_Hydro[[#This Row],[X CoG elt]]*Tbl_Long_Hydro[[#This Row],[Volume elt]])/Tbl_Long_Hydro[[#This Row],[Displacement]],Tbl_Long_Hydro[[#This Row],[X CoG elt]])</f>
        <v>#N/A</v>
      </c>
      <c r="AV161" s="902" t="e">
        <f>IF(ISNA(Tbl_Long_Hydro[[#This Row],[Draught]]),NA(),0)</f>
        <v>#N/A</v>
      </c>
      <c r="AW161" s="876" t="e">
        <f>IF(ISNUMBER(AW160),(AW160*AP160+Tbl_Long_Hydro[[#This Row],[Z CoG elt]]*Tbl_Long_Hydro[[#This Row],[Volume elt]])/Tbl_Long_Hydro[[#This Row],[Displacement]],Tbl_Long_Hydro[[#This Row],[Z CoG elt]])</f>
        <v>#N/A</v>
      </c>
      <c r="AX161" s="899" t="e">
        <f>Tbl_Long_Hydro[[#This Row],[RMT]]+Tbl_Long_Hydro[[#This Row],[VCB]]</f>
        <v>#N/A</v>
      </c>
      <c r="AY161" s="904" t="e">
        <f>Tbl_Long_Hydro[[#This Row],[Displacement]]*Tbl_Long_Hydro[[#This Row],[RML]]/(100*Lpp)</f>
        <v>#N/A</v>
      </c>
      <c r="AZ161" s="956" t="e">
        <f>Tbl_Long_Hydro[[#This Row],[Draught]]</f>
        <v>#N/A</v>
      </c>
      <c r="BA161" s="959" t="e">
        <f>Tbl_Long_Hydro[[#This Row],[Displacement]]</f>
        <v>#N/A</v>
      </c>
      <c r="BB161" s="960" t="e">
        <f>Tbl_Long_Hydro[[#This Row],[Displac. SW]]</f>
        <v>#N/A</v>
      </c>
      <c r="BC161" s="964" t="e">
        <f>Tbl_Long_Hydro[[#This Row],[Waterplane area]]/100*$AQ$4</f>
        <v>#N/A</v>
      </c>
      <c r="BD161" s="961" t="e">
        <f>Tbl_Long_Hydro[[#This Row],[MCT]]</f>
        <v>#N/A</v>
      </c>
      <c r="BE161" s="962" t="e">
        <f>Tbl_Long_Hydro[[#This Row],[LCB]]</f>
        <v>#N/A</v>
      </c>
      <c r="BF161" s="962" t="e">
        <f>Tbl_Long_Hydro[[#This Row],[TCB]]</f>
        <v>#N/A</v>
      </c>
      <c r="BG161" s="962" t="e">
        <f>Tbl_Long_Hydro[[#This Row],[LCF]]</f>
        <v>#N/A</v>
      </c>
      <c r="BH161" s="963" t="e">
        <f>Tbl_Long_Hydro[[#This Row],[KMT]]</f>
        <v>#N/A</v>
      </c>
    </row>
    <row r="162" spans="11:60" x14ac:dyDescent="0.25">
      <c r="K162" s="156" t="e">
        <f t="shared" si="9"/>
        <v>#N/A</v>
      </c>
      <c r="L162" s="164" t="e">
        <f t="shared" si="10"/>
        <v>#N/A</v>
      </c>
      <c r="M162" s="262" t="e">
        <f>MATCH(Tbl_Long_Section[[#This Row],[X]],Tbl_Long_Definition[X],1)</f>
        <v>#N/A</v>
      </c>
      <c r="N162" s="262" t="e">
        <f>IF(Tbl_Long_Section[[#This Row],[Nline Prev]]&lt;COUNT(Tbl_Long_Definition[X]),Tbl_Long_Section[[#This Row],[Nline Prev]]+1,Tbl_Long_Section[[#This Row],[Nline Prev]])</f>
        <v>#N/A</v>
      </c>
      <c r="O162" s="162" t="e">
        <f>INDEX(Tbl_Long_Definition[X],Tbl_Long_Section[[#This Row],[Nline Prev]])</f>
        <v>#N/A</v>
      </c>
      <c r="P162" s="263" t="e">
        <f>INDEX(Tbl_Long_Definition[X],Tbl_Long_Section[[#This Row],[Nline Next]])</f>
        <v>#N/A</v>
      </c>
      <c r="Q162" s="160" t="e">
        <f>INDEX(Tbl_Long_Definition[H Deck-Bott.],Tbl_Long_Section[[#This Row],[Nline Prev]])</f>
        <v>#N/A</v>
      </c>
      <c r="R162" s="161" t="e">
        <f>INDEX(Tbl_Long_Definition[H Deck-Bott.],Tbl_Long_Section[[#This Row],[Nline Next]])</f>
        <v>#N/A</v>
      </c>
      <c r="S162"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62" s="8"/>
      <c r="V162" s="873" t="e">
        <f t="shared" si="11"/>
        <v>#N/A</v>
      </c>
      <c r="W162" s="885" t="e">
        <f>MATCH(Tbl_Long_Hydro[[#This Row],[Draught]],Tbl_Long_Definition[H k-bott],-1)</f>
        <v>#N/A</v>
      </c>
      <c r="X162"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62" s="886" t="e">
        <f>MATCH(Tbl_Long_Hydro[[#This Row],[Draught]],Tbl_Long_Definition[H k-bott],1)</f>
        <v>#N/A</v>
      </c>
      <c r="Z162"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62" s="888" t="e">
        <f>IF(ISNA(Tbl_Long_Hydro[[#This Row],[Draught]]),NA(),IFERROR(INDEX(Tbl_Long_Definition[X],Tbl_Long_Hydro[[#This Row],[Aft Nline prev]]),0))</f>
        <v>#N/A</v>
      </c>
      <c r="AB162" s="889" t="e">
        <f>IF(ISNA(Tbl_Long_Hydro[[#This Row],[Draught]]),NA(),IFERROR(INDEX(Tbl_Long_Definition[X],Tbl_Long_Hydro[[#This Row],[Aft Nline next]]),0))</f>
        <v>#N/A</v>
      </c>
      <c r="AC162" s="889" t="e">
        <f>IF(ISNA(Tbl_Long_Hydro[[#This Row],[Draught]]),NA(),INDEX(Tbl_Long_Definition[H k-bott],Tbl_Long_Hydro[[#This Row],[Aft Nline prev]]))</f>
        <v>#N/A</v>
      </c>
      <c r="AD162" s="889" t="e">
        <f>IF(ISNA(Tbl_Long_Hydro[[#This Row],[Draught]]),NA(),INDEX(Tbl_Long_Definition[H k-bott],Tbl_Long_Hydro[[#This Row],[Aft Nline next]]))</f>
        <v>#N/A</v>
      </c>
      <c r="AE162" s="888" t="e">
        <f>IF(ISNA(Tbl_Long_Hydro[[#This Row],[Draught]]),NA(),IFERROR(INDEX(Tbl_Long_Definition[X],Tbl_Long_Hydro[[#This Row],[Fore Nline prev]]),0))</f>
        <v>#N/A</v>
      </c>
      <c r="AF162" s="889" t="e">
        <f>IF(ISNA(Tbl_Long_Hydro[[#This Row],[Draught]]),NA(),IFERROR(INDEX(Tbl_Long_Definition[X],Tbl_Long_Hydro[[#This Row],[Fore Nline next]]),0))</f>
        <v>#N/A</v>
      </c>
      <c r="AG162" s="889" t="e">
        <f>IF(ISNA(Tbl_Long_Hydro[[#This Row],[Draught]]),NA(),INDEX(Tbl_Long_Definition[H k-bott],Tbl_Long_Hydro[[#This Row],[Fore Nline prev]]))</f>
        <v>#N/A</v>
      </c>
      <c r="AH162" s="890" t="e">
        <f>IF(ISNA(Tbl_Long_Hydro[[#This Row],[Draught]]),NA(),INDEX(Tbl_Long_Definition[H k-bott],Tbl_Long_Hydro[[#This Row],[Fore Nline next]]))</f>
        <v>#N/A</v>
      </c>
      <c r="AI162"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62"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62" s="894" t="e">
        <f>Tbl_Long_Hydro[[#This Row],[Fore X]]-Tbl_Long_Hydro[[#This Row],[Aft X]]</f>
        <v>#N/A</v>
      </c>
      <c r="AL162" s="884" t="e">
        <f>Tbl_Long_Hydro[[#This Row],[LX]]*B</f>
        <v>#N/A</v>
      </c>
      <c r="AM162" s="892" t="e">
        <f>IF(ISNUMBER(AM161),(AK161+Tbl_Long_Hydro[[#This Row],[LX]])*(Tbl_Long_Hydro[[#This Row],[Draught]]-V161)/2*B,(Tbl_Long_Hydro[[#This Row],[LX]])*Tbl_Long_Hydro[[#This Row],[Draught]]*B)</f>
        <v>#N/A</v>
      </c>
      <c r="AN162" s="899" t="e">
        <f>Tbl_Long_Hydro[[#This Row],[Aft X]]+Tbl_Long_Hydro[[#This Row],[LX]]/2</f>
        <v>#N/A</v>
      </c>
      <c r="AO162" s="876" t="e">
        <f>IF(ISNUMBER(AO161),(2*Tbl_Long_Hydro[[#This Row],[LX]]+AK161)/(Tbl_Long_Hydro[[#This Row],[LX]]+AK161)*(Tbl_Long_Hydro[[#This Row],[Draught]]-V161)/3+V161,Tbl_Long_Hydro[[#This Row],[Draught]]/2)</f>
        <v>#N/A</v>
      </c>
      <c r="AP162" s="898" t="e">
        <f>IF(ISNUMBER(AP161),Tbl_Long_Hydro[[#This Row],[Volume elt]]+AP161,Tbl_Long_Hydro[[#This Row],[Volume elt]]*AO$4)</f>
        <v>#N/A</v>
      </c>
      <c r="AQ162" s="893" t="e">
        <f>IF(ISNUMBER(AQ161),Tbl_Long_Hydro[[#This Row],[Displacement]]*AQ$4,IF(ISNA(AQ161),NA(),0))</f>
        <v>#N/A</v>
      </c>
      <c r="AR162" s="900" t="e">
        <f>IF(ISNA(Tbl_Long_Hydro[[#This Row],[Draught]]),NA(),IFERROR(Tbl_Long_Hydro[[#This Row],[LX]]*B^3/12/Tbl_Long_Hydro[[#This Row],[Displacement]],0))</f>
        <v>#N/A</v>
      </c>
      <c r="AS162" s="903" t="e">
        <f>IF(ISNA(Tbl_Long_Hydro[[#This Row],[Draught]]),NA(),IFERROR((B*Tbl_Long_Hydro[[#This Row],[LX]]^3/12+(Tbl_Long_Hydro[[#This Row],[LCF]]-Tbl_Long_Hydro[[#This Row],[LCB]])*Tbl_Long_Hydro[[#This Row],[Waterplane area]]*Tbl_Long_Hydro[[#This Row],[LCF]]^2)/Tbl_Long_Hydro[[#This Row],[Displacement]],0))</f>
        <v>#N/A</v>
      </c>
      <c r="AT162" s="900" t="e">
        <f>Tbl_Long_Hydro[[#This Row],[Aft X]]+Tbl_Long_Hydro[[#This Row],[LX]]/2</f>
        <v>#N/A</v>
      </c>
      <c r="AU162" s="901" t="e">
        <f>IF(ISNUMBER(AU161),(AU161*AP161+Tbl_Long_Hydro[[#This Row],[X CoG elt]]*Tbl_Long_Hydro[[#This Row],[Volume elt]])/Tbl_Long_Hydro[[#This Row],[Displacement]],Tbl_Long_Hydro[[#This Row],[X CoG elt]])</f>
        <v>#N/A</v>
      </c>
      <c r="AV162" s="902" t="e">
        <f>IF(ISNA(Tbl_Long_Hydro[[#This Row],[Draught]]),NA(),0)</f>
        <v>#N/A</v>
      </c>
      <c r="AW162" s="876" t="e">
        <f>IF(ISNUMBER(AW161),(AW161*AP161+Tbl_Long_Hydro[[#This Row],[Z CoG elt]]*Tbl_Long_Hydro[[#This Row],[Volume elt]])/Tbl_Long_Hydro[[#This Row],[Displacement]],Tbl_Long_Hydro[[#This Row],[Z CoG elt]])</f>
        <v>#N/A</v>
      </c>
      <c r="AX162" s="899" t="e">
        <f>Tbl_Long_Hydro[[#This Row],[RMT]]+Tbl_Long_Hydro[[#This Row],[VCB]]</f>
        <v>#N/A</v>
      </c>
      <c r="AY162" s="904" t="e">
        <f>Tbl_Long_Hydro[[#This Row],[Displacement]]*Tbl_Long_Hydro[[#This Row],[RML]]/(100*Lpp)</f>
        <v>#N/A</v>
      </c>
      <c r="AZ162" s="956" t="e">
        <f>Tbl_Long_Hydro[[#This Row],[Draught]]</f>
        <v>#N/A</v>
      </c>
      <c r="BA162" s="959" t="e">
        <f>Tbl_Long_Hydro[[#This Row],[Displacement]]</f>
        <v>#N/A</v>
      </c>
      <c r="BB162" s="960" t="e">
        <f>Tbl_Long_Hydro[[#This Row],[Displac. SW]]</f>
        <v>#N/A</v>
      </c>
      <c r="BC162" s="964" t="e">
        <f>Tbl_Long_Hydro[[#This Row],[Waterplane area]]/100*$AQ$4</f>
        <v>#N/A</v>
      </c>
      <c r="BD162" s="961" t="e">
        <f>Tbl_Long_Hydro[[#This Row],[MCT]]</f>
        <v>#N/A</v>
      </c>
      <c r="BE162" s="962" t="e">
        <f>Tbl_Long_Hydro[[#This Row],[LCB]]</f>
        <v>#N/A</v>
      </c>
      <c r="BF162" s="962" t="e">
        <f>Tbl_Long_Hydro[[#This Row],[TCB]]</f>
        <v>#N/A</v>
      </c>
      <c r="BG162" s="962" t="e">
        <f>Tbl_Long_Hydro[[#This Row],[LCF]]</f>
        <v>#N/A</v>
      </c>
      <c r="BH162" s="963" t="e">
        <f>Tbl_Long_Hydro[[#This Row],[KMT]]</f>
        <v>#N/A</v>
      </c>
    </row>
    <row r="163" spans="11:60" x14ac:dyDescent="0.25">
      <c r="K163" s="156" t="e">
        <f t="shared" si="9"/>
        <v>#N/A</v>
      </c>
      <c r="L163" s="164" t="e">
        <f t="shared" si="10"/>
        <v>#N/A</v>
      </c>
      <c r="M163" s="262" t="e">
        <f>MATCH(Tbl_Long_Section[[#This Row],[X]],Tbl_Long_Definition[X],1)</f>
        <v>#N/A</v>
      </c>
      <c r="N163" s="262" t="e">
        <f>IF(Tbl_Long_Section[[#This Row],[Nline Prev]]&lt;COUNT(Tbl_Long_Definition[X]),Tbl_Long_Section[[#This Row],[Nline Prev]]+1,Tbl_Long_Section[[#This Row],[Nline Prev]])</f>
        <v>#N/A</v>
      </c>
      <c r="O163" s="162" t="e">
        <f>INDEX(Tbl_Long_Definition[X],Tbl_Long_Section[[#This Row],[Nline Prev]])</f>
        <v>#N/A</v>
      </c>
      <c r="P163" s="263" t="e">
        <f>INDEX(Tbl_Long_Definition[X],Tbl_Long_Section[[#This Row],[Nline Next]])</f>
        <v>#N/A</v>
      </c>
      <c r="Q163" s="160" t="e">
        <f>INDEX(Tbl_Long_Definition[H Deck-Bott.],Tbl_Long_Section[[#This Row],[Nline Prev]])</f>
        <v>#N/A</v>
      </c>
      <c r="R163" s="161" t="e">
        <f>INDEX(Tbl_Long_Definition[H Deck-Bott.],Tbl_Long_Section[[#This Row],[Nline Next]])</f>
        <v>#N/A</v>
      </c>
      <c r="S163"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63" s="8"/>
      <c r="V163" s="873" t="e">
        <f t="shared" si="11"/>
        <v>#N/A</v>
      </c>
      <c r="W163" s="885" t="e">
        <f>MATCH(Tbl_Long_Hydro[[#This Row],[Draught]],Tbl_Long_Definition[H k-bott],-1)</f>
        <v>#N/A</v>
      </c>
      <c r="X163"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63" s="886" t="e">
        <f>MATCH(Tbl_Long_Hydro[[#This Row],[Draught]],Tbl_Long_Definition[H k-bott],1)</f>
        <v>#N/A</v>
      </c>
      <c r="Z163"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63" s="888" t="e">
        <f>IF(ISNA(Tbl_Long_Hydro[[#This Row],[Draught]]),NA(),IFERROR(INDEX(Tbl_Long_Definition[X],Tbl_Long_Hydro[[#This Row],[Aft Nline prev]]),0))</f>
        <v>#N/A</v>
      </c>
      <c r="AB163" s="889" t="e">
        <f>IF(ISNA(Tbl_Long_Hydro[[#This Row],[Draught]]),NA(),IFERROR(INDEX(Tbl_Long_Definition[X],Tbl_Long_Hydro[[#This Row],[Aft Nline next]]),0))</f>
        <v>#N/A</v>
      </c>
      <c r="AC163" s="889" t="e">
        <f>IF(ISNA(Tbl_Long_Hydro[[#This Row],[Draught]]),NA(),INDEX(Tbl_Long_Definition[H k-bott],Tbl_Long_Hydro[[#This Row],[Aft Nline prev]]))</f>
        <v>#N/A</v>
      </c>
      <c r="AD163" s="889" t="e">
        <f>IF(ISNA(Tbl_Long_Hydro[[#This Row],[Draught]]),NA(),INDEX(Tbl_Long_Definition[H k-bott],Tbl_Long_Hydro[[#This Row],[Aft Nline next]]))</f>
        <v>#N/A</v>
      </c>
      <c r="AE163" s="888" t="e">
        <f>IF(ISNA(Tbl_Long_Hydro[[#This Row],[Draught]]),NA(),IFERROR(INDEX(Tbl_Long_Definition[X],Tbl_Long_Hydro[[#This Row],[Fore Nline prev]]),0))</f>
        <v>#N/A</v>
      </c>
      <c r="AF163" s="889" t="e">
        <f>IF(ISNA(Tbl_Long_Hydro[[#This Row],[Draught]]),NA(),IFERROR(INDEX(Tbl_Long_Definition[X],Tbl_Long_Hydro[[#This Row],[Fore Nline next]]),0))</f>
        <v>#N/A</v>
      </c>
      <c r="AG163" s="889" t="e">
        <f>IF(ISNA(Tbl_Long_Hydro[[#This Row],[Draught]]),NA(),INDEX(Tbl_Long_Definition[H k-bott],Tbl_Long_Hydro[[#This Row],[Fore Nline prev]]))</f>
        <v>#N/A</v>
      </c>
      <c r="AH163" s="890" t="e">
        <f>IF(ISNA(Tbl_Long_Hydro[[#This Row],[Draught]]),NA(),INDEX(Tbl_Long_Definition[H k-bott],Tbl_Long_Hydro[[#This Row],[Fore Nline next]]))</f>
        <v>#N/A</v>
      </c>
      <c r="AI163"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63"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63" s="894" t="e">
        <f>Tbl_Long_Hydro[[#This Row],[Fore X]]-Tbl_Long_Hydro[[#This Row],[Aft X]]</f>
        <v>#N/A</v>
      </c>
      <c r="AL163" s="884" t="e">
        <f>Tbl_Long_Hydro[[#This Row],[LX]]*B</f>
        <v>#N/A</v>
      </c>
      <c r="AM163" s="892" t="e">
        <f>IF(ISNUMBER(AM162),(AK162+Tbl_Long_Hydro[[#This Row],[LX]])*(Tbl_Long_Hydro[[#This Row],[Draught]]-V162)/2*B,(Tbl_Long_Hydro[[#This Row],[LX]])*Tbl_Long_Hydro[[#This Row],[Draught]]*B)</f>
        <v>#N/A</v>
      </c>
      <c r="AN163" s="899" t="e">
        <f>Tbl_Long_Hydro[[#This Row],[Aft X]]+Tbl_Long_Hydro[[#This Row],[LX]]/2</f>
        <v>#N/A</v>
      </c>
      <c r="AO163" s="876" t="e">
        <f>IF(ISNUMBER(AO162),(2*Tbl_Long_Hydro[[#This Row],[LX]]+AK162)/(Tbl_Long_Hydro[[#This Row],[LX]]+AK162)*(Tbl_Long_Hydro[[#This Row],[Draught]]-V162)/3+V162,Tbl_Long_Hydro[[#This Row],[Draught]]/2)</f>
        <v>#N/A</v>
      </c>
      <c r="AP163" s="898" t="e">
        <f>IF(ISNUMBER(AP162),Tbl_Long_Hydro[[#This Row],[Volume elt]]+AP162,Tbl_Long_Hydro[[#This Row],[Volume elt]]*AO$4)</f>
        <v>#N/A</v>
      </c>
      <c r="AQ163" s="893" t="e">
        <f>IF(ISNUMBER(AQ162),Tbl_Long_Hydro[[#This Row],[Displacement]]*AQ$4,IF(ISNA(AQ162),NA(),0))</f>
        <v>#N/A</v>
      </c>
      <c r="AR163" s="900" t="e">
        <f>IF(ISNA(Tbl_Long_Hydro[[#This Row],[Draught]]),NA(),IFERROR(Tbl_Long_Hydro[[#This Row],[LX]]*B^3/12/Tbl_Long_Hydro[[#This Row],[Displacement]],0))</f>
        <v>#N/A</v>
      </c>
      <c r="AS163" s="903" t="e">
        <f>IF(ISNA(Tbl_Long_Hydro[[#This Row],[Draught]]),NA(),IFERROR((B*Tbl_Long_Hydro[[#This Row],[LX]]^3/12+(Tbl_Long_Hydro[[#This Row],[LCF]]-Tbl_Long_Hydro[[#This Row],[LCB]])*Tbl_Long_Hydro[[#This Row],[Waterplane area]]*Tbl_Long_Hydro[[#This Row],[LCF]]^2)/Tbl_Long_Hydro[[#This Row],[Displacement]],0))</f>
        <v>#N/A</v>
      </c>
      <c r="AT163" s="900" t="e">
        <f>Tbl_Long_Hydro[[#This Row],[Aft X]]+Tbl_Long_Hydro[[#This Row],[LX]]/2</f>
        <v>#N/A</v>
      </c>
      <c r="AU163" s="901" t="e">
        <f>IF(ISNUMBER(AU162),(AU162*AP162+Tbl_Long_Hydro[[#This Row],[X CoG elt]]*Tbl_Long_Hydro[[#This Row],[Volume elt]])/Tbl_Long_Hydro[[#This Row],[Displacement]],Tbl_Long_Hydro[[#This Row],[X CoG elt]])</f>
        <v>#N/A</v>
      </c>
      <c r="AV163" s="902" t="e">
        <f>IF(ISNA(Tbl_Long_Hydro[[#This Row],[Draught]]),NA(),0)</f>
        <v>#N/A</v>
      </c>
      <c r="AW163" s="876" t="e">
        <f>IF(ISNUMBER(AW162),(AW162*AP162+Tbl_Long_Hydro[[#This Row],[Z CoG elt]]*Tbl_Long_Hydro[[#This Row],[Volume elt]])/Tbl_Long_Hydro[[#This Row],[Displacement]],Tbl_Long_Hydro[[#This Row],[Z CoG elt]])</f>
        <v>#N/A</v>
      </c>
      <c r="AX163" s="899" t="e">
        <f>Tbl_Long_Hydro[[#This Row],[RMT]]+Tbl_Long_Hydro[[#This Row],[VCB]]</f>
        <v>#N/A</v>
      </c>
      <c r="AY163" s="904" t="e">
        <f>Tbl_Long_Hydro[[#This Row],[Displacement]]*Tbl_Long_Hydro[[#This Row],[RML]]/(100*Lpp)</f>
        <v>#N/A</v>
      </c>
      <c r="AZ163" s="956" t="e">
        <f>Tbl_Long_Hydro[[#This Row],[Draught]]</f>
        <v>#N/A</v>
      </c>
      <c r="BA163" s="959" t="e">
        <f>Tbl_Long_Hydro[[#This Row],[Displacement]]</f>
        <v>#N/A</v>
      </c>
      <c r="BB163" s="960" t="e">
        <f>Tbl_Long_Hydro[[#This Row],[Displac. SW]]</f>
        <v>#N/A</v>
      </c>
      <c r="BC163" s="964" t="e">
        <f>Tbl_Long_Hydro[[#This Row],[Waterplane area]]/100*$AQ$4</f>
        <v>#N/A</v>
      </c>
      <c r="BD163" s="961" t="e">
        <f>Tbl_Long_Hydro[[#This Row],[MCT]]</f>
        <v>#N/A</v>
      </c>
      <c r="BE163" s="962" t="e">
        <f>Tbl_Long_Hydro[[#This Row],[LCB]]</f>
        <v>#N/A</v>
      </c>
      <c r="BF163" s="962" t="e">
        <f>Tbl_Long_Hydro[[#This Row],[TCB]]</f>
        <v>#N/A</v>
      </c>
      <c r="BG163" s="962" t="e">
        <f>Tbl_Long_Hydro[[#This Row],[LCF]]</f>
        <v>#N/A</v>
      </c>
      <c r="BH163" s="963" t="e">
        <f>Tbl_Long_Hydro[[#This Row],[KMT]]</f>
        <v>#N/A</v>
      </c>
    </row>
    <row r="164" spans="11:60" x14ac:dyDescent="0.25">
      <c r="K164" s="156" t="e">
        <f t="shared" si="9"/>
        <v>#N/A</v>
      </c>
      <c r="L164" s="164" t="e">
        <f t="shared" si="10"/>
        <v>#N/A</v>
      </c>
      <c r="M164" s="262" t="e">
        <f>MATCH(Tbl_Long_Section[[#This Row],[X]],Tbl_Long_Definition[X],1)</f>
        <v>#N/A</v>
      </c>
      <c r="N164" s="262" t="e">
        <f>IF(Tbl_Long_Section[[#This Row],[Nline Prev]]&lt;COUNT(Tbl_Long_Definition[X]),Tbl_Long_Section[[#This Row],[Nline Prev]]+1,Tbl_Long_Section[[#This Row],[Nline Prev]])</f>
        <v>#N/A</v>
      </c>
      <c r="O164" s="162" t="e">
        <f>INDEX(Tbl_Long_Definition[X],Tbl_Long_Section[[#This Row],[Nline Prev]])</f>
        <v>#N/A</v>
      </c>
      <c r="P164" s="263" t="e">
        <f>INDEX(Tbl_Long_Definition[X],Tbl_Long_Section[[#This Row],[Nline Next]])</f>
        <v>#N/A</v>
      </c>
      <c r="Q164" s="160" t="e">
        <f>INDEX(Tbl_Long_Definition[H Deck-Bott.],Tbl_Long_Section[[#This Row],[Nline Prev]])</f>
        <v>#N/A</v>
      </c>
      <c r="R164" s="161" t="e">
        <f>INDEX(Tbl_Long_Definition[H Deck-Bott.],Tbl_Long_Section[[#This Row],[Nline Next]])</f>
        <v>#N/A</v>
      </c>
      <c r="S164"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64" s="8"/>
      <c r="V164" s="873" t="e">
        <f t="shared" si="11"/>
        <v>#N/A</v>
      </c>
      <c r="W164" s="885" t="e">
        <f>MATCH(Tbl_Long_Hydro[[#This Row],[Draught]],Tbl_Long_Definition[H k-bott],-1)</f>
        <v>#N/A</v>
      </c>
      <c r="X164"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64" s="886" t="e">
        <f>MATCH(Tbl_Long_Hydro[[#This Row],[Draught]],Tbl_Long_Definition[H k-bott],1)</f>
        <v>#N/A</v>
      </c>
      <c r="Z164"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64" s="888" t="e">
        <f>IF(ISNA(Tbl_Long_Hydro[[#This Row],[Draught]]),NA(),IFERROR(INDEX(Tbl_Long_Definition[X],Tbl_Long_Hydro[[#This Row],[Aft Nline prev]]),0))</f>
        <v>#N/A</v>
      </c>
      <c r="AB164" s="889" t="e">
        <f>IF(ISNA(Tbl_Long_Hydro[[#This Row],[Draught]]),NA(),IFERROR(INDEX(Tbl_Long_Definition[X],Tbl_Long_Hydro[[#This Row],[Aft Nline next]]),0))</f>
        <v>#N/A</v>
      </c>
      <c r="AC164" s="889" t="e">
        <f>IF(ISNA(Tbl_Long_Hydro[[#This Row],[Draught]]),NA(),INDEX(Tbl_Long_Definition[H k-bott],Tbl_Long_Hydro[[#This Row],[Aft Nline prev]]))</f>
        <v>#N/A</v>
      </c>
      <c r="AD164" s="889" t="e">
        <f>IF(ISNA(Tbl_Long_Hydro[[#This Row],[Draught]]),NA(),INDEX(Tbl_Long_Definition[H k-bott],Tbl_Long_Hydro[[#This Row],[Aft Nline next]]))</f>
        <v>#N/A</v>
      </c>
      <c r="AE164" s="888" t="e">
        <f>IF(ISNA(Tbl_Long_Hydro[[#This Row],[Draught]]),NA(),IFERROR(INDEX(Tbl_Long_Definition[X],Tbl_Long_Hydro[[#This Row],[Fore Nline prev]]),0))</f>
        <v>#N/A</v>
      </c>
      <c r="AF164" s="889" t="e">
        <f>IF(ISNA(Tbl_Long_Hydro[[#This Row],[Draught]]),NA(),IFERROR(INDEX(Tbl_Long_Definition[X],Tbl_Long_Hydro[[#This Row],[Fore Nline next]]),0))</f>
        <v>#N/A</v>
      </c>
      <c r="AG164" s="889" t="e">
        <f>IF(ISNA(Tbl_Long_Hydro[[#This Row],[Draught]]),NA(),INDEX(Tbl_Long_Definition[H k-bott],Tbl_Long_Hydro[[#This Row],[Fore Nline prev]]))</f>
        <v>#N/A</v>
      </c>
      <c r="AH164" s="890" t="e">
        <f>IF(ISNA(Tbl_Long_Hydro[[#This Row],[Draught]]),NA(),INDEX(Tbl_Long_Definition[H k-bott],Tbl_Long_Hydro[[#This Row],[Fore Nline next]]))</f>
        <v>#N/A</v>
      </c>
      <c r="AI164"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64"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64" s="894" t="e">
        <f>Tbl_Long_Hydro[[#This Row],[Fore X]]-Tbl_Long_Hydro[[#This Row],[Aft X]]</f>
        <v>#N/A</v>
      </c>
      <c r="AL164" s="884" t="e">
        <f>Tbl_Long_Hydro[[#This Row],[LX]]*B</f>
        <v>#N/A</v>
      </c>
      <c r="AM164" s="892" t="e">
        <f>IF(ISNUMBER(AM163),(AK163+Tbl_Long_Hydro[[#This Row],[LX]])*(Tbl_Long_Hydro[[#This Row],[Draught]]-V163)/2*B,(Tbl_Long_Hydro[[#This Row],[LX]])*Tbl_Long_Hydro[[#This Row],[Draught]]*B)</f>
        <v>#N/A</v>
      </c>
      <c r="AN164" s="899" t="e">
        <f>Tbl_Long_Hydro[[#This Row],[Aft X]]+Tbl_Long_Hydro[[#This Row],[LX]]/2</f>
        <v>#N/A</v>
      </c>
      <c r="AO164" s="876" t="e">
        <f>IF(ISNUMBER(AO163),(2*Tbl_Long_Hydro[[#This Row],[LX]]+AK163)/(Tbl_Long_Hydro[[#This Row],[LX]]+AK163)*(Tbl_Long_Hydro[[#This Row],[Draught]]-V163)/3+V163,Tbl_Long_Hydro[[#This Row],[Draught]]/2)</f>
        <v>#N/A</v>
      </c>
      <c r="AP164" s="898" t="e">
        <f>IF(ISNUMBER(AP163),Tbl_Long_Hydro[[#This Row],[Volume elt]]+AP163,Tbl_Long_Hydro[[#This Row],[Volume elt]]*AO$4)</f>
        <v>#N/A</v>
      </c>
      <c r="AQ164" s="893" t="e">
        <f>IF(ISNUMBER(AQ163),Tbl_Long_Hydro[[#This Row],[Displacement]]*AQ$4,IF(ISNA(AQ163),NA(),0))</f>
        <v>#N/A</v>
      </c>
      <c r="AR164" s="900" t="e">
        <f>IF(ISNA(Tbl_Long_Hydro[[#This Row],[Draught]]),NA(),IFERROR(Tbl_Long_Hydro[[#This Row],[LX]]*B^3/12/Tbl_Long_Hydro[[#This Row],[Displacement]],0))</f>
        <v>#N/A</v>
      </c>
      <c r="AS164" s="903" t="e">
        <f>IF(ISNA(Tbl_Long_Hydro[[#This Row],[Draught]]),NA(),IFERROR((B*Tbl_Long_Hydro[[#This Row],[LX]]^3/12+(Tbl_Long_Hydro[[#This Row],[LCF]]-Tbl_Long_Hydro[[#This Row],[LCB]])*Tbl_Long_Hydro[[#This Row],[Waterplane area]]*Tbl_Long_Hydro[[#This Row],[LCF]]^2)/Tbl_Long_Hydro[[#This Row],[Displacement]],0))</f>
        <v>#N/A</v>
      </c>
      <c r="AT164" s="900" t="e">
        <f>Tbl_Long_Hydro[[#This Row],[Aft X]]+Tbl_Long_Hydro[[#This Row],[LX]]/2</f>
        <v>#N/A</v>
      </c>
      <c r="AU164" s="901" t="e">
        <f>IF(ISNUMBER(AU163),(AU163*AP163+Tbl_Long_Hydro[[#This Row],[X CoG elt]]*Tbl_Long_Hydro[[#This Row],[Volume elt]])/Tbl_Long_Hydro[[#This Row],[Displacement]],Tbl_Long_Hydro[[#This Row],[X CoG elt]])</f>
        <v>#N/A</v>
      </c>
      <c r="AV164" s="902" t="e">
        <f>IF(ISNA(Tbl_Long_Hydro[[#This Row],[Draught]]),NA(),0)</f>
        <v>#N/A</v>
      </c>
      <c r="AW164" s="876" t="e">
        <f>IF(ISNUMBER(AW163),(AW163*AP163+Tbl_Long_Hydro[[#This Row],[Z CoG elt]]*Tbl_Long_Hydro[[#This Row],[Volume elt]])/Tbl_Long_Hydro[[#This Row],[Displacement]],Tbl_Long_Hydro[[#This Row],[Z CoG elt]])</f>
        <v>#N/A</v>
      </c>
      <c r="AX164" s="899" t="e">
        <f>Tbl_Long_Hydro[[#This Row],[RMT]]+Tbl_Long_Hydro[[#This Row],[VCB]]</f>
        <v>#N/A</v>
      </c>
      <c r="AY164" s="904" t="e">
        <f>Tbl_Long_Hydro[[#This Row],[Displacement]]*Tbl_Long_Hydro[[#This Row],[RML]]/(100*Lpp)</f>
        <v>#N/A</v>
      </c>
      <c r="AZ164" s="956" t="e">
        <f>Tbl_Long_Hydro[[#This Row],[Draught]]</f>
        <v>#N/A</v>
      </c>
      <c r="BA164" s="959" t="e">
        <f>Tbl_Long_Hydro[[#This Row],[Displacement]]</f>
        <v>#N/A</v>
      </c>
      <c r="BB164" s="960" t="e">
        <f>Tbl_Long_Hydro[[#This Row],[Displac. SW]]</f>
        <v>#N/A</v>
      </c>
      <c r="BC164" s="964" t="e">
        <f>Tbl_Long_Hydro[[#This Row],[Waterplane area]]/100*$AQ$4</f>
        <v>#N/A</v>
      </c>
      <c r="BD164" s="961" t="e">
        <f>Tbl_Long_Hydro[[#This Row],[MCT]]</f>
        <v>#N/A</v>
      </c>
      <c r="BE164" s="962" t="e">
        <f>Tbl_Long_Hydro[[#This Row],[LCB]]</f>
        <v>#N/A</v>
      </c>
      <c r="BF164" s="962" t="e">
        <f>Tbl_Long_Hydro[[#This Row],[TCB]]</f>
        <v>#N/A</v>
      </c>
      <c r="BG164" s="962" t="e">
        <f>Tbl_Long_Hydro[[#This Row],[LCF]]</f>
        <v>#N/A</v>
      </c>
      <c r="BH164" s="963" t="e">
        <f>Tbl_Long_Hydro[[#This Row],[KMT]]</f>
        <v>#N/A</v>
      </c>
    </row>
    <row r="165" spans="11:60" x14ac:dyDescent="0.25">
      <c r="K165" s="156" t="e">
        <f t="shared" si="9"/>
        <v>#N/A</v>
      </c>
      <c r="L165" s="164" t="e">
        <f t="shared" si="10"/>
        <v>#N/A</v>
      </c>
      <c r="M165" s="262" t="e">
        <f>MATCH(Tbl_Long_Section[[#This Row],[X]],Tbl_Long_Definition[X],1)</f>
        <v>#N/A</v>
      </c>
      <c r="N165" s="262" t="e">
        <f>IF(Tbl_Long_Section[[#This Row],[Nline Prev]]&lt;COUNT(Tbl_Long_Definition[X]),Tbl_Long_Section[[#This Row],[Nline Prev]]+1,Tbl_Long_Section[[#This Row],[Nline Prev]])</f>
        <v>#N/A</v>
      </c>
      <c r="O165" s="162" t="e">
        <f>INDEX(Tbl_Long_Definition[X],Tbl_Long_Section[[#This Row],[Nline Prev]])</f>
        <v>#N/A</v>
      </c>
      <c r="P165" s="263" t="e">
        <f>INDEX(Tbl_Long_Definition[X],Tbl_Long_Section[[#This Row],[Nline Next]])</f>
        <v>#N/A</v>
      </c>
      <c r="Q165" s="160" t="e">
        <f>INDEX(Tbl_Long_Definition[H Deck-Bott.],Tbl_Long_Section[[#This Row],[Nline Prev]])</f>
        <v>#N/A</v>
      </c>
      <c r="R165" s="161" t="e">
        <f>INDEX(Tbl_Long_Definition[H Deck-Bott.],Tbl_Long_Section[[#This Row],[Nline Next]])</f>
        <v>#N/A</v>
      </c>
      <c r="S165"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65" s="8"/>
      <c r="V165" s="873" t="e">
        <f t="shared" si="11"/>
        <v>#N/A</v>
      </c>
      <c r="W165" s="885" t="e">
        <f>MATCH(Tbl_Long_Hydro[[#This Row],[Draught]],Tbl_Long_Definition[H k-bott],-1)</f>
        <v>#N/A</v>
      </c>
      <c r="X165"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65" s="886" t="e">
        <f>MATCH(Tbl_Long_Hydro[[#This Row],[Draught]],Tbl_Long_Definition[H k-bott],1)</f>
        <v>#N/A</v>
      </c>
      <c r="Z165"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65" s="888" t="e">
        <f>IF(ISNA(Tbl_Long_Hydro[[#This Row],[Draught]]),NA(),IFERROR(INDEX(Tbl_Long_Definition[X],Tbl_Long_Hydro[[#This Row],[Aft Nline prev]]),0))</f>
        <v>#N/A</v>
      </c>
      <c r="AB165" s="889" t="e">
        <f>IF(ISNA(Tbl_Long_Hydro[[#This Row],[Draught]]),NA(),IFERROR(INDEX(Tbl_Long_Definition[X],Tbl_Long_Hydro[[#This Row],[Aft Nline next]]),0))</f>
        <v>#N/A</v>
      </c>
      <c r="AC165" s="889" t="e">
        <f>IF(ISNA(Tbl_Long_Hydro[[#This Row],[Draught]]),NA(),INDEX(Tbl_Long_Definition[H k-bott],Tbl_Long_Hydro[[#This Row],[Aft Nline prev]]))</f>
        <v>#N/A</v>
      </c>
      <c r="AD165" s="889" t="e">
        <f>IF(ISNA(Tbl_Long_Hydro[[#This Row],[Draught]]),NA(),INDEX(Tbl_Long_Definition[H k-bott],Tbl_Long_Hydro[[#This Row],[Aft Nline next]]))</f>
        <v>#N/A</v>
      </c>
      <c r="AE165" s="888" t="e">
        <f>IF(ISNA(Tbl_Long_Hydro[[#This Row],[Draught]]),NA(),IFERROR(INDEX(Tbl_Long_Definition[X],Tbl_Long_Hydro[[#This Row],[Fore Nline prev]]),0))</f>
        <v>#N/A</v>
      </c>
      <c r="AF165" s="889" t="e">
        <f>IF(ISNA(Tbl_Long_Hydro[[#This Row],[Draught]]),NA(),IFERROR(INDEX(Tbl_Long_Definition[X],Tbl_Long_Hydro[[#This Row],[Fore Nline next]]),0))</f>
        <v>#N/A</v>
      </c>
      <c r="AG165" s="889" t="e">
        <f>IF(ISNA(Tbl_Long_Hydro[[#This Row],[Draught]]),NA(),INDEX(Tbl_Long_Definition[H k-bott],Tbl_Long_Hydro[[#This Row],[Fore Nline prev]]))</f>
        <v>#N/A</v>
      </c>
      <c r="AH165" s="890" t="e">
        <f>IF(ISNA(Tbl_Long_Hydro[[#This Row],[Draught]]),NA(),INDEX(Tbl_Long_Definition[H k-bott],Tbl_Long_Hydro[[#This Row],[Fore Nline next]]))</f>
        <v>#N/A</v>
      </c>
      <c r="AI165"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65"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65" s="894" t="e">
        <f>Tbl_Long_Hydro[[#This Row],[Fore X]]-Tbl_Long_Hydro[[#This Row],[Aft X]]</f>
        <v>#N/A</v>
      </c>
      <c r="AL165" s="884" t="e">
        <f>Tbl_Long_Hydro[[#This Row],[LX]]*B</f>
        <v>#N/A</v>
      </c>
      <c r="AM165" s="892" t="e">
        <f>IF(ISNUMBER(AM164),(AK164+Tbl_Long_Hydro[[#This Row],[LX]])*(Tbl_Long_Hydro[[#This Row],[Draught]]-V164)/2*B,(Tbl_Long_Hydro[[#This Row],[LX]])*Tbl_Long_Hydro[[#This Row],[Draught]]*B)</f>
        <v>#N/A</v>
      </c>
      <c r="AN165" s="899" t="e">
        <f>Tbl_Long_Hydro[[#This Row],[Aft X]]+Tbl_Long_Hydro[[#This Row],[LX]]/2</f>
        <v>#N/A</v>
      </c>
      <c r="AO165" s="876" t="e">
        <f>IF(ISNUMBER(AO164),(2*Tbl_Long_Hydro[[#This Row],[LX]]+AK164)/(Tbl_Long_Hydro[[#This Row],[LX]]+AK164)*(Tbl_Long_Hydro[[#This Row],[Draught]]-V164)/3+V164,Tbl_Long_Hydro[[#This Row],[Draught]]/2)</f>
        <v>#N/A</v>
      </c>
      <c r="AP165" s="898" t="e">
        <f>IF(ISNUMBER(AP164),Tbl_Long_Hydro[[#This Row],[Volume elt]]+AP164,Tbl_Long_Hydro[[#This Row],[Volume elt]]*AO$4)</f>
        <v>#N/A</v>
      </c>
      <c r="AQ165" s="893" t="e">
        <f>IF(ISNUMBER(AQ164),Tbl_Long_Hydro[[#This Row],[Displacement]]*AQ$4,IF(ISNA(AQ164),NA(),0))</f>
        <v>#N/A</v>
      </c>
      <c r="AR165" s="900" t="e">
        <f>IF(ISNA(Tbl_Long_Hydro[[#This Row],[Draught]]),NA(),IFERROR(Tbl_Long_Hydro[[#This Row],[LX]]*B^3/12/Tbl_Long_Hydro[[#This Row],[Displacement]],0))</f>
        <v>#N/A</v>
      </c>
      <c r="AS165" s="903" t="e">
        <f>IF(ISNA(Tbl_Long_Hydro[[#This Row],[Draught]]),NA(),IFERROR((B*Tbl_Long_Hydro[[#This Row],[LX]]^3/12+(Tbl_Long_Hydro[[#This Row],[LCF]]-Tbl_Long_Hydro[[#This Row],[LCB]])*Tbl_Long_Hydro[[#This Row],[Waterplane area]]*Tbl_Long_Hydro[[#This Row],[LCF]]^2)/Tbl_Long_Hydro[[#This Row],[Displacement]],0))</f>
        <v>#N/A</v>
      </c>
      <c r="AT165" s="900" t="e">
        <f>Tbl_Long_Hydro[[#This Row],[Aft X]]+Tbl_Long_Hydro[[#This Row],[LX]]/2</f>
        <v>#N/A</v>
      </c>
      <c r="AU165" s="901" t="e">
        <f>IF(ISNUMBER(AU164),(AU164*AP164+Tbl_Long_Hydro[[#This Row],[X CoG elt]]*Tbl_Long_Hydro[[#This Row],[Volume elt]])/Tbl_Long_Hydro[[#This Row],[Displacement]],Tbl_Long_Hydro[[#This Row],[X CoG elt]])</f>
        <v>#N/A</v>
      </c>
      <c r="AV165" s="902" t="e">
        <f>IF(ISNA(Tbl_Long_Hydro[[#This Row],[Draught]]),NA(),0)</f>
        <v>#N/A</v>
      </c>
      <c r="AW165" s="876" t="e">
        <f>IF(ISNUMBER(AW164),(AW164*AP164+Tbl_Long_Hydro[[#This Row],[Z CoG elt]]*Tbl_Long_Hydro[[#This Row],[Volume elt]])/Tbl_Long_Hydro[[#This Row],[Displacement]],Tbl_Long_Hydro[[#This Row],[Z CoG elt]])</f>
        <v>#N/A</v>
      </c>
      <c r="AX165" s="899" t="e">
        <f>Tbl_Long_Hydro[[#This Row],[RMT]]+Tbl_Long_Hydro[[#This Row],[VCB]]</f>
        <v>#N/A</v>
      </c>
      <c r="AY165" s="904" t="e">
        <f>Tbl_Long_Hydro[[#This Row],[Displacement]]*Tbl_Long_Hydro[[#This Row],[RML]]/(100*Lpp)</f>
        <v>#N/A</v>
      </c>
      <c r="AZ165" s="956" t="e">
        <f>Tbl_Long_Hydro[[#This Row],[Draught]]</f>
        <v>#N/A</v>
      </c>
      <c r="BA165" s="959" t="e">
        <f>Tbl_Long_Hydro[[#This Row],[Displacement]]</f>
        <v>#N/A</v>
      </c>
      <c r="BB165" s="960" t="e">
        <f>Tbl_Long_Hydro[[#This Row],[Displac. SW]]</f>
        <v>#N/A</v>
      </c>
      <c r="BC165" s="964" t="e">
        <f>Tbl_Long_Hydro[[#This Row],[Waterplane area]]/100*$AQ$4</f>
        <v>#N/A</v>
      </c>
      <c r="BD165" s="961" t="e">
        <f>Tbl_Long_Hydro[[#This Row],[MCT]]</f>
        <v>#N/A</v>
      </c>
      <c r="BE165" s="962" t="e">
        <f>Tbl_Long_Hydro[[#This Row],[LCB]]</f>
        <v>#N/A</v>
      </c>
      <c r="BF165" s="962" t="e">
        <f>Tbl_Long_Hydro[[#This Row],[TCB]]</f>
        <v>#N/A</v>
      </c>
      <c r="BG165" s="962" t="e">
        <f>Tbl_Long_Hydro[[#This Row],[LCF]]</f>
        <v>#N/A</v>
      </c>
      <c r="BH165" s="963" t="e">
        <f>Tbl_Long_Hydro[[#This Row],[KMT]]</f>
        <v>#N/A</v>
      </c>
    </row>
    <row r="166" spans="11:60" x14ac:dyDescent="0.25">
      <c r="K166" s="156" t="e">
        <f t="shared" si="9"/>
        <v>#N/A</v>
      </c>
      <c r="L166" s="164" t="e">
        <f t="shared" si="10"/>
        <v>#N/A</v>
      </c>
      <c r="M166" s="262" t="e">
        <f>MATCH(Tbl_Long_Section[[#This Row],[X]],Tbl_Long_Definition[X],1)</f>
        <v>#N/A</v>
      </c>
      <c r="N166" s="262" t="e">
        <f>IF(Tbl_Long_Section[[#This Row],[Nline Prev]]&lt;COUNT(Tbl_Long_Definition[X]),Tbl_Long_Section[[#This Row],[Nline Prev]]+1,Tbl_Long_Section[[#This Row],[Nline Prev]])</f>
        <v>#N/A</v>
      </c>
      <c r="O166" s="162" t="e">
        <f>INDEX(Tbl_Long_Definition[X],Tbl_Long_Section[[#This Row],[Nline Prev]])</f>
        <v>#N/A</v>
      </c>
      <c r="P166" s="263" t="e">
        <f>INDEX(Tbl_Long_Definition[X],Tbl_Long_Section[[#This Row],[Nline Next]])</f>
        <v>#N/A</v>
      </c>
      <c r="Q166" s="160" t="e">
        <f>INDEX(Tbl_Long_Definition[H Deck-Bott.],Tbl_Long_Section[[#This Row],[Nline Prev]])</f>
        <v>#N/A</v>
      </c>
      <c r="R166" s="161" t="e">
        <f>INDEX(Tbl_Long_Definition[H Deck-Bott.],Tbl_Long_Section[[#This Row],[Nline Next]])</f>
        <v>#N/A</v>
      </c>
      <c r="S166"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66" s="8"/>
      <c r="V166" s="873" t="e">
        <f t="shared" ref="V166:V201" si="12">IF(ISTEXT(V165),0,IF(V165+Δhydro&gt;M_depth,NA(),V165+Δhydro))</f>
        <v>#N/A</v>
      </c>
      <c r="W166" s="885" t="e">
        <f>MATCH(Tbl_Long_Hydro[[#This Row],[Draught]],Tbl_Long_Definition[H k-bott],-1)</f>
        <v>#N/A</v>
      </c>
      <c r="X166"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66" s="886" t="e">
        <f>MATCH(Tbl_Long_Hydro[[#This Row],[Draught]],Tbl_Long_Definition[H k-bott],1)</f>
        <v>#N/A</v>
      </c>
      <c r="Z166"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66" s="888" t="e">
        <f>IF(ISNA(Tbl_Long_Hydro[[#This Row],[Draught]]),NA(),IFERROR(INDEX(Tbl_Long_Definition[X],Tbl_Long_Hydro[[#This Row],[Aft Nline prev]]),0))</f>
        <v>#N/A</v>
      </c>
      <c r="AB166" s="889" t="e">
        <f>IF(ISNA(Tbl_Long_Hydro[[#This Row],[Draught]]),NA(),IFERROR(INDEX(Tbl_Long_Definition[X],Tbl_Long_Hydro[[#This Row],[Aft Nline next]]),0))</f>
        <v>#N/A</v>
      </c>
      <c r="AC166" s="889" t="e">
        <f>IF(ISNA(Tbl_Long_Hydro[[#This Row],[Draught]]),NA(),INDEX(Tbl_Long_Definition[H k-bott],Tbl_Long_Hydro[[#This Row],[Aft Nline prev]]))</f>
        <v>#N/A</v>
      </c>
      <c r="AD166" s="889" t="e">
        <f>IF(ISNA(Tbl_Long_Hydro[[#This Row],[Draught]]),NA(),INDEX(Tbl_Long_Definition[H k-bott],Tbl_Long_Hydro[[#This Row],[Aft Nline next]]))</f>
        <v>#N/A</v>
      </c>
      <c r="AE166" s="888" t="e">
        <f>IF(ISNA(Tbl_Long_Hydro[[#This Row],[Draught]]),NA(),IFERROR(INDEX(Tbl_Long_Definition[X],Tbl_Long_Hydro[[#This Row],[Fore Nline prev]]),0))</f>
        <v>#N/A</v>
      </c>
      <c r="AF166" s="889" t="e">
        <f>IF(ISNA(Tbl_Long_Hydro[[#This Row],[Draught]]),NA(),IFERROR(INDEX(Tbl_Long_Definition[X],Tbl_Long_Hydro[[#This Row],[Fore Nline next]]),0))</f>
        <v>#N/A</v>
      </c>
      <c r="AG166" s="889" t="e">
        <f>IF(ISNA(Tbl_Long_Hydro[[#This Row],[Draught]]),NA(),INDEX(Tbl_Long_Definition[H k-bott],Tbl_Long_Hydro[[#This Row],[Fore Nline prev]]))</f>
        <v>#N/A</v>
      </c>
      <c r="AH166" s="890" t="e">
        <f>IF(ISNA(Tbl_Long_Hydro[[#This Row],[Draught]]),NA(),INDEX(Tbl_Long_Definition[H k-bott],Tbl_Long_Hydro[[#This Row],[Fore Nline next]]))</f>
        <v>#N/A</v>
      </c>
      <c r="AI166"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66"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66" s="894" t="e">
        <f>Tbl_Long_Hydro[[#This Row],[Fore X]]-Tbl_Long_Hydro[[#This Row],[Aft X]]</f>
        <v>#N/A</v>
      </c>
      <c r="AL166" s="884" t="e">
        <f>Tbl_Long_Hydro[[#This Row],[LX]]*B</f>
        <v>#N/A</v>
      </c>
      <c r="AM166" s="892" t="e">
        <f>IF(ISNUMBER(AM165),(AK165+Tbl_Long_Hydro[[#This Row],[LX]])*(Tbl_Long_Hydro[[#This Row],[Draught]]-V165)/2*B,(Tbl_Long_Hydro[[#This Row],[LX]])*Tbl_Long_Hydro[[#This Row],[Draught]]*B)</f>
        <v>#N/A</v>
      </c>
      <c r="AN166" s="899" t="e">
        <f>Tbl_Long_Hydro[[#This Row],[Aft X]]+Tbl_Long_Hydro[[#This Row],[LX]]/2</f>
        <v>#N/A</v>
      </c>
      <c r="AO166" s="876" t="e">
        <f>IF(ISNUMBER(AO165),(2*Tbl_Long_Hydro[[#This Row],[LX]]+AK165)/(Tbl_Long_Hydro[[#This Row],[LX]]+AK165)*(Tbl_Long_Hydro[[#This Row],[Draught]]-V165)/3+V165,Tbl_Long_Hydro[[#This Row],[Draught]]/2)</f>
        <v>#N/A</v>
      </c>
      <c r="AP166" s="898" t="e">
        <f>IF(ISNUMBER(AP165),Tbl_Long_Hydro[[#This Row],[Volume elt]]+AP165,Tbl_Long_Hydro[[#This Row],[Volume elt]]*AO$4)</f>
        <v>#N/A</v>
      </c>
      <c r="AQ166" s="893" t="e">
        <f>IF(ISNUMBER(AQ165),Tbl_Long_Hydro[[#This Row],[Displacement]]*AQ$4,IF(ISNA(AQ165),NA(),0))</f>
        <v>#N/A</v>
      </c>
      <c r="AR166" s="900" t="e">
        <f>IF(ISNA(Tbl_Long_Hydro[[#This Row],[Draught]]),NA(),IFERROR(Tbl_Long_Hydro[[#This Row],[LX]]*B^3/12/Tbl_Long_Hydro[[#This Row],[Displacement]],0))</f>
        <v>#N/A</v>
      </c>
      <c r="AS166" s="903" t="e">
        <f>IF(ISNA(Tbl_Long_Hydro[[#This Row],[Draught]]),NA(),IFERROR((B*Tbl_Long_Hydro[[#This Row],[LX]]^3/12+(Tbl_Long_Hydro[[#This Row],[LCF]]-Tbl_Long_Hydro[[#This Row],[LCB]])*Tbl_Long_Hydro[[#This Row],[Waterplane area]]*Tbl_Long_Hydro[[#This Row],[LCF]]^2)/Tbl_Long_Hydro[[#This Row],[Displacement]],0))</f>
        <v>#N/A</v>
      </c>
      <c r="AT166" s="900" t="e">
        <f>Tbl_Long_Hydro[[#This Row],[Aft X]]+Tbl_Long_Hydro[[#This Row],[LX]]/2</f>
        <v>#N/A</v>
      </c>
      <c r="AU166" s="901" t="e">
        <f>IF(ISNUMBER(AU165),(AU165*AP165+Tbl_Long_Hydro[[#This Row],[X CoG elt]]*Tbl_Long_Hydro[[#This Row],[Volume elt]])/Tbl_Long_Hydro[[#This Row],[Displacement]],Tbl_Long_Hydro[[#This Row],[X CoG elt]])</f>
        <v>#N/A</v>
      </c>
      <c r="AV166" s="902" t="e">
        <f>IF(ISNA(Tbl_Long_Hydro[[#This Row],[Draught]]),NA(),0)</f>
        <v>#N/A</v>
      </c>
      <c r="AW166" s="876" t="e">
        <f>IF(ISNUMBER(AW165),(AW165*AP165+Tbl_Long_Hydro[[#This Row],[Z CoG elt]]*Tbl_Long_Hydro[[#This Row],[Volume elt]])/Tbl_Long_Hydro[[#This Row],[Displacement]],Tbl_Long_Hydro[[#This Row],[Z CoG elt]])</f>
        <v>#N/A</v>
      </c>
      <c r="AX166" s="899" t="e">
        <f>Tbl_Long_Hydro[[#This Row],[RMT]]+Tbl_Long_Hydro[[#This Row],[VCB]]</f>
        <v>#N/A</v>
      </c>
      <c r="AY166" s="904" t="e">
        <f>Tbl_Long_Hydro[[#This Row],[Displacement]]*Tbl_Long_Hydro[[#This Row],[RML]]/(100*Lpp)</f>
        <v>#N/A</v>
      </c>
      <c r="AZ166" s="956" t="e">
        <f>Tbl_Long_Hydro[[#This Row],[Draught]]</f>
        <v>#N/A</v>
      </c>
      <c r="BA166" s="959" t="e">
        <f>Tbl_Long_Hydro[[#This Row],[Displacement]]</f>
        <v>#N/A</v>
      </c>
      <c r="BB166" s="960" t="e">
        <f>Tbl_Long_Hydro[[#This Row],[Displac. SW]]</f>
        <v>#N/A</v>
      </c>
      <c r="BC166" s="964" t="e">
        <f>Tbl_Long_Hydro[[#This Row],[Waterplane area]]/100*$AQ$4</f>
        <v>#N/A</v>
      </c>
      <c r="BD166" s="961" t="e">
        <f>Tbl_Long_Hydro[[#This Row],[MCT]]</f>
        <v>#N/A</v>
      </c>
      <c r="BE166" s="962" t="e">
        <f>Tbl_Long_Hydro[[#This Row],[LCB]]</f>
        <v>#N/A</v>
      </c>
      <c r="BF166" s="962" t="e">
        <f>Tbl_Long_Hydro[[#This Row],[TCB]]</f>
        <v>#N/A</v>
      </c>
      <c r="BG166" s="962" t="e">
        <f>Tbl_Long_Hydro[[#This Row],[LCF]]</f>
        <v>#N/A</v>
      </c>
      <c r="BH166" s="963" t="e">
        <f>Tbl_Long_Hydro[[#This Row],[KMT]]</f>
        <v>#N/A</v>
      </c>
    </row>
    <row r="167" spans="11:60" x14ac:dyDescent="0.25">
      <c r="K167" s="156" t="e">
        <f t="shared" si="9"/>
        <v>#N/A</v>
      </c>
      <c r="L167" s="164" t="e">
        <f t="shared" si="10"/>
        <v>#N/A</v>
      </c>
      <c r="M167" s="262" t="e">
        <f>MATCH(Tbl_Long_Section[[#This Row],[X]],Tbl_Long_Definition[X],1)</f>
        <v>#N/A</v>
      </c>
      <c r="N167" s="262" t="e">
        <f>IF(Tbl_Long_Section[[#This Row],[Nline Prev]]&lt;COUNT(Tbl_Long_Definition[X]),Tbl_Long_Section[[#This Row],[Nline Prev]]+1,Tbl_Long_Section[[#This Row],[Nline Prev]])</f>
        <v>#N/A</v>
      </c>
      <c r="O167" s="162" t="e">
        <f>INDEX(Tbl_Long_Definition[X],Tbl_Long_Section[[#This Row],[Nline Prev]])</f>
        <v>#N/A</v>
      </c>
      <c r="P167" s="263" t="e">
        <f>INDEX(Tbl_Long_Definition[X],Tbl_Long_Section[[#This Row],[Nline Next]])</f>
        <v>#N/A</v>
      </c>
      <c r="Q167" s="160" t="e">
        <f>INDEX(Tbl_Long_Definition[H Deck-Bott.],Tbl_Long_Section[[#This Row],[Nline Prev]])</f>
        <v>#N/A</v>
      </c>
      <c r="R167" s="161" t="e">
        <f>INDEX(Tbl_Long_Definition[H Deck-Bott.],Tbl_Long_Section[[#This Row],[Nline Next]])</f>
        <v>#N/A</v>
      </c>
      <c r="S167"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67" s="8"/>
      <c r="V167" s="873" t="e">
        <f t="shared" si="12"/>
        <v>#N/A</v>
      </c>
      <c r="W167" s="885" t="e">
        <f>MATCH(Tbl_Long_Hydro[[#This Row],[Draught]],Tbl_Long_Definition[H k-bott],-1)</f>
        <v>#N/A</v>
      </c>
      <c r="X167"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67" s="886" t="e">
        <f>MATCH(Tbl_Long_Hydro[[#This Row],[Draught]],Tbl_Long_Definition[H k-bott],1)</f>
        <v>#N/A</v>
      </c>
      <c r="Z167"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67" s="888" t="e">
        <f>IF(ISNA(Tbl_Long_Hydro[[#This Row],[Draught]]),NA(),IFERROR(INDEX(Tbl_Long_Definition[X],Tbl_Long_Hydro[[#This Row],[Aft Nline prev]]),0))</f>
        <v>#N/A</v>
      </c>
      <c r="AB167" s="889" t="e">
        <f>IF(ISNA(Tbl_Long_Hydro[[#This Row],[Draught]]),NA(),IFERROR(INDEX(Tbl_Long_Definition[X],Tbl_Long_Hydro[[#This Row],[Aft Nline next]]),0))</f>
        <v>#N/A</v>
      </c>
      <c r="AC167" s="889" t="e">
        <f>IF(ISNA(Tbl_Long_Hydro[[#This Row],[Draught]]),NA(),INDEX(Tbl_Long_Definition[H k-bott],Tbl_Long_Hydro[[#This Row],[Aft Nline prev]]))</f>
        <v>#N/A</v>
      </c>
      <c r="AD167" s="889" t="e">
        <f>IF(ISNA(Tbl_Long_Hydro[[#This Row],[Draught]]),NA(),INDEX(Tbl_Long_Definition[H k-bott],Tbl_Long_Hydro[[#This Row],[Aft Nline next]]))</f>
        <v>#N/A</v>
      </c>
      <c r="AE167" s="888" t="e">
        <f>IF(ISNA(Tbl_Long_Hydro[[#This Row],[Draught]]),NA(),IFERROR(INDEX(Tbl_Long_Definition[X],Tbl_Long_Hydro[[#This Row],[Fore Nline prev]]),0))</f>
        <v>#N/A</v>
      </c>
      <c r="AF167" s="889" t="e">
        <f>IF(ISNA(Tbl_Long_Hydro[[#This Row],[Draught]]),NA(),IFERROR(INDEX(Tbl_Long_Definition[X],Tbl_Long_Hydro[[#This Row],[Fore Nline next]]),0))</f>
        <v>#N/A</v>
      </c>
      <c r="AG167" s="889" t="e">
        <f>IF(ISNA(Tbl_Long_Hydro[[#This Row],[Draught]]),NA(),INDEX(Tbl_Long_Definition[H k-bott],Tbl_Long_Hydro[[#This Row],[Fore Nline prev]]))</f>
        <v>#N/A</v>
      </c>
      <c r="AH167" s="890" t="e">
        <f>IF(ISNA(Tbl_Long_Hydro[[#This Row],[Draught]]),NA(),INDEX(Tbl_Long_Definition[H k-bott],Tbl_Long_Hydro[[#This Row],[Fore Nline next]]))</f>
        <v>#N/A</v>
      </c>
      <c r="AI167"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67"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67" s="894" t="e">
        <f>Tbl_Long_Hydro[[#This Row],[Fore X]]-Tbl_Long_Hydro[[#This Row],[Aft X]]</f>
        <v>#N/A</v>
      </c>
      <c r="AL167" s="884" t="e">
        <f>Tbl_Long_Hydro[[#This Row],[LX]]*B</f>
        <v>#N/A</v>
      </c>
      <c r="AM167" s="892" t="e">
        <f>IF(ISNUMBER(AM166),(AK166+Tbl_Long_Hydro[[#This Row],[LX]])*(Tbl_Long_Hydro[[#This Row],[Draught]]-V166)/2*B,(Tbl_Long_Hydro[[#This Row],[LX]])*Tbl_Long_Hydro[[#This Row],[Draught]]*B)</f>
        <v>#N/A</v>
      </c>
      <c r="AN167" s="899" t="e">
        <f>Tbl_Long_Hydro[[#This Row],[Aft X]]+Tbl_Long_Hydro[[#This Row],[LX]]/2</f>
        <v>#N/A</v>
      </c>
      <c r="AO167" s="876" t="e">
        <f>IF(ISNUMBER(AO166),(2*Tbl_Long_Hydro[[#This Row],[LX]]+AK166)/(Tbl_Long_Hydro[[#This Row],[LX]]+AK166)*(Tbl_Long_Hydro[[#This Row],[Draught]]-V166)/3+V166,Tbl_Long_Hydro[[#This Row],[Draught]]/2)</f>
        <v>#N/A</v>
      </c>
      <c r="AP167" s="898" t="e">
        <f>IF(ISNUMBER(AP166),Tbl_Long_Hydro[[#This Row],[Volume elt]]+AP166,Tbl_Long_Hydro[[#This Row],[Volume elt]]*AO$4)</f>
        <v>#N/A</v>
      </c>
      <c r="AQ167" s="893" t="e">
        <f>IF(ISNUMBER(AQ166),Tbl_Long_Hydro[[#This Row],[Displacement]]*AQ$4,IF(ISNA(AQ166),NA(),0))</f>
        <v>#N/A</v>
      </c>
      <c r="AR167" s="900" t="e">
        <f>IF(ISNA(Tbl_Long_Hydro[[#This Row],[Draught]]),NA(),IFERROR(Tbl_Long_Hydro[[#This Row],[LX]]*B^3/12/Tbl_Long_Hydro[[#This Row],[Displacement]],0))</f>
        <v>#N/A</v>
      </c>
      <c r="AS167" s="903" t="e">
        <f>IF(ISNA(Tbl_Long_Hydro[[#This Row],[Draught]]),NA(),IFERROR((B*Tbl_Long_Hydro[[#This Row],[LX]]^3/12+(Tbl_Long_Hydro[[#This Row],[LCF]]-Tbl_Long_Hydro[[#This Row],[LCB]])*Tbl_Long_Hydro[[#This Row],[Waterplane area]]*Tbl_Long_Hydro[[#This Row],[LCF]]^2)/Tbl_Long_Hydro[[#This Row],[Displacement]],0))</f>
        <v>#N/A</v>
      </c>
      <c r="AT167" s="900" t="e">
        <f>Tbl_Long_Hydro[[#This Row],[Aft X]]+Tbl_Long_Hydro[[#This Row],[LX]]/2</f>
        <v>#N/A</v>
      </c>
      <c r="AU167" s="901" t="e">
        <f>IF(ISNUMBER(AU166),(AU166*AP166+Tbl_Long_Hydro[[#This Row],[X CoG elt]]*Tbl_Long_Hydro[[#This Row],[Volume elt]])/Tbl_Long_Hydro[[#This Row],[Displacement]],Tbl_Long_Hydro[[#This Row],[X CoG elt]])</f>
        <v>#N/A</v>
      </c>
      <c r="AV167" s="902" t="e">
        <f>IF(ISNA(Tbl_Long_Hydro[[#This Row],[Draught]]),NA(),0)</f>
        <v>#N/A</v>
      </c>
      <c r="AW167" s="876" t="e">
        <f>IF(ISNUMBER(AW166),(AW166*AP166+Tbl_Long_Hydro[[#This Row],[Z CoG elt]]*Tbl_Long_Hydro[[#This Row],[Volume elt]])/Tbl_Long_Hydro[[#This Row],[Displacement]],Tbl_Long_Hydro[[#This Row],[Z CoG elt]])</f>
        <v>#N/A</v>
      </c>
      <c r="AX167" s="899" t="e">
        <f>Tbl_Long_Hydro[[#This Row],[RMT]]+Tbl_Long_Hydro[[#This Row],[VCB]]</f>
        <v>#N/A</v>
      </c>
      <c r="AY167" s="904" t="e">
        <f>Tbl_Long_Hydro[[#This Row],[Displacement]]*Tbl_Long_Hydro[[#This Row],[RML]]/(100*Lpp)</f>
        <v>#N/A</v>
      </c>
      <c r="AZ167" s="956" t="e">
        <f>Tbl_Long_Hydro[[#This Row],[Draught]]</f>
        <v>#N/A</v>
      </c>
      <c r="BA167" s="959" t="e">
        <f>Tbl_Long_Hydro[[#This Row],[Displacement]]</f>
        <v>#N/A</v>
      </c>
      <c r="BB167" s="960" t="e">
        <f>Tbl_Long_Hydro[[#This Row],[Displac. SW]]</f>
        <v>#N/A</v>
      </c>
      <c r="BC167" s="964" t="e">
        <f>Tbl_Long_Hydro[[#This Row],[Waterplane area]]/100*$AQ$4</f>
        <v>#N/A</v>
      </c>
      <c r="BD167" s="961" t="e">
        <f>Tbl_Long_Hydro[[#This Row],[MCT]]</f>
        <v>#N/A</v>
      </c>
      <c r="BE167" s="962" t="e">
        <f>Tbl_Long_Hydro[[#This Row],[LCB]]</f>
        <v>#N/A</v>
      </c>
      <c r="BF167" s="962" t="e">
        <f>Tbl_Long_Hydro[[#This Row],[TCB]]</f>
        <v>#N/A</v>
      </c>
      <c r="BG167" s="962" t="e">
        <f>Tbl_Long_Hydro[[#This Row],[LCF]]</f>
        <v>#N/A</v>
      </c>
      <c r="BH167" s="963" t="e">
        <f>Tbl_Long_Hydro[[#This Row],[KMT]]</f>
        <v>#N/A</v>
      </c>
    </row>
    <row r="168" spans="11:60" x14ac:dyDescent="0.25">
      <c r="K168" s="156" t="e">
        <f t="shared" si="9"/>
        <v>#N/A</v>
      </c>
      <c r="L168" s="164" t="e">
        <f t="shared" si="10"/>
        <v>#N/A</v>
      </c>
      <c r="M168" s="262" t="e">
        <f>MATCH(Tbl_Long_Section[[#This Row],[X]],Tbl_Long_Definition[X],1)</f>
        <v>#N/A</v>
      </c>
      <c r="N168" s="262" t="e">
        <f>IF(Tbl_Long_Section[[#This Row],[Nline Prev]]&lt;COUNT(Tbl_Long_Definition[X]),Tbl_Long_Section[[#This Row],[Nline Prev]]+1,Tbl_Long_Section[[#This Row],[Nline Prev]])</f>
        <v>#N/A</v>
      </c>
      <c r="O168" s="162" t="e">
        <f>INDEX(Tbl_Long_Definition[X],Tbl_Long_Section[[#This Row],[Nline Prev]])</f>
        <v>#N/A</v>
      </c>
      <c r="P168" s="263" t="e">
        <f>INDEX(Tbl_Long_Definition[X],Tbl_Long_Section[[#This Row],[Nline Next]])</f>
        <v>#N/A</v>
      </c>
      <c r="Q168" s="160" t="e">
        <f>INDEX(Tbl_Long_Definition[H Deck-Bott.],Tbl_Long_Section[[#This Row],[Nline Prev]])</f>
        <v>#N/A</v>
      </c>
      <c r="R168" s="161" t="e">
        <f>INDEX(Tbl_Long_Definition[H Deck-Bott.],Tbl_Long_Section[[#This Row],[Nline Next]])</f>
        <v>#N/A</v>
      </c>
      <c r="S168"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68" s="8"/>
      <c r="V168" s="873" t="e">
        <f t="shared" si="12"/>
        <v>#N/A</v>
      </c>
      <c r="W168" s="885" t="e">
        <f>MATCH(Tbl_Long_Hydro[[#This Row],[Draught]],Tbl_Long_Definition[H k-bott],-1)</f>
        <v>#N/A</v>
      </c>
      <c r="X168"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68" s="886" t="e">
        <f>MATCH(Tbl_Long_Hydro[[#This Row],[Draught]],Tbl_Long_Definition[H k-bott],1)</f>
        <v>#N/A</v>
      </c>
      <c r="Z168"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68" s="888" t="e">
        <f>IF(ISNA(Tbl_Long_Hydro[[#This Row],[Draught]]),NA(),IFERROR(INDEX(Tbl_Long_Definition[X],Tbl_Long_Hydro[[#This Row],[Aft Nline prev]]),0))</f>
        <v>#N/A</v>
      </c>
      <c r="AB168" s="889" t="e">
        <f>IF(ISNA(Tbl_Long_Hydro[[#This Row],[Draught]]),NA(),IFERROR(INDEX(Tbl_Long_Definition[X],Tbl_Long_Hydro[[#This Row],[Aft Nline next]]),0))</f>
        <v>#N/A</v>
      </c>
      <c r="AC168" s="889" t="e">
        <f>IF(ISNA(Tbl_Long_Hydro[[#This Row],[Draught]]),NA(),INDEX(Tbl_Long_Definition[H k-bott],Tbl_Long_Hydro[[#This Row],[Aft Nline prev]]))</f>
        <v>#N/A</v>
      </c>
      <c r="AD168" s="889" t="e">
        <f>IF(ISNA(Tbl_Long_Hydro[[#This Row],[Draught]]),NA(),INDEX(Tbl_Long_Definition[H k-bott],Tbl_Long_Hydro[[#This Row],[Aft Nline next]]))</f>
        <v>#N/A</v>
      </c>
      <c r="AE168" s="888" t="e">
        <f>IF(ISNA(Tbl_Long_Hydro[[#This Row],[Draught]]),NA(),IFERROR(INDEX(Tbl_Long_Definition[X],Tbl_Long_Hydro[[#This Row],[Fore Nline prev]]),0))</f>
        <v>#N/A</v>
      </c>
      <c r="AF168" s="889" t="e">
        <f>IF(ISNA(Tbl_Long_Hydro[[#This Row],[Draught]]),NA(),IFERROR(INDEX(Tbl_Long_Definition[X],Tbl_Long_Hydro[[#This Row],[Fore Nline next]]),0))</f>
        <v>#N/A</v>
      </c>
      <c r="AG168" s="889" t="e">
        <f>IF(ISNA(Tbl_Long_Hydro[[#This Row],[Draught]]),NA(),INDEX(Tbl_Long_Definition[H k-bott],Tbl_Long_Hydro[[#This Row],[Fore Nline prev]]))</f>
        <v>#N/A</v>
      </c>
      <c r="AH168" s="890" t="e">
        <f>IF(ISNA(Tbl_Long_Hydro[[#This Row],[Draught]]),NA(),INDEX(Tbl_Long_Definition[H k-bott],Tbl_Long_Hydro[[#This Row],[Fore Nline next]]))</f>
        <v>#N/A</v>
      </c>
      <c r="AI168"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68"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68" s="894" t="e">
        <f>Tbl_Long_Hydro[[#This Row],[Fore X]]-Tbl_Long_Hydro[[#This Row],[Aft X]]</f>
        <v>#N/A</v>
      </c>
      <c r="AL168" s="884" t="e">
        <f>Tbl_Long_Hydro[[#This Row],[LX]]*B</f>
        <v>#N/A</v>
      </c>
      <c r="AM168" s="892" t="e">
        <f>IF(ISNUMBER(AM167),(AK167+Tbl_Long_Hydro[[#This Row],[LX]])*(Tbl_Long_Hydro[[#This Row],[Draught]]-V167)/2*B,(Tbl_Long_Hydro[[#This Row],[LX]])*Tbl_Long_Hydro[[#This Row],[Draught]]*B)</f>
        <v>#N/A</v>
      </c>
      <c r="AN168" s="899" t="e">
        <f>Tbl_Long_Hydro[[#This Row],[Aft X]]+Tbl_Long_Hydro[[#This Row],[LX]]/2</f>
        <v>#N/A</v>
      </c>
      <c r="AO168" s="876" t="e">
        <f>IF(ISNUMBER(AO167),(2*Tbl_Long_Hydro[[#This Row],[LX]]+AK167)/(Tbl_Long_Hydro[[#This Row],[LX]]+AK167)*(Tbl_Long_Hydro[[#This Row],[Draught]]-V167)/3+V167,Tbl_Long_Hydro[[#This Row],[Draught]]/2)</f>
        <v>#N/A</v>
      </c>
      <c r="AP168" s="898" t="e">
        <f>IF(ISNUMBER(AP167),Tbl_Long_Hydro[[#This Row],[Volume elt]]+AP167,Tbl_Long_Hydro[[#This Row],[Volume elt]]*AO$4)</f>
        <v>#N/A</v>
      </c>
      <c r="AQ168" s="893" t="e">
        <f>IF(ISNUMBER(AQ167),Tbl_Long_Hydro[[#This Row],[Displacement]]*AQ$4,IF(ISNA(AQ167),NA(),0))</f>
        <v>#N/A</v>
      </c>
      <c r="AR168" s="900" t="e">
        <f>IF(ISNA(Tbl_Long_Hydro[[#This Row],[Draught]]),NA(),IFERROR(Tbl_Long_Hydro[[#This Row],[LX]]*B^3/12/Tbl_Long_Hydro[[#This Row],[Displacement]],0))</f>
        <v>#N/A</v>
      </c>
      <c r="AS168" s="903" t="e">
        <f>IF(ISNA(Tbl_Long_Hydro[[#This Row],[Draught]]),NA(),IFERROR((B*Tbl_Long_Hydro[[#This Row],[LX]]^3/12+(Tbl_Long_Hydro[[#This Row],[LCF]]-Tbl_Long_Hydro[[#This Row],[LCB]])*Tbl_Long_Hydro[[#This Row],[Waterplane area]]*Tbl_Long_Hydro[[#This Row],[LCF]]^2)/Tbl_Long_Hydro[[#This Row],[Displacement]],0))</f>
        <v>#N/A</v>
      </c>
      <c r="AT168" s="900" t="e">
        <f>Tbl_Long_Hydro[[#This Row],[Aft X]]+Tbl_Long_Hydro[[#This Row],[LX]]/2</f>
        <v>#N/A</v>
      </c>
      <c r="AU168" s="901" t="e">
        <f>IF(ISNUMBER(AU167),(AU167*AP167+Tbl_Long_Hydro[[#This Row],[X CoG elt]]*Tbl_Long_Hydro[[#This Row],[Volume elt]])/Tbl_Long_Hydro[[#This Row],[Displacement]],Tbl_Long_Hydro[[#This Row],[X CoG elt]])</f>
        <v>#N/A</v>
      </c>
      <c r="AV168" s="902" t="e">
        <f>IF(ISNA(Tbl_Long_Hydro[[#This Row],[Draught]]),NA(),0)</f>
        <v>#N/A</v>
      </c>
      <c r="AW168" s="876" t="e">
        <f>IF(ISNUMBER(AW167),(AW167*AP167+Tbl_Long_Hydro[[#This Row],[Z CoG elt]]*Tbl_Long_Hydro[[#This Row],[Volume elt]])/Tbl_Long_Hydro[[#This Row],[Displacement]],Tbl_Long_Hydro[[#This Row],[Z CoG elt]])</f>
        <v>#N/A</v>
      </c>
      <c r="AX168" s="899" t="e">
        <f>Tbl_Long_Hydro[[#This Row],[RMT]]+Tbl_Long_Hydro[[#This Row],[VCB]]</f>
        <v>#N/A</v>
      </c>
      <c r="AY168" s="904" t="e">
        <f>Tbl_Long_Hydro[[#This Row],[Displacement]]*Tbl_Long_Hydro[[#This Row],[RML]]/(100*Lpp)</f>
        <v>#N/A</v>
      </c>
      <c r="AZ168" s="956" t="e">
        <f>Tbl_Long_Hydro[[#This Row],[Draught]]</f>
        <v>#N/A</v>
      </c>
      <c r="BA168" s="959" t="e">
        <f>Tbl_Long_Hydro[[#This Row],[Displacement]]</f>
        <v>#N/A</v>
      </c>
      <c r="BB168" s="960" t="e">
        <f>Tbl_Long_Hydro[[#This Row],[Displac. SW]]</f>
        <v>#N/A</v>
      </c>
      <c r="BC168" s="964" t="e">
        <f>Tbl_Long_Hydro[[#This Row],[Waterplane area]]/100*$AQ$4</f>
        <v>#N/A</v>
      </c>
      <c r="BD168" s="961" t="e">
        <f>Tbl_Long_Hydro[[#This Row],[MCT]]</f>
        <v>#N/A</v>
      </c>
      <c r="BE168" s="962" t="e">
        <f>Tbl_Long_Hydro[[#This Row],[LCB]]</f>
        <v>#N/A</v>
      </c>
      <c r="BF168" s="962" t="e">
        <f>Tbl_Long_Hydro[[#This Row],[TCB]]</f>
        <v>#N/A</v>
      </c>
      <c r="BG168" s="962" t="e">
        <f>Tbl_Long_Hydro[[#This Row],[LCF]]</f>
        <v>#N/A</v>
      </c>
      <c r="BH168" s="963" t="e">
        <f>Tbl_Long_Hydro[[#This Row],[KMT]]</f>
        <v>#N/A</v>
      </c>
    </row>
    <row r="169" spans="11:60" x14ac:dyDescent="0.25">
      <c r="K169" s="156" t="e">
        <f t="shared" si="9"/>
        <v>#N/A</v>
      </c>
      <c r="L169" s="164" t="e">
        <f t="shared" si="10"/>
        <v>#N/A</v>
      </c>
      <c r="M169" s="262" t="e">
        <f>MATCH(Tbl_Long_Section[[#This Row],[X]],Tbl_Long_Definition[X],1)</f>
        <v>#N/A</v>
      </c>
      <c r="N169" s="262" t="e">
        <f>IF(Tbl_Long_Section[[#This Row],[Nline Prev]]&lt;COUNT(Tbl_Long_Definition[X]),Tbl_Long_Section[[#This Row],[Nline Prev]]+1,Tbl_Long_Section[[#This Row],[Nline Prev]])</f>
        <v>#N/A</v>
      </c>
      <c r="O169" s="162" t="e">
        <f>INDEX(Tbl_Long_Definition[X],Tbl_Long_Section[[#This Row],[Nline Prev]])</f>
        <v>#N/A</v>
      </c>
      <c r="P169" s="263" t="e">
        <f>INDEX(Tbl_Long_Definition[X],Tbl_Long_Section[[#This Row],[Nline Next]])</f>
        <v>#N/A</v>
      </c>
      <c r="Q169" s="160" t="e">
        <f>INDEX(Tbl_Long_Definition[H Deck-Bott.],Tbl_Long_Section[[#This Row],[Nline Prev]])</f>
        <v>#N/A</v>
      </c>
      <c r="R169" s="161" t="e">
        <f>INDEX(Tbl_Long_Definition[H Deck-Bott.],Tbl_Long_Section[[#This Row],[Nline Next]])</f>
        <v>#N/A</v>
      </c>
      <c r="S169"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69" s="8"/>
      <c r="V169" s="873" t="e">
        <f t="shared" si="12"/>
        <v>#N/A</v>
      </c>
      <c r="W169" s="885" t="e">
        <f>MATCH(Tbl_Long_Hydro[[#This Row],[Draught]],Tbl_Long_Definition[H k-bott],-1)</f>
        <v>#N/A</v>
      </c>
      <c r="X169"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69" s="886" t="e">
        <f>MATCH(Tbl_Long_Hydro[[#This Row],[Draught]],Tbl_Long_Definition[H k-bott],1)</f>
        <v>#N/A</v>
      </c>
      <c r="Z169"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69" s="888" t="e">
        <f>IF(ISNA(Tbl_Long_Hydro[[#This Row],[Draught]]),NA(),IFERROR(INDEX(Tbl_Long_Definition[X],Tbl_Long_Hydro[[#This Row],[Aft Nline prev]]),0))</f>
        <v>#N/A</v>
      </c>
      <c r="AB169" s="889" t="e">
        <f>IF(ISNA(Tbl_Long_Hydro[[#This Row],[Draught]]),NA(),IFERROR(INDEX(Tbl_Long_Definition[X],Tbl_Long_Hydro[[#This Row],[Aft Nline next]]),0))</f>
        <v>#N/A</v>
      </c>
      <c r="AC169" s="889" t="e">
        <f>IF(ISNA(Tbl_Long_Hydro[[#This Row],[Draught]]),NA(),INDEX(Tbl_Long_Definition[H k-bott],Tbl_Long_Hydro[[#This Row],[Aft Nline prev]]))</f>
        <v>#N/A</v>
      </c>
      <c r="AD169" s="889" t="e">
        <f>IF(ISNA(Tbl_Long_Hydro[[#This Row],[Draught]]),NA(),INDEX(Tbl_Long_Definition[H k-bott],Tbl_Long_Hydro[[#This Row],[Aft Nline next]]))</f>
        <v>#N/A</v>
      </c>
      <c r="AE169" s="888" t="e">
        <f>IF(ISNA(Tbl_Long_Hydro[[#This Row],[Draught]]),NA(),IFERROR(INDEX(Tbl_Long_Definition[X],Tbl_Long_Hydro[[#This Row],[Fore Nline prev]]),0))</f>
        <v>#N/A</v>
      </c>
      <c r="AF169" s="889" t="e">
        <f>IF(ISNA(Tbl_Long_Hydro[[#This Row],[Draught]]),NA(),IFERROR(INDEX(Tbl_Long_Definition[X],Tbl_Long_Hydro[[#This Row],[Fore Nline next]]),0))</f>
        <v>#N/A</v>
      </c>
      <c r="AG169" s="889" t="e">
        <f>IF(ISNA(Tbl_Long_Hydro[[#This Row],[Draught]]),NA(),INDEX(Tbl_Long_Definition[H k-bott],Tbl_Long_Hydro[[#This Row],[Fore Nline prev]]))</f>
        <v>#N/A</v>
      </c>
      <c r="AH169" s="890" t="e">
        <f>IF(ISNA(Tbl_Long_Hydro[[#This Row],[Draught]]),NA(),INDEX(Tbl_Long_Definition[H k-bott],Tbl_Long_Hydro[[#This Row],[Fore Nline next]]))</f>
        <v>#N/A</v>
      </c>
      <c r="AI169"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69"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69" s="894" t="e">
        <f>Tbl_Long_Hydro[[#This Row],[Fore X]]-Tbl_Long_Hydro[[#This Row],[Aft X]]</f>
        <v>#N/A</v>
      </c>
      <c r="AL169" s="884" t="e">
        <f>Tbl_Long_Hydro[[#This Row],[LX]]*B</f>
        <v>#N/A</v>
      </c>
      <c r="AM169" s="892" t="e">
        <f>IF(ISNUMBER(AM168),(AK168+Tbl_Long_Hydro[[#This Row],[LX]])*(Tbl_Long_Hydro[[#This Row],[Draught]]-V168)/2*B,(Tbl_Long_Hydro[[#This Row],[LX]])*Tbl_Long_Hydro[[#This Row],[Draught]]*B)</f>
        <v>#N/A</v>
      </c>
      <c r="AN169" s="899" t="e">
        <f>Tbl_Long_Hydro[[#This Row],[Aft X]]+Tbl_Long_Hydro[[#This Row],[LX]]/2</f>
        <v>#N/A</v>
      </c>
      <c r="AO169" s="876" t="e">
        <f>IF(ISNUMBER(AO168),(2*Tbl_Long_Hydro[[#This Row],[LX]]+AK168)/(Tbl_Long_Hydro[[#This Row],[LX]]+AK168)*(Tbl_Long_Hydro[[#This Row],[Draught]]-V168)/3+V168,Tbl_Long_Hydro[[#This Row],[Draught]]/2)</f>
        <v>#N/A</v>
      </c>
      <c r="AP169" s="898" t="e">
        <f>IF(ISNUMBER(AP168),Tbl_Long_Hydro[[#This Row],[Volume elt]]+AP168,Tbl_Long_Hydro[[#This Row],[Volume elt]]*AO$4)</f>
        <v>#N/A</v>
      </c>
      <c r="AQ169" s="893" t="e">
        <f>IF(ISNUMBER(AQ168),Tbl_Long_Hydro[[#This Row],[Displacement]]*AQ$4,IF(ISNA(AQ168),NA(),0))</f>
        <v>#N/A</v>
      </c>
      <c r="AR169" s="900" t="e">
        <f>IF(ISNA(Tbl_Long_Hydro[[#This Row],[Draught]]),NA(),IFERROR(Tbl_Long_Hydro[[#This Row],[LX]]*B^3/12/Tbl_Long_Hydro[[#This Row],[Displacement]],0))</f>
        <v>#N/A</v>
      </c>
      <c r="AS169" s="903" t="e">
        <f>IF(ISNA(Tbl_Long_Hydro[[#This Row],[Draught]]),NA(),IFERROR((B*Tbl_Long_Hydro[[#This Row],[LX]]^3/12+(Tbl_Long_Hydro[[#This Row],[LCF]]-Tbl_Long_Hydro[[#This Row],[LCB]])*Tbl_Long_Hydro[[#This Row],[Waterplane area]]*Tbl_Long_Hydro[[#This Row],[LCF]]^2)/Tbl_Long_Hydro[[#This Row],[Displacement]],0))</f>
        <v>#N/A</v>
      </c>
      <c r="AT169" s="900" t="e">
        <f>Tbl_Long_Hydro[[#This Row],[Aft X]]+Tbl_Long_Hydro[[#This Row],[LX]]/2</f>
        <v>#N/A</v>
      </c>
      <c r="AU169" s="901" t="e">
        <f>IF(ISNUMBER(AU168),(AU168*AP168+Tbl_Long_Hydro[[#This Row],[X CoG elt]]*Tbl_Long_Hydro[[#This Row],[Volume elt]])/Tbl_Long_Hydro[[#This Row],[Displacement]],Tbl_Long_Hydro[[#This Row],[X CoG elt]])</f>
        <v>#N/A</v>
      </c>
      <c r="AV169" s="902" t="e">
        <f>IF(ISNA(Tbl_Long_Hydro[[#This Row],[Draught]]),NA(),0)</f>
        <v>#N/A</v>
      </c>
      <c r="AW169" s="876" t="e">
        <f>IF(ISNUMBER(AW168),(AW168*AP168+Tbl_Long_Hydro[[#This Row],[Z CoG elt]]*Tbl_Long_Hydro[[#This Row],[Volume elt]])/Tbl_Long_Hydro[[#This Row],[Displacement]],Tbl_Long_Hydro[[#This Row],[Z CoG elt]])</f>
        <v>#N/A</v>
      </c>
      <c r="AX169" s="899" t="e">
        <f>Tbl_Long_Hydro[[#This Row],[RMT]]+Tbl_Long_Hydro[[#This Row],[VCB]]</f>
        <v>#N/A</v>
      </c>
      <c r="AY169" s="904" t="e">
        <f>Tbl_Long_Hydro[[#This Row],[Displacement]]*Tbl_Long_Hydro[[#This Row],[RML]]/(100*Lpp)</f>
        <v>#N/A</v>
      </c>
      <c r="AZ169" s="956" t="e">
        <f>Tbl_Long_Hydro[[#This Row],[Draught]]</f>
        <v>#N/A</v>
      </c>
      <c r="BA169" s="959" t="e">
        <f>Tbl_Long_Hydro[[#This Row],[Displacement]]</f>
        <v>#N/A</v>
      </c>
      <c r="BB169" s="960" t="e">
        <f>Tbl_Long_Hydro[[#This Row],[Displac. SW]]</f>
        <v>#N/A</v>
      </c>
      <c r="BC169" s="964" t="e">
        <f>Tbl_Long_Hydro[[#This Row],[Waterplane area]]/100*$AQ$4</f>
        <v>#N/A</v>
      </c>
      <c r="BD169" s="961" t="e">
        <f>Tbl_Long_Hydro[[#This Row],[MCT]]</f>
        <v>#N/A</v>
      </c>
      <c r="BE169" s="962" t="e">
        <f>Tbl_Long_Hydro[[#This Row],[LCB]]</f>
        <v>#N/A</v>
      </c>
      <c r="BF169" s="962" t="e">
        <f>Tbl_Long_Hydro[[#This Row],[TCB]]</f>
        <v>#N/A</v>
      </c>
      <c r="BG169" s="962" t="e">
        <f>Tbl_Long_Hydro[[#This Row],[LCF]]</f>
        <v>#N/A</v>
      </c>
      <c r="BH169" s="963" t="e">
        <f>Tbl_Long_Hydro[[#This Row],[KMT]]</f>
        <v>#N/A</v>
      </c>
    </row>
    <row r="170" spans="11:60" x14ac:dyDescent="0.25">
      <c r="K170" s="156" t="e">
        <f t="shared" si="9"/>
        <v>#N/A</v>
      </c>
      <c r="L170" s="164" t="e">
        <f t="shared" si="10"/>
        <v>#N/A</v>
      </c>
      <c r="M170" s="262" t="e">
        <f>MATCH(Tbl_Long_Section[[#This Row],[X]],Tbl_Long_Definition[X],1)</f>
        <v>#N/A</v>
      </c>
      <c r="N170" s="262" t="e">
        <f>IF(Tbl_Long_Section[[#This Row],[Nline Prev]]&lt;COUNT(Tbl_Long_Definition[X]),Tbl_Long_Section[[#This Row],[Nline Prev]]+1,Tbl_Long_Section[[#This Row],[Nline Prev]])</f>
        <v>#N/A</v>
      </c>
      <c r="O170" s="162" t="e">
        <f>INDEX(Tbl_Long_Definition[X],Tbl_Long_Section[[#This Row],[Nline Prev]])</f>
        <v>#N/A</v>
      </c>
      <c r="P170" s="263" t="e">
        <f>INDEX(Tbl_Long_Definition[X],Tbl_Long_Section[[#This Row],[Nline Next]])</f>
        <v>#N/A</v>
      </c>
      <c r="Q170" s="160" t="e">
        <f>INDEX(Tbl_Long_Definition[H Deck-Bott.],Tbl_Long_Section[[#This Row],[Nline Prev]])</f>
        <v>#N/A</v>
      </c>
      <c r="R170" s="161" t="e">
        <f>INDEX(Tbl_Long_Definition[H Deck-Bott.],Tbl_Long_Section[[#This Row],[Nline Next]])</f>
        <v>#N/A</v>
      </c>
      <c r="S170"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70" s="8"/>
      <c r="V170" s="873" t="e">
        <f t="shared" si="12"/>
        <v>#N/A</v>
      </c>
      <c r="W170" s="885" t="e">
        <f>MATCH(Tbl_Long_Hydro[[#This Row],[Draught]],Tbl_Long_Definition[H k-bott],-1)</f>
        <v>#N/A</v>
      </c>
      <c r="X170"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70" s="886" t="e">
        <f>MATCH(Tbl_Long_Hydro[[#This Row],[Draught]],Tbl_Long_Definition[H k-bott],1)</f>
        <v>#N/A</v>
      </c>
      <c r="Z170"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70" s="888" t="e">
        <f>IF(ISNA(Tbl_Long_Hydro[[#This Row],[Draught]]),NA(),IFERROR(INDEX(Tbl_Long_Definition[X],Tbl_Long_Hydro[[#This Row],[Aft Nline prev]]),0))</f>
        <v>#N/A</v>
      </c>
      <c r="AB170" s="889" t="e">
        <f>IF(ISNA(Tbl_Long_Hydro[[#This Row],[Draught]]),NA(),IFERROR(INDEX(Tbl_Long_Definition[X],Tbl_Long_Hydro[[#This Row],[Aft Nline next]]),0))</f>
        <v>#N/A</v>
      </c>
      <c r="AC170" s="889" t="e">
        <f>IF(ISNA(Tbl_Long_Hydro[[#This Row],[Draught]]),NA(),INDEX(Tbl_Long_Definition[H k-bott],Tbl_Long_Hydro[[#This Row],[Aft Nline prev]]))</f>
        <v>#N/A</v>
      </c>
      <c r="AD170" s="889" t="e">
        <f>IF(ISNA(Tbl_Long_Hydro[[#This Row],[Draught]]),NA(),INDEX(Tbl_Long_Definition[H k-bott],Tbl_Long_Hydro[[#This Row],[Aft Nline next]]))</f>
        <v>#N/A</v>
      </c>
      <c r="AE170" s="888" t="e">
        <f>IF(ISNA(Tbl_Long_Hydro[[#This Row],[Draught]]),NA(),IFERROR(INDEX(Tbl_Long_Definition[X],Tbl_Long_Hydro[[#This Row],[Fore Nline prev]]),0))</f>
        <v>#N/A</v>
      </c>
      <c r="AF170" s="889" t="e">
        <f>IF(ISNA(Tbl_Long_Hydro[[#This Row],[Draught]]),NA(),IFERROR(INDEX(Tbl_Long_Definition[X],Tbl_Long_Hydro[[#This Row],[Fore Nline next]]),0))</f>
        <v>#N/A</v>
      </c>
      <c r="AG170" s="889" t="e">
        <f>IF(ISNA(Tbl_Long_Hydro[[#This Row],[Draught]]),NA(),INDEX(Tbl_Long_Definition[H k-bott],Tbl_Long_Hydro[[#This Row],[Fore Nline prev]]))</f>
        <v>#N/A</v>
      </c>
      <c r="AH170" s="890" t="e">
        <f>IF(ISNA(Tbl_Long_Hydro[[#This Row],[Draught]]),NA(),INDEX(Tbl_Long_Definition[H k-bott],Tbl_Long_Hydro[[#This Row],[Fore Nline next]]))</f>
        <v>#N/A</v>
      </c>
      <c r="AI170"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70"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70" s="894" t="e">
        <f>Tbl_Long_Hydro[[#This Row],[Fore X]]-Tbl_Long_Hydro[[#This Row],[Aft X]]</f>
        <v>#N/A</v>
      </c>
      <c r="AL170" s="884" t="e">
        <f>Tbl_Long_Hydro[[#This Row],[LX]]*B</f>
        <v>#N/A</v>
      </c>
      <c r="AM170" s="892" t="e">
        <f>IF(ISNUMBER(AM169),(AK169+Tbl_Long_Hydro[[#This Row],[LX]])*(Tbl_Long_Hydro[[#This Row],[Draught]]-V169)/2*B,(Tbl_Long_Hydro[[#This Row],[LX]])*Tbl_Long_Hydro[[#This Row],[Draught]]*B)</f>
        <v>#N/A</v>
      </c>
      <c r="AN170" s="899" t="e">
        <f>Tbl_Long_Hydro[[#This Row],[Aft X]]+Tbl_Long_Hydro[[#This Row],[LX]]/2</f>
        <v>#N/A</v>
      </c>
      <c r="AO170" s="876" t="e">
        <f>IF(ISNUMBER(AO169),(2*Tbl_Long_Hydro[[#This Row],[LX]]+AK169)/(Tbl_Long_Hydro[[#This Row],[LX]]+AK169)*(Tbl_Long_Hydro[[#This Row],[Draught]]-V169)/3+V169,Tbl_Long_Hydro[[#This Row],[Draught]]/2)</f>
        <v>#N/A</v>
      </c>
      <c r="AP170" s="898" t="e">
        <f>IF(ISNUMBER(AP169),Tbl_Long_Hydro[[#This Row],[Volume elt]]+AP169,Tbl_Long_Hydro[[#This Row],[Volume elt]]*AO$4)</f>
        <v>#N/A</v>
      </c>
      <c r="AQ170" s="893" t="e">
        <f>IF(ISNUMBER(AQ169),Tbl_Long_Hydro[[#This Row],[Displacement]]*AQ$4,IF(ISNA(AQ169),NA(),0))</f>
        <v>#N/A</v>
      </c>
      <c r="AR170" s="900" t="e">
        <f>IF(ISNA(Tbl_Long_Hydro[[#This Row],[Draught]]),NA(),IFERROR(Tbl_Long_Hydro[[#This Row],[LX]]*B^3/12/Tbl_Long_Hydro[[#This Row],[Displacement]],0))</f>
        <v>#N/A</v>
      </c>
      <c r="AS170" s="903" t="e">
        <f>IF(ISNA(Tbl_Long_Hydro[[#This Row],[Draught]]),NA(),IFERROR((B*Tbl_Long_Hydro[[#This Row],[LX]]^3/12+(Tbl_Long_Hydro[[#This Row],[LCF]]-Tbl_Long_Hydro[[#This Row],[LCB]])*Tbl_Long_Hydro[[#This Row],[Waterplane area]]*Tbl_Long_Hydro[[#This Row],[LCF]]^2)/Tbl_Long_Hydro[[#This Row],[Displacement]],0))</f>
        <v>#N/A</v>
      </c>
      <c r="AT170" s="900" t="e">
        <f>Tbl_Long_Hydro[[#This Row],[Aft X]]+Tbl_Long_Hydro[[#This Row],[LX]]/2</f>
        <v>#N/A</v>
      </c>
      <c r="AU170" s="901" t="e">
        <f>IF(ISNUMBER(AU169),(AU169*AP169+Tbl_Long_Hydro[[#This Row],[X CoG elt]]*Tbl_Long_Hydro[[#This Row],[Volume elt]])/Tbl_Long_Hydro[[#This Row],[Displacement]],Tbl_Long_Hydro[[#This Row],[X CoG elt]])</f>
        <v>#N/A</v>
      </c>
      <c r="AV170" s="902" t="e">
        <f>IF(ISNA(Tbl_Long_Hydro[[#This Row],[Draught]]),NA(),0)</f>
        <v>#N/A</v>
      </c>
      <c r="AW170" s="876" t="e">
        <f>IF(ISNUMBER(AW169),(AW169*AP169+Tbl_Long_Hydro[[#This Row],[Z CoG elt]]*Tbl_Long_Hydro[[#This Row],[Volume elt]])/Tbl_Long_Hydro[[#This Row],[Displacement]],Tbl_Long_Hydro[[#This Row],[Z CoG elt]])</f>
        <v>#N/A</v>
      </c>
      <c r="AX170" s="899" t="e">
        <f>Tbl_Long_Hydro[[#This Row],[RMT]]+Tbl_Long_Hydro[[#This Row],[VCB]]</f>
        <v>#N/A</v>
      </c>
      <c r="AY170" s="904" t="e">
        <f>Tbl_Long_Hydro[[#This Row],[Displacement]]*Tbl_Long_Hydro[[#This Row],[RML]]/(100*Lpp)</f>
        <v>#N/A</v>
      </c>
      <c r="AZ170" s="956" t="e">
        <f>Tbl_Long_Hydro[[#This Row],[Draught]]</f>
        <v>#N/A</v>
      </c>
      <c r="BA170" s="959" t="e">
        <f>Tbl_Long_Hydro[[#This Row],[Displacement]]</f>
        <v>#N/A</v>
      </c>
      <c r="BB170" s="960" t="e">
        <f>Tbl_Long_Hydro[[#This Row],[Displac. SW]]</f>
        <v>#N/A</v>
      </c>
      <c r="BC170" s="964" t="e">
        <f>Tbl_Long_Hydro[[#This Row],[Waterplane area]]/100*$AQ$4</f>
        <v>#N/A</v>
      </c>
      <c r="BD170" s="961" t="e">
        <f>Tbl_Long_Hydro[[#This Row],[MCT]]</f>
        <v>#N/A</v>
      </c>
      <c r="BE170" s="962" t="e">
        <f>Tbl_Long_Hydro[[#This Row],[LCB]]</f>
        <v>#N/A</v>
      </c>
      <c r="BF170" s="962" t="e">
        <f>Tbl_Long_Hydro[[#This Row],[TCB]]</f>
        <v>#N/A</v>
      </c>
      <c r="BG170" s="962" t="e">
        <f>Tbl_Long_Hydro[[#This Row],[LCF]]</f>
        <v>#N/A</v>
      </c>
      <c r="BH170" s="963" t="e">
        <f>Tbl_Long_Hydro[[#This Row],[KMT]]</f>
        <v>#N/A</v>
      </c>
    </row>
    <row r="171" spans="11:60" x14ac:dyDescent="0.25">
      <c r="K171" s="156" t="e">
        <f t="shared" si="9"/>
        <v>#N/A</v>
      </c>
      <c r="L171" s="164" t="e">
        <f t="shared" si="10"/>
        <v>#N/A</v>
      </c>
      <c r="M171" s="262" t="e">
        <f>MATCH(Tbl_Long_Section[[#This Row],[X]],Tbl_Long_Definition[X],1)</f>
        <v>#N/A</v>
      </c>
      <c r="N171" s="262" t="e">
        <f>IF(Tbl_Long_Section[[#This Row],[Nline Prev]]&lt;COUNT(Tbl_Long_Definition[X]),Tbl_Long_Section[[#This Row],[Nline Prev]]+1,Tbl_Long_Section[[#This Row],[Nline Prev]])</f>
        <v>#N/A</v>
      </c>
      <c r="O171" s="162" t="e">
        <f>INDEX(Tbl_Long_Definition[X],Tbl_Long_Section[[#This Row],[Nline Prev]])</f>
        <v>#N/A</v>
      </c>
      <c r="P171" s="263" t="e">
        <f>INDEX(Tbl_Long_Definition[X],Tbl_Long_Section[[#This Row],[Nline Next]])</f>
        <v>#N/A</v>
      </c>
      <c r="Q171" s="160" t="e">
        <f>INDEX(Tbl_Long_Definition[H Deck-Bott.],Tbl_Long_Section[[#This Row],[Nline Prev]])</f>
        <v>#N/A</v>
      </c>
      <c r="R171" s="161" t="e">
        <f>INDEX(Tbl_Long_Definition[H Deck-Bott.],Tbl_Long_Section[[#This Row],[Nline Next]])</f>
        <v>#N/A</v>
      </c>
      <c r="S171"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71" s="8"/>
      <c r="V171" s="873" t="e">
        <f t="shared" si="12"/>
        <v>#N/A</v>
      </c>
      <c r="W171" s="885" t="e">
        <f>MATCH(Tbl_Long_Hydro[[#This Row],[Draught]],Tbl_Long_Definition[H k-bott],-1)</f>
        <v>#N/A</v>
      </c>
      <c r="X171"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71" s="886" t="e">
        <f>MATCH(Tbl_Long_Hydro[[#This Row],[Draught]],Tbl_Long_Definition[H k-bott],1)</f>
        <v>#N/A</v>
      </c>
      <c r="Z171"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71" s="888" t="e">
        <f>IF(ISNA(Tbl_Long_Hydro[[#This Row],[Draught]]),NA(),IFERROR(INDEX(Tbl_Long_Definition[X],Tbl_Long_Hydro[[#This Row],[Aft Nline prev]]),0))</f>
        <v>#N/A</v>
      </c>
      <c r="AB171" s="889" t="e">
        <f>IF(ISNA(Tbl_Long_Hydro[[#This Row],[Draught]]),NA(),IFERROR(INDEX(Tbl_Long_Definition[X],Tbl_Long_Hydro[[#This Row],[Aft Nline next]]),0))</f>
        <v>#N/A</v>
      </c>
      <c r="AC171" s="889" t="e">
        <f>IF(ISNA(Tbl_Long_Hydro[[#This Row],[Draught]]),NA(),INDEX(Tbl_Long_Definition[H k-bott],Tbl_Long_Hydro[[#This Row],[Aft Nline prev]]))</f>
        <v>#N/A</v>
      </c>
      <c r="AD171" s="889" t="e">
        <f>IF(ISNA(Tbl_Long_Hydro[[#This Row],[Draught]]),NA(),INDEX(Tbl_Long_Definition[H k-bott],Tbl_Long_Hydro[[#This Row],[Aft Nline next]]))</f>
        <v>#N/A</v>
      </c>
      <c r="AE171" s="888" t="e">
        <f>IF(ISNA(Tbl_Long_Hydro[[#This Row],[Draught]]),NA(),IFERROR(INDEX(Tbl_Long_Definition[X],Tbl_Long_Hydro[[#This Row],[Fore Nline prev]]),0))</f>
        <v>#N/A</v>
      </c>
      <c r="AF171" s="889" t="e">
        <f>IF(ISNA(Tbl_Long_Hydro[[#This Row],[Draught]]),NA(),IFERROR(INDEX(Tbl_Long_Definition[X],Tbl_Long_Hydro[[#This Row],[Fore Nline next]]),0))</f>
        <v>#N/A</v>
      </c>
      <c r="AG171" s="889" t="e">
        <f>IF(ISNA(Tbl_Long_Hydro[[#This Row],[Draught]]),NA(),INDEX(Tbl_Long_Definition[H k-bott],Tbl_Long_Hydro[[#This Row],[Fore Nline prev]]))</f>
        <v>#N/A</v>
      </c>
      <c r="AH171" s="890" t="e">
        <f>IF(ISNA(Tbl_Long_Hydro[[#This Row],[Draught]]),NA(),INDEX(Tbl_Long_Definition[H k-bott],Tbl_Long_Hydro[[#This Row],[Fore Nline next]]))</f>
        <v>#N/A</v>
      </c>
      <c r="AI171"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71"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71" s="894" t="e">
        <f>Tbl_Long_Hydro[[#This Row],[Fore X]]-Tbl_Long_Hydro[[#This Row],[Aft X]]</f>
        <v>#N/A</v>
      </c>
      <c r="AL171" s="884" t="e">
        <f>Tbl_Long_Hydro[[#This Row],[LX]]*B</f>
        <v>#N/A</v>
      </c>
      <c r="AM171" s="892" t="e">
        <f>IF(ISNUMBER(AM170),(AK170+Tbl_Long_Hydro[[#This Row],[LX]])*(Tbl_Long_Hydro[[#This Row],[Draught]]-V170)/2*B,(Tbl_Long_Hydro[[#This Row],[LX]])*Tbl_Long_Hydro[[#This Row],[Draught]]*B)</f>
        <v>#N/A</v>
      </c>
      <c r="AN171" s="899" t="e">
        <f>Tbl_Long_Hydro[[#This Row],[Aft X]]+Tbl_Long_Hydro[[#This Row],[LX]]/2</f>
        <v>#N/A</v>
      </c>
      <c r="AO171" s="876" t="e">
        <f>IF(ISNUMBER(AO170),(2*Tbl_Long_Hydro[[#This Row],[LX]]+AK170)/(Tbl_Long_Hydro[[#This Row],[LX]]+AK170)*(Tbl_Long_Hydro[[#This Row],[Draught]]-V170)/3+V170,Tbl_Long_Hydro[[#This Row],[Draught]]/2)</f>
        <v>#N/A</v>
      </c>
      <c r="AP171" s="898" t="e">
        <f>IF(ISNUMBER(AP170),Tbl_Long_Hydro[[#This Row],[Volume elt]]+AP170,Tbl_Long_Hydro[[#This Row],[Volume elt]]*AO$4)</f>
        <v>#N/A</v>
      </c>
      <c r="AQ171" s="893" t="e">
        <f>IF(ISNUMBER(AQ170),Tbl_Long_Hydro[[#This Row],[Displacement]]*AQ$4,IF(ISNA(AQ170),NA(),0))</f>
        <v>#N/A</v>
      </c>
      <c r="AR171" s="900" t="e">
        <f>IF(ISNA(Tbl_Long_Hydro[[#This Row],[Draught]]),NA(),IFERROR(Tbl_Long_Hydro[[#This Row],[LX]]*B^3/12/Tbl_Long_Hydro[[#This Row],[Displacement]],0))</f>
        <v>#N/A</v>
      </c>
      <c r="AS171" s="903" t="e">
        <f>IF(ISNA(Tbl_Long_Hydro[[#This Row],[Draught]]),NA(),IFERROR((B*Tbl_Long_Hydro[[#This Row],[LX]]^3/12+(Tbl_Long_Hydro[[#This Row],[LCF]]-Tbl_Long_Hydro[[#This Row],[LCB]])*Tbl_Long_Hydro[[#This Row],[Waterplane area]]*Tbl_Long_Hydro[[#This Row],[LCF]]^2)/Tbl_Long_Hydro[[#This Row],[Displacement]],0))</f>
        <v>#N/A</v>
      </c>
      <c r="AT171" s="900" t="e">
        <f>Tbl_Long_Hydro[[#This Row],[Aft X]]+Tbl_Long_Hydro[[#This Row],[LX]]/2</f>
        <v>#N/A</v>
      </c>
      <c r="AU171" s="901" t="e">
        <f>IF(ISNUMBER(AU170),(AU170*AP170+Tbl_Long_Hydro[[#This Row],[X CoG elt]]*Tbl_Long_Hydro[[#This Row],[Volume elt]])/Tbl_Long_Hydro[[#This Row],[Displacement]],Tbl_Long_Hydro[[#This Row],[X CoG elt]])</f>
        <v>#N/A</v>
      </c>
      <c r="AV171" s="902" t="e">
        <f>IF(ISNA(Tbl_Long_Hydro[[#This Row],[Draught]]),NA(),0)</f>
        <v>#N/A</v>
      </c>
      <c r="AW171" s="876" t="e">
        <f>IF(ISNUMBER(AW170),(AW170*AP170+Tbl_Long_Hydro[[#This Row],[Z CoG elt]]*Tbl_Long_Hydro[[#This Row],[Volume elt]])/Tbl_Long_Hydro[[#This Row],[Displacement]],Tbl_Long_Hydro[[#This Row],[Z CoG elt]])</f>
        <v>#N/A</v>
      </c>
      <c r="AX171" s="899" t="e">
        <f>Tbl_Long_Hydro[[#This Row],[RMT]]+Tbl_Long_Hydro[[#This Row],[VCB]]</f>
        <v>#N/A</v>
      </c>
      <c r="AY171" s="904" t="e">
        <f>Tbl_Long_Hydro[[#This Row],[Displacement]]*Tbl_Long_Hydro[[#This Row],[RML]]/(100*Lpp)</f>
        <v>#N/A</v>
      </c>
      <c r="AZ171" s="956" t="e">
        <f>Tbl_Long_Hydro[[#This Row],[Draught]]</f>
        <v>#N/A</v>
      </c>
      <c r="BA171" s="959" t="e">
        <f>Tbl_Long_Hydro[[#This Row],[Displacement]]</f>
        <v>#N/A</v>
      </c>
      <c r="BB171" s="960" t="e">
        <f>Tbl_Long_Hydro[[#This Row],[Displac. SW]]</f>
        <v>#N/A</v>
      </c>
      <c r="BC171" s="964" t="e">
        <f>Tbl_Long_Hydro[[#This Row],[Waterplane area]]/100*$AQ$4</f>
        <v>#N/A</v>
      </c>
      <c r="BD171" s="961" t="e">
        <f>Tbl_Long_Hydro[[#This Row],[MCT]]</f>
        <v>#N/A</v>
      </c>
      <c r="BE171" s="962" t="e">
        <f>Tbl_Long_Hydro[[#This Row],[LCB]]</f>
        <v>#N/A</v>
      </c>
      <c r="BF171" s="962" t="e">
        <f>Tbl_Long_Hydro[[#This Row],[TCB]]</f>
        <v>#N/A</v>
      </c>
      <c r="BG171" s="962" t="e">
        <f>Tbl_Long_Hydro[[#This Row],[LCF]]</f>
        <v>#N/A</v>
      </c>
      <c r="BH171" s="963" t="e">
        <f>Tbl_Long_Hydro[[#This Row],[KMT]]</f>
        <v>#N/A</v>
      </c>
    </row>
    <row r="172" spans="11:60" x14ac:dyDescent="0.25">
      <c r="K172" s="156" t="e">
        <f t="shared" si="9"/>
        <v>#N/A</v>
      </c>
      <c r="L172" s="164" t="e">
        <f t="shared" si="10"/>
        <v>#N/A</v>
      </c>
      <c r="M172" s="262" t="e">
        <f>MATCH(Tbl_Long_Section[[#This Row],[X]],Tbl_Long_Definition[X],1)</f>
        <v>#N/A</v>
      </c>
      <c r="N172" s="262" t="e">
        <f>IF(Tbl_Long_Section[[#This Row],[Nline Prev]]&lt;COUNT(Tbl_Long_Definition[X]),Tbl_Long_Section[[#This Row],[Nline Prev]]+1,Tbl_Long_Section[[#This Row],[Nline Prev]])</f>
        <v>#N/A</v>
      </c>
      <c r="O172" s="162" t="e">
        <f>INDEX(Tbl_Long_Definition[X],Tbl_Long_Section[[#This Row],[Nline Prev]])</f>
        <v>#N/A</v>
      </c>
      <c r="P172" s="263" t="e">
        <f>INDEX(Tbl_Long_Definition[X],Tbl_Long_Section[[#This Row],[Nline Next]])</f>
        <v>#N/A</v>
      </c>
      <c r="Q172" s="160" t="e">
        <f>INDEX(Tbl_Long_Definition[H Deck-Bott.],Tbl_Long_Section[[#This Row],[Nline Prev]])</f>
        <v>#N/A</v>
      </c>
      <c r="R172" s="161" t="e">
        <f>INDEX(Tbl_Long_Definition[H Deck-Bott.],Tbl_Long_Section[[#This Row],[Nline Next]])</f>
        <v>#N/A</v>
      </c>
      <c r="S172"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72" s="8"/>
      <c r="V172" s="873" t="e">
        <f t="shared" si="12"/>
        <v>#N/A</v>
      </c>
      <c r="W172" s="885" t="e">
        <f>MATCH(Tbl_Long_Hydro[[#This Row],[Draught]],Tbl_Long_Definition[H k-bott],-1)</f>
        <v>#N/A</v>
      </c>
      <c r="X172"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72" s="886" t="e">
        <f>MATCH(Tbl_Long_Hydro[[#This Row],[Draught]],Tbl_Long_Definition[H k-bott],1)</f>
        <v>#N/A</v>
      </c>
      <c r="Z172"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72" s="888" t="e">
        <f>IF(ISNA(Tbl_Long_Hydro[[#This Row],[Draught]]),NA(),IFERROR(INDEX(Tbl_Long_Definition[X],Tbl_Long_Hydro[[#This Row],[Aft Nline prev]]),0))</f>
        <v>#N/A</v>
      </c>
      <c r="AB172" s="889" t="e">
        <f>IF(ISNA(Tbl_Long_Hydro[[#This Row],[Draught]]),NA(),IFERROR(INDEX(Tbl_Long_Definition[X],Tbl_Long_Hydro[[#This Row],[Aft Nline next]]),0))</f>
        <v>#N/A</v>
      </c>
      <c r="AC172" s="889" t="e">
        <f>IF(ISNA(Tbl_Long_Hydro[[#This Row],[Draught]]),NA(),INDEX(Tbl_Long_Definition[H k-bott],Tbl_Long_Hydro[[#This Row],[Aft Nline prev]]))</f>
        <v>#N/A</v>
      </c>
      <c r="AD172" s="889" t="e">
        <f>IF(ISNA(Tbl_Long_Hydro[[#This Row],[Draught]]),NA(),INDEX(Tbl_Long_Definition[H k-bott],Tbl_Long_Hydro[[#This Row],[Aft Nline next]]))</f>
        <v>#N/A</v>
      </c>
      <c r="AE172" s="888" t="e">
        <f>IF(ISNA(Tbl_Long_Hydro[[#This Row],[Draught]]),NA(),IFERROR(INDEX(Tbl_Long_Definition[X],Tbl_Long_Hydro[[#This Row],[Fore Nline prev]]),0))</f>
        <v>#N/A</v>
      </c>
      <c r="AF172" s="889" t="e">
        <f>IF(ISNA(Tbl_Long_Hydro[[#This Row],[Draught]]),NA(),IFERROR(INDEX(Tbl_Long_Definition[X],Tbl_Long_Hydro[[#This Row],[Fore Nline next]]),0))</f>
        <v>#N/A</v>
      </c>
      <c r="AG172" s="889" t="e">
        <f>IF(ISNA(Tbl_Long_Hydro[[#This Row],[Draught]]),NA(),INDEX(Tbl_Long_Definition[H k-bott],Tbl_Long_Hydro[[#This Row],[Fore Nline prev]]))</f>
        <v>#N/A</v>
      </c>
      <c r="AH172" s="890" t="e">
        <f>IF(ISNA(Tbl_Long_Hydro[[#This Row],[Draught]]),NA(),INDEX(Tbl_Long_Definition[H k-bott],Tbl_Long_Hydro[[#This Row],[Fore Nline next]]))</f>
        <v>#N/A</v>
      </c>
      <c r="AI172"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72"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72" s="894" t="e">
        <f>Tbl_Long_Hydro[[#This Row],[Fore X]]-Tbl_Long_Hydro[[#This Row],[Aft X]]</f>
        <v>#N/A</v>
      </c>
      <c r="AL172" s="884" t="e">
        <f>Tbl_Long_Hydro[[#This Row],[LX]]*B</f>
        <v>#N/A</v>
      </c>
      <c r="AM172" s="892" t="e">
        <f>IF(ISNUMBER(AM171),(AK171+Tbl_Long_Hydro[[#This Row],[LX]])*(Tbl_Long_Hydro[[#This Row],[Draught]]-V171)/2*B,(Tbl_Long_Hydro[[#This Row],[LX]])*Tbl_Long_Hydro[[#This Row],[Draught]]*B)</f>
        <v>#N/A</v>
      </c>
      <c r="AN172" s="899" t="e">
        <f>Tbl_Long_Hydro[[#This Row],[Aft X]]+Tbl_Long_Hydro[[#This Row],[LX]]/2</f>
        <v>#N/A</v>
      </c>
      <c r="AO172" s="876" t="e">
        <f>IF(ISNUMBER(AO171),(2*Tbl_Long_Hydro[[#This Row],[LX]]+AK171)/(Tbl_Long_Hydro[[#This Row],[LX]]+AK171)*(Tbl_Long_Hydro[[#This Row],[Draught]]-V171)/3+V171,Tbl_Long_Hydro[[#This Row],[Draught]]/2)</f>
        <v>#N/A</v>
      </c>
      <c r="AP172" s="898" t="e">
        <f>IF(ISNUMBER(AP171),Tbl_Long_Hydro[[#This Row],[Volume elt]]+AP171,Tbl_Long_Hydro[[#This Row],[Volume elt]]*AO$4)</f>
        <v>#N/A</v>
      </c>
      <c r="AQ172" s="893" t="e">
        <f>IF(ISNUMBER(AQ171),Tbl_Long_Hydro[[#This Row],[Displacement]]*AQ$4,IF(ISNA(AQ171),NA(),0))</f>
        <v>#N/A</v>
      </c>
      <c r="AR172" s="900" t="e">
        <f>IF(ISNA(Tbl_Long_Hydro[[#This Row],[Draught]]),NA(),IFERROR(Tbl_Long_Hydro[[#This Row],[LX]]*B^3/12/Tbl_Long_Hydro[[#This Row],[Displacement]],0))</f>
        <v>#N/A</v>
      </c>
      <c r="AS172" s="903" t="e">
        <f>IF(ISNA(Tbl_Long_Hydro[[#This Row],[Draught]]),NA(),IFERROR((B*Tbl_Long_Hydro[[#This Row],[LX]]^3/12+(Tbl_Long_Hydro[[#This Row],[LCF]]-Tbl_Long_Hydro[[#This Row],[LCB]])*Tbl_Long_Hydro[[#This Row],[Waterplane area]]*Tbl_Long_Hydro[[#This Row],[LCF]]^2)/Tbl_Long_Hydro[[#This Row],[Displacement]],0))</f>
        <v>#N/A</v>
      </c>
      <c r="AT172" s="900" t="e">
        <f>Tbl_Long_Hydro[[#This Row],[Aft X]]+Tbl_Long_Hydro[[#This Row],[LX]]/2</f>
        <v>#N/A</v>
      </c>
      <c r="AU172" s="901" t="e">
        <f>IF(ISNUMBER(AU171),(AU171*AP171+Tbl_Long_Hydro[[#This Row],[X CoG elt]]*Tbl_Long_Hydro[[#This Row],[Volume elt]])/Tbl_Long_Hydro[[#This Row],[Displacement]],Tbl_Long_Hydro[[#This Row],[X CoG elt]])</f>
        <v>#N/A</v>
      </c>
      <c r="AV172" s="902" t="e">
        <f>IF(ISNA(Tbl_Long_Hydro[[#This Row],[Draught]]),NA(),0)</f>
        <v>#N/A</v>
      </c>
      <c r="AW172" s="876" t="e">
        <f>IF(ISNUMBER(AW171),(AW171*AP171+Tbl_Long_Hydro[[#This Row],[Z CoG elt]]*Tbl_Long_Hydro[[#This Row],[Volume elt]])/Tbl_Long_Hydro[[#This Row],[Displacement]],Tbl_Long_Hydro[[#This Row],[Z CoG elt]])</f>
        <v>#N/A</v>
      </c>
      <c r="AX172" s="899" t="e">
        <f>Tbl_Long_Hydro[[#This Row],[RMT]]+Tbl_Long_Hydro[[#This Row],[VCB]]</f>
        <v>#N/A</v>
      </c>
      <c r="AY172" s="904" t="e">
        <f>Tbl_Long_Hydro[[#This Row],[Displacement]]*Tbl_Long_Hydro[[#This Row],[RML]]/(100*Lpp)</f>
        <v>#N/A</v>
      </c>
      <c r="AZ172" s="956" t="e">
        <f>Tbl_Long_Hydro[[#This Row],[Draught]]</f>
        <v>#N/A</v>
      </c>
      <c r="BA172" s="959" t="e">
        <f>Tbl_Long_Hydro[[#This Row],[Displacement]]</f>
        <v>#N/A</v>
      </c>
      <c r="BB172" s="960" t="e">
        <f>Tbl_Long_Hydro[[#This Row],[Displac. SW]]</f>
        <v>#N/A</v>
      </c>
      <c r="BC172" s="964" t="e">
        <f>Tbl_Long_Hydro[[#This Row],[Waterplane area]]/100*$AQ$4</f>
        <v>#N/A</v>
      </c>
      <c r="BD172" s="961" t="e">
        <f>Tbl_Long_Hydro[[#This Row],[MCT]]</f>
        <v>#N/A</v>
      </c>
      <c r="BE172" s="962" t="e">
        <f>Tbl_Long_Hydro[[#This Row],[LCB]]</f>
        <v>#N/A</v>
      </c>
      <c r="BF172" s="962" t="e">
        <f>Tbl_Long_Hydro[[#This Row],[TCB]]</f>
        <v>#N/A</v>
      </c>
      <c r="BG172" s="962" t="e">
        <f>Tbl_Long_Hydro[[#This Row],[LCF]]</f>
        <v>#N/A</v>
      </c>
      <c r="BH172" s="963" t="e">
        <f>Tbl_Long_Hydro[[#This Row],[KMT]]</f>
        <v>#N/A</v>
      </c>
    </row>
    <row r="173" spans="11:60" x14ac:dyDescent="0.25">
      <c r="K173" s="156" t="e">
        <f t="shared" si="9"/>
        <v>#N/A</v>
      </c>
      <c r="L173" s="164" t="e">
        <f t="shared" si="10"/>
        <v>#N/A</v>
      </c>
      <c r="M173" s="262" t="e">
        <f>MATCH(Tbl_Long_Section[[#This Row],[X]],Tbl_Long_Definition[X],1)</f>
        <v>#N/A</v>
      </c>
      <c r="N173" s="262" t="e">
        <f>IF(Tbl_Long_Section[[#This Row],[Nline Prev]]&lt;COUNT(Tbl_Long_Definition[X]),Tbl_Long_Section[[#This Row],[Nline Prev]]+1,Tbl_Long_Section[[#This Row],[Nline Prev]])</f>
        <v>#N/A</v>
      </c>
      <c r="O173" s="162" t="e">
        <f>INDEX(Tbl_Long_Definition[X],Tbl_Long_Section[[#This Row],[Nline Prev]])</f>
        <v>#N/A</v>
      </c>
      <c r="P173" s="263" t="e">
        <f>INDEX(Tbl_Long_Definition[X],Tbl_Long_Section[[#This Row],[Nline Next]])</f>
        <v>#N/A</v>
      </c>
      <c r="Q173" s="160" t="e">
        <f>INDEX(Tbl_Long_Definition[H Deck-Bott.],Tbl_Long_Section[[#This Row],[Nline Prev]])</f>
        <v>#N/A</v>
      </c>
      <c r="R173" s="161" t="e">
        <f>INDEX(Tbl_Long_Definition[H Deck-Bott.],Tbl_Long_Section[[#This Row],[Nline Next]])</f>
        <v>#N/A</v>
      </c>
      <c r="S173"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73" s="8"/>
      <c r="V173" s="873" t="e">
        <f t="shared" si="12"/>
        <v>#N/A</v>
      </c>
      <c r="W173" s="885" t="e">
        <f>MATCH(Tbl_Long_Hydro[[#This Row],[Draught]],Tbl_Long_Definition[H k-bott],-1)</f>
        <v>#N/A</v>
      </c>
      <c r="X173"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73" s="886" t="e">
        <f>MATCH(Tbl_Long_Hydro[[#This Row],[Draught]],Tbl_Long_Definition[H k-bott],1)</f>
        <v>#N/A</v>
      </c>
      <c r="Z173"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73" s="888" t="e">
        <f>IF(ISNA(Tbl_Long_Hydro[[#This Row],[Draught]]),NA(),IFERROR(INDEX(Tbl_Long_Definition[X],Tbl_Long_Hydro[[#This Row],[Aft Nline prev]]),0))</f>
        <v>#N/A</v>
      </c>
      <c r="AB173" s="889" t="e">
        <f>IF(ISNA(Tbl_Long_Hydro[[#This Row],[Draught]]),NA(),IFERROR(INDEX(Tbl_Long_Definition[X],Tbl_Long_Hydro[[#This Row],[Aft Nline next]]),0))</f>
        <v>#N/A</v>
      </c>
      <c r="AC173" s="889" t="e">
        <f>IF(ISNA(Tbl_Long_Hydro[[#This Row],[Draught]]),NA(),INDEX(Tbl_Long_Definition[H k-bott],Tbl_Long_Hydro[[#This Row],[Aft Nline prev]]))</f>
        <v>#N/A</v>
      </c>
      <c r="AD173" s="889" t="e">
        <f>IF(ISNA(Tbl_Long_Hydro[[#This Row],[Draught]]),NA(),INDEX(Tbl_Long_Definition[H k-bott],Tbl_Long_Hydro[[#This Row],[Aft Nline next]]))</f>
        <v>#N/A</v>
      </c>
      <c r="AE173" s="888" t="e">
        <f>IF(ISNA(Tbl_Long_Hydro[[#This Row],[Draught]]),NA(),IFERROR(INDEX(Tbl_Long_Definition[X],Tbl_Long_Hydro[[#This Row],[Fore Nline prev]]),0))</f>
        <v>#N/A</v>
      </c>
      <c r="AF173" s="889" t="e">
        <f>IF(ISNA(Tbl_Long_Hydro[[#This Row],[Draught]]),NA(),IFERROR(INDEX(Tbl_Long_Definition[X],Tbl_Long_Hydro[[#This Row],[Fore Nline next]]),0))</f>
        <v>#N/A</v>
      </c>
      <c r="AG173" s="889" t="e">
        <f>IF(ISNA(Tbl_Long_Hydro[[#This Row],[Draught]]),NA(),INDEX(Tbl_Long_Definition[H k-bott],Tbl_Long_Hydro[[#This Row],[Fore Nline prev]]))</f>
        <v>#N/A</v>
      </c>
      <c r="AH173" s="890" t="e">
        <f>IF(ISNA(Tbl_Long_Hydro[[#This Row],[Draught]]),NA(),INDEX(Tbl_Long_Definition[H k-bott],Tbl_Long_Hydro[[#This Row],[Fore Nline next]]))</f>
        <v>#N/A</v>
      </c>
      <c r="AI173"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73"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73" s="894" t="e">
        <f>Tbl_Long_Hydro[[#This Row],[Fore X]]-Tbl_Long_Hydro[[#This Row],[Aft X]]</f>
        <v>#N/A</v>
      </c>
      <c r="AL173" s="884" t="e">
        <f>Tbl_Long_Hydro[[#This Row],[LX]]*B</f>
        <v>#N/A</v>
      </c>
      <c r="AM173" s="892" t="e">
        <f>IF(ISNUMBER(AM172),(AK172+Tbl_Long_Hydro[[#This Row],[LX]])*(Tbl_Long_Hydro[[#This Row],[Draught]]-V172)/2*B,(Tbl_Long_Hydro[[#This Row],[LX]])*Tbl_Long_Hydro[[#This Row],[Draught]]*B)</f>
        <v>#N/A</v>
      </c>
      <c r="AN173" s="899" t="e">
        <f>Tbl_Long_Hydro[[#This Row],[Aft X]]+Tbl_Long_Hydro[[#This Row],[LX]]/2</f>
        <v>#N/A</v>
      </c>
      <c r="AO173" s="876" t="e">
        <f>IF(ISNUMBER(AO172),(2*Tbl_Long_Hydro[[#This Row],[LX]]+AK172)/(Tbl_Long_Hydro[[#This Row],[LX]]+AK172)*(Tbl_Long_Hydro[[#This Row],[Draught]]-V172)/3+V172,Tbl_Long_Hydro[[#This Row],[Draught]]/2)</f>
        <v>#N/A</v>
      </c>
      <c r="AP173" s="898" t="e">
        <f>IF(ISNUMBER(AP172),Tbl_Long_Hydro[[#This Row],[Volume elt]]+AP172,Tbl_Long_Hydro[[#This Row],[Volume elt]]*AO$4)</f>
        <v>#N/A</v>
      </c>
      <c r="AQ173" s="893" t="e">
        <f>IF(ISNUMBER(AQ172),Tbl_Long_Hydro[[#This Row],[Displacement]]*AQ$4,IF(ISNA(AQ172),NA(),0))</f>
        <v>#N/A</v>
      </c>
      <c r="AR173" s="900" t="e">
        <f>IF(ISNA(Tbl_Long_Hydro[[#This Row],[Draught]]),NA(),IFERROR(Tbl_Long_Hydro[[#This Row],[LX]]*B^3/12/Tbl_Long_Hydro[[#This Row],[Displacement]],0))</f>
        <v>#N/A</v>
      </c>
      <c r="AS173" s="903" t="e">
        <f>IF(ISNA(Tbl_Long_Hydro[[#This Row],[Draught]]),NA(),IFERROR((B*Tbl_Long_Hydro[[#This Row],[LX]]^3/12+(Tbl_Long_Hydro[[#This Row],[LCF]]-Tbl_Long_Hydro[[#This Row],[LCB]])*Tbl_Long_Hydro[[#This Row],[Waterplane area]]*Tbl_Long_Hydro[[#This Row],[LCF]]^2)/Tbl_Long_Hydro[[#This Row],[Displacement]],0))</f>
        <v>#N/A</v>
      </c>
      <c r="AT173" s="900" t="e">
        <f>Tbl_Long_Hydro[[#This Row],[Aft X]]+Tbl_Long_Hydro[[#This Row],[LX]]/2</f>
        <v>#N/A</v>
      </c>
      <c r="AU173" s="901" t="e">
        <f>IF(ISNUMBER(AU172),(AU172*AP172+Tbl_Long_Hydro[[#This Row],[X CoG elt]]*Tbl_Long_Hydro[[#This Row],[Volume elt]])/Tbl_Long_Hydro[[#This Row],[Displacement]],Tbl_Long_Hydro[[#This Row],[X CoG elt]])</f>
        <v>#N/A</v>
      </c>
      <c r="AV173" s="902" t="e">
        <f>IF(ISNA(Tbl_Long_Hydro[[#This Row],[Draught]]),NA(),0)</f>
        <v>#N/A</v>
      </c>
      <c r="AW173" s="876" t="e">
        <f>IF(ISNUMBER(AW172),(AW172*AP172+Tbl_Long_Hydro[[#This Row],[Z CoG elt]]*Tbl_Long_Hydro[[#This Row],[Volume elt]])/Tbl_Long_Hydro[[#This Row],[Displacement]],Tbl_Long_Hydro[[#This Row],[Z CoG elt]])</f>
        <v>#N/A</v>
      </c>
      <c r="AX173" s="899" t="e">
        <f>Tbl_Long_Hydro[[#This Row],[RMT]]+Tbl_Long_Hydro[[#This Row],[VCB]]</f>
        <v>#N/A</v>
      </c>
      <c r="AY173" s="904" t="e">
        <f>Tbl_Long_Hydro[[#This Row],[Displacement]]*Tbl_Long_Hydro[[#This Row],[RML]]/(100*Lpp)</f>
        <v>#N/A</v>
      </c>
      <c r="AZ173" s="956" t="e">
        <f>Tbl_Long_Hydro[[#This Row],[Draught]]</f>
        <v>#N/A</v>
      </c>
      <c r="BA173" s="959" t="e">
        <f>Tbl_Long_Hydro[[#This Row],[Displacement]]</f>
        <v>#N/A</v>
      </c>
      <c r="BB173" s="960" t="e">
        <f>Tbl_Long_Hydro[[#This Row],[Displac. SW]]</f>
        <v>#N/A</v>
      </c>
      <c r="BC173" s="964" t="e">
        <f>Tbl_Long_Hydro[[#This Row],[Waterplane area]]/100*$AQ$4</f>
        <v>#N/A</v>
      </c>
      <c r="BD173" s="961" t="e">
        <f>Tbl_Long_Hydro[[#This Row],[MCT]]</f>
        <v>#N/A</v>
      </c>
      <c r="BE173" s="962" t="e">
        <f>Tbl_Long_Hydro[[#This Row],[LCB]]</f>
        <v>#N/A</v>
      </c>
      <c r="BF173" s="962" t="e">
        <f>Tbl_Long_Hydro[[#This Row],[TCB]]</f>
        <v>#N/A</v>
      </c>
      <c r="BG173" s="962" t="e">
        <f>Tbl_Long_Hydro[[#This Row],[LCF]]</f>
        <v>#N/A</v>
      </c>
      <c r="BH173" s="963" t="e">
        <f>Tbl_Long_Hydro[[#This Row],[KMT]]</f>
        <v>#N/A</v>
      </c>
    </row>
    <row r="174" spans="11:60" x14ac:dyDescent="0.25">
      <c r="K174" s="156" t="e">
        <f t="shared" si="9"/>
        <v>#N/A</v>
      </c>
      <c r="L174" s="164" t="e">
        <f t="shared" si="10"/>
        <v>#N/A</v>
      </c>
      <c r="M174" s="262" t="e">
        <f>MATCH(Tbl_Long_Section[[#This Row],[X]],Tbl_Long_Definition[X],1)</f>
        <v>#N/A</v>
      </c>
      <c r="N174" s="262" t="e">
        <f>IF(Tbl_Long_Section[[#This Row],[Nline Prev]]&lt;COUNT(Tbl_Long_Definition[X]),Tbl_Long_Section[[#This Row],[Nline Prev]]+1,Tbl_Long_Section[[#This Row],[Nline Prev]])</f>
        <v>#N/A</v>
      </c>
      <c r="O174" s="162" t="e">
        <f>INDEX(Tbl_Long_Definition[X],Tbl_Long_Section[[#This Row],[Nline Prev]])</f>
        <v>#N/A</v>
      </c>
      <c r="P174" s="263" t="e">
        <f>INDEX(Tbl_Long_Definition[X],Tbl_Long_Section[[#This Row],[Nline Next]])</f>
        <v>#N/A</v>
      </c>
      <c r="Q174" s="160" t="e">
        <f>INDEX(Tbl_Long_Definition[H Deck-Bott.],Tbl_Long_Section[[#This Row],[Nline Prev]])</f>
        <v>#N/A</v>
      </c>
      <c r="R174" s="161" t="e">
        <f>INDEX(Tbl_Long_Definition[H Deck-Bott.],Tbl_Long_Section[[#This Row],[Nline Next]])</f>
        <v>#N/A</v>
      </c>
      <c r="S174"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74" s="8"/>
      <c r="V174" s="873" t="e">
        <f t="shared" si="12"/>
        <v>#N/A</v>
      </c>
      <c r="W174" s="885" t="e">
        <f>MATCH(Tbl_Long_Hydro[[#This Row],[Draught]],Tbl_Long_Definition[H k-bott],-1)</f>
        <v>#N/A</v>
      </c>
      <c r="X174"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74" s="886" t="e">
        <f>MATCH(Tbl_Long_Hydro[[#This Row],[Draught]],Tbl_Long_Definition[H k-bott],1)</f>
        <v>#N/A</v>
      </c>
      <c r="Z174"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74" s="888" t="e">
        <f>IF(ISNA(Tbl_Long_Hydro[[#This Row],[Draught]]),NA(),IFERROR(INDEX(Tbl_Long_Definition[X],Tbl_Long_Hydro[[#This Row],[Aft Nline prev]]),0))</f>
        <v>#N/A</v>
      </c>
      <c r="AB174" s="889" t="e">
        <f>IF(ISNA(Tbl_Long_Hydro[[#This Row],[Draught]]),NA(),IFERROR(INDEX(Tbl_Long_Definition[X],Tbl_Long_Hydro[[#This Row],[Aft Nline next]]),0))</f>
        <v>#N/A</v>
      </c>
      <c r="AC174" s="889" t="e">
        <f>IF(ISNA(Tbl_Long_Hydro[[#This Row],[Draught]]),NA(),INDEX(Tbl_Long_Definition[H k-bott],Tbl_Long_Hydro[[#This Row],[Aft Nline prev]]))</f>
        <v>#N/A</v>
      </c>
      <c r="AD174" s="889" t="e">
        <f>IF(ISNA(Tbl_Long_Hydro[[#This Row],[Draught]]),NA(),INDEX(Tbl_Long_Definition[H k-bott],Tbl_Long_Hydro[[#This Row],[Aft Nline next]]))</f>
        <v>#N/A</v>
      </c>
      <c r="AE174" s="888" t="e">
        <f>IF(ISNA(Tbl_Long_Hydro[[#This Row],[Draught]]),NA(),IFERROR(INDEX(Tbl_Long_Definition[X],Tbl_Long_Hydro[[#This Row],[Fore Nline prev]]),0))</f>
        <v>#N/A</v>
      </c>
      <c r="AF174" s="889" t="e">
        <f>IF(ISNA(Tbl_Long_Hydro[[#This Row],[Draught]]),NA(),IFERROR(INDEX(Tbl_Long_Definition[X],Tbl_Long_Hydro[[#This Row],[Fore Nline next]]),0))</f>
        <v>#N/A</v>
      </c>
      <c r="AG174" s="889" t="e">
        <f>IF(ISNA(Tbl_Long_Hydro[[#This Row],[Draught]]),NA(),INDEX(Tbl_Long_Definition[H k-bott],Tbl_Long_Hydro[[#This Row],[Fore Nline prev]]))</f>
        <v>#N/A</v>
      </c>
      <c r="AH174" s="890" t="e">
        <f>IF(ISNA(Tbl_Long_Hydro[[#This Row],[Draught]]),NA(),INDEX(Tbl_Long_Definition[H k-bott],Tbl_Long_Hydro[[#This Row],[Fore Nline next]]))</f>
        <v>#N/A</v>
      </c>
      <c r="AI174"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74"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74" s="894" t="e">
        <f>Tbl_Long_Hydro[[#This Row],[Fore X]]-Tbl_Long_Hydro[[#This Row],[Aft X]]</f>
        <v>#N/A</v>
      </c>
      <c r="AL174" s="884" t="e">
        <f>Tbl_Long_Hydro[[#This Row],[LX]]*B</f>
        <v>#N/A</v>
      </c>
      <c r="AM174" s="892" t="e">
        <f>IF(ISNUMBER(AM173),(AK173+Tbl_Long_Hydro[[#This Row],[LX]])*(Tbl_Long_Hydro[[#This Row],[Draught]]-V173)/2*B,(Tbl_Long_Hydro[[#This Row],[LX]])*Tbl_Long_Hydro[[#This Row],[Draught]]*B)</f>
        <v>#N/A</v>
      </c>
      <c r="AN174" s="899" t="e">
        <f>Tbl_Long_Hydro[[#This Row],[Aft X]]+Tbl_Long_Hydro[[#This Row],[LX]]/2</f>
        <v>#N/A</v>
      </c>
      <c r="AO174" s="876" t="e">
        <f>IF(ISNUMBER(AO173),(2*Tbl_Long_Hydro[[#This Row],[LX]]+AK173)/(Tbl_Long_Hydro[[#This Row],[LX]]+AK173)*(Tbl_Long_Hydro[[#This Row],[Draught]]-V173)/3+V173,Tbl_Long_Hydro[[#This Row],[Draught]]/2)</f>
        <v>#N/A</v>
      </c>
      <c r="AP174" s="898" t="e">
        <f>IF(ISNUMBER(AP173),Tbl_Long_Hydro[[#This Row],[Volume elt]]+AP173,Tbl_Long_Hydro[[#This Row],[Volume elt]]*AO$4)</f>
        <v>#N/A</v>
      </c>
      <c r="AQ174" s="893" t="e">
        <f>IF(ISNUMBER(AQ173),Tbl_Long_Hydro[[#This Row],[Displacement]]*AQ$4,IF(ISNA(AQ173),NA(),0))</f>
        <v>#N/A</v>
      </c>
      <c r="AR174" s="900" t="e">
        <f>IF(ISNA(Tbl_Long_Hydro[[#This Row],[Draught]]),NA(),IFERROR(Tbl_Long_Hydro[[#This Row],[LX]]*B^3/12/Tbl_Long_Hydro[[#This Row],[Displacement]],0))</f>
        <v>#N/A</v>
      </c>
      <c r="AS174" s="903" t="e">
        <f>IF(ISNA(Tbl_Long_Hydro[[#This Row],[Draught]]),NA(),IFERROR((B*Tbl_Long_Hydro[[#This Row],[LX]]^3/12+(Tbl_Long_Hydro[[#This Row],[LCF]]-Tbl_Long_Hydro[[#This Row],[LCB]])*Tbl_Long_Hydro[[#This Row],[Waterplane area]]*Tbl_Long_Hydro[[#This Row],[LCF]]^2)/Tbl_Long_Hydro[[#This Row],[Displacement]],0))</f>
        <v>#N/A</v>
      </c>
      <c r="AT174" s="900" t="e">
        <f>Tbl_Long_Hydro[[#This Row],[Aft X]]+Tbl_Long_Hydro[[#This Row],[LX]]/2</f>
        <v>#N/A</v>
      </c>
      <c r="AU174" s="901" t="e">
        <f>IF(ISNUMBER(AU173),(AU173*AP173+Tbl_Long_Hydro[[#This Row],[X CoG elt]]*Tbl_Long_Hydro[[#This Row],[Volume elt]])/Tbl_Long_Hydro[[#This Row],[Displacement]],Tbl_Long_Hydro[[#This Row],[X CoG elt]])</f>
        <v>#N/A</v>
      </c>
      <c r="AV174" s="902" t="e">
        <f>IF(ISNA(Tbl_Long_Hydro[[#This Row],[Draught]]),NA(),0)</f>
        <v>#N/A</v>
      </c>
      <c r="AW174" s="876" t="e">
        <f>IF(ISNUMBER(AW173),(AW173*AP173+Tbl_Long_Hydro[[#This Row],[Z CoG elt]]*Tbl_Long_Hydro[[#This Row],[Volume elt]])/Tbl_Long_Hydro[[#This Row],[Displacement]],Tbl_Long_Hydro[[#This Row],[Z CoG elt]])</f>
        <v>#N/A</v>
      </c>
      <c r="AX174" s="899" t="e">
        <f>Tbl_Long_Hydro[[#This Row],[RMT]]+Tbl_Long_Hydro[[#This Row],[VCB]]</f>
        <v>#N/A</v>
      </c>
      <c r="AY174" s="904" t="e">
        <f>Tbl_Long_Hydro[[#This Row],[Displacement]]*Tbl_Long_Hydro[[#This Row],[RML]]/(100*Lpp)</f>
        <v>#N/A</v>
      </c>
      <c r="AZ174" s="956" t="e">
        <f>Tbl_Long_Hydro[[#This Row],[Draught]]</f>
        <v>#N/A</v>
      </c>
      <c r="BA174" s="959" t="e">
        <f>Tbl_Long_Hydro[[#This Row],[Displacement]]</f>
        <v>#N/A</v>
      </c>
      <c r="BB174" s="960" t="e">
        <f>Tbl_Long_Hydro[[#This Row],[Displac. SW]]</f>
        <v>#N/A</v>
      </c>
      <c r="BC174" s="964" t="e">
        <f>Tbl_Long_Hydro[[#This Row],[Waterplane area]]/100*$AQ$4</f>
        <v>#N/A</v>
      </c>
      <c r="BD174" s="961" t="e">
        <f>Tbl_Long_Hydro[[#This Row],[MCT]]</f>
        <v>#N/A</v>
      </c>
      <c r="BE174" s="962" t="e">
        <f>Tbl_Long_Hydro[[#This Row],[LCB]]</f>
        <v>#N/A</v>
      </c>
      <c r="BF174" s="962" t="e">
        <f>Tbl_Long_Hydro[[#This Row],[TCB]]</f>
        <v>#N/A</v>
      </c>
      <c r="BG174" s="962" t="e">
        <f>Tbl_Long_Hydro[[#This Row],[LCF]]</f>
        <v>#N/A</v>
      </c>
      <c r="BH174" s="963" t="e">
        <f>Tbl_Long_Hydro[[#This Row],[KMT]]</f>
        <v>#N/A</v>
      </c>
    </row>
    <row r="175" spans="11:60" x14ac:dyDescent="0.25">
      <c r="K175" s="156" t="e">
        <f t="shared" si="9"/>
        <v>#N/A</v>
      </c>
      <c r="L175" s="164" t="e">
        <f t="shared" si="10"/>
        <v>#N/A</v>
      </c>
      <c r="M175" s="262" t="e">
        <f>MATCH(Tbl_Long_Section[[#This Row],[X]],Tbl_Long_Definition[X],1)</f>
        <v>#N/A</v>
      </c>
      <c r="N175" s="262" t="e">
        <f>IF(Tbl_Long_Section[[#This Row],[Nline Prev]]&lt;COUNT(Tbl_Long_Definition[X]),Tbl_Long_Section[[#This Row],[Nline Prev]]+1,Tbl_Long_Section[[#This Row],[Nline Prev]])</f>
        <v>#N/A</v>
      </c>
      <c r="O175" s="162" t="e">
        <f>INDEX(Tbl_Long_Definition[X],Tbl_Long_Section[[#This Row],[Nline Prev]])</f>
        <v>#N/A</v>
      </c>
      <c r="P175" s="263" t="e">
        <f>INDEX(Tbl_Long_Definition[X],Tbl_Long_Section[[#This Row],[Nline Next]])</f>
        <v>#N/A</v>
      </c>
      <c r="Q175" s="160" t="e">
        <f>INDEX(Tbl_Long_Definition[H Deck-Bott.],Tbl_Long_Section[[#This Row],[Nline Prev]])</f>
        <v>#N/A</v>
      </c>
      <c r="R175" s="161" t="e">
        <f>INDEX(Tbl_Long_Definition[H Deck-Bott.],Tbl_Long_Section[[#This Row],[Nline Next]])</f>
        <v>#N/A</v>
      </c>
      <c r="S175"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75" s="8"/>
      <c r="V175" s="873" t="e">
        <f t="shared" si="12"/>
        <v>#N/A</v>
      </c>
      <c r="W175" s="885" t="e">
        <f>MATCH(Tbl_Long_Hydro[[#This Row],[Draught]],Tbl_Long_Definition[H k-bott],-1)</f>
        <v>#N/A</v>
      </c>
      <c r="X175"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75" s="886" t="e">
        <f>MATCH(Tbl_Long_Hydro[[#This Row],[Draught]],Tbl_Long_Definition[H k-bott],1)</f>
        <v>#N/A</v>
      </c>
      <c r="Z175"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75" s="888" t="e">
        <f>IF(ISNA(Tbl_Long_Hydro[[#This Row],[Draught]]),NA(),IFERROR(INDEX(Tbl_Long_Definition[X],Tbl_Long_Hydro[[#This Row],[Aft Nline prev]]),0))</f>
        <v>#N/A</v>
      </c>
      <c r="AB175" s="889" t="e">
        <f>IF(ISNA(Tbl_Long_Hydro[[#This Row],[Draught]]),NA(),IFERROR(INDEX(Tbl_Long_Definition[X],Tbl_Long_Hydro[[#This Row],[Aft Nline next]]),0))</f>
        <v>#N/A</v>
      </c>
      <c r="AC175" s="889" t="e">
        <f>IF(ISNA(Tbl_Long_Hydro[[#This Row],[Draught]]),NA(),INDEX(Tbl_Long_Definition[H k-bott],Tbl_Long_Hydro[[#This Row],[Aft Nline prev]]))</f>
        <v>#N/A</v>
      </c>
      <c r="AD175" s="889" t="e">
        <f>IF(ISNA(Tbl_Long_Hydro[[#This Row],[Draught]]),NA(),INDEX(Tbl_Long_Definition[H k-bott],Tbl_Long_Hydro[[#This Row],[Aft Nline next]]))</f>
        <v>#N/A</v>
      </c>
      <c r="AE175" s="888" t="e">
        <f>IF(ISNA(Tbl_Long_Hydro[[#This Row],[Draught]]),NA(),IFERROR(INDEX(Tbl_Long_Definition[X],Tbl_Long_Hydro[[#This Row],[Fore Nline prev]]),0))</f>
        <v>#N/A</v>
      </c>
      <c r="AF175" s="889" t="e">
        <f>IF(ISNA(Tbl_Long_Hydro[[#This Row],[Draught]]),NA(),IFERROR(INDEX(Tbl_Long_Definition[X],Tbl_Long_Hydro[[#This Row],[Fore Nline next]]),0))</f>
        <v>#N/A</v>
      </c>
      <c r="AG175" s="889" t="e">
        <f>IF(ISNA(Tbl_Long_Hydro[[#This Row],[Draught]]),NA(),INDEX(Tbl_Long_Definition[H k-bott],Tbl_Long_Hydro[[#This Row],[Fore Nline prev]]))</f>
        <v>#N/A</v>
      </c>
      <c r="AH175" s="890" t="e">
        <f>IF(ISNA(Tbl_Long_Hydro[[#This Row],[Draught]]),NA(),INDEX(Tbl_Long_Definition[H k-bott],Tbl_Long_Hydro[[#This Row],[Fore Nline next]]))</f>
        <v>#N/A</v>
      </c>
      <c r="AI175"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75"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75" s="894" t="e">
        <f>Tbl_Long_Hydro[[#This Row],[Fore X]]-Tbl_Long_Hydro[[#This Row],[Aft X]]</f>
        <v>#N/A</v>
      </c>
      <c r="AL175" s="884" t="e">
        <f>Tbl_Long_Hydro[[#This Row],[LX]]*B</f>
        <v>#N/A</v>
      </c>
      <c r="AM175" s="892" t="e">
        <f>IF(ISNUMBER(AM174),(AK174+Tbl_Long_Hydro[[#This Row],[LX]])*(Tbl_Long_Hydro[[#This Row],[Draught]]-V174)/2*B,(Tbl_Long_Hydro[[#This Row],[LX]])*Tbl_Long_Hydro[[#This Row],[Draught]]*B)</f>
        <v>#N/A</v>
      </c>
      <c r="AN175" s="899" t="e">
        <f>Tbl_Long_Hydro[[#This Row],[Aft X]]+Tbl_Long_Hydro[[#This Row],[LX]]/2</f>
        <v>#N/A</v>
      </c>
      <c r="AO175" s="876" t="e">
        <f>IF(ISNUMBER(AO174),(2*Tbl_Long_Hydro[[#This Row],[LX]]+AK174)/(Tbl_Long_Hydro[[#This Row],[LX]]+AK174)*(Tbl_Long_Hydro[[#This Row],[Draught]]-V174)/3+V174,Tbl_Long_Hydro[[#This Row],[Draught]]/2)</f>
        <v>#N/A</v>
      </c>
      <c r="AP175" s="898" t="e">
        <f>IF(ISNUMBER(AP174),Tbl_Long_Hydro[[#This Row],[Volume elt]]+AP174,Tbl_Long_Hydro[[#This Row],[Volume elt]]*AO$4)</f>
        <v>#N/A</v>
      </c>
      <c r="AQ175" s="893" t="e">
        <f>IF(ISNUMBER(AQ174),Tbl_Long_Hydro[[#This Row],[Displacement]]*AQ$4,IF(ISNA(AQ174),NA(),0))</f>
        <v>#N/A</v>
      </c>
      <c r="AR175" s="900" t="e">
        <f>IF(ISNA(Tbl_Long_Hydro[[#This Row],[Draught]]),NA(),IFERROR(Tbl_Long_Hydro[[#This Row],[LX]]*B^3/12/Tbl_Long_Hydro[[#This Row],[Displacement]],0))</f>
        <v>#N/A</v>
      </c>
      <c r="AS175" s="903" t="e">
        <f>IF(ISNA(Tbl_Long_Hydro[[#This Row],[Draught]]),NA(),IFERROR((B*Tbl_Long_Hydro[[#This Row],[LX]]^3/12+(Tbl_Long_Hydro[[#This Row],[LCF]]-Tbl_Long_Hydro[[#This Row],[LCB]])*Tbl_Long_Hydro[[#This Row],[Waterplane area]]*Tbl_Long_Hydro[[#This Row],[LCF]]^2)/Tbl_Long_Hydro[[#This Row],[Displacement]],0))</f>
        <v>#N/A</v>
      </c>
      <c r="AT175" s="900" t="e">
        <f>Tbl_Long_Hydro[[#This Row],[Aft X]]+Tbl_Long_Hydro[[#This Row],[LX]]/2</f>
        <v>#N/A</v>
      </c>
      <c r="AU175" s="901" t="e">
        <f>IF(ISNUMBER(AU174),(AU174*AP174+Tbl_Long_Hydro[[#This Row],[X CoG elt]]*Tbl_Long_Hydro[[#This Row],[Volume elt]])/Tbl_Long_Hydro[[#This Row],[Displacement]],Tbl_Long_Hydro[[#This Row],[X CoG elt]])</f>
        <v>#N/A</v>
      </c>
      <c r="AV175" s="902" t="e">
        <f>IF(ISNA(Tbl_Long_Hydro[[#This Row],[Draught]]),NA(),0)</f>
        <v>#N/A</v>
      </c>
      <c r="AW175" s="876" t="e">
        <f>IF(ISNUMBER(AW174),(AW174*AP174+Tbl_Long_Hydro[[#This Row],[Z CoG elt]]*Tbl_Long_Hydro[[#This Row],[Volume elt]])/Tbl_Long_Hydro[[#This Row],[Displacement]],Tbl_Long_Hydro[[#This Row],[Z CoG elt]])</f>
        <v>#N/A</v>
      </c>
      <c r="AX175" s="899" t="e">
        <f>Tbl_Long_Hydro[[#This Row],[RMT]]+Tbl_Long_Hydro[[#This Row],[VCB]]</f>
        <v>#N/A</v>
      </c>
      <c r="AY175" s="904" t="e">
        <f>Tbl_Long_Hydro[[#This Row],[Displacement]]*Tbl_Long_Hydro[[#This Row],[RML]]/(100*Lpp)</f>
        <v>#N/A</v>
      </c>
      <c r="AZ175" s="956" t="e">
        <f>Tbl_Long_Hydro[[#This Row],[Draught]]</f>
        <v>#N/A</v>
      </c>
      <c r="BA175" s="959" t="e">
        <f>Tbl_Long_Hydro[[#This Row],[Displacement]]</f>
        <v>#N/A</v>
      </c>
      <c r="BB175" s="960" t="e">
        <f>Tbl_Long_Hydro[[#This Row],[Displac. SW]]</f>
        <v>#N/A</v>
      </c>
      <c r="BC175" s="964" t="e">
        <f>Tbl_Long_Hydro[[#This Row],[Waterplane area]]/100*$AQ$4</f>
        <v>#N/A</v>
      </c>
      <c r="BD175" s="961" t="e">
        <f>Tbl_Long_Hydro[[#This Row],[MCT]]</f>
        <v>#N/A</v>
      </c>
      <c r="BE175" s="962" t="e">
        <f>Tbl_Long_Hydro[[#This Row],[LCB]]</f>
        <v>#N/A</v>
      </c>
      <c r="BF175" s="962" t="e">
        <f>Tbl_Long_Hydro[[#This Row],[TCB]]</f>
        <v>#N/A</v>
      </c>
      <c r="BG175" s="962" t="e">
        <f>Tbl_Long_Hydro[[#This Row],[LCF]]</f>
        <v>#N/A</v>
      </c>
      <c r="BH175" s="963" t="e">
        <f>Tbl_Long_Hydro[[#This Row],[KMT]]</f>
        <v>#N/A</v>
      </c>
    </row>
    <row r="176" spans="11:60" x14ac:dyDescent="0.25">
      <c r="K176" s="156" t="e">
        <f t="shared" si="9"/>
        <v>#N/A</v>
      </c>
      <c r="L176" s="164" t="e">
        <f t="shared" si="10"/>
        <v>#N/A</v>
      </c>
      <c r="M176" s="262" t="e">
        <f>MATCH(Tbl_Long_Section[[#This Row],[X]],Tbl_Long_Definition[X],1)</f>
        <v>#N/A</v>
      </c>
      <c r="N176" s="262" t="e">
        <f>IF(Tbl_Long_Section[[#This Row],[Nline Prev]]&lt;COUNT(Tbl_Long_Definition[X]),Tbl_Long_Section[[#This Row],[Nline Prev]]+1,Tbl_Long_Section[[#This Row],[Nline Prev]])</f>
        <v>#N/A</v>
      </c>
      <c r="O176" s="162" t="e">
        <f>INDEX(Tbl_Long_Definition[X],Tbl_Long_Section[[#This Row],[Nline Prev]])</f>
        <v>#N/A</v>
      </c>
      <c r="P176" s="263" t="e">
        <f>INDEX(Tbl_Long_Definition[X],Tbl_Long_Section[[#This Row],[Nline Next]])</f>
        <v>#N/A</v>
      </c>
      <c r="Q176" s="160" t="e">
        <f>INDEX(Tbl_Long_Definition[H Deck-Bott.],Tbl_Long_Section[[#This Row],[Nline Prev]])</f>
        <v>#N/A</v>
      </c>
      <c r="R176" s="161" t="e">
        <f>INDEX(Tbl_Long_Definition[H Deck-Bott.],Tbl_Long_Section[[#This Row],[Nline Next]])</f>
        <v>#N/A</v>
      </c>
      <c r="S176"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76" s="8"/>
      <c r="V176" s="873" t="e">
        <f t="shared" si="12"/>
        <v>#N/A</v>
      </c>
      <c r="W176" s="885" t="e">
        <f>MATCH(Tbl_Long_Hydro[[#This Row],[Draught]],Tbl_Long_Definition[H k-bott],-1)</f>
        <v>#N/A</v>
      </c>
      <c r="X176"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76" s="886" t="e">
        <f>MATCH(Tbl_Long_Hydro[[#This Row],[Draught]],Tbl_Long_Definition[H k-bott],1)</f>
        <v>#N/A</v>
      </c>
      <c r="Z176"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76" s="888" t="e">
        <f>IF(ISNA(Tbl_Long_Hydro[[#This Row],[Draught]]),NA(),IFERROR(INDEX(Tbl_Long_Definition[X],Tbl_Long_Hydro[[#This Row],[Aft Nline prev]]),0))</f>
        <v>#N/A</v>
      </c>
      <c r="AB176" s="889" t="e">
        <f>IF(ISNA(Tbl_Long_Hydro[[#This Row],[Draught]]),NA(),IFERROR(INDEX(Tbl_Long_Definition[X],Tbl_Long_Hydro[[#This Row],[Aft Nline next]]),0))</f>
        <v>#N/A</v>
      </c>
      <c r="AC176" s="889" t="e">
        <f>IF(ISNA(Tbl_Long_Hydro[[#This Row],[Draught]]),NA(),INDEX(Tbl_Long_Definition[H k-bott],Tbl_Long_Hydro[[#This Row],[Aft Nline prev]]))</f>
        <v>#N/A</v>
      </c>
      <c r="AD176" s="889" t="e">
        <f>IF(ISNA(Tbl_Long_Hydro[[#This Row],[Draught]]),NA(),INDEX(Tbl_Long_Definition[H k-bott],Tbl_Long_Hydro[[#This Row],[Aft Nline next]]))</f>
        <v>#N/A</v>
      </c>
      <c r="AE176" s="888" t="e">
        <f>IF(ISNA(Tbl_Long_Hydro[[#This Row],[Draught]]),NA(),IFERROR(INDEX(Tbl_Long_Definition[X],Tbl_Long_Hydro[[#This Row],[Fore Nline prev]]),0))</f>
        <v>#N/A</v>
      </c>
      <c r="AF176" s="889" t="e">
        <f>IF(ISNA(Tbl_Long_Hydro[[#This Row],[Draught]]),NA(),IFERROR(INDEX(Tbl_Long_Definition[X],Tbl_Long_Hydro[[#This Row],[Fore Nline next]]),0))</f>
        <v>#N/A</v>
      </c>
      <c r="AG176" s="889" t="e">
        <f>IF(ISNA(Tbl_Long_Hydro[[#This Row],[Draught]]),NA(),INDEX(Tbl_Long_Definition[H k-bott],Tbl_Long_Hydro[[#This Row],[Fore Nline prev]]))</f>
        <v>#N/A</v>
      </c>
      <c r="AH176" s="890" t="e">
        <f>IF(ISNA(Tbl_Long_Hydro[[#This Row],[Draught]]),NA(),INDEX(Tbl_Long_Definition[H k-bott],Tbl_Long_Hydro[[#This Row],[Fore Nline next]]))</f>
        <v>#N/A</v>
      </c>
      <c r="AI176"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76"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76" s="894" t="e">
        <f>Tbl_Long_Hydro[[#This Row],[Fore X]]-Tbl_Long_Hydro[[#This Row],[Aft X]]</f>
        <v>#N/A</v>
      </c>
      <c r="AL176" s="884" t="e">
        <f>Tbl_Long_Hydro[[#This Row],[LX]]*B</f>
        <v>#N/A</v>
      </c>
      <c r="AM176" s="892" t="e">
        <f>IF(ISNUMBER(AM175),(AK175+Tbl_Long_Hydro[[#This Row],[LX]])*(Tbl_Long_Hydro[[#This Row],[Draught]]-V175)/2*B,(Tbl_Long_Hydro[[#This Row],[LX]])*Tbl_Long_Hydro[[#This Row],[Draught]]*B)</f>
        <v>#N/A</v>
      </c>
      <c r="AN176" s="899" t="e">
        <f>Tbl_Long_Hydro[[#This Row],[Aft X]]+Tbl_Long_Hydro[[#This Row],[LX]]/2</f>
        <v>#N/A</v>
      </c>
      <c r="AO176" s="876" t="e">
        <f>IF(ISNUMBER(AO175),(2*Tbl_Long_Hydro[[#This Row],[LX]]+AK175)/(Tbl_Long_Hydro[[#This Row],[LX]]+AK175)*(Tbl_Long_Hydro[[#This Row],[Draught]]-V175)/3+V175,Tbl_Long_Hydro[[#This Row],[Draught]]/2)</f>
        <v>#N/A</v>
      </c>
      <c r="AP176" s="898" t="e">
        <f>IF(ISNUMBER(AP175),Tbl_Long_Hydro[[#This Row],[Volume elt]]+AP175,Tbl_Long_Hydro[[#This Row],[Volume elt]]*AO$4)</f>
        <v>#N/A</v>
      </c>
      <c r="AQ176" s="893" t="e">
        <f>IF(ISNUMBER(AQ175),Tbl_Long_Hydro[[#This Row],[Displacement]]*AQ$4,IF(ISNA(AQ175),NA(),0))</f>
        <v>#N/A</v>
      </c>
      <c r="AR176" s="900" t="e">
        <f>IF(ISNA(Tbl_Long_Hydro[[#This Row],[Draught]]),NA(),IFERROR(Tbl_Long_Hydro[[#This Row],[LX]]*B^3/12/Tbl_Long_Hydro[[#This Row],[Displacement]],0))</f>
        <v>#N/A</v>
      </c>
      <c r="AS176" s="903" t="e">
        <f>IF(ISNA(Tbl_Long_Hydro[[#This Row],[Draught]]),NA(),IFERROR((B*Tbl_Long_Hydro[[#This Row],[LX]]^3/12+(Tbl_Long_Hydro[[#This Row],[LCF]]-Tbl_Long_Hydro[[#This Row],[LCB]])*Tbl_Long_Hydro[[#This Row],[Waterplane area]]*Tbl_Long_Hydro[[#This Row],[LCF]]^2)/Tbl_Long_Hydro[[#This Row],[Displacement]],0))</f>
        <v>#N/A</v>
      </c>
      <c r="AT176" s="900" t="e">
        <f>Tbl_Long_Hydro[[#This Row],[Aft X]]+Tbl_Long_Hydro[[#This Row],[LX]]/2</f>
        <v>#N/A</v>
      </c>
      <c r="AU176" s="901" t="e">
        <f>IF(ISNUMBER(AU175),(AU175*AP175+Tbl_Long_Hydro[[#This Row],[X CoG elt]]*Tbl_Long_Hydro[[#This Row],[Volume elt]])/Tbl_Long_Hydro[[#This Row],[Displacement]],Tbl_Long_Hydro[[#This Row],[X CoG elt]])</f>
        <v>#N/A</v>
      </c>
      <c r="AV176" s="902" t="e">
        <f>IF(ISNA(Tbl_Long_Hydro[[#This Row],[Draught]]),NA(),0)</f>
        <v>#N/A</v>
      </c>
      <c r="AW176" s="876" t="e">
        <f>IF(ISNUMBER(AW175),(AW175*AP175+Tbl_Long_Hydro[[#This Row],[Z CoG elt]]*Tbl_Long_Hydro[[#This Row],[Volume elt]])/Tbl_Long_Hydro[[#This Row],[Displacement]],Tbl_Long_Hydro[[#This Row],[Z CoG elt]])</f>
        <v>#N/A</v>
      </c>
      <c r="AX176" s="899" t="e">
        <f>Tbl_Long_Hydro[[#This Row],[RMT]]+Tbl_Long_Hydro[[#This Row],[VCB]]</f>
        <v>#N/A</v>
      </c>
      <c r="AY176" s="904" t="e">
        <f>Tbl_Long_Hydro[[#This Row],[Displacement]]*Tbl_Long_Hydro[[#This Row],[RML]]/(100*Lpp)</f>
        <v>#N/A</v>
      </c>
      <c r="AZ176" s="956" t="e">
        <f>Tbl_Long_Hydro[[#This Row],[Draught]]</f>
        <v>#N/A</v>
      </c>
      <c r="BA176" s="959" t="e">
        <f>Tbl_Long_Hydro[[#This Row],[Displacement]]</f>
        <v>#N/A</v>
      </c>
      <c r="BB176" s="960" t="e">
        <f>Tbl_Long_Hydro[[#This Row],[Displac. SW]]</f>
        <v>#N/A</v>
      </c>
      <c r="BC176" s="964" t="e">
        <f>Tbl_Long_Hydro[[#This Row],[Waterplane area]]/100*$AQ$4</f>
        <v>#N/A</v>
      </c>
      <c r="BD176" s="961" t="e">
        <f>Tbl_Long_Hydro[[#This Row],[MCT]]</f>
        <v>#N/A</v>
      </c>
      <c r="BE176" s="962" t="e">
        <f>Tbl_Long_Hydro[[#This Row],[LCB]]</f>
        <v>#N/A</v>
      </c>
      <c r="BF176" s="962" t="e">
        <f>Tbl_Long_Hydro[[#This Row],[TCB]]</f>
        <v>#N/A</v>
      </c>
      <c r="BG176" s="962" t="e">
        <f>Tbl_Long_Hydro[[#This Row],[LCF]]</f>
        <v>#N/A</v>
      </c>
      <c r="BH176" s="963" t="e">
        <f>Tbl_Long_Hydro[[#This Row],[KMT]]</f>
        <v>#N/A</v>
      </c>
    </row>
    <row r="177" spans="11:60" x14ac:dyDescent="0.25">
      <c r="K177" s="156" t="e">
        <f t="shared" si="9"/>
        <v>#N/A</v>
      </c>
      <c r="L177" s="164" t="e">
        <f t="shared" si="10"/>
        <v>#N/A</v>
      </c>
      <c r="M177" s="262" t="e">
        <f>MATCH(Tbl_Long_Section[[#This Row],[X]],Tbl_Long_Definition[X],1)</f>
        <v>#N/A</v>
      </c>
      <c r="N177" s="262" t="e">
        <f>IF(Tbl_Long_Section[[#This Row],[Nline Prev]]&lt;COUNT(Tbl_Long_Definition[X]),Tbl_Long_Section[[#This Row],[Nline Prev]]+1,Tbl_Long_Section[[#This Row],[Nline Prev]])</f>
        <v>#N/A</v>
      </c>
      <c r="O177" s="162" t="e">
        <f>INDEX(Tbl_Long_Definition[X],Tbl_Long_Section[[#This Row],[Nline Prev]])</f>
        <v>#N/A</v>
      </c>
      <c r="P177" s="263" t="e">
        <f>INDEX(Tbl_Long_Definition[X],Tbl_Long_Section[[#This Row],[Nline Next]])</f>
        <v>#N/A</v>
      </c>
      <c r="Q177" s="160" t="e">
        <f>INDEX(Tbl_Long_Definition[H Deck-Bott.],Tbl_Long_Section[[#This Row],[Nline Prev]])</f>
        <v>#N/A</v>
      </c>
      <c r="R177" s="161" t="e">
        <f>INDEX(Tbl_Long_Definition[H Deck-Bott.],Tbl_Long_Section[[#This Row],[Nline Next]])</f>
        <v>#N/A</v>
      </c>
      <c r="S177"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77" s="8"/>
      <c r="V177" s="873" t="e">
        <f t="shared" si="12"/>
        <v>#N/A</v>
      </c>
      <c r="W177" s="885" t="e">
        <f>MATCH(Tbl_Long_Hydro[[#This Row],[Draught]],Tbl_Long_Definition[H k-bott],-1)</f>
        <v>#N/A</v>
      </c>
      <c r="X177"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77" s="886" t="e">
        <f>MATCH(Tbl_Long_Hydro[[#This Row],[Draught]],Tbl_Long_Definition[H k-bott],1)</f>
        <v>#N/A</v>
      </c>
      <c r="Z177"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77" s="888" t="e">
        <f>IF(ISNA(Tbl_Long_Hydro[[#This Row],[Draught]]),NA(),IFERROR(INDEX(Tbl_Long_Definition[X],Tbl_Long_Hydro[[#This Row],[Aft Nline prev]]),0))</f>
        <v>#N/A</v>
      </c>
      <c r="AB177" s="889" t="e">
        <f>IF(ISNA(Tbl_Long_Hydro[[#This Row],[Draught]]),NA(),IFERROR(INDEX(Tbl_Long_Definition[X],Tbl_Long_Hydro[[#This Row],[Aft Nline next]]),0))</f>
        <v>#N/A</v>
      </c>
      <c r="AC177" s="889" t="e">
        <f>IF(ISNA(Tbl_Long_Hydro[[#This Row],[Draught]]),NA(),INDEX(Tbl_Long_Definition[H k-bott],Tbl_Long_Hydro[[#This Row],[Aft Nline prev]]))</f>
        <v>#N/A</v>
      </c>
      <c r="AD177" s="889" t="e">
        <f>IF(ISNA(Tbl_Long_Hydro[[#This Row],[Draught]]),NA(),INDEX(Tbl_Long_Definition[H k-bott],Tbl_Long_Hydro[[#This Row],[Aft Nline next]]))</f>
        <v>#N/A</v>
      </c>
      <c r="AE177" s="888" t="e">
        <f>IF(ISNA(Tbl_Long_Hydro[[#This Row],[Draught]]),NA(),IFERROR(INDEX(Tbl_Long_Definition[X],Tbl_Long_Hydro[[#This Row],[Fore Nline prev]]),0))</f>
        <v>#N/A</v>
      </c>
      <c r="AF177" s="889" t="e">
        <f>IF(ISNA(Tbl_Long_Hydro[[#This Row],[Draught]]),NA(),IFERROR(INDEX(Tbl_Long_Definition[X],Tbl_Long_Hydro[[#This Row],[Fore Nline next]]),0))</f>
        <v>#N/A</v>
      </c>
      <c r="AG177" s="889" t="e">
        <f>IF(ISNA(Tbl_Long_Hydro[[#This Row],[Draught]]),NA(),INDEX(Tbl_Long_Definition[H k-bott],Tbl_Long_Hydro[[#This Row],[Fore Nline prev]]))</f>
        <v>#N/A</v>
      </c>
      <c r="AH177" s="890" t="e">
        <f>IF(ISNA(Tbl_Long_Hydro[[#This Row],[Draught]]),NA(),INDEX(Tbl_Long_Definition[H k-bott],Tbl_Long_Hydro[[#This Row],[Fore Nline next]]))</f>
        <v>#N/A</v>
      </c>
      <c r="AI177"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77"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77" s="894" t="e">
        <f>Tbl_Long_Hydro[[#This Row],[Fore X]]-Tbl_Long_Hydro[[#This Row],[Aft X]]</f>
        <v>#N/A</v>
      </c>
      <c r="AL177" s="884" t="e">
        <f>Tbl_Long_Hydro[[#This Row],[LX]]*B</f>
        <v>#N/A</v>
      </c>
      <c r="AM177" s="892" t="e">
        <f>IF(ISNUMBER(AM176),(AK176+Tbl_Long_Hydro[[#This Row],[LX]])*(Tbl_Long_Hydro[[#This Row],[Draught]]-V176)/2*B,(Tbl_Long_Hydro[[#This Row],[LX]])*Tbl_Long_Hydro[[#This Row],[Draught]]*B)</f>
        <v>#N/A</v>
      </c>
      <c r="AN177" s="899" t="e">
        <f>Tbl_Long_Hydro[[#This Row],[Aft X]]+Tbl_Long_Hydro[[#This Row],[LX]]/2</f>
        <v>#N/A</v>
      </c>
      <c r="AO177" s="876" t="e">
        <f>IF(ISNUMBER(AO176),(2*Tbl_Long_Hydro[[#This Row],[LX]]+AK176)/(Tbl_Long_Hydro[[#This Row],[LX]]+AK176)*(Tbl_Long_Hydro[[#This Row],[Draught]]-V176)/3+V176,Tbl_Long_Hydro[[#This Row],[Draught]]/2)</f>
        <v>#N/A</v>
      </c>
      <c r="AP177" s="898" t="e">
        <f>IF(ISNUMBER(AP176),Tbl_Long_Hydro[[#This Row],[Volume elt]]+AP176,Tbl_Long_Hydro[[#This Row],[Volume elt]]*AO$4)</f>
        <v>#N/A</v>
      </c>
      <c r="AQ177" s="893" t="e">
        <f>IF(ISNUMBER(AQ176),Tbl_Long_Hydro[[#This Row],[Displacement]]*AQ$4,IF(ISNA(AQ176),NA(),0))</f>
        <v>#N/A</v>
      </c>
      <c r="AR177" s="900" t="e">
        <f>IF(ISNA(Tbl_Long_Hydro[[#This Row],[Draught]]),NA(),IFERROR(Tbl_Long_Hydro[[#This Row],[LX]]*B^3/12/Tbl_Long_Hydro[[#This Row],[Displacement]],0))</f>
        <v>#N/A</v>
      </c>
      <c r="AS177" s="903" t="e">
        <f>IF(ISNA(Tbl_Long_Hydro[[#This Row],[Draught]]),NA(),IFERROR((B*Tbl_Long_Hydro[[#This Row],[LX]]^3/12+(Tbl_Long_Hydro[[#This Row],[LCF]]-Tbl_Long_Hydro[[#This Row],[LCB]])*Tbl_Long_Hydro[[#This Row],[Waterplane area]]*Tbl_Long_Hydro[[#This Row],[LCF]]^2)/Tbl_Long_Hydro[[#This Row],[Displacement]],0))</f>
        <v>#N/A</v>
      </c>
      <c r="AT177" s="900" t="e">
        <f>Tbl_Long_Hydro[[#This Row],[Aft X]]+Tbl_Long_Hydro[[#This Row],[LX]]/2</f>
        <v>#N/A</v>
      </c>
      <c r="AU177" s="901" t="e">
        <f>IF(ISNUMBER(AU176),(AU176*AP176+Tbl_Long_Hydro[[#This Row],[X CoG elt]]*Tbl_Long_Hydro[[#This Row],[Volume elt]])/Tbl_Long_Hydro[[#This Row],[Displacement]],Tbl_Long_Hydro[[#This Row],[X CoG elt]])</f>
        <v>#N/A</v>
      </c>
      <c r="AV177" s="902" t="e">
        <f>IF(ISNA(Tbl_Long_Hydro[[#This Row],[Draught]]),NA(),0)</f>
        <v>#N/A</v>
      </c>
      <c r="AW177" s="876" t="e">
        <f>IF(ISNUMBER(AW176),(AW176*AP176+Tbl_Long_Hydro[[#This Row],[Z CoG elt]]*Tbl_Long_Hydro[[#This Row],[Volume elt]])/Tbl_Long_Hydro[[#This Row],[Displacement]],Tbl_Long_Hydro[[#This Row],[Z CoG elt]])</f>
        <v>#N/A</v>
      </c>
      <c r="AX177" s="899" t="e">
        <f>Tbl_Long_Hydro[[#This Row],[RMT]]+Tbl_Long_Hydro[[#This Row],[VCB]]</f>
        <v>#N/A</v>
      </c>
      <c r="AY177" s="904" t="e">
        <f>Tbl_Long_Hydro[[#This Row],[Displacement]]*Tbl_Long_Hydro[[#This Row],[RML]]/(100*Lpp)</f>
        <v>#N/A</v>
      </c>
      <c r="AZ177" s="956" t="e">
        <f>Tbl_Long_Hydro[[#This Row],[Draught]]</f>
        <v>#N/A</v>
      </c>
      <c r="BA177" s="959" t="e">
        <f>Tbl_Long_Hydro[[#This Row],[Displacement]]</f>
        <v>#N/A</v>
      </c>
      <c r="BB177" s="960" t="e">
        <f>Tbl_Long_Hydro[[#This Row],[Displac. SW]]</f>
        <v>#N/A</v>
      </c>
      <c r="BC177" s="964" t="e">
        <f>Tbl_Long_Hydro[[#This Row],[Waterplane area]]/100*$AQ$4</f>
        <v>#N/A</v>
      </c>
      <c r="BD177" s="961" t="e">
        <f>Tbl_Long_Hydro[[#This Row],[MCT]]</f>
        <v>#N/A</v>
      </c>
      <c r="BE177" s="962" t="e">
        <f>Tbl_Long_Hydro[[#This Row],[LCB]]</f>
        <v>#N/A</v>
      </c>
      <c r="BF177" s="962" t="e">
        <f>Tbl_Long_Hydro[[#This Row],[TCB]]</f>
        <v>#N/A</v>
      </c>
      <c r="BG177" s="962" t="e">
        <f>Tbl_Long_Hydro[[#This Row],[LCF]]</f>
        <v>#N/A</v>
      </c>
      <c r="BH177" s="963" t="e">
        <f>Tbl_Long_Hydro[[#This Row],[KMT]]</f>
        <v>#N/A</v>
      </c>
    </row>
    <row r="178" spans="11:60" x14ac:dyDescent="0.25">
      <c r="K178" s="156" t="e">
        <f t="shared" si="9"/>
        <v>#N/A</v>
      </c>
      <c r="L178" s="164" t="e">
        <f t="shared" si="10"/>
        <v>#N/A</v>
      </c>
      <c r="M178" s="262" t="e">
        <f>MATCH(Tbl_Long_Section[[#This Row],[X]],Tbl_Long_Definition[X],1)</f>
        <v>#N/A</v>
      </c>
      <c r="N178" s="262" t="e">
        <f>IF(Tbl_Long_Section[[#This Row],[Nline Prev]]&lt;COUNT(Tbl_Long_Definition[X]),Tbl_Long_Section[[#This Row],[Nline Prev]]+1,Tbl_Long_Section[[#This Row],[Nline Prev]])</f>
        <v>#N/A</v>
      </c>
      <c r="O178" s="162" t="e">
        <f>INDEX(Tbl_Long_Definition[X],Tbl_Long_Section[[#This Row],[Nline Prev]])</f>
        <v>#N/A</v>
      </c>
      <c r="P178" s="263" t="e">
        <f>INDEX(Tbl_Long_Definition[X],Tbl_Long_Section[[#This Row],[Nline Next]])</f>
        <v>#N/A</v>
      </c>
      <c r="Q178" s="160" t="e">
        <f>INDEX(Tbl_Long_Definition[H Deck-Bott.],Tbl_Long_Section[[#This Row],[Nline Prev]])</f>
        <v>#N/A</v>
      </c>
      <c r="R178" s="161" t="e">
        <f>INDEX(Tbl_Long_Definition[H Deck-Bott.],Tbl_Long_Section[[#This Row],[Nline Next]])</f>
        <v>#N/A</v>
      </c>
      <c r="S178"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78" s="8"/>
      <c r="V178" s="873" t="e">
        <f t="shared" si="12"/>
        <v>#N/A</v>
      </c>
      <c r="W178" s="885" t="e">
        <f>MATCH(Tbl_Long_Hydro[[#This Row],[Draught]],Tbl_Long_Definition[H k-bott],-1)</f>
        <v>#N/A</v>
      </c>
      <c r="X178"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78" s="886" t="e">
        <f>MATCH(Tbl_Long_Hydro[[#This Row],[Draught]],Tbl_Long_Definition[H k-bott],1)</f>
        <v>#N/A</v>
      </c>
      <c r="Z178"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78" s="888" t="e">
        <f>IF(ISNA(Tbl_Long_Hydro[[#This Row],[Draught]]),NA(),IFERROR(INDEX(Tbl_Long_Definition[X],Tbl_Long_Hydro[[#This Row],[Aft Nline prev]]),0))</f>
        <v>#N/A</v>
      </c>
      <c r="AB178" s="889" t="e">
        <f>IF(ISNA(Tbl_Long_Hydro[[#This Row],[Draught]]),NA(),IFERROR(INDEX(Tbl_Long_Definition[X],Tbl_Long_Hydro[[#This Row],[Aft Nline next]]),0))</f>
        <v>#N/A</v>
      </c>
      <c r="AC178" s="889" t="e">
        <f>IF(ISNA(Tbl_Long_Hydro[[#This Row],[Draught]]),NA(),INDEX(Tbl_Long_Definition[H k-bott],Tbl_Long_Hydro[[#This Row],[Aft Nline prev]]))</f>
        <v>#N/A</v>
      </c>
      <c r="AD178" s="889" t="e">
        <f>IF(ISNA(Tbl_Long_Hydro[[#This Row],[Draught]]),NA(),INDEX(Tbl_Long_Definition[H k-bott],Tbl_Long_Hydro[[#This Row],[Aft Nline next]]))</f>
        <v>#N/A</v>
      </c>
      <c r="AE178" s="888" t="e">
        <f>IF(ISNA(Tbl_Long_Hydro[[#This Row],[Draught]]),NA(),IFERROR(INDEX(Tbl_Long_Definition[X],Tbl_Long_Hydro[[#This Row],[Fore Nline prev]]),0))</f>
        <v>#N/A</v>
      </c>
      <c r="AF178" s="889" t="e">
        <f>IF(ISNA(Tbl_Long_Hydro[[#This Row],[Draught]]),NA(),IFERROR(INDEX(Tbl_Long_Definition[X],Tbl_Long_Hydro[[#This Row],[Fore Nline next]]),0))</f>
        <v>#N/A</v>
      </c>
      <c r="AG178" s="889" t="e">
        <f>IF(ISNA(Tbl_Long_Hydro[[#This Row],[Draught]]),NA(),INDEX(Tbl_Long_Definition[H k-bott],Tbl_Long_Hydro[[#This Row],[Fore Nline prev]]))</f>
        <v>#N/A</v>
      </c>
      <c r="AH178" s="890" t="e">
        <f>IF(ISNA(Tbl_Long_Hydro[[#This Row],[Draught]]),NA(),INDEX(Tbl_Long_Definition[H k-bott],Tbl_Long_Hydro[[#This Row],[Fore Nline next]]))</f>
        <v>#N/A</v>
      </c>
      <c r="AI178"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78"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78" s="894" t="e">
        <f>Tbl_Long_Hydro[[#This Row],[Fore X]]-Tbl_Long_Hydro[[#This Row],[Aft X]]</f>
        <v>#N/A</v>
      </c>
      <c r="AL178" s="884" t="e">
        <f>Tbl_Long_Hydro[[#This Row],[LX]]*B</f>
        <v>#N/A</v>
      </c>
      <c r="AM178" s="892" t="e">
        <f>IF(ISNUMBER(AM177),(AK177+Tbl_Long_Hydro[[#This Row],[LX]])*(Tbl_Long_Hydro[[#This Row],[Draught]]-V177)/2*B,(Tbl_Long_Hydro[[#This Row],[LX]])*Tbl_Long_Hydro[[#This Row],[Draught]]*B)</f>
        <v>#N/A</v>
      </c>
      <c r="AN178" s="899" t="e">
        <f>Tbl_Long_Hydro[[#This Row],[Aft X]]+Tbl_Long_Hydro[[#This Row],[LX]]/2</f>
        <v>#N/A</v>
      </c>
      <c r="AO178" s="876" t="e">
        <f>IF(ISNUMBER(AO177),(2*Tbl_Long_Hydro[[#This Row],[LX]]+AK177)/(Tbl_Long_Hydro[[#This Row],[LX]]+AK177)*(Tbl_Long_Hydro[[#This Row],[Draught]]-V177)/3+V177,Tbl_Long_Hydro[[#This Row],[Draught]]/2)</f>
        <v>#N/A</v>
      </c>
      <c r="AP178" s="898" t="e">
        <f>IF(ISNUMBER(AP177),Tbl_Long_Hydro[[#This Row],[Volume elt]]+AP177,Tbl_Long_Hydro[[#This Row],[Volume elt]]*AO$4)</f>
        <v>#N/A</v>
      </c>
      <c r="AQ178" s="893" t="e">
        <f>IF(ISNUMBER(AQ177),Tbl_Long_Hydro[[#This Row],[Displacement]]*AQ$4,IF(ISNA(AQ177),NA(),0))</f>
        <v>#N/A</v>
      </c>
      <c r="AR178" s="900" t="e">
        <f>IF(ISNA(Tbl_Long_Hydro[[#This Row],[Draught]]),NA(),IFERROR(Tbl_Long_Hydro[[#This Row],[LX]]*B^3/12/Tbl_Long_Hydro[[#This Row],[Displacement]],0))</f>
        <v>#N/A</v>
      </c>
      <c r="AS178" s="903" t="e">
        <f>IF(ISNA(Tbl_Long_Hydro[[#This Row],[Draught]]),NA(),IFERROR((B*Tbl_Long_Hydro[[#This Row],[LX]]^3/12+(Tbl_Long_Hydro[[#This Row],[LCF]]-Tbl_Long_Hydro[[#This Row],[LCB]])*Tbl_Long_Hydro[[#This Row],[Waterplane area]]*Tbl_Long_Hydro[[#This Row],[LCF]]^2)/Tbl_Long_Hydro[[#This Row],[Displacement]],0))</f>
        <v>#N/A</v>
      </c>
      <c r="AT178" s="900" t="e">
        <f>Tbl_Long_Hydro[[#This Row],[Aft X]]+Tbl_Long_Hydro[[#This Row],[LX]]/2</f>
        <v>#N/A</v>
      </c>
      <c r="AU178" s="901" t="e">
        <f>IF(ISNUMBER(AU177),(AU177*AP177+Tbl_Long_Hydro[[#This Row],[X CoG elt]]*Tbl_Long_Hydro[[#This Row],[Volume elt]])/Tbl_Long_Hydro[[#This Row],[Displacement]],Tbl_Long_Hydro[[#This Row],[X CoG elt]])</f>
        <v>#N/A</v>
      </c>
      <c r="AV178" s="902" t="e">
        <f>IF(ISNA(Tbl_Long_Hydro[[#This Row],[Draught]]),NA(),0)</f>
        <v>#N/A</v>
      </c>
      <c r="AW178" s="876" t="e">
        <f>IF(ISNUMBER(AW177),(AW177*AP177+Tbl_Long_Hydro[[#This Row],[Z CoG elt]]*Tbl_Long_Hydro[[#This Row],[Volume elt]])/Tbl_Long_Hydro[[#This Row],[Displacement]],Tbl_Long_Hydro[[#This Row],[Z CoG elt]])</f>
        <v>#N/A</v>
      </c>
      <c r="AX178" s="899" t="e">
        <f>Tbl_Long_Hydro[[#This Row],[RMT]]+Tbl_Long_Hydro[[#This Row],[VCB]]</f>
        <v>#N/A</v>
      </c>
      <c r="AY178" s="904" t="e">
        <f>Tbl_Long_Hydro[[#This Row],[Displacement]]*Tbl_Long_Hydro[[#This Row],[RML]]/(100*Lpp)</f>
        <v>#N/A</v>
      </c>
      <c r="AZ178" s="956" t="e">
        <f>Tbl_Long_Hydro[[#This Row],[Draught]]</f>
        <v>#N/A</v>
      </c>
      <c r="BA178" s="959" t="e">
        <f>Tbl_Long_Hydro[[#This Row],[Displacement]]</f>
        <v>#N/A</v>
      </c>
      <c r="BB178" s="960" t="e">
        <f>Tbl_Long_Hydro[[#This Row],[Displac. SW]]</f>
        <v>#N/A</v>
      </c>
      <c r="BC178" s="964" t="e">
        <f>Tbl_Long_Hydro[[#This Row],[Waterplane area]]/100*$AQ$4</f>
        <v>#N/A</v>
      </c>
      <c r="BD178" s="961" t="e">
        <f>Tbl_Long_Hydro[[#This Row],[MCT]]</f>
        <v>#N/A</v>
      </c>
      <c r="BE178" s="962" t="e">
        <f>Tbl_Long_Hydro[[#This Row],[LCB]]</f>
        <v>#N/A</v>
      </c>
      <c r="BF178" s="962" t="e">
        <f>Tbl_Long_Hydro[[#This Row],[TCB]]</f>
        <v>#N/A</v>
      </c>
      <c r="BG178" s="962" t="e">
        <f>Tbl_Long_Hydro[[#This Row],[LCF]]</f>
        <v>#N/A</v>
      </c>
      <c r="BH178" s="963" t="e">
        <f>Tbl_Long_Hydro[[#This Row],[KMT]]</f>
        <v>#N/A</v>
      </c>
    </row>
    <row r="179" spans="11:60" x14ac:dyDescent="0.25">
      <c r="K179" s="156" t="e">
        <f t="shared" si="9"/>
        <v>#N/A</v>
      </c>
      <c r="L179" s="164" t="e">
        <f t="shared" si="10"/>
        <v>#N/A</v>
      </c>
      <c r="M179" s="262" t="e">
        <f>MATCH(Tbl_Long_Section[[#This Row],[X]],Tbl_Long_Definition[X],1)</f>
        <v>#N/A</v>
      </c>
      <c r="N179" s="262" t="e">
        <f>IF(Tbl_Long_Section[[#This Row],[Nline Prev]]&lt;COUNT(Tbl_Long_Definition[X]),Tbl_Long_Section[[#This Row],[Nline Prev]]+1,Tbl_Long_Section[[#This Row],[Nline Prev]])</f>
        <v>#N/A</v>
      </c>
      <c r="O179" s="162" t="e">
        <f>INDEX(Tbl_Long_Definition[X],Tbl_Long_Section[[#This Row],[Nline Prev]])</f>
        <v>#N/A</v>
      </c>
      <c r="P179" s="263" t="e">
        <f>INDEX(Tbl_Long_Definition[X],Tbl_Long_Section[[#This Row],[Nline Next]])</f>
        <v>#N/A</v>
      </c>
      <c r="Q179" s="160" t="e">
        <f>INDEX(Tbl_Long_Definition[H Deck-Bott.],Tbl_Long_Section[[#This Row],[Nline Prev]])</f>
        <v>#N/A</v>
      </c>
      <c r="R179" s="161" t="e">
        <f>INDEX(Tbl_Long_Definition[H Deck-Bott.],Tbl_Long_Section[[#This Row],[Nline Next]])</f>
        <v>#N/A</v>
      </c>
      <c r="S179"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79" s="8"/>
      <c r="V179" s="873" t="e">
        <f t="shared" si="12"/>
        <v>#N/A</v>
      </c>
      <c r="W179" s="885" t="e">
        <f>MATCH(Tbl_Long_Hydro[[#This Row],[Draught]],Tbl_Long_Definition[H k-bott],-1)</f>
        <v>#N/A</v>
      </c>
      <c r="X179"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79" s="886" t="e">
        <f>MATCH(Tbl_Long_Hydro[[#This Row],[Draught]],Tbl_Long_Definition[H k-bott],1)</f>
        <v>#N/A</v>
      </c>
      <c r="Z179"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79" s="888" t="e">
        <f>IF(ISNA(Tbl_Long_Hydro[[#This Row],[Draught]]),NA(),IFERROR(INDEX(Tbl_Long_Definition[X],Tbl_Long_Hydro[[#This Row],[Aft Nline prev]]),0))</f>
        <v>#N/A</v>
      </c>
      <c r="AB179" s="889" t="e">
        <f>IF(ISNA(Tbl_Long_Hydro[[#This Row],[Draught]]),NA(),IFERROR(INDEX(Tbl_Long_Definition[X],Tbl_Long_Hydro[[#This Row],[Aft Nline next]]),0))</f>
        <v>#N/A</v>
      </c>
      <c r="AC179" s="889" t="e">
        <f>IF(ISNA(Tbl_Long_Hydro[[#This Row],[Draught]]),NA(),INDEX(Tbl_Long_Definition[H k-bott],Tbl_Long_Hydro[[#This Row],[Aft Nline prev]]))</f>
        <v>#N/A</v>
      </c>
      <c r="AD179" s="889" t="e">
        <f>IF(ISNA(Tbl_Long_Hydro[[#This Row],[Draught]]),NA(),INDEX(Tbl_Long_Definition[H k-bott],Tbl_Long_Hydro[[#This Row],[Aft Nline next]]))</f>
        <v>#N/A</v>
      </c>
      <c r="AE179" s="888" t="e">
        <f>IF(ISNA(Tbl_Long_Hydro[[#This Row],[Draught]]),NA(),IFERROR(INDEX(Tbl_Long_Definition[X],Tbl_Long_Hydro[[#This Row],[Fore Nline prev]]),0))</f>
        <v>#N/A</v>
      </c>
      <c r="AF179" s="889" t="e">
        <f>IF(ISNA(Tbl_Long_Hydro[[#This Row],[Draught]]),NA(),IFERROR(INDEX(Tbl_Long_Definition[X],Tbl_Long_Hydro[[#This Row],[Fore Nline next]]),0))</f>
        <v>#N/A</v>
      </c>
      <c r="AG179" s="889" t="e">
        <f>IF(ISNA(Tbl_Long_Hydro[[#This Row],[Draught]]),NA(),INDEX(Tbl_Long_Definition[H k-bott],Tbl_Long_Hydro[[#This Row],[Fore Nline prev]]))</f>
        <v>#N/A</v>
      </c>
      <c r="AH179" s="890" t="e">
        <f>IF(ISNA(Tbl_Long_Hydro[[#This Row],[Draught]]),NA(),INDEX(Tbl_Long_Definition[H k-bott],Tbl_Long_Hydro[[#This Row],[Fore Nline next]]))</f>
        <v>#N/A</v>
      </c>
      <c r="AI179"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79"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79" s="894" t="e">
        <f>Tbl_Long_Hydro[[#This Row],[Fore X]]-Tbl_Long_Hydro[[#This Row],[Aft X]]</f>
        <v>#N/A</v>
      </c>
      <c r="AL179" s="884" t="e">
        <f>Tbl_Long_Hydro[[#This Row],[LX]]*B</f>
        <v>#N/A</v>
      </c>
      <c r="AM179" s="892" t="e">
        <f>IF(ISNUMBER(AM178),(AK178+Tbl_Long_Hydro[[#This Row],[LX]])*(Tbl_Long_Hydro[[#This Row],[Draught]]-V178)/2*B,(Tbl_Long_Hydro[[#This Row],[LX]])*Tbl_Long_Hydro[[#This Row],[Draught]]*B)</f>
        <v>#N/A</v>
      </c>
      <c r="AN179" s="899" t="e">
        <f>Tbl_Long_Hydro[[#This Row],[Aft X]]+Tbl_Long_Hydro[[#This Row],[LX]]/2</f>
        <v>#N/A</v>
      </c>
      <c r="AO179" s="876" t="e">
        <f>IF(ISNUMBER(AO178),(2*Tbl_Long_Hydro[[#This Row],[LX]]+AK178)/(Tbl_Long_Hydro[[#This Row],[LX]]+AK178)*(Tbl_Long_Hydro[[#This Row],[Draught]]-V178)/3+V178,Tbl_Long_Hydro[[#This Row],[Draught]]/2)</f>
        <v>#N/A</v>
      </c>
      <c r="AP179" s="898" t="e">
        <f>IF(ISNUMBER(AP178),Tbl_Long_Hydro[[#This Row],[Volume elt]]+AP178,Tbl_Long_Hydro[[#This Row],[Volume elt]]*AO$4)</f>
        <v>#N/A</v>
      </c>
      <c r="AQ179" s="893" t="e">
        <f>IF(ISNUMBER(AQ178),Tbl_Long_Hydro[[#This Row],[Displacement]]*AQ$4,IF(ISNA(AQ178),NA(),0))</f>
        <v>#N/A</v>
      </c>
      <c r="AR179" s="900" t="e">
        <f>IF(ISNA(Tbl_Long_Hydro[[#This Row],[Draught]]),NA(),IFERROR(Tbl_Long_Hydro[[#This Row],[LX]]*B^3/12/Tbl_Long_Hydro[[#This Row],[Displacement]],0))</f>
        <v>#N/A</v>
      </c>
      <c r="AS179" s="903" t="e">
        <f>IF(ISNA(Tbl_Long_Hydro[[#This Row],[Draught]]),NA(),IFERROR((B*Tbl_Long_Hydro[[#This Row],[LX]]^3/12+(Tbl_Long_Hydro[[#This Row],[LCF]]-Tbl_Long_Hydro[[#This Row],[LCB]])*Tbl_Long_Hydro[[#This Row],[Waterplane area]]*Tbl_Long_Hydro[[#This Row],[LCF]]^2)/Tbl_Long_Hydro[[#This Row],[Displacement]],0))</f>
        <v>#N/A</v>
      </c>
      <c r="AT179" s="900" t="e">
        <f>Tbl_Long_Hydro[[#This Row],[Aft X]]+Tbl_Long_Hydro[[#This Row],[LX]]/2</f>
        <v>#N/A</v>
      </c>
      <c r="AU179" s="901" t="e">
        <f>IF(ISNUMBER(AU178),(AU178*AP178+Tbl_Long_Hydro[[#This Row],[X CoG elt]]*Tbl_Long_Hydro[[#This Row],[Volume elt]])/Tbl_Long_Hydro[[#This Row],[Displacement]],Tbl_Long_Hydro[[#This Row],[X CoG elt]])</f>
        <v>#N/A</v>
      </c>
      <c r="AV179" s="902" t="e">
        <f>IF(ISNA(Tbl_Long_Hydro[[#This Row],[Draught]]),NA(),0)</f>
        <v>#N/A</v>
      </c>
      <c r="AW179" s="876" t="e">
        <f>IF(ISNUMBER(AW178),(AW178*AP178+Tbl_Long_Hydro[[#This Row],[Z CoG elt]]*Tbl_Long_Hydro[[#This Row],[Volume elt]])/Tbl_Long_Hydro[[#This Row],[Displacement]],Tbl_Long_Hydro[[#This Row],[Z CoG elt]])</f>
        <v>#N/A</v>
      </c>
      <c r="AX179" s="899" t="e">
        <f>Tbl_Long_Hydro[[#This Row],[RMT]]+Tbl_Long_Hydro[[#This Row],[VCB]]</f>
        <v>#N/A</v>
      </c>
      <c r="AY179" s="904" t="e">
        <f>Tbl_Long_Hydro[[#This Row],[Displacement]]*Tbl_Long_Hydro[[#This Row],[RML]]/(100*Lpp)</f>
        <v>#N/A</v>
      </c>
      <c r="AZ179" s="956" t="e">
        <f>Tbl_Long_Hydro[[#This Row],[Draught]]</f>
        <v>#N/A</v>
      </c>
      <c r="BA179" s="959" t="e">
        <f>Tbl_Long_Hydro[[#This Row],[Displacement]]</f>
        <v>#N/A</v>
      </c>
      <c r="BB179" s="960" t="e">
        <f>Tbl_Long_Hydro[[#This Row],[Displac. SW]]</f>
        <v>#N/A</v>
      </c>
      <c r="BC179" s="964" t="e">
        <f>Tbl_Long_Hydro[[#This Row],[Waterplane area]]/100*$AQ$4</f>
        <v>#N/A</v>
      </c>
      <c r="BD179" s="961" t="e">
        <f>Tbl_Long_Hydro[[#This Row],[MCT]]</f>
        <v>#N/A</v>
      </c>
      <c r="BE179" s="962" t="e">
        <f>Tbl_Long_Hydro[[#This Row],[LCB]]</f>
        <v>#N/A</v>
      </c>
      <c r="BF179" s="962" t="e">
        <f>Tbl_Long_Hydro[[#This Row],[TCB]]</f>
        <v>#N/A</v>
      </c>
      <c r="BG179" s="962" t="e">
        <f>Tbl_Long_Hydro[[#This Row],[LCF]]</f>
        <v>#N/A</v>
      </c>
      <c r="BH179" s="963" t="e">
        <f>Tbl_Long_Hydro[[#This Row],[KMT]]</f>
        <v>#N/A</v>
      </c>
    </row>
    <row r="180" spans="11:60" x14ac:dyDescent="0.25">
      <c r="K180" s="156" t="e">
        <f t="shared" si="9"/>
        <v>#N/A</v>
      </c>
      <c r="L180" s="164" t="e">
        <f t="shared" si="10"/>
        <v>#N/A</v>
      </c>
      <c r="M180" s="262" t="e">
        <f>MATCH(Tbl_Long_Section[[#This Row],[X]],Tbl_Long_Definition[X],1)</f>
        <v>#N/A</v>
      </c>
      <c r="N180" s="262" t="e">
        <f>IF(Tbl_Long_Section[[#This Row],[Nline Prev]]&lt;COUNT(Tbl_Long_Definition[X]),Tbl_Long_Section[[#This Row],[Nline Prev]]+1,Tbl_Long_Section[[#This Row],[Nline Prev]])</f>
        <v>#N/A</v>
      </c>
      <c r="O180" s="162" t="e">
        <f>INDEX(Tbl_Long_Definition[X],Tbl_Long_Section[[#This Row],[Nline Prev]])</f>
        <v>#N/A</v>
      </c>
      <c r="P180" s="263" t="e">
        <f>INDEX(Tbl_Long_Definition[X],Tbl_Long_Section[[#This Row],[Nline Next]])</f>
        <v>#N/A</v>
      </c>
      <c r="Q180" s="160" t="e">
        <f>INDEX(Tbl_Long_Definition[H Deck-Bott.],Tbl_Long_Section[[#This Row],[Nline Prev]])</f>
        <v>#N/A</v>
      </c>
      <c r="R180" s="161" t="e">
        <f>INDEX(Tbl_Long_Definition[H Deck-Bott.],Tbl_Long_Section[[#This Row],[Nline Next]])</f>
        <v>#N/A</v>
      </c>
      <c r="S180"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80" s="8"/>
      <c r="V180" s="873" t="e">
        <f t="shared" si="12"/>
        <v>#N/A</v>
      </c>
      <c r="W180" s="885" t="e">
        <f>MATCH(Tbl_Long_Hydro[[#This Row],[Draught]],Tbl_Long_Definition[H k-bott],-1)</f>
        <v>#N/A</v>
      </c>
      <c r="X180"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80" s="886" t="e">
        <f>MATCH(Tbl_Long_Hydro[[#This Row],[Draught]],Tbl_Long_Definition[H k-bott],1)</f>
        <v>#N/A</v>
      </c>
      <c r="Z180"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80" s="888" t="e">
        <f>IF(ISNA(Tbl_Long_Hydro[[#This Row],[Draught]]),NA(),IFERROR(INDEX(Tbl_Long_Definition[X],Tbl_Long_Hydro[[#This Row],[Aft Nline prev]]),0))</f>
        <v>#N/A</v>
      </c>
      <c r="AB180" s="889" t="e">
        <f>IF(ISNA(Tbl_Long_Hydro[[#This Row],[Draught]]),NA(),IFERROR(INDEX(Tbl_Long_Definition[X],Tbl_Long_Hydro[[#This Row],[Aft Nline next]]),0))</f>
        <v>#N/A</v>
      </c>
      <c r="AC180" s="889" t="e">
        <f>IF(ISNA(Tbl_Long_Hydro[[#This Row],[Draught]]),NA(),INDEX(Tbl_Long_Definition[H k-bott],Tbl_Long_Hydro[[#This Row],[Aft Nline prev]]))</f>
        <v>#N/A</v>
      </c>
      <c r="AD180" s="889" t="e">
        <f>IF(ISNA(Tbl_Long_Hydro[[#This Row],[Draught]]),NA(),INDEX(Tbl_Long_Definition[H k-bott],Tbl_Long_Hydro[[#This Row],[Aft Nline next]]))</f>
        <v>#N/A</v>
      </c>
      <c r="AE180" s="888" t="e">
        <f>IF(ISNA(Tbl_Long_Hydro[[#This Row],[Draught]]),NA(),IFERROR(INDEX(Tbl_Long_Definition[X],Tbl_Long_Hydro[[#This Row],[Fore Nline prev]]),0))</f>
        <v>#N/A</v>
      </c>
      <c r="AF180" s="889" t="e">
        <f>IF(ISNA(Tbl_Long_Hydro[[#This Row],[Draught]]),NA(),IFERROR(INDEX(Tbl_Long_Definition[X],Tbl_Long_Hydro[[#This Row],[Fore Nline next]]),0))</f>
        <v>#N/A</v>
      </c>
      <c r="AG180" s="889" t="e">
        <f>IF(ISNA(Tbl_Long_Hydro[[#This Row],[Draught]]),NA(),INDEX(Tbl_Long_Definition[H k-bott],Tbl_Long_Hydro[[#This Row],[Fore Nline prev]]))</f>
        <v>#N/A</v>
      </c>
      <c r="AH180" s="890" t="e">
        <f>IF(ISNA(Tbl_Long_Hydro[[#This Row],[Draught]]),NA(),INDEX(Tbl_Long_Definition[H k-bott],Tbl_Long_Hydro[[#This Row],[Fore Nline next]]))</f>
        <v>#N/A</v>
      </c>
      <c r="AI180"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80"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80" s="894" t="e">
        <f>Tbl_Long_Hydro[[#This Row],[Fore X]]-Tbl_Long_Hydro[[#This Row],[Aft X]]</f>
        <v>#N/A</v>
      </c>
      <c r="AL180" s="884" t="e">
        <f>Tbl_Long_Hydro[[#This Row],[LX]]*B</f>
        <v>#N/A</v>
      </c>
      <c r="AM180" s="892" t="e">
        <f>IF(ISNUMBER(AM179),(AK179+Tbl_Long_Hydro[[#This Row],[LX]])*(Tbl_Long_Hydro[[#This Row],[Draught]]-V179)/2*B,(Tbl_Long_Hydro[[#This Row],[LX]])*Tbl_Long_Hydro[[#This Row],[Draught]]*B)</f>
        <v>#N/A</v>
      </c>
      <c r="AN180" s="899" t="e">
        <f>Tbl_Long_Hydro[[#This Row],[Aft X]]+Tbl_Long_Hydro[[#This Row],[LX]]/2</f>
        <v>#N/A</v>
      </c>
      <c r="AO180" s="876" t="e">
        <f>IF(ISNUMBER(AO179),(2*Tbl_Long_Hydro[[#This Row],[LX]]+AK179)/(Tbl_Long_Hydro[[#This Row],[LX]]+AK179)*(Tbl_Long_Hydro[[#This Row],[Draught]]-V179)/3+V179,Tbl_Long_Hydro[[#This Row],[Draught]]/2)</f>
        <v>#N/A</v>
      </c>
      <c r="AP180" s="898" t="e">
        <f>IF(ISNUMBER(AP179),Tbl_Long_Hydro[[#This Row],[Volume elt]]+AP179,Tbl_Long_Hydro[[#This Row],[Volume elt]]*AO$4)</f>
        <v>#N/A</v>
      </c>
      <c r="AQ180" s="893" t="e">
        <f>IF(ISNUMBER(AQ179),Tbl_Long_Hydro[[#This Row],[Displacement]]*AQ$4,IF(ISNA(AQ179),NA(),0))</f>
        <v>#N/A</v>
      </c>
      <c r="AR180" s="900" t="e">
        <f>IF(ISNA(Tbl_Long_Hydro[[#This Row],[Draught]]),NA(),IFERROR(Tbl_Long_Hydro[[#This Row],[LX]]*B^3/12/Tbl_Long_Hydro[[#This Row],[Displacement]],0))</f>
        <v>#N/A</v>
      </c>
      <c r="AS180" s="903" t="e">
        <f>IF(ISNA(Tbl_Long_Hydro[[#This Row],[Draught]]),NA(),IFERROR((B*Tbl_Long_Hydro[[#This Row],[LX]]^3/12+(Tbl_Long_Hydro[[#This Row],[LCF]]-Tbl_Long_Hydro[[#This Row],[LCB]])*Tbl_Long_Hydro[[#This Row],[Waterplane area]]*Tbl_Long_Hydro[[#This Row],[LCF]]^2)/Tbl_Long_Hydro[[#This Row],[Displacement]],0))</f>
        <v>#N/A</v>
      </c>
      <c r="AT180" s="900" t="e">
        <f>Tbl_Long_Hydro[[#This Row],[Aft X]]+Tbl_Long_Hydro[[#This Row],[LX]]/2</f>
        <v>#N/A</v>
      </c>
      <c r="AU180" s="901" t="e">
        <f>IF(ISNUMBER(AU179),(AU179*AP179+Tbl_Long_Hydro[[#This Row],[X CoG elt]]*Tbl_Long_Hydro[[#This Row],[Volume elt]])/Tbl_Long_Hydro[[#This Row],[Displacement]],Tbl_Long_Hydro[[#This Row],[X CoG elt]])</f>
        <v>#N/A</v>
      </c>
      <c r="AV180" s="902" t="e">
        <f>IF(ISNA(Tbl_Long_Hydro[[#This Row],[Draught]]),NA(),0)</f>
        <v>#N/A</v>
      </c>
      <c r="AW180" s="876" t="e">
        <f>IF(ISNUMBER(AW179),(AW179*AP179+Tbl_Long_Hydro[[#This Row],[Z CoG elt]]*Tbl_Long_Hydro[[#This Row],[Volume elt]])/Tbl_Long_Hydro[[#This Row],[Displacement]],Tbl_Long_Hydro[[#This Row],[Z CoG elt]])</f>
        <v>#N/A</v>
      </c>
      <c r="AX180" s="899" t="e">
        <f>Tbl_Long_Hydro[[#This Row],[RMT]]+Tbl_Long_Hydro[[#This Row],[VCB]]</f>
        <v>#N/A</v>
      </c>
      <c r="AY180" s="904" t="e">
        <f>Tbl_Long_Hydro[[#This Row],[Displacement]]*Tbl_Long_Hydro[[#This Row],[RML]]/(100*Lpp)</f>
        <v>#N/A</v>
      </c>
      <c r="AZ180" s="956" t="e">
        <f>Tbl_Long_Hydro[[#This Row],[Draught]]</f>
        <v>#N/A</v>
      </c>
      <c r="BA180" s="959" t="e">
        <f>Tbl_Long_Hydro[[#This Row],[Displacement]]</f>
        <v>#N/A</v>
      </c>
      <c r="BB180" s="960" t="e">
        <f>Tbl_Long_Hydro[[#This Row],[Displac. SW]]</f>
        <v>#N/A</v>
      </c>
      <c r="BC180" s="964" t="e">
        <f>Tbl_Long_Hydro[[#This Row],[Waterplane area]]/100*$AQ$4</f>
        <v>#N/A</v>
      </c>
      <c r="BD180" s="961" t="e">
        <f>Tbl_Long_Hydro[[#This Row],[MCT]]</f>
        <v>#N/A</v>
      </c>
      <c r="BE180" s="962" t="e">
        <f>Tbl_Long_Hydro[[#This Row],[LCB]]</f>
        <v>#N/A</v>
      </c>
      <c r="BF180" s="962" t="e">
        <f>Tbl_Long_Hydro[[#This Row],[TCB]]</f>
        <v>#N/A</v>
      </c>
      <c r="BG180" s="962" t="e">
        <f>Tbl_Long_Hydro[[#This Row],[LCF]]</f>
        <v>#N/A</v>
      </c>
      <c r="BH180" s="963" t="e">
        <f>Tbl_Long_Hydro[[#This Row],[KMT]]</f>
        <v>#N/A</v>
      </c>
    </row>
    <row r="181" spans="11:60" x14ac:dyDescent="0.25">
      <c r="K181" s="156" t="e">
        <f t="shared" si="9"/>
        <v>#N/A</v>
      </c>
      <c r="L181" s="164" t="e">
        <f t="shared" si="10"/>
        <v>#N/A</v>
      </c>
      <c r="M181" s="262" t="e">
        <f>MATCH(Tbl_Long_Section[[#This Row],[X]],Tbl_Long_Definition[X],1)</f>
        <v>#N/A</v>
      </c>
      <c r="N181" s="262" t="e">
        <f>IF(Tbl_Long_Section[[#This Row],[Nline Prev]]&lt;COUNT(Tbl_Long_Definition[X]),Tbl_Long_Section[[#This Row],[Nline Prev]]+1,Tbl_Long_Section[[#This Row],[Nline Prev]])</f>
        <v>#N/A</v>
      </c>
      <c r="O181" s="162" t="e">
        <f>INDEX(Tbl_Long_Definition[X],Tbl_Long_Section[[#This Row],[Nline Prev]])</f>
        <v>#N/A</v>
      </c>
      <c r="P181" s="263" t="e">
        <f>INDEX(Tbl_Long_Definition[X],Tbl_Long_Section[[#This Row],[Nline Next]])</f>
        <v>#N/A</v>
      </c>
      <c r="Q181" s="160" t="e">
        <f>INDEX(Tbl_Long_Definition[H Deck-Bott.],Tbl_Long_Section[[#This Row],[Nline Prev]])</f>
        <v>#N/A</v>
      </c>
      <c r="R181" s="161" t="e">
        <f>INDEX(Tbl_Long_Definition[H Deck-Bott.],Tbl_Long_Section[[#This Row],[Nline Next]])</f>
        <v>#N/A</v>
      </c>
      <c r="S181"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81" s="8"/>
      <c r="V181" s="873" t="e">
        <f t="shared" si="12"/>
        <v>#N/A</v>
      </c>
      <c r="W181" s="885" t="e">
        <f>MATCH(Tbl_Long_Hydro[[#This Row],[Draught]],Tbl_Long_Definition[H k-bott],-1)</f>
        <v>#N/A</v>
      </c>
      <c r="X181"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81" s="886" t="e">
        <f>MATCH(Tbl_Long_Hydro[[#This Row],[Draught]],Tbl_Long_Definition[H k-bott],1)</f>
        <v>#N/A</v>
      </c>
      <c r="Z181"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81" s="888" t="e">
        <f>IF(ISNA(Tbl_Long_Hydro[[#This Row],[Draught]]),NA(),IFERROR(INDEX(Tbl_Long_Definition[X],Tbl_Long_Hydro[[#This Row],[Aft Nline prev]]),0))</f>
        <v>#N/A</v>
      </c>
      <c r="AB181" s="889" t="e">
        <f>IF(ISNA(Tbl_Long_Hydro[[#This Row],[Draught]]),NA(),IFERROR(INDEX(Tbl_Long_Definition[X],Tbl_Long_Hydro[[#This Row],[Aft Nline next]]),0))</f>
        <v>#N/A</v>
      </c>
      <c r="AC181" s="889" t="e">
        <f>IF(ISNA(Tbl_Long_Hydro[[#This Row],[Draught]]),NA(),INDEX(Tbl_Long_Definition[H k-bott],Tbl_Long_Hydro[[#This Row],[Aft Nline prev]]))</f>
        <v>#N/A</v>
      </c>
      <c r="AD181" s="889" t="e">
        <f>IF(ISNA(Tbl_Long_Hydro[[#This Row],[Draught]]),NA(),INDEX(Tbl_Long_Definition[H k-bott],Tbl_Long_Hydro[[#This Row],[Aft Nline next]]))</f>
        <v>#N/A</v>
      </c>
      <c r="AE181" s="888" t="e">
        <f>IF(ISNA(Tbl_Long_Hydro[[#This Row],[Draught]]),NA(),IFERROR(INDEX(Tbl_Long_Definition[X],Tbl_Long_Hydro[[#This Row],[Fore Nline prev]]),0))</f>
        <v>#N/A</v>
      </c>
      <c r="AF181" s="889" t="e">
        <f>IF(ISNA(Tbl_Long_Hydro[[#This Row],[Draught]]),NA(),IFERROR(INDEX(Tbl_Long_Definition[X],Tbl_Long_Hydro[[#This Row],[Fore Nline next]]),0))</f>
        <v>#N/A</v>
      </c>
      <c r="AG181" s="889" t="e">
        <f>IF(ISNA(Tbl_Long_Hydro[[#This Row],[Draught]]),NA(),INDEX(Tbl_Long_Definition[H k-bott],Tbl_Long_Hydro[[#This Row],[Fore Nline prev]]))</f>
        <v>#N/A</v>
      </c>
      <c r="AH181" s="890" t="e">
        <f>IF(ISNA(Tbl_Long_Hydro[[#This Row],[Draught]]),NA(),INDEX(Tbl_Long_Definition[H k-bott],Tbl_Long_Hydro[[#This Row],[Fore Nline next]]))</f>
        <v>#N/A</v>
      </c>
      <c r="AI181"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81"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81" s="894" t="e">
        <f>Tbl_Long_Hydro[[#This Row],[Fore X]]-Tbl_Long_Hydro[[#This Row],[Aft X]]</f>
        <v>#N/A</v>
      </c>
      <c r="AL181" s="884" t="e">
        <f>Tbl_Long_Hydro[[#This Row],[LX]]*B</f>
        <v>#N/A</v>
      </c>
      <c r="AM181" s="892" t="e">
        <f>IF(ISNUMBER(AM180),(AK180+Tbl_Long_Hydro[[#This Row],[LX]])*(Tbl_Long_Hydro[[#This Row],[Draught]]-V180)/2*B,(Tbl_Long_Hydro[[#This Row],[LX]])*Tbl_Long_Hydro[[#This Row],[Draught]]*B)</f>
        <v>#N/A</v>
      </c>
      <c r="AN181" s="899" t="e">
        <f>Tbl_Long_Hydro[[#This Row],[Aft X]]+Tbl_Long_Hydro[[#This Row],[LX]]/2</f>
        <v>#N/A</v>
      </c>
      <c r="AO181" s="876" t="e">
        <f>IF(ISNUMBER(AO180),(2*Tbl_Long_Hydro[[#This Row],[LX]]+AK180)/(Tbl_Long_Hydro[[#This Row],[LX]]+AK180)*(Tbl_Long_Hydro[[#This Row],[Draught]]-V180)/3+V180,Tbl_Long_Hydro[[#This Row],[Draught]]/2)</f>
        <v>#N/A</v>
      </c>
      <c r="AP181" s="898" t="e">
        <f>IF(ISNUMBER(AP180),Tbl_Long_Hydro[[#This Row],[Volume elt]]+AP180,Tbl_Long_Hydro[[#This Row],[Volume elt]]*AO$4)</f>
        <v>#N/A</v>
      </c>
      <c r="AQ181" s="893" t="e">
        <f>IF(ISNUMBER(AQ180),Tbl_Long_Hydro[[#This Row],[Displacement]]*AQ$4,IF(ISNA(AQ180),NA(),0))</f>
        <v>#N/A</v>
      </c>
      <c r="AR181" s="900" t="e">
        <f>IF(ISNA(Tbl_Long_Hydro[[#This Row],[Draught]]),NA(),IFERROR(Tbl_Long_Hydro[[#This Row],[LX]]*B^3/12/Tbl_Long_Hydro[[#This Row],[Displacement]],0))</f>
        <v>#N/A</v>
      </c>
      <c r="AS181" s="903" t="e">
        <f>IF(ISNA(Tbl_Long_Hydro[[#This Row],[Draught]]),NA(),IFERROR((B*Tbl_Long_Hydro[[#This Row],[LX]]^3/12+(Tbl_Long_Hydro[[#This Row],[LCF]]-Tbl_Long_Hydro[[#This Row],[LCB]])*Tbl_Long_Hydro[[#This Row],[Waterplane area]]*Tbl_Long_Hydro[[#This Row],[LCF]]^2)/Tbl_Long_Hydro[[#This Row],[Displacement]],0))</f>
        <v>#N/A</v>
      </c>
      <c r="AT181" s="900" t="e">
        <f>Tbl_Long_Hydro[[#This Row],[Aft X]]+Tbl_Long_Hydro[[#This Row],[LX]]/2</f>
        <v>#N/A</v>
      </c>
      <c r="AU181" s="901" t="e">
        <f>IF(ISNUMBER(AU180),(AU180*AP180+Tbl_Long_Hydro[[#This Row],[X CoG elt]]*Tbl_Long_Hydro[[#This Row],[Volume elt]])/Tbl_Long_Hydro[[#This Row],[Displacement]],Tbl_Long_Hydro[[#This Row],[X CoG elt]])</f>
        <v>#N/A</v>
      </c>
      <c r="AV181" s="902" t="e">
        <f>IF(ISNA(Tbl_Long_Hydro[[#This Row],[Draught]]),NA(),0)</f>
        <v>#N/A</v>
      </c>
      <c r="AW181" s="876" t="e">
        <f>IF(ISNUMBER(AW180),(AW180*AP180+Tbl_Long_Hydro[[#This Row],[Z CoG elt]]*Tbl_Long_Hydro[[#This Row],[Volume elt]])/Tbl_Long_Hydro[[#This Row],[Displacement]],Tbl_Long_Hydro[[#This Row],[Z CoG elt]])</f>
        <v>#N/A</v>
      </c>
      <c r="AX181" s="899" t="e">
        <f>Tbl_Long_Hydro[[#This Row],[RMT]]+Tbl_Long_Hydro[[#This Row],[VCB]]</f>
        <v>#N/A</v>
      </c>
      <c r="AY181" s="904" t="e">
        <f>Tbl_Long_Hydro[[#This Row],[Displacement]]*Tbl_Long_Hydro[[#This Row],[RML]]/(100*Lpp)</f>
        <v>#N/A</v>
      </c>
      <c r="AZ181" s="956" t="e">
        <f>Tbl_Long_Hydro[[#This Row],[Draught]]</f>
        <v>#N/A</v>
      </c>
      <c r="BA181" s="959" t="e">
        <f>Tbl_Long_Hydro[[#This Row],[Displacement]]</f>
        <v>#N/A</v>
      </c>
      <c r="BB181" s="960" t="e">
        <f>Tbl_Long_Hydro[[#This Row],[Displac. SW]]</f>
        <v>#N/A</v>
      </c>
      <c r="BC181" s="964" t="e">
        <f>Tbl_Long_Hydro[[#This Row],[Waterplane area]]/100*$AQ$4</f>
        <v>#N/A</v>
      </c>
      <c r="BD181" s="961" t="e">
        <f>Tbl_Long_Hydro[[#This Row],[MCT]]</f>
        <v>#N/A</v>
      </c>
      <c r="BE181" s="962" t="e">
        <f>Tbl_Long_Hydro[[#This Row],[LCB]]</f>
        <v>#N/A</v>
      </c>
      <c r="BF181" s="962" t="e">
        <f>Tbl_Long_Hydro[[#This Row],[TCB]]</f>
        <v>#N/A</v>
      </c>
      <c r="BG181" s="962" t="e">
        <f>Tbl_Long_Hydro[[#This Row],[LCF]]</f>
        <v>#N/A</v>
      </c>
      <c r="BH181" s="963" t="e">
        <f>Tbl_Long_Hydro[[#This Row],[KMT]]</f>
        <v>#N/A</v>
      </c>
    </row>
    <row r="182" spans="11:60" x14ac:dyDescent="0.25">
      <c r="K182" s="156" t="e">
        <f t="shared" si="9"/>
        <v>#N/A</v>
      </c>
      <c r="L182" s="164" t="e">
        <f t="shared" si="10"/>
        <v>#N/A</v>
      </c>
      <c r="M182" s="262" t="e">
        <f>MATCH(Tbl_Long_Section[[#This Row],[X]],Tbl_Long_Definition[X],1)</f>
        <v>#N/A</v>
      </c>
      <c r="N182" s="262" t="e">
        <f>IF(Tbl_Long_Section[[#This Row],[Nline Prev]]&lt;COUNT(Tbl_Long_Definition[X]),Tbl_Long_Section[[#This Row],[Nline Prev]]+1,Tbl_Long_Section[[#This Row],[Nline Prev]])</f>
        <v>#N/A</v>
      </c>
      <c r="O182" s="162" t="e">
        <f>INDEX(Tbl_Long_Definition[X],Tbl_Long_Section[[#This Row],[Nline Prev]])</f>
        <v>#N/A</v>
      </c>
      <c r="P182" s="263" t="e">
        <f>INDEX(Tbl_Long_Definition[X],Tbl_Long_Section[[#This Row],[Nline Next]])</f>
        <v>#N/A</v>
      </c>
      <c r="Q182" s="160" t="e">
        <f>INDEX(Tbl_Long_Definition[H Deck-Bott.],Tbl_Long_Section[[#This Row],[Nline Prev]])</f>
        <v>#N/A</v>
      </c>
      <c r="R182" s="161" t="e">
        <f>INDEX(Tbl_Long_Definition[H Deck-Bott.],Tbl_Long_Section[[#This Row],[Nline Next]])</f>
        <v>#N/A</v>
      </c>
      <c r="S182"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82" s="8"/>
      <c r="V182" s="873" t="e">
        <f t="shared" si="12"/>
        <v>#N/A</v>
      </c>
      <c r="W182" s="885" t="e">
        <f>MATCH(Tbl_Long_Hydro[[#This Row],[Draught]],Tbl_Long_Definition[H k-bott],-1)</f>
        <v>#N/A</v>
      </c>
      <c r="X182"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82" s="886" t="e">
        <f>MATCH(Tbl_Long_Hydro[[#This Row],[Draught]],Tbl_Long_Definition[H k-bott],1)</f>
        <v>#N/A</v>
      </c>
      <c r="Z182"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82" s="888" t="e">
        <f>IF(ISNA(Tbl_Long_Hydro[[#This Row],[Draught]]),NA(),IFERROR(INDEX(Tbl_Long_Definition[X],Tbl_Long_Hydro[[#This Row],[Aft Nline prev]]),0))</f>
        <v>#N/A</v>
      </c>
      <c r="AB182" s="889" t="e">
        <f>IF(ISNA(Tbl_Long_Hydro[[#This Row],[Draught]]),NA(),IFERROR(INDEX(Tbl_Long_Definition[X],Tbl_Long_Hydro[[#This Row],[Aft Nline next]]),0))</f>
        <v>#N/A</v>
      </c>
      <c r="AC182" s="889" t="e">
        <f>IF(ISNA(Tbl_Long_Hydro[[#This Row],[Draught]]),NA(),INDEX(Tbl_Long_Definition[H k-bott],Tbl_Long_Hydro[[#This Row],[Aft Nline prev]]))</f>
        <v>#N/A</v>
      </c>
      <c r="AD182" s="889" t="e">
        <f>IF(ISNA(Tbl_Long_Hydro[[#This Row],[Draught]]),NA(),INDEX(Tbl_Long_Definition[H k-bott],Tbl_Long_Hydro[[#This Row],[Aft Nline next]]))</f>
        <v>#N/A</v>
      </c>
      <c r="AE182" s="888" t="e">
        <f>IF(ISNA(Tbl_Long_Hydro[[#This Row],[Draught]]),NA(),IFERROR(INDEX(Tbl_Long_Definition[X],Tbl_Long_Hydro[[#This Row],[Fore Nline prev]]),0))</f>
        <v>#N/A</v>
      </c>
      <c r="AF182" s="889" t="e">
        <f>IF(ISNA(Tbl_Long_Hydro[[#This Row],[Draught]]),NA(),IFERROR(INDEX(Tbl_Long_Definition[X],Tbl_Long_Hydro[[#This Row],[Fore Nline next]]),0))</f>
        <v>#N/A</v>
      </c>
      <c r="AG182" s="889" t="e">
        <f>IF(ISNA(Tbl_Long_Hydro[[#This Row],[Draught]]),NA(),INDEX(Tbl_Long_Definition[H k-bott],Tbl_Long_Hydro[[#This Row],[Fore Nline prev]]))</f>
        <v>#N/A</v>
      </c>
      <c r="AH182" s="890" t="e">
        <f>IF(ISNA(Tbl_Long_Hydro[[#This Row],[Draught]]),NA(),INDEX(Tbl_Long_Definition[H k-bott],Tbl_Long_Hydro[[#This Row],[Fore Nline next]]))</f>
        <v>#N/A</v>
      </c>
      <c r="AI182"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82"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82" s="894" t="e">
        <f>Tbl_Long_Hydro[[#This Row],[Fore X]]-Tbl_Long_Hydro[[#This Row],[Aft X]]</f>
        <v>#N/A</v>
      </c>
      <c r="AL182" s="884" t="e">
        <f>Tbl_Long_Hydro[[#This Row],[LX]]*B</f>
        <v>#N/A</v>
      </c>
      <c r="AM182" s="892" t="e">
        <f>IF(ISNUMBER(AM181),(AK181+Tbl_Long_Hydro[[#This Row],[LX]])*(Tbl_Long_Hydro[[#This Row],[Draught]]-V181)/2*B,(Tbl_Long_Hydro[[#This Row],[LX]])*Tbl_Long_Hydro[[#This Row],[Draught]]*B)</f>
        <v>#N/A</v>
      </c>
      <c r="AN182" s="899" t="e">
        <f>Tbl_Long_Hydro[[#This Row],[Aft X]]+Tbl_Long_Hydro[[#This Row],[LX]]/2</f>
        <v>#N/A</v>
      </c>
      <c r="AO182" s="876" t="e">
        <f>IF(ISNUMBER(AO181),(2*Tbl_Long_Hydro[[#This Row],[LX]]+AK181)/(Tbl_Long_Hydro[[#This Row],[LX]]+AK181)*(Tbl_Long_Hydro[[#This Row],[Draught]]-V181)/3+V181,Tbl_Long_Hydro[[#This Row],[Draught]]/2)</f>
        <v>#N/A</v>
      </c>
      <c r="AP182" s="898" t="e">
        <f>IF(ISNUMBER(AP181),Tbl_Long_Hydro[[#This Row],[Volume elt]]+AP181,Tbl_Long_Hydro[[#This Row],[Volume elt]]*AO$4)</f>
        <v>#N/A</v>
      </c>
      <c r="AQ182" s="893" t="e">
        <f>IF(ISNUMBER(AQ181),Tbl_Long_Hydro[[#This Row],[Displacement]]*AQ$4,IF(ISNA(AQ181),NA(),0))</f>
        <v>#N/A</v>
      </c>
      <c r="AR182" s="900" t="e">
        <f>IF(ISNA(Tbl_Long_Hydro[[#This Row],[Draught]]),NA(),IFERROR(Tbl_Long_Hydro[[#This Row],[LX]]*B^3/12/Tbl_Long_Hydro[[#This Row],[Displacement]],0))</f>
        <v>#N/A</v>
      </c>
      <c r="AS182" s="903" t="e">
        <f>IF(ISNA(Tbl_Long_Hydro[[#This Row],[Draught]]),NA(),IFERROR((B*Tbl_Long_Hydro[[#This Row],[LX]]^3/12+(Tbl_Long_Hydro[[#This Row],[LCF]]-Tbl_Long_Hydro[[#This Row],[LCB]])*Tbl_Long_Hydro[[#This Row],[Waterplane area]]*Tbl_Long_Hydro[[#This Row],[LCF]]^2)/Tbl_Long_Hydro[[#This Row],[Displacement]],0))</f>
        <v>#N/A</v>
      </c>
      <c r="AT182" s="900" t="e">
        <f>Tbl_Long_Hydro[[#This Row],[Aft X]]+Tbl_Long_Hydro[[#This Row],[LX]]/2</f>
        <v>#N/A</v>
      </c>
      <c r="AU182" s="901" t="e">
        <f>IF(ISNUMBER(AU181),(AU181*AP181+Tbl_Long_Hydro[[#This Row],[X CoG elt]]*Tbl_Long_Hydro[[#This Row],[Volume elt]])/Tbl_Long_Hydro[[#This Row],[Displacement]],Tbl_Long_Hydro[[#This Row],[X CoG elt]])</f>
        <v>#N/A</v>
      </c>
      <c r="AV182" s="902" t="e">
        <f>IF(ISNA(Tbl_Long_Hydro[[#This Row],[Draught]]),NA(),0)</f>
        <v>#N/A</v>
      </c>
      <c r="AW182" s="876" t="e">
        <f>IF(ISNUMBER(AW181),(AW181*AP181+Tbl_Long_Hydro[[#This Row],[Z CoG elt]]*Tbl_Long_Hydro[[#This Row],[Volume elt]])/Tbl_Long_Hydro[[#This Row],[Displacement]],Tbl_Long_Hydro[[#This Row],[Z CoG elt]])</f>
        <v>#N/A</v>
      </c>
      <c r="AX182" s="899" t="e">
        <f>Tbl_Long_Hydro[[#This Row],[RMT]]+Tbl_Long_Hydro[[#This Row],[VCB]]</f>
        <v>#N/A</v>
      </c>
      <c r="AY182" s="904" t="e">
        <f>Tbl_Long_Hydro[[#This Row],[Displacement]]*Tbl_Long_Hydro[[#This Row],[RML]]/(100*Lpp)</f>
        <v>#N/A</v>
      </c>
      <c r="AZ182" s="956" t="e">
        <f>Tbl_Long_Hydro[[#This Row],[Draught]]</f>
        <v>#N/A</v>
      </c>
      <c r="BA182" s="959" t="e">
        <f>Tbl_Long_Hydro[[#This Row],[Displacement]]</f>
        <v>#N/A</v>
      </c>
      <c r="BB182" s="960" t="e">
        <f>Tbl_Long_Hydro[[#This Row],[Displac. SW]]</f>
        <v>#N/A</v>
      </c>
      <c r="BC182" s="964" t="e">
        <f>Tbl_Long_Hydro[[#This Row],[Waterplane area]]/100*$AQ$4</f>
        <v>#N/A</v>
      </c>
      <c r="BD182" s="961" t="e">
        <f>Tbl_Long_Hydro[[#This Row],[MCT]]</f>
        <v>#N/A</v>
      </c>
      <c r="BE182" s="962" t="e">
        <f>Tbl_Long_Hydro[[#This Row],[LCB]]</f>
        <v>#N/A</v>
      </c>
      <c r="BF182" s="962" t="e">
        <f>Tbl_Long_Hydro[[#This Row],[TCB]]</f>
        <v>#N/A</v>
      </c>
      <c r="BG182" s="962" t="e">
        <f>Tbl_Long_Hydro[[#This Row],[LCF]]</f>
        <v>#N/A</v>
      </c>
      <c r="BH182" s="963" t="e">
        <f>Tbl_Long_Hydro[[#This Row],[KMT]]</f>
        <v>#N/A</v>
      </c>
    </row>
    <row r="183" spans="11:60" x14ac:dyDescent="0.25">
      <c r="K183" s="156" t="e">
        <f t="shared" si="9"/>
        <v>#N/A</v>
      </c>
      <c r="L183" s="164" t="e">
        <f t="shared" si="10"/>
        <v>#N/A</v>
      </c>
      <c r="M183" s="262" t="e">
        <f>MATCH(Tbl_Long_Section[[#This Row],[X]],Tbl_Long_Definition[X],1)</f>
        <v>#N/A</v>
      </c>
      <c r="N183" s="262" t="e">
        <f>IF(Tbl_Long_Section[[#This Row],[Nline Prev]]&lt;COUNT(Tbl_Long_Definition[X]),Tbl_Long_Section[[#This Row],[Nline Prev]]+1,Tbl_Long_Section[[#This Row],[Nline Prev]])</f>
        <v>#N/A</v>
      </c>
      <c r="O183" s="162" t="e">
        <f>INDEX(Tbl_Long_Definition[X],Tbl_Long_Section[[#This Row],[Nline Prev]])</f>
        <v>#N/A</v>
      </c>
      <c r="P183" s="263" t="e">
        <f>INDEX(Tbl_Long_Definition[X],Tbl_Long_Section[[#This Row],[Nline Next]])</f>
        <v>#N/A</v>
      </c>
      <c r="Q183" s="160" t="e">
        <f>INDEX(Tbl_Long_Definition[H Deck-Bott.],Tbl_Long_Section[[#This Row],[Nline Prev]])</f>
        <v>#N/A</v>
      </c>
      <c r="R183" s="161" t="e">
        <f>INDEX(Tbl_Long_Definition[H Deck-Bott.],Tbl_Long_Section[[#This Row],[Nline Next]])</f>
        <v>#N/A</v>
      </c>
      <c r="S183"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83" s="8"/>
      <c r="V183" s="873" t="e">
        <f t="shared" si="12"/>
        <v>#N/A</v>
      </c>
      <c r="W183" s="885" t="e">
        <f>MATCH(Tbl_Long_Hydro[[#This Row],[Draught]],Tbl_Long_Definition[H k-bott],-1)</f>
        <v>#N/A</v>
      </c>
      <c r="X183"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83" s="886" t="e">
        <f>MATCH(Tbl_Long_Hydro[[#This Row],[Draught]],Tbl_Long_Definition[H k-bott],1)</f>
        <v>#N/A</v>
      </c>
      <c r="Z183"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83" s="888" t="e">
        <f>IF(ISNA(Tbl_Long_Hydro[[#This Row],[Draught]]),NA(),IFERROR(INDEX(Tbl_Long_Definition[X],Tbl_Long_Hydro[[#This Row],[Aft Nline prev]]),0))</f>
        <v>#N/A</v>
      </c>
      <c r="AB183" s="889" t="e">
        <f>IF(ISNA(Tbl_Long_Hydro[[#This Row],[Draught]]),NA(),IFERROR(INDEX(Tbl_Long_Definition[X],Tbl_Long_Hydro[[#This Row],[Aft Nline next]]),0))</f>
        <v>#N/A</v>
      </c>
      <c r="AC183" s="889" t="e">
        <f>IF(ISNA(Tbl_Long_Hydro[[#This Row],[Draught]]),NA(),INDEX(Tbl_Long_Definition[H k-bott],Tbl_Long_Hydro[[#This Row],[Aft Nline prev]]))</f>
        <v>#N/A</v>
      </c>
      <c r="AD183" s="889" t="e">
        <f>IF(ISNA(Tbl_Long_Hydro[[#This Row],[Draught]]),NA(),INDEX(Tbl_Long_Definition[H k-bott],Tbl_Long_Hydro[[#This Row],[Aft Nline next]]))</f>
        <v>#N/A</v>
      </c>
      <c r="AE183" s="888" t="e">
        <f>IF(ISNA(Tbl_Long_Hydro[[#This Row],[Draught]]),NA(),IFERROR(INDEX(Tbl_Long_Definition[X],Tbl_Long_Hydro[[#This Row],[Fore Nline prev]]),0))</f>
        <v>#N/A</v>
      </c>
      <c r="AF183" s="889" t="e">
        <f>IF(ISNA(Tbl_Long_Hydro[[#This Row],[Draught]]),NA(),IFERROR(INDEX(Tbl_Long_Definition[X],Tbl_Long_Hydro[[#This Row],[Fore Nline next]]),0))</f>
        <v>#N/A</v>
      </c>
      <c r="AG183" s="889" t="e">
        <f>IF(ISNA(Tbl_Long_Hydro[[#This Row],[Draught]]),NA(),INDEX(Tbl_Long_Definition[H k-bott],Tbl_Long_Hydro[[#This Row],[Fore Nline prev]]))</f>
        <v>#N/A</v>
      </c>
      <c r="AH183" s="890" t="e">
        <f>IF(ISNA(Tbl_Long_Hydro[[#This Row],[Draught]]),NA(),INDEX(Tbl_Long_Definition[H k-bott],Tbl_Long_Hydro[[#This Row],[Fore Nline next]]))</f>
        <v>#N/A</v>
      </c>
      <c r="AI183"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83"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83" s="894" t="e">
        <f>Tbl_Long_Hydro[[#This Row],[Fore X]]-Tbl_Long_Hydro[[#This Row],[Aft X]]</f>
        <v>#N/A</v>
      </c>
      <c r="AL183" s="884" t="e">
        <f>Tbl_Long_Hydro[[#This Row],[LX]]*B</f>
        <v>#N/A</v>
      </c>
      <c r="AM183" s="892" t="e">
        <f>IF(ISNUMBER(AM182),(AK182+Tbl_Long_Hydro[[#This Row],[LX]])*(Tbl_Long_Hydro[[#This Row],[Draught]]-V182)/2*B,(Tbl_Long_Hydro[[#This Row],[LX]])*Tbl_Long_Hydro[[#This Row],[Draught]]*B)</f>
        <v>#N/A</v>
      </c>
      <c r="AN183" s="899" t="e">
        <f>Tbl_Long_Hydro[[#This Row],[Aft X]]+Tbl_Long_Hydro[[#This Row],[LX]]/2</f>
        <v>#N/A</v>
      </c>
      <c r="AO183" s="876" t="e">
        <f>IF(ISNUMBER(AO182),(2*Tbl_Long_Hydro[[#This Row],[LX]]+AK182)/(Tbl_Long_Hydro[[#This Row],[LX]]+AK182)*(Tbl_Long_Hydro[[#This Row],[Draught]]-V182)/3+V182,Tbl_Long_Hydro[[#This Row],[Draught]]/2)</f>
        <v>#N/A</v>
      </c>
      <c r="AP183" s="898" t="e">
        <f>IF(ISNUMBER(AP182),Tbl_Long_Hydro[[#This Row],[Volume elt]]+AP182,Tbl_Long_Hydro[[#This Row],[Volume elt]]*AO$4)</f>
        <v>#N/A</v>
      </c>
      <c r="AQ183" s="893" t="e">
        <f>IF(ISNUMBER(AQ182),Tbl_Long_Hydro[[#This Row],[Displacement]]*AQ$4,IF(ISNA(AQ182),NA(),0))</f>
        <v>#N/A</v>
      </c>
      <c r="AR183" s="900" t="e">
        <f>IF(ISNA(Tbl_Long_Hydro[[#This Row],[Draught]]),NA(),IFERROR(Tbl_Long_Hydro[[#This Row],[LX]]*B^3/12/Tbl_Long_Hydro[[#This Row],[Displacement]],0))</f>
        <v>#N/A</v>
      </c>
      <c r="AS183" s="903" t="e">
        <f>IF(ISNA(Tbl_Long_Hydro[[#This Row],[Draught]]),NA(),IFERROR((B*Tbl_Long_Hydro[[#This Row],[LX]]^3/12+(Tbl_Long_Hydro[[#This Row],[LCF]]-Tbl_Long_Hydro[[#This Row],[LCB]])*Tbl_Long_Hydro[[#This Row],[Waterplane area]]*Tbl_Long_Hydro[[#This Row],[LCF]]^2)/Tbl_Long_Hydro[[#This Row],[Displacement]],0))</f>
        <v>#N/A</v>
      </c>
      <c r="AT183" s="900" t="e">
        <f>Tbl_Long_Hydro[[#This Row],[Aft X]]+Tbl_Long_Hydro[[#This Row],[LX]]/2</f>
        <v>#N/A</v>
      </c>
      <c r="AU183" s="901" t="e">
        <f>IF(ISNUMBER(AU182),(AU182*AP182+Tbl_Long_Hydro[[#This Row],[X CoG elt]]*Tbl_Long_Hydro[[#This Row],[Volume elt]])/Tbl_Long_Hydro[[#This Row],[Displacement]],Tbl_Long_Hydro[[#This Row],[X CoG elt]])</f>
        <v>#N/A</v>
      </c>
      <c r="AV183" s="902" t="e">
        <f>IF(ISNA(Tbl_Long_Hydro[[#This Row],[Draught]]),NA(),0)</f>
        <v>#N/A</v>
      </c>
      <c r="AW183" s="876" t="e">
        <f>IF(ISNUMBER(AW182),(AW182*AP182+Tbl_Long_Hydro[[#This Row],[Z CoG elt]]*Tbl_Long_Hydro[[#This Row],[Volume elt]])/Tbl_Long_Hydro[[#This Row],[Displacement]],Tbl_Long_Hydro[[#This Row],[Z CoG elt]])</f>
        <v>#N/A</v>
      </c>
      <c r="AX183" s="899" t="e">
        <f>Tbl_Long_Hydro[[#This Row],[RMT]]+Tbl_Long_Hydro[[#This Row],[VCB]]</f>
        <v>#N/A</v>
      </c>
      <c r="AY183" s="904" t="e">
        <f>Tbl_Long_Hydro[[#This Row],[Displacement]]*Tbl_Long_Hydro[[#This Row],[RML]]/(100*Lpp)</f>
        <v>#N/A</v>
      </c>
      <c r="AZ183" s="956" t="e">
        <f>Tbl_Long_Hydro[[#This Row],[Draught]]</f>
        <v>#N/A</v>
      </c>
      <c r="BA183" s="959" t="e">
        <f>Tbl_Long_Hydro[[#This Row],[Displacement]]</f>
        <v>#N/A</v>
      </c>
      <c r="BB183" s="960" t="e">
        <f>Tbl_Long_Hydro[[#This Row],[Displac. SW]]</f>
        <v>#N/A</v>
      </c>
      <c r="BC183" s="964" t="e">
        <f>Tbl_Long_Hydro[[#This Row],[Waterplane area]]/100*$AQ$4</f>
        <v>#N/A</v>
      </c>
      <c r="BD183" s="961" t="e">
        <f>Tbl_Long_Hydro[[#This Row],[MCT]]</f>
        <v>#N/A</v>
      </c>
      <c r="BE183" s="962" t="e">
        <f>Tbl_Long_Hydro[[#This Row],[LCB]]</f>
        <v>#N/A</v>
      </c>
      <c r="BF183" s="962" t="e">
        <f>Tbl_Long_Hydro[[#This Row],[TCB]]</f>
        <v>#N/A</v>
      </c>
      <c r="BG183" s="962" t="e">
        <f>Tbl_Long_Hydro[[#This Row],[LCF]]</f>
        <v>#N/A</v>
      </c>
      <c r="BH183" s="963" t="e">
        <f>Tbl_Long_Hydro[[#This Row],[KMT]]</f>
        <v>#N/A</v>
      </c>
    </row>
    <row r="184" spans="11:60" x14ac:dyDescent="0.25">
      <c r="K184" s="156" t="e">
        <f t="shared" si="9"/>
        <v>#N/A</v>
      </c>
      <c r="L184" s="164" t="e">
        <f t="shared" si="10"/>
        <v>#N/A</v>
      </c>
      <c r="M184" s="262" t="e">
        <f>MATCH(Tbl_Long_Section[[#This Row],[X]],Tbl_Long_Definition[X],1)</f>
        <v>#N/A</v>
      </c>
      <c r="N184" s="262" t="e">
        <f>IF(Tbl_Long_Section[[#This Row],[Nline Prev]]&lt;COUNT(Tbl_Long_Definition[X]),Tbl_Long_Section[[#This Row],[Nline Prev]]+1,Tbl_Long_Section[[#This Row],[Nline Prev]])</f>
        <v>#N/A</v>
      </c>
      <c r="O184" s="162" t="e">
        <f>INDEX(Tbl_Long_Definition[X],Tbl_Long_Section[[#This Row],[Nline Prev]])</f>
        <v>#N/A</v>
      </c>
      <c r="P184" s="263" t="e">
        <f>INDEX(Tbl_Long_Definition[X],Tbl_Long_Section[[#This Row],[Nline Next]])</f>
        <v>#N/A</v>
      </c>
      <c r="Q184" s="160" t="e">
        <f>INDEX(Tbl_Long_Definition[H Deck-Bott.],Tbl_Long_Section[[#This Row],[Nline Prev]])</f>
        <v>#N/A</v>
      </c>
      <c r="R184" s="161" t="e">
        <f>INDEX(Tbl_Long_Definition[H Deck-Bott.],Tbl_Long_Section[[#This Row],[Nline Next]])</f>
        <v>#N/A</v>
      </c>
      <c r="S184"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84" s="8"/>
      <c r="V184" s="873" t="e">
        <f t="shared" si="12"/>
        <v>#N/A</v>
      </c>
      <c r="W184" s="885" t="e">
        <f>MATCH(Tbl_Long_Hydro[[#This Row],[Draught]],Tbl_Long_Definition[H k-bott],-1)</f>
        <v>#N/A</v>
      </c>
      <c r="X184"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84" s="886" t="e">
        <f>MATCH(Tbl_Long_Hydro[[#This Row],[Draught]],Tbl_Long_Definition[H k-bott],1)</f>
        <v>#N/A</v>
      </c>
      <c r="Z184"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84" s="888" t="e">
        <f>IF(ISNA(Tbl_Long_Hydro[[#This Row],[Draught]]),NA(),IFERROR(INDEX(Tbl_Long_Definition[X],Tbl_Long_Hydro[[#This Row],[Aft Nline prev]]),0))</f>
        <v>#N/A</v>
      </c>
      <c r="AB184" s="889" t="e">
        <f>IF(ISNA(Tbl_Long_Hydro[[#This Row],[Draught]]),NA(),IFERROR(INDEX(Tbl_Long_Definition[X],Tbl_Long_Hydro[[#This Row],[Aft Nline next]]),0))</f>
        <v>#N/A</v>
      </c>
      <c r="AC184" s="889" t="e">
        <f>IF(ISNA(Tbl_Long_Hydro[[#This Row],[Draught]]),NA(),INDEX(Tbl_Long_Definition[H k-bott],Tbl_Long_Hydro[[#This Row],[Aft Nline prev]]))</f>
        <v>#N/A</v>
      </c>
      <c r="AD184" s="889" t="e">
        <f>IF(ISNA(Tbl_Long_Hydro[[#This Row],[Draught]]),NA(),INDEX(Tbl_Long_Definition[H k-bott],Tbl_Long_Hydro[[#This Row],[Aft Nline next]]))</f>
        <v>#N/A</v>
      </c>
      <c r="AE184" s="888" t="e">
        <f>IF(ISNA(Tbl_Long_Hydro[[#This Row],[Draught]]),NA(),IFERROR(INDEX(Tbl_Long_Definition[X],Tbl_Long_Hydro[[#This Row],[Fore Nline prev]]),0))</f>
        <v>#N/A</v>
      </c>
      <c r="AF184" s="889" t="e">
        <f>IF(ISNA(Tbl_Long_Hydro[[#This Row],[Draught]]),NA(),IFERROR(INDEX(Tbl_Long_Definition[X],Tbl_Long_Hydro[[#This Row],[Fore Nline next]]),0))</f>
        <v>#N/A</v>
      </c>
      <c r="AG184" s="889" t="e">
        <f>IF(ISNA(Tbl_Long_Hydro[[#This Row],[Draught]]),NA(),INDEX(Tbl_Long_Definition[H k-bott],Tbl_Long_Hydro[[#This Row],[Fore Nline prev]]))</f>
        <v>#N/A</v>
      </c>
      <c r="AH184" s="890" t="e">
        <f>IF(ISNA(Tbl_Long_Hydro[[#This Row],[Draught]]),NA(),INDEX(Tbl_Long_Definition[H k-bott],Tbl_Long_Hydro[[#This Row],[Fore Nline next]]))</f>
        <v>#N/A</v>
      </c>
      <c r="AI184"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84"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84" s="894" t="e">
        <f>Tbl_Long_Hydro[[#This Row],[Fore X]]-Tbl_Long_Hydro[[#This Row],[Aft X]]</f>
        <v>#N/A</v>
      </c>
      <c r="AL184" s="884" t="e">
        <f>Tbl_Long_Hydro[[#This Row],[LX]]*B</f>
        <v>#N/A</v>
      </c>
      <c r="AM184" s="892" t="e">
        <f>IF(ISNUMBER(AM183),(AK183+Tbl_Long_Hydro[[#This Row],[LX]])*(Tbl_Long_Hydro[[#This Row],[Draught]]-V183)/2*B,(Tbl_Long_Hydro[[#This Row],[LX]])*Tbl_Long_Hydro[[#This Row],[Draught]]*B)</f>
        <v>#N/A</v>
      </c>
      <c r="AN184" s="899" t="e">
        <f>Tbl_Long_Hydro[[#This Row],[Aft X]]+Tbl_Long_Hydro[[#This Row],[LX]]/2</f>
        <v>#N/A</v>
      </c>
      <c r="AO184" s="876" t="e">
        <f>IF(ISNUMBER(AO183),(2*Tbl_Long_Hydro[[#This Row],[LX]]+AK183)/(Tbl_Long_Hydro[[#This Row],[LX]]+AK183)*(Tbl_Long_Hydro[[#This Row],[Draught]]-V183)/3+V183,Tbl_Long_Hydro[[#This Row],[Draught]]/2)</f>
        <v>#N/A</v>
      </c>
      <c r="AP184" s="898" t="e">
        <f>IF(ISNUMBER(AP183),Tbl_Long_Hydro[[#This Row],[Volume elt]]+AP183,Tbl_Long_Hydro[[#This Row],[Volume elt]]*AO$4)</f>
        <v>#N/A</v>
      </c>
      <c r="AQ184" s="893" t="e">
        <f>IF(ISNUMBER(AQ183),Tbl_Long_Hydro[[#This Row],[Displacement]]*AQ$4,IF(ISNA(AQ183),NA(),0))</f>
        <v>#N/A</v>
      </c>
      <c r="AR184" s="900" t="e">
        <f>IF(ISNA(Tbl_Long_Hydro[[#This Row],[Draught]]),NA(),IFERROR(Tbl_Long_Hydro[[#This Row],[LX]]*B^3/12/Tbl_Long_Hydro[[#This Row],[Displacement]],0))</f>
        <v>#N/A</v>
      </c>
      <c r="AS184" s="903" t="e">
        <f>IF(ISNA(Tbl_Long_Hydro[[#This Row],[Draught]]),NA(),IFERROR((B*Tbl_Long_Hydro[[#This Row],[LX]]^3/12+(Tbl_Long_Hydro[[#This Row],[LCF]]-Tbl_Long_Hydro[[#This Row],[LCB]])*Tbl_Long_Hydro[[#This Row],[Waterplane area]]*Tbl_Long_Hydro[[#This Row],[LCF]]^2)/Tbl_Long_Hydro[[#This Row],[Displacement]],0))</f>
        <v>#N/A</v>
      </c>
      <c r="AT184" s="900" t="e">
        <f>Tbl_Long_Hydro[[#This Row],[Aft X]]+Tbl_Long_Hydro[[#This Row],[LX]]/2</f>
        <v>#N/A</v>
      </c>
      <c r="AU184" s="901" t="e">
        <f>IF(ISNUMBER(AU183),(AU183*AP183+Tbl_Long_Hydro[[#This Row],[X CoG elt]]*Tbl_Long_Hydro[[#This Row],[Volume elt]])/Tbl_Long_Hydro[[#This Row],[Displacement]],Tbl_Long_Hydro[[#This Row],[X CoG elt]])</f>
        <v>#N/A</v>
      </c>
      <c r="AV184" s="902" t="e">
        <f>IF(ISNA(Tbl_Long_Hydro[[#This Row],[Draught]]),NA(),0)</f>
        <v>#N/A</v>
      </c>
      <c r="AW184" s="876" t="e">
        <f>IF(ISNUMBER(AW183),(AW183*AP183+Tbl_Long_Hydro[[#This Row],[Z CoG elt]]*Tbl_Long_Hydro[[#This Row],[Volume elt]])/Tbl_Long_Hydro[[#This Row],[Displacement]],Tbl_Long_Hydro[[#This Row],[Z CoG elt]])</f>
        <v>#N/A</v>
      </c>
      <c r="AX184" s="899" t="e">
        <f>Tbl_Long_Hydro[[#This Row],[RMT]]+Tbl_Long_Hydro[[#This Row],[VCB]]</f>
        <v>#N/A</v>
      </c>
      <c r="AY184" s="904" t="e">
        <f>Tbl_Long_Hydro[[#This Row],[Displacement]]*Tbl_Long_Hydro[[#This Row],[RML]]/(100*Lpp)</f>
        <v>#N/A</v>
      </c>
      <c r="AZ184" s="956" t="e">
        <f>Tbl_Long_Hydro[[#This Row],[Draught]]</f>
        <v>#N/A</v>
      </c>
      <c r="BA184" s="959" t="e">
        <f>Tbl_Long_Hydro[[#This Row],[Displacement]]</f>
        <v>#N/A</v>
      </c>
      <c r="BB184" s="960" t="e">
        <f>Tbl_Long_Hydro[[#This Row],[Displac. SW]]</f>
        <v>#N/A</v>
      </c>
      <c r="BC184" s="964" t="e">
        <f>Tbl_Long_Hydro[[#This Row],[Waterplane area]]/100*$AQ$4</f>
        <v>#N/A</v>
      </c>
      <c r="BD184" s="961" t="e">
        <f>Tbl_Long_Hydro[[#This Row],[MCT]]</f>
        <v>#N/A</v>
      </c>
      <c r="BE184" s="962" t="e">
        <f>Tbl_Long_Hydro[[#This Row],[LCB]]</f>
        <v>#N/A</v>
      </c>
      <c r="BF184" s="962" t="e">
        <f>Tbl_Long_Hydro[[#This Row],[TCB]]</f>
        <v>#N/A</v>
      </c>
      <c r="BG184" s="962" t="e">
        <f>Tbl_Long_Hydro[[#This Row],[LCF]]</f>
        <v>#N/A</v>
      </c>
      <c r="BH184" s="963" t="e">
        <f>Tbl_Long_Hydro[[#This Row],[KMT]]</f>
        <v>#N/A</v>
      </c>
    </row>
    <row r="185" spans="11:60" x14ac:dyDescent="0.25">
      <c r="K185" s="156" t="e">
        <f t="shared" si="9"/>
        <v>#N/A</v>
      </c>
      <c r="L185" s="164" t="e">
        <f t="shared" si="10"/>
        <v>#N/A</v>
      </c>
      <c r="M185" s="262" t="e">
        <f>MATCH(Tbl_Long_Section[[#This Row],[X]],Tbl_Long_Definition[X],1)</f>
        <v>#N/A</v>
      </c>
      <c r="N185" s="262" t="e">
        <f>IF(Tbl_Long_Section[[#This Row],[Nline Prev]]&lt;COUNT(Tbl_Long_Definition[X]),Tbl_Long_Section[[#This Row],[Nline Prev]]+1,Tbl_Long_Section[[#This Row],[Nline Prev]])</f>
        <v>#N/A</v>
      </c>
      <c r="O185" s="162" t="e">
        <f>INDEX(Tbl_Long_Definition[X],Tbl_Long_Section[[#This Row],[Nline Prev]])</f>
        <v>#N/A</v>
      </c>
      <c r="P185" s="263" t="e">
        <f>INDEX(Tbl_Long_Definition[X],Tbl_Long_Section[[#This Row],[Nline Next]])</f>
        <v>#N/A</v>
      </c>
      <c r="Q185" s="160" t="e">
        <f>INDEX(Tbl_Long_Definition[H Deck-Bott.],Tbl_Long_Section[[#This Row],[Nline Prev]])</f>
        <v>#N/A</v>
      </c>
      <c r="R185" s="161" t="e">
        <f>INDEX(Tbl_Long_Definition[H Deck-Bott.],Tbl_Long_Section[[#This Row],[Nline Next]])</f>
        <v>#N/A</v>
      </c>
      <c r="S185"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85" s="8"/>
      <c r="V185" s="873" t="e">
        <f t="shared" si="12"/>
        <v>#N/A</v>
      </c>
      <c r="W185" s="885" t="e">
        <f>MATCH(Tbl_Long_Hydro[[#This Row],[Draught]],Tbl_Long_Definition[H k-bott],-1)</f>
        <v>#N/A</v>
      </c>
      <c r="X185"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85" s="886" t="e">
        <f>MATCH(Tbl_Long_Hydro[[#This Row],[Draught]],Tbl_Long_Definition[H k-bott],1)</f>
        <v>#N/A</v>
      </c>
      <c r="Z185"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85" s="888" t="e">
        <f>IF(ISNA(Tbl_Long_Hydro[[#This Row],[Draught]]),NA(),IFERROR(INDEX(Tbl_Long_Definition[X],Tbl_Long_Hydro[[#This Row],[Aft Nline prev]]),0))</f>
        <v>#N/A</v>
      </c>
      <c r="AB185" s="889" t="e">
        <f>IF(ISNA(Tbl_Long_Hydro[[#This Row],[Draught]]),NA(),IFERROR(INDEX(Tbl_Long_Definition[X],Tbl_Long_Hydro[[#This Row],[Aft Nline next]]),0))</f>
        <v>#N/A</v>
      </c>
      <c r="AC185" s="889" t="e">
        <f>IF(ISNA(Tbl_Long_Hydro[[#This Row],[Draught]]),NA(),INDEX(Tbl_Long_Definition[H k-bott],Tbl_Long_Hydro[[#This Row],[Aft Nline prev]]))</f>
        <v>#N/A</v>
      </c>
      <c r="AD185" s="889" t="e">
        <f>IF(ISNA(Tbl_Long_Hydro[[#This Row],[Draught]]),NA(),INDEX(Tbl_Long_Definition[H k-bott],Tbl_Long_Hydro[[#This Row],[Aft Nline next]]))</f>
        <v>#N/A</v>
      </c>
      <c r="AE185" s="888" t="e">
        <f>IF(ISNA(Tbl_Long_Hydro[[#This Row],[Draught]]),NA(),IFERROR(INDEX(Tbl_Long_Definition[X],Tbl_Long_Hydro[[#This Row],[Fore Nline prev]]),0))</f>
        <v>#N/A</v>
      </c>
      <c r="AF185" s="889" t="e">
        <f>IF(ISNA(Tbl_Long_Hydro[[#This Row],[Draught]]),NA(),IFERROR(INDEX(Tbl_Long_Definition[X],Tbl_Long_Hydro[[#This Row],[Fore Nline next]]),0))</f>
        <v>#N/A</v>
      </c>
      <c r="AG185" s="889" t="e">
        <f>IF(ISNA(Tbl_Long_Hydro[[#This Row],[Draught]]),NA(),INDEX(Tbl_Long_Definition[H k-bott],Tbl_Long_Hydro[[#This Row],[Fore Nline prev]]))</f>
        <v>#N/A</v>
      </c>
      <c r="AH185" s="890" t="e">
        <f>IF(ISNA(Tbl_Long_Hydro[[#This Row],[Draught]]),NA(),INDEX(Tbl_Long_Definition[H k-bott],Tbl_Long_Hydro[[#This Row],[Fore Nline next]]))</f>
        <v>#N/A</v>
      </c>
      <c r="AI185"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85"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85" s="894" t="e">
        <f>Tbl_Long_Hydro[[#This Row],[Fore X]]-Tbl_Long_Hydro[[#This Row],[Aft X]]</f>
        <v>#N/A</v>
      </c>
      <c r="AL185" s="884" t="e">
        <f>Tbl_Long_Hydro[[#This Row],[LX]]*B</f>
        <v>#N/A</v>
      </c>
      <c r="AM185" s="892" t="e">
        <f>IF(ISNUMBER(AM184),(AK184+Tbl_Long_Hydro[[#This Row],[LX]])*(Tbl_Long_Hydro[[#This Row],[Draught]]-V184)/2*B,(Tbl_Long_Hydro[[#This Row],[LX]])*Tbl_Long_Hydro[[#This Row],[Draught]]*B)</f>
        <v>#N/A</v>
      </c>
      <c r="AN185" s="899" t="e">
        <f>Tbl_Long_Hydro[[#This Row],[Aft X]]+Tbl_Long_Hydro[[#This Row],[LX]]/2</f>
        <v>#N/A</v>
      </c>
      <c r="AO185" s="876" t="e">
        <f>IF(ISNUMBER(AO184),(2*Tbl_Long_Hydro[[#This Row],[LX]]+AK184)/(Tbl_Long_Hydro[[#This Row],[LX]]+AK184)*(Tbl_Long_Hydro[[#This Row],[Draught]]-V184)/3+V184,Tbl_Long_Hydro[[#This Row],[Draught]]/2)</f>
        <v>#N/A</v>
      </c>
      <c r="AP185" s="898" t="e">
        <f>IF(ISNUMBER(AP184),Tbl_Long_Hydro[[#This Row],[Volume elt]]+AP184,Tbl_Long_Hydro[[#This Row],[Volume elt]]*AO$4)</f>
        <v>#N/A</v>
      </c>
      <c r="AQ185" s="893" t="e">
        <f>IF(ISNUMBER(AQ184),Tbl_Long_Hydro[[#This Row],[Displacement]]*AQ$4,IF(ISNA(AQ184),NA(),0))</f>
        <v>#N/A</v>
      </c>
      <c r="AR185" s="900" t="e">
        <f>IF(ISNA(Tbl_Long_Hydro[[#This Row],[Draught]]),NA(),IFERROR(Tbl_Long_Hydro[[#This Row],[LX]]*B^3/12/Tbl_Long_Hydro[[#This Row],[Displacement]],0))</f>
        <v>#N/A</v>
      </c>
      <c r="AS185" s="903" t="e">
        <f>IF(ISNA(Tbl_Long_Hydro[[#This Row],[Draught]]),NA(),IFERROR((B*Tbl_Long_Hydro[[#This Row],[LX]]^3/12+(Tbl_Long_Hydro[[#This Row],[LCF]]-Tbl_Long_Hydro[[#This Row],[LCB]])*Tbl_Long_Hydro[[#This Row],[Waterplane area]]*Tbl_Long_Hydro[[#This Row],[LCF]]^2)/Tbl_Long_Hydro[[#This Row],[Displacement]],0))</f>
        <v>#N/A</v>
      </c>
      <c r="AT185" s="900" t="e">
        <f>Tbl_Long_Hydro[[#This Row],[Aft X]]+Tbl_Long_Hydro[[#This Row],[LX]]/2</f>
        <v>#N/A</v>
      </c>
      <c r="AU185" s="901" t="e">
        <f>IF(ISNUMBER(AU184),(AU184*AP184+Tbl_Long_Hydro[[#This Row],[X CoG elt]]*Tbl_Long_Hydro[[#This Row],[Volume elt]])/Tbl_Long_Hydro[[#This Row],[Displacement]],Tbl_Long_Hydro[[#This Row],[X CoG elt]])</f>
        <v>#N/A</v>
      </c>
      <c r="AV185" s="902" t="e">
        <f>IF(ISNA(Tbl_Long_Hydro[[#This Row],[Draught]]),NA(),0)</f>
        <v>#N/A</v>
      </c>
      <c r="AW185" s="876" t="e">
        <f>IF(ISNUMBER(AW184),(AW184*AP184+Tbl_Long_Hydro[[#This Row],[Z CoG elt]]*Tbl_Long_Hydro[[#This Row],[Volume elt]])/Tbl_Long_Hydro[[#This Row],[Displacement]],Tbl_Long_Hydro[[#This Row],[Z CoG elt]])</f>
        <v>#N/A</v>
      </c>
      <c r="AX185" s="899" t="e">
        <f>Tbl_Long_Hydro[[#This Row],[RMT]]+Tbl_Long_Hydro[[#This Row],[VCB]]</f>
        <v>#N/A</v>
      </c>
      <c r="AY185" s="904" t="e">
        <f>Tbl_Long_Hydro[[#This Row],[Displacement]]*Tbl_Long_Hydro[[#This Row],[RML]]/(100*Lpp)</f>
        <v>#N/A</v>
      </c>
      <c r="AZ185" s="956" t="e">
        <f>Tbl_Long_Hydro[[#This Row],[Draught]]</f>
        <v>#N/A</v>
      </c>
      <c r="BA185" s="959" t="e">
        <f>Tbl_Long_Hydro[[#This Row],[Displacement]]</f>
        <v>#N/A</v>
      </c>
      <c r="BB185" s="960" t="e">
        <f>Tbl_Long_Hydro[[#This Row],[Displac. SW]]</f>
        <v>#N/A</v>
      </c>
      <c r="BC185" s="964" t="e">
        <f>Tbl_Long_Hydro[[#This Row],[Waterplane area]]/100*$AQ$4</f>
        <v>#N/A</v>
      </c>
      <c r="BD185" s="961" t="e">
        <f>Tbl_Long_Hydro[[#This Row],[MCT]]</f>
        <v>#N/A</v>
      </c>
      <c r="BE185" s="962" t="e">
        <f>Tbl_Long_Hydro[[#This Row],[LCB]]</f>
        <v>#N/A</v>
      </c>
      <c r="BF185" s="962" t="e">
        <f>Tbl_Long_Hydro[[#This Row],[TCB]]</f>
        <v>#N/A</v>
      </c>
      <c r="BG185" s="962" t="e">
        <f>Tbl_Long_Hydro[[#This Row],[LCF]]</f>
        <v>#N/A</v>
      </c>
      <c r="BH185" s="963" t="e">
        <f>Tbl_Long_Hydro[[#This Row],[KMT]]</f>
        <v>#N/A</v>
      </c>
    </row>
    <row r="186" spans="11:60" x14ac:dyDescent="0.25">
      <c r="K186" s="156" t="e">
        <f t="shared" si="9"/>
        <v>#N/A</v>
      </c>
      <c r="L186" s="164" t="e">
        <f t="shared" si="10"/>
        <v>#N/A</v>
      </c>
      <c r="M186" s="262" t="e">
        <f>MATCH(Tbl_Long_Section[[#This Row],[X]],Tbl_Long_Definition[X],1)</f>
        <v>#N/A</v>
      </c>
      <c r="N186" s="262" t="e">
        <f>IF(Tbl_Long_Section[[#This Row],[Nline Prev]]&lt;COUNT(Tbl_Long_Definition[X]),Tbl_Long_Section[[#This Row],[Nline Prev]]+1,Tbl_Long_Section[[#This Row],[Nline Prev]])</f>
        <v>#N/A</v>
      </c>
      <c r="O186" s="162" t="e">
        <f>INDEX(Tbl_Long_Definition[X],Tbl_Long_Section[[#This Row],[Nline Prev]])</f>
        <v>#N/A</v>
      </c>
      <c r="P186" s="263" t="e">
        <f>INDEX(Tbl_Long_Definition[X],Tbl_Long_Section[[#This Row],[Nline Next]])</f>
        <v>#N/A</v>
      </c>
      <c r="Q186" s="160" t="e">
        <f>INDEX(Tbl_Long_Definition[H Deck-Bott.],Tbl_Long_Section[[#This Row],[Nline Prev]])</f>
        <v>#N/A</v>
      </c>
      <c r="R186" s="161" t="e">
        <f>INDEX(Tbl_Long_Definition[H Deck-Bott.],Tbl_Long_Section[[#This Row],[Nline Next]])</f>
        <v>#N/A</v>
      </c>
      <c r="S186"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86" s="8"/>
      <c r="V186" s="873" t="e">
        <f t="shared" si="12"/>
        <v>#N/A</v>
      </c>
      <c r="W186" s="885" t="e">
        <f>MATCH(Tbl_Long_Hydro[[#This Row],[Draught]],Tbl_Long_Definition[H k-bott],-1)</f>
        <v>#N/A</v>
      </c>
      <c r="X186"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86" s="886" t="e">
        <f>MATCH(Tbl_Long_Hydro[[#This Row],[Draught]],Tbl_Long_Definition[H k-bott],1)</f>
        <v>#N/A</v>
      </c>
      <c r="Z186"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86" s="888" t="e">
        <f>IF(ISNA(Tbl_Long_Hydro[[#This Row],[Draught]]),NA(),IFERROR(INDEX(Tbl_Long_Definition[X],Tbl_Long_Hydro[[#This Row],[Aft Nline prev]]),0))</f>
        <v>#N/A</v>
      </c>
      <c r="AB186" s="889" t="e">
        <f>IF(ISNA(Tbl_Long_Hydro[[#This Row],[Draught]]),NA(),IFERROR(INDEX(Tbl_Long_Definition[X],Tbl_Long_Hydro[[#This Row],[Aft Nline next]]),0))</f>
        <v>#N/A</v>
      </c>
      <c r="AC186" s="889" t="e">
        <f>IF(ISNA(Tbl_Long_Hydro[[#This Row],[Draught]]),NA(),INDEX(Tbl_Long_Definition[H k-bott],Tbl_Long_Hydro[[#This Row],[Aft Nline prev]]))</f>
        <v>#N/A</v>
      </c>
      <c r="AD186" s="889" t="e">
        <f>IF(ISNA(Tbl_Long_Hydro[[#This Row],[Draught]]),NA(),INDEX(Tbl_Long_Definition[H k-bott],Tbl_Long_Hydro[[#This Row],[Aft Nline next]]))</f>
        <v>#N/A</v>
      </c>
      <c r="AE186" s="888" t="e">
        <f>IF(ISNA(Tbl_Long_Hydro[[#This Row],[Draught]]),NA(),IFERROR(INDEX(Tbl_Long_Definition[X],Tbl_Long_Hydro[[#This Row],[Fore Nline prev]]),0))</f>
        <v>#N/A</v>
      </c>
      <c r="AF186" s="889" t="e">
        <f>IF(ISNA(Tbl_Long_Hydro[[#This Row],[Draught]]),NA(),IFERROR(INDEX(Tbl_Long_Definition[X],Tbl_Long_Hydro[[#This Row],[Fore Nline next]]),0))</f>
        <v>#N/A</v>
      </c>
      <c r="AG186" s="889" t="e">
        <f>IF(ISNA(Tbl_Long_Hydro[[#This Row],[Draught]]),NA(),INDEX(Tbl_Long_Definition[H k-bott],Tbl_Long_Hydro[[#This Row],[Fore Nline prev]]))</f>
        <v>#N/A</v>
      </c>
      <c r="AH186" s="890" t="e">
        <f>IF(ISNA(Tbl_Long_Hydro[[#This Row],[Draught]]),NA(),INDEX(Tbl_Long_Definition[H k-bott],Tbl_Long_Hydro[[#This Row],[Fore Nline next]]))</f>
        <v>#N/A</v>
      </c>
      <c r="AI186"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86"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86" s="894" t="e">
        <f>Tbl_Long_Hydro[[#This Row],[Fore X]]-Tbl_Long_Hydro[[#This Row],[Aft X]]</f>
        <v>#N/A</v>
      </c>
      <c r="AL186" s="884" t="e">
        <f>Tbl_Long_Hydro[[#This Row],[LX]]*B</f>
        <v>#N/A</v>
      </c>
      <c r="AM186" s="892" t="e">
        <f>IF(ISNUMBER(AM185),(AK185+Tbl_Long_Hydro[[#This Row],[LX]])*(Tbl_Long_Hydro[[#This Row],[Draught]]-V185)/2*B,(Tbl_Long_Hydro[[#This Row],[LX]])*Tbl_Long_Hydro[[#This Row],[Draught]]*B)</f>
        <v>#N/A</v>
      </c>
      <c r="AN186" s="899" t="e">
        <f>Tbl_Long_Hydro[[#This Row],[Aft X]]+Tbl_Long_Hydro[[#This Row],[LX]]/2</f>
        <v>#N/A</v>
      </c>
      <c r="AO186" s="876" t="e">
        <f>IF(ISNUMBER(AO185),(2*Tbl_Long_Hydro[[#This Row],[LX]]+AK185)/(Tbl_Long_Hydro[[#This Row],[LX]]+AK185)*(Tbl_Long_Hydro[[#This Row],[Draught]]-V185)/3+V185,Tbl_Long_Hydro[[#This Row],[Draught]]/2)</f>
        <v>#N/A</v>
      </c>
      <c r="AP186" s="898" t="e">
        <f>IF(ISNUMBER(AP185),Tbl_Long_Hydro[[#This Row],[Volume elt]]+AP185,Tbl_Long_Hydro[[#This Row],[Volume elt]]*AO$4)</f>
        <v>#N/A</v>
      </c>
      <c r="AQ186" s="893" t="e">
        <f>IF(ISNUMBER(AQ185),Tbl_Long_Hydro[[#This Row],[Displacement]]*AQ$4,IF(ISNA(AQ185),NA(),0))</f>
        <v>#N/A</v>
      </c>
      <c r="AR186" s="900" t="e">
        <f>IF(ISNA(Tbl_Long_Hydro[[#This Row],[Draught]]),NA(),IFERROR(Tbl_Long_Hydro[[#This Row],[LX]]*B^3/12/Tbl_Long_Hydro[[#This Row],[Displacement]],0))</f>
        <v>#N/A</v>
      </c>
      <c r="AS186" s="903" t="e">
        <f>IF(ISNA(Tbl_Long_Hydro[[#This Row],[Draught]]),NA(),IFERROR((B*Tbl_Long_Hydro[[#This Row],[LX]]^3/12+(Tbl_Long_Hydro[[#This Row],[LCF]]-Tbl_Long_Hydro[[#This Row],[LCB]])*Tbl_Long_Hydro[[#This Row],[Waterplane area]]*Tbl_Long_Hydro[[#This Row],[LCF]]^2)/Tbl_Long_Hydro[[#This Row],[Displacement]],0))</f>
        <v>#N/A</v>
      </c>
      <c r="AT186" s="900" t="e">
        <f>Tbl_Long_Hydro[[#This Row],[Aft X]]+Tbl_Long_Hydro[[#This Row],[LX]]/2</f>
        <v>#N/A</v>
      </c>
      <c r="AU186" s="901" t="e">
        <f>IF(ISNUMBER(AU185),(AU185*AP185+Tbl_Long_Hydro[[#This Row],[X CoG elt]]*Tbl_Long_Hydro[[#This Row],[Volume elt]])/Tbl_Long_Hydro[[#This Row],[Displacement]],Tbl_Long_Hydro[[#This Row],[X CoG elt]])</f>
        <v>#N/A</v>
      </c>
      <c r="AV186" s="902" t="e">
        <f>IF(ISNA(Tbl_Long_Hydro[[#This Row],[Draught]]),NA(),0)</f>
        <v>#N/A</v>
      </c>
      <c r="AW186" s="876" t="e">
        <f>IF(ISNUMBER(AW185),(AW185*AP185+Tbl_Long_Hydro[[#This Row],[Z CoG elt]]*Tbl_Long_Hydro[[#This Row],[Volume elt]])/Tbl_Long_Hydro[[#This Row],[Displacement]],Tbl_Long_Hydro[[#This Row],[Z CoG elt]])</f>
        <v>#N/A</v>
      </c>
      <c r="AX186" s="899" t="e">
        <f>Tbl_Long_Hydro[[#This Row],[RMT]]+Tbl_Long_Hydro[[#This Row],[VCB]]</f>
        <v>#N/A</v>
      </c>
      <c r="AY186" s="904" t="e">
        <f>Tbl_Long_Hydro[[#This Row],[Displacement]]*Tbl_Long_Hydro[[#This Row],[RML]]/(100*Lpp)</f>
        <v>#N/A</v>
      </c>
      <c r="AZ186" s="956" t="e">
        <f>Tbl_Long_Hydro[[#This Row],[Draught]]</f>
        <v>#N/A</v>
      </c>
      <c r="BA186" s="959" t="e">
        <f>Tbl_Long_Hydro[[#This Row],[Displacement]]</f>
        <v>#N/A</v>
      </c>
      <c r="BB186" s="960" t="e">
        <f>Tbl_Long_Hydro[[#This Row],[Displac. SW]]</f>
        <v>#N/A</v>
      </c>
      <c r="BC186" s="964" t="e">
        <f>Tbl_Long_Hydro[[#This Row],[Waterplane area]]/100*$AQ$4</f>
        <v>#N/A</v>
      </c>
      <c r="BD186" s="961" t="e">
        <f>Tbl_Long_Hydro[[#This Row],[MCT]]</f>
        <v>#N/A</v>
      </c>
      <c r="BE186" s="962" t="e">
        <f>Tbl_Long_Hydro[[#This Row],[LCB]]</f>
        <v>#N/A</v>
      </c>
      <c r="BF186" s="962" t="e">
        <f>Tbl_Long_Hydro[[#This Row],[TCB]]</f>
        <v>#N/A</v>
      </c>
      <c r="BG186" s="962" t="e">
        <f>Tbl_Long_Hydro[[#This Row],[LCF]]</f>
        <v>#N/A</v>
      </c>
      <c r="BH186" s="963" t="e">
        <f>Tbl_Long_Hydro[[#This Row],[KMT]]</f>
        <v>#N/A</v>
      </c>
    </row>
    <row r="187" spans="11:60" x14ac:dyDescent="0.25">
      <c r="K187" s="156" t="e">
        <f t="shared" si="9"/>
        <v>#N/A</v>
      </c>
      <c r="L187" s="164" t="e">
        <f t="shared" si="10"/>
        <v>#N/A</v>
      </c>
      <c r="M187" s="262" t="e">
        <f>MATCH(Tbl_Long_Section[[#This Row],[X]],Tbl_Long_Definition[X],1)</f>
        <v>#N/A</v>
      </c>
      <c r="N187" s="262" t="e">
        <f>IF(Tbl_Long_Section[[#This Row],[Nline Prev]]&lt;COUNT(Tbl_Long_Definition[X]),Tbl_Long_Section[[#This Row],[Nline Prev]]+1,Tbl_Long_Section[[#This Row],[Nline Prev]])</f>
        <v>#N/A</v>
      </c>
      <c r="O187" s="162" t="e">
        <f>INDEX(Tbl_Long_Definition[X],Tbl_Long_Section[[#This Row],[Nline Prev]])</f>
        <v>#N/A</v>
      </c>
      <c r="P187" s="263" t="e">
        <f>INDEX(Tbl_Long_Definition[X],Tbl_Long_Section[[#This Row],[Nline Next]])</f>
        <v>#N/A</v>
      </c>
      <c r="Q187" s="160" t="e">
        <f>INDEX(Tbl_Long_Definition[H Deck-Bott.],Tbl_Long_Section[[#This Row],[Nline Prev]])</f>
        <v>#N/A</v>
      </c>
      <c r="R187" s="161" t="e">
        <f>INDEX(Tbl_Long_Definition[H Deck-Bott.],Tbl_Long_Section[[#This Row],[Nline Next]])</f>
        <v>#N/A</v>
      </c>
      <c r="S187"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87" s="8"/>
      <c r="V187" s="873" t="e">
        <f t="shared" si="12"/>
        <v>#N/A</v>
      </c>
      <c r="W187" s="885" t="e">
        <f>MATCH(Tbl_Long_Hydro[[#This Row],[Draught]],Tbl_Long_Definition[H k-bott],-1)</f>
        <v>#N/A</v>
      </c>
      <c r="X187"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87" s="886" t="e">
        <f>MATCH(Tbl_Long_Hydro[[#This Row],[Draught]],Tbl_Long_Definition[H k-bott],1)</f>
        <v>#N/A</v>
      </c>
      <c r="Z187"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87" s="888" t="e">
        <f>IF(ISNA(Tbl_Long_Hydro[[#This Row],[Draught]]),NA(),IFERROR(INDEX(Tbl_Long_Definition[X],Tbl_Long_Hydro[[#This Row],[Aft Nline prev]]),0))</f>
        <v>#N/A</v>
      </c>
      <c r="AB187" s="889" t="e">
        <f>IF(ISNA(Tbl_Long_Hydro[[#This Row],[Draught]]),NA(),IFERROR(INDEX(Tbl_Long_Definition[X],Tbl_Long_Hydro[[#This Row],[Aft Nline next]]),0))</f>
        <v>#N/A</v>
      </c>
      <c r="AC187" s="889" t="e">
        <f>IF(ISNA(Tbl_Long_Hydro[[#This Row],[Draught]]),NA(),INDEX(Tbl_Long_Definition[H k-bott],Tbl_Long_Hydro[[#This Row],[Aft Nline prev]]))</f>
        <v>#N/A</v>
      </c>
      <c r="AD187" s="889" t="e">
        <f>IF(ISNA(Tbl_Long_Hydro[[#This Row],[Draught]]),NA(),INDEX(Tbl_Long_Definition[H k-bott],Tbl_Long_Hydro[[#This Row],[Aft Nline next]]))</f>
        <v>#N/A</v>
      </c>
      <c r="AE187" s="888" t="e">
        <f>IF(ISNA(Tbl_Long_Hydro[[#This Row],[Draught]]),NA(),IFERROR(INDEX(Tbl_Long_Definition[X],Tbl_Long_Hydro[[#This Row],[Fore Nline prev]]),0))</f>
        <v>#N/A</v>
      </c>
      <c r="AF187" s="889" t="e">
        <f>IF(ISNA(Tbl_Long_Hydro[[#This Row],[Draught]]),NA(),IFERROR(INDEX(Tbl_Long_Definition[X],Tbl_Long_Hydro[[#This Row],[Fore Nline next]]),0))</f>
        <v>#N/A</v>
      </c>
      <c r="AG187" s="889" t="e">
        <f>IF(ISNA(Tbl_Long_Hydro[[#This Row],[Draught]]),NA(),INDEX(Tbl_Long_Definition[H k-bott],Tbl_Long_Hydro[[#This Row],[Fore Nline prev]]))</f>
        <v>#N/A</v>
      </c>
      <c r="AH187" s="890" t="e">
        <f>IF(ISNA(Tbl_Long_Hydro[[#This Row],[Draught]]),NA(),INDEX(Tbl_Long_Definition[H k-bott],Tbl_Long_Hydro[[#This Row],[Fore Nline next]]))</f>
        <v>#N/A</v>
      </c>
      <c r="AI187"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87"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87" s="894" t="e">
        <f>Tbl_Long_Hydro[[#This Row],[Fore X]]-Tbl_Long_Hydro[[#This Row],[Aft X]]</f>
        <v>#N/A</v>
      </c>
      <c r="AL187" s="884" t="e">
        <f>Tbl_Long_Hydro[[#This Row],[LX]]*B</f>
        <v>#N/A</v>
      </c>
      <c r="AM187" s="892" t="e">
        <f>IF(ISNUMBER(AM186),(AK186+Tbl_Long_Hydro[[#This Row],[LX]])*(Tbl_Long_Hydro[[#This Row],[Draught]]-V186)/2*B,(Tbl_Long_Hydro[[#This Row],[LX]])*Tbl_Long_Hydro[[#This Row],[Draught]]*B)</f>
        <v>#N/A</v>
      </c>
      <c r="AN187" s="899" t="e">
        <f>Tbl_Long_Hydro[[#This Row],[Aft X]]+Tbl_Long_Hydro[[#This Row],[LX]]/2</f>
        <v>#N/A</v>
      </c>
      <c r="AO187" s="876" t="e">
        <f>IF(ISNUMBER(AO186),(2*Tbl_Long_Hydro[[#This Row],[LX]]+AK186)/(Tbl_Long_Hydro[[#This Row],[LX]]+AK186)*(Tbl_Long_Hydro[[#This Row],[Draught]]-V186)/3+V186,Tbl_Long_Hydro[[#This Row],[Draught]]/2)</f>
        <v>#N/A</v>
      </c>
      <c r="AP187" s="898" t="e">
        <f>IF(ISNUMBER(AP186),Tbl_Long_Hydro[[#This Row],[Volume elt]]+AP186,Tbl_Long_Hydro[[#This Row],[Volume elt]]*AO$4)</f>
        <v>#N/A</v>
      </c>
      <c r="AQ187" s="893" t="e">
        <f>IF(ISNUMBER(AQ186),Tbl_Long_Hydro[[#This Row],[Displacement]]*AQ$4,IF(ISNA(AQ186),NA(),0))</f>
        <v>#N/A</v>
      </c>
      <c r="AR187" s="900" t="e">
        <f>IF(ISNA(Tbl_Long_Hydro[[#This Row],[Draught]]),NA(),IFERROR(Tbl_Long_Hydro[[#This Row],[LX]]*B^3/12/Tbl_Long_Hydro[[#This Row],[Displacement]],0))</f>
        <v>#N/A</v>
      </c>
      <c r="AS187" s="903" t="e">
        <f>IF(ISNA(Tbl_Long_Hydro[[#This Row],[Draught]]),NA(),IFERROR((B*Tbl_Long_Hydro[[#This Row],[LX]]^3/12+(Tbl_Long_Hydro[[#This Row],[LCF]]-Tbl_Long_Hydro[[#This Row],[LCB]])*Tbl_Long_Hydro[[#This Row],[Waterplane area]]*Tbl_Long_Hydro[[#This Row],[LCF]]^2)/Tbl_Long_Hydro[[#This Row],[Displacement]],0))</f>
        <v>#N/A</v>
      </c>
      <c r="AT187" s="900" t="e">
        <f>Tbl_Long_Hydro[[#This Row],[Aft X]]+Tbl_Long_Hydro[[#This Row],[LX]]/2</f>
        <v>#N/A</v>
      </c>
      <c r="AU187" s="901" t="e">
        <f>IF(ISNUMBER(AU186),(AU186*AP186+Tbl_Long_Hydro[[#This Row],[X CoG elt]]*Tbl_Long_Hydro[[#This Row],[Volume elt]])/Tbl_Long_Hydro[[#This Row],[Displacement]],Tbl_Long_Hydro[[#This Row],[X CoG elt]])</f>
        <v>#N/A</v>
      </c>
      <c r="AV187" s="902" t="e">
        <f>IF(ISNA(Tbl_Long_Hydro[[#This Row],[Draught]]),NA(),0)</f>
        <v>#N/A</v>
      </c>
      <c r="AW187" s="876" t="e">
        <f>IF(ISNUMBER(AW186),(AW186*AP186+Tbl_Long_Hydro[[#This Row],[Z CoG elt]]*Tbl_Long_Hydro[[#This Row],[Volume elt]])/Tbl_Long_Hydro[[#This Row],[Displacement]],Tbl_Long_Hydro[[#This Row],[Z CoG elt]])</f>
        <v>#N/A</v>
      </c>
      <c r="AX187" s="899" t="e">
        <f>Tbl_Long_Hydro[[#This Row],[RMT]]+Tbl_Long_Hydro[[#This Row],[VCB]]</f>
        <v>#N/A</v>
      </c>
      <c r="AY187" s="904" t="e">
        <f>Tbl_Long_Hydro[[#This Row],[Displacement]]*Tbl_Long_Hydro[[#This Row],[RML]]/(100*Lpp)</f>
        <v>#N/A</v>
      </c>
      <c r="AZ187" s="956" t="e">
        <f>Tbl_Long_Hydro[[#This Row],[Draught]]</f>
        <v>#N/A</v>
      </c>
      <c r="BA187" s="959" t="e">
        <f>Tbl_Long_Hydro[[#This Row],[Displacement]]</f>
        <v>#N/A</v>
      </c>
      <c r="BB187" s="960" t="e">
        <f>Tbl_Long_Hydro[[#This Row],[Displac. SW]]</f>
        <v>#N/A</v>
      </c>
      <c r="BC187" s="964" t="e">
        <f>Tbl_Long_Hydro[[#This Row],[Waterplane area]]/100*$AQ$4</f>
        <v>#N/A</v>
      </c>
      <c r="BD187" s="961" t="e">
        <f>Tbl_Long_Hydro[[#This Row],[MCT]]</f>
        <v>#N/A</v>
      </c>
      <c r="BE187" s="962" t="e">
        <f>Tbl_Long_Hydro[[#This Row],[LCB]]</f>
        <v>#N/A</v>
      </c>
      <c r="BF187" s="962" t="e">
        <f>Tbl_Long_Hydro[[#This Row],[TCB]]</f>
        <v>#N/A</v>
      </c>
      <c r="BG187" s="962" t="e">
        <f>Tbl_Long_Hydro[[#This Row],[LCF]]</f>
        <v>#N/A</v>
      </c>
      <c r="BH187" s="963" t="e">
        <f>Tbl_Long_Hydro[[#This Row],[KMT]]</f>
        <v>#N/A</v>
      </c>
    </row>
    <row r="188" spans="11:60" x14ac:dyDescent="0.25">
      <c r="K188" s="156" t="e">
        <f t="shared" si="9"/>
        <v>#N/A</v>
      </c>
      <c r="L188" s="164" t="e">
        <f t="shared" si="10"/>
        <v>#N/A</v>
      </c>
      <c r="M188" s="262" t="e">
        <f>MATCH(Tbl_Long_Section[[#This Row],[X]],Tbl_Long_Definition[X],1)</f>
        <v>#N/A</v>
      </c>
      <c r="N188" s="262" t="e">
        <f>IF(Tbl_Long_Section[[#This Row],[Nline Prev]]&lt;COUNT(Tbl_Long_Definition[X]),Tbl_Long_Section[[#This Row],[Nline Prev]]+1,Tbl_Long_Section[[#This Row],[Nline Prev]])</f>
        <v>#N/A</v>
      </c>
      <c r="O188" s="162" t="e">
        <f>INDEX(Tbl_Long_Definition[X],Tbl_Long_Section[[#This Row],[Nline Prev]])</f>
        <v>#N/A</v>
      </c>
      <c r="P188" s="263" t="e">
        <f>INDEX(Tbl_Long_Definition[X],Tbl_Long_Section[[#This Row],[Nline Next]])</f>
        <v>#N/A</v>
      </c>
      <c r="Q188" s="160" t="e">
        <f>INDEX(Tbl_Long_Definition[H Deck-Bott.],Tbl_Long_Section[[#This Row],[Nline Prev]])</f>
        <v>#N/A</v>
      </c>
      <c r="R188" s="161" t="e">
        <f>INDEX(Tbl_Long_Definition[H Deck-Bott.],Tbl_Long_Section[[#This Row],[Nline Next]])</f>
        <v>#N/A</v>
      </c>
      <c r="S188"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88" s="8"/>
      <c r="V188" s="873" t="e">
        <f t="shared" si="12"/>
        <v>#N/A</v>
      </c>
      <c r="W188" s="885" t="e">
        <f>MATCH(Tbl_Long_Hydro[[#This Row],[Draught]],Tbl_Long_Definition[H k-bott],-1)</f>
        <v>#N/A</v>
      </c>
      <c r="X188"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88" s="886" t="e">
        <f>MATCH(Tbl_Long_Hydro[[#This Row],[Draught]],Tbl_Long_Definition[H k-bott],1)</f>
        <v>#N/A</v>
      </c>
      <c r="Z188"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88" s="888" t="e">
        <f>IF(ISNA(Tbl_Long_Hydro[[#This Row],[Draught]]),NA(),IFERROR(INDEX(Tbl_Long_Definition[X],Tbl_Long_Hydro[[#This Row],[Aft Nline prev]]),0))</f>
        <v>#N/A</v>
      </c>
      <c r="AB188" s="889" t="e">
        <f>IF(ISNA(Tbl_Long_Hydro[[#This Row],[Draught]]),NA(),IFERROR(INDEX(Tbl_Long_Definition[X],Tbl_Long_Hydro[[#This Row],[Aft Nline next]]),0))</f>
        <v>#N/A</v>
      </c>
      <c r="AC188" s="889" t="e">
        <f>IF(ISNA(Tbl_Long_Hydro[[#This Row],[Draught]]),NA(),INDEX(Tbl_Long_Definition[H k-bott],Tbl_Long_Hydro[[#This Row],[Aft Nline prev]]))</f>
        <v>#N/A</v>
      </c>
      <c r="AD188" s="889" t="e">
        <f>IF(ISNA(Tbl_Long_Hydro[[#This Row],[Draught]]),NA(),INDEX(Tbl_Long_Definition[H k-bott],Tbl_Long_Hydro[[#This Row],[Aft Nline next]]))</f>
        <v>#N/A</v>
      </c>
      <c r="AE188" s="888" t="e">
        <f>IF(ISNA(Tbl_Long_Hydro[[#This Row],[Draught]]),NA(),IFERROR(INDEX(Tbl_Long_Definition[X],Tbl_Long_Hydro[[#This Row],[Fore Nline prev]]),0))</f>
        <v>#N/A</v>
      </c>
      <c r="AF188" s="889" t="e">
        <f>IF(ISNA(Tbl_Long_Hydro[[#This Row],[Draught]]),NA(),IFERROR(INDEX(Tbl_Long_Definition[X],Tbl_Long_Hydro[[#This Row],[Fore Nline next]]),0))</f>
        <v>#N/A</v>
      </c>
      <c r="AG188" s="889" t="e">
        <f>IF(ISNA(Tbl_Long_Hydro[[#This Row],[Draught]]),NA(),INDEX(Tbl_Long_Definition[H k-bott],Tbl_Long_Hydro[[#This Row],[Fore Nline prev]]))</f>
        <v>#N/A</v>
      </c>
      <c r="AH188" s="890" t="e">
        <f>IF(ISNA(Tbl_Long_Hydro[[#This Row],[Draught]]),NA(),INDEX(Tbl_Long_Definition[H k-bott],Tbl_Long_Hydro[[#This Row],[Fore Nline next]]))</f>
        <v>#N/A</v>
      </c>
      <c r="AI188"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88"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88" s="894" t="e">
        <f>Tbl_Long_Hydro[[#This Row],[Fore X]]-Tbl_Long_Hydro[[#This Row],[Aft X]]</f>
        <v>#N/A</v>
      </c>
      <c r="AL188" s="884" t="e">
        <f>Tbl_Long_Hydro[[#This Row],[LX]]*B</f>
        <v>#N/A</v>
      </c>
      <c r="AM188" s="892" t="e">
        <f>IF(ISNUMBER(AM187),(AK187+Tbl_Long_Hydro[[#This Row],[LX]])*(Tbl_Long_Hydro[[#This Row],[Draught]]-V187)/2*B,(Tbl_Long_Hydro[[#This Row],[LX]])*Tbl_Long_Hydro[[#This Row],[Draught]]*B)</f>
        <v>#N/A</v>
      </c>
      <c r="AN188" s="899" t="e">
        <f>Tbl_Long_Hydro[[#This Row],[Aft X]]+Tbl_Long_Hydro[[#This Row],[LX]]/2</f>
        <v>#N/A</v>
      </c>
      <c r="AO188" s="876" t="e">
        <f>IF(ISNUMBER(AO187),(2*Tbl_Long_Hydro[[#This Row],[LX]]+AK187)/(Tbl_Long_Hydro[[#This Row],[LX]]+AK187)*(Tbl_Long_Hydro[[#This Row],[Draught]]-V187)/3+V187,Tbl_Long_Hydro[[#This Row],[Draught]]/2)</f>
        <v>#N/A</v>
      </c>
      <c r="AP188" s="898" t="e">
        <f>IF(ISNUMBER(AP187),Tbl_Long_Hydro[[#This Row],[Volume elt]]+AP187,Tbl_Long_Hydro[[#This Row],[Volume elt]]*AO$4)</f>
        <v>#N/A</v>
      </c>
      <c r="AQ188" s="893" t="e">
        <f>IF(ISNUMBER(AQ187),Tbl_Long_Hydro[[#This Row],[Displacement]]*AQ$4,IF(ISNA(AQ187),NA(),0))</f>
        <v>#N/A</v>
      </c>
      <c r="AR188" s="900" t="e">
        <f>IF(ISNA(Tbl_Long_Hydro[[#This Row],[Draught]]),NA(),IFERROR(Tbl_Long_Hydro[[#This Row],[LX]]*B^3/12/Tbl_Long_Hydro[[#This Row],[Displacement]],0))</f>
        <v>#N/A</v>
      </c>
      <c r="AS188" s="903" t="e">
        <f>IF(ISNA(Tbl_Long_Hydro[[#This Row],[Draught]]),NA(),IFERROR((B*Tbl_Long_Hydro[[#This Row],[LX]]^3/12+(Tbl_Long_Hydro[[#This Row],[LCF]]-Tbl_Long_Hydro[[#This Row],[LCB]])*Tbl_Long_Hydro[[#This Row],[Waterplane area]]*Tbl_Long_Hydro[[#This Row],[LCF]]^2)/Tbl_Long_Hydro[[#This Row],[Displacement]],0))</f>
        <v>#N/A</v>
      </c>
      <c r="AT188" s="900" t="e">
        <f>Tbl_Long_Hydro[[#This Row],[Aft X]]+Tbl_Long_Hydro[[#This Row],[LX]]/2</f>
        <v>#N/A</v>
      </c>
      <c r="AU188" s="901" t="e">
        <f>IF(ISNUMBER(AU187),(AU187*AP187+Tbl_Long_Hydro[[#This Row],[X CoG elt]]*Tbl_Long_Hydro[[#This Row],[Volume elt]])/Tbl_Long_Hydro[[#This Row],[Displacement]],Tbl_Long_Hydro[[#This Row],[X CoG elt]])</f>
        <v>#N/A</v>
      </c>
      <c r="AV188" s="902" t="e">
        <f>IF(ISNA(Tbl_Long_Hydro[[#This Row],[Draught]]),NA(),0)</f>
        <v>#N/A</v>
      </c>
      <c r="AW188" s="876" t="e">
        <f>IF(ISNUMBER(AW187),(AW187*AP187+Tbl_Long_Hydro[[#This Row],[Z CoG elt]]*Tbl_Long_Hydro[[#This Row],[Volume elt]])/Tbl_Long_Hydro[[#This Row],[Displacement]],Tbl_Long_Hydro[[#This Row],[Z CoG elt]])</f>
        <v>#N/A</v>
      </c>
      <c r="AX188" s="899" t="e">
        <f>Tbl_Long_Hydro[[#This Row],[RMT]]+Tbl_Long_Hydro[[#This Row],[VCB]]</f>
        <v>#N/A</v>
      </c>
      <c r="AY188" s="904" t="e">
        <f>Tbl_Long_Hydro[[#This Row],[Displacement]]*Tbl_Long_Hydro[[#This Row],[RML]]/(100*Lpp)</f>
        <v>#N/A</v>
      </c>
      <c r="AZ188" s="956" t="e">
        <f>Tbl_Long_Hydro[[#This Row],[Draught]]</f>
        <v>#N/A</v>
      </c>
      <c r="BA188" s="959" t="e">
        <f>Tbl_Long_Hydro[[#This Row],[Displacement]]</f>
        <v>#N/A</v>
      </c>
      <c r="BB188" s="960" t="e">
        <f>Tbl_Long_Hydro[[#This Row],[Displac. SW]]</f>
        <v>#N/A</v>
      </c>
      <c r="BC188" s="964" t="e">
        <f>Tbl_Long_Hydro[[#This Row],[Waterplane area]]/100*$AQ$4</f>
        <v>#N/A</v>
      </c>
      <c r="BD188" s="961" t="e">
        <f>Tbl_Long_Hydro[[#This Row],[MCT]]</f>
        <v>#N/A</v>
      </c>
      <c r="BE188" s="962" t="e">
        <f>Tbl_Long_Hydro[[#This Row],[LCB]]</f>
        <v>#N/A</v>
      </c>
      <c r="BF188" s="962" t="e">
        <f>Tbl_Long_Hydro[[#This Row],[TCB]]</f>
        <v>#N/A</v>
      </c>
      <c r="BG188" s="962" t="e">
        <f>Tbl_Long_Hydro[[#This Row],[LCF]]</f>
        <v>#N/A</v>
      </c>
      <c r="BH188" s="963" t="e">
        <f>Tbl_Long_Hydro[[#This Row],[KMT]]</f>
        <v>#N/A</v>
      </c>
    </row>
    <row r="189" spans="11:60" x14ac:dyDescent="0.25">
      <c r="K189" s="156" t="e">
        <f t="shared" si="9"/>
        <v>#N/A</v>
      </c>
      <c r="L189" s="164" t="e">
        <f t="shared" si="10"/>
        <v>#N/A</v>
      </c>
      <c r="M189" s="262" t="e">
        <f>MATCH(Tbl_Long_Section[[#This Row],[X]],Tbl_Long_Definition[X],1)</f>
        <v>#N/A</v>
      </c>
      <c r="N189" s="262" t="e">
        <f>IF(Tbl_Long_Section[[#This Row],[Nline Prev]]&lt;COUNT(Tbl_Long_Definition[X]),Tbl_Long_Section[[#This Row],[Nline Prev]]+1,Tbl_Long_Section[[#This Row],[Nline Prev]])</f>
        <v>#N/A</v>
      </c>
      <c r="O189" s="162" t="e">
        <f>INDEX(Tbl_Long_Definition[X],Tbl_Long_Section[[#This Row],[Nline Prev]])</f>
        <v>#N/A</v>
      </c>
      <c r="P189" s="263" t="e">
        <f>INDEX(Tbl_Long_Definition[X],Tbl_Long_Section[[#This Row],[Nline Next]])</f>
        <v>#N/A</v>
      </c>
      <c r="Q189" s="160" t="e">
        <f>INDEX(Tbl_Long_Definition[H Deck-Bott.],Tbl_Long_Section[[#This Row],[Nline Prev]])</f>
        <v>#N/A</v>
      </c>
      <c r="R189" s="161" t="e">
        <f>INDEX(Tbl_Long_Definition[H Deck-Bott.],Tbl_Long_Section[[#This Row],[Nline Next]])</f>
        <v>#N/A</v>
      </c>
      <c r="S189"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89" s="8"/>
      <c r="V189" s="873" t="e">
        <f t="shared" si="12"/>
        <v>#N/A</v>
      </c>
      <c r="W189" s="885" t="e">
        <f>MATCH(Tbl_Long_Hydro[[#This Row],[Draught]],Tbl_Long_Definition[H k-bott],-1)</f>
        <v>#N/A</v>
      </c>
      <c r="X189"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89" s="886" t="e">
        <f>MATCH(Tbl_Long_Hydro[[#This Row],[Draught]],Tbl_Long_Definition[H k-bott],1)</f>
        <v>#N/A</v>
      </c>
      <c r="Z189"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89" s="888" t="e">
        <f>IF(ISNA(Tbl_Long_Hydro[[#This Row],[Draught]]),NA(),IFERROR(INDEX(Tbl_Long_Definition[X],Tbl_Long_Hydro[[#This Row],[Aft Nline prev]]),0))</f>
        <v>#N/A</v>
      </c>
      <c r="AB189" s="889" t="e">
        <f>IF(ISNA(Tbl_Long_Hydro[[#This Row],[Draught]]),NA(),IFERROR(INDEX(Tbl_Long_Definition[X],Tbl_Long_Hydro[[#This Row],[Aft Nline next]]),0))</f>
        <v>#N/A</v>
      </c>
      <c r="AC189" s="889" t="e">
        <f>IF(ISNA(Tbl_Long_Hydro[[#This Row],[Draught]]),NA(),INDEX(Tbl_Long_Definition[H k-bott],Tbl_Long_Hydro[[#This Row],[Aft Nline prev]]))</f>
        <v>#N/A</v>
      </c>
      <c r="AD189" s="889" t="e">
        <f>IF(ISNA(Tbl_Long_Hydro[[#This Row],[Draught]]),NA(),INDEX(Tbl_Long_Definition[H k-bott],Tbl_Long_Hydro[[#This Row],[Aft Nline next]]))</f>
        <v>#N/A</v>
      </c>
      <c r="AE189" s="888" t="e">
        <f>IF(ISNA(Tbl_Long_Hydro[[#This Row],[Draught]]),NA(),IFERROR(INDEX(Tbl_Long_Definition[X],Tbl_Long_Hydro[[#This Row],[Fore Nline prev]]),0))</f>
        <v>#N/A</v>
      </c>
      <c r="AF189" s="889" t="e">
        <f>IF(ISNA(Tbl_Long_Hydro[[#This Row],[Draught]]),NA(),IFERROR(INDEX(Tbl_Long_Definition[X],Tbl_Long_Hydro[[#This Row],[Fore Nline next]]),0))</f>
        <v>#N/A</v>
      </c>
      <c r="AG189" s="889" t="e">
        <f>IF(ISNA(Tbl_Long_Hydro[[#This Row],[Draught]]),NA(),INDEX(Tbl_Long_Definition[H k-bott],Tbl_Long_Hydro[[#This Row],[Fore Nline prev]]))</f>
        <v>#N/A</v>
      </c>
      <c r="AH189" s="890" t="e">
        <f>IF(ISNA(Tbl_Long_Hydro[[#This Row],[Draught]]),NA(),INDEX(Tbl_Long_Definition[H k-bott],Tbl_Long_Hydro[[#This Row],[Fore Nline next]]))</f>
        <v>#N/A</v>
      </c>
      <c r="AI189"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89"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89" s="894" t="e">
        <f>Tbl_Long_Hydro[[#This Row],[Fore X]]-Tbl_Long_Hydro[[#This Row],[Aft X]]</f>
        <v>#N/A</v>
      </c>
      <c r="AL189" s="884" t="e">
        <f>Tbl_Long_Hydro[[#This Row],[LX]]*B</f>
        <v>#N/A</v>
      </c>
      <c r="AM189" s="892" t="e">
        <f>IF(ISNUMBER(AM188),(AK188+Tbl_Long_Hydro[[#This Row],[LX]])*(Tbl_Long_Hydro[[#This Row],[Draught]]-V188)/2*B,(Tbl_Long_Hydro[[#This Row],[LX]])*Tbl_Long_Hydro[[#This Row],[Draught]]*B)</f>
        <v>#N/A</v>
      </c>
      <c r="AN189" s="899" t="e">
        <f>Tbl_Long_Hydro[[#This Row],[Aft X]]+Tbl_Long_Hydro[[#This Row],[LX]]/2</f>
        <v>#N/A</v>
      </c>
      <c r="AO189" s="876" t="e">
        <f>IF(ISNUMBER(AO188),(2*Tbl_Long_Hydro[[#This Row],[LX]]+AK188)/(Tbl_Long_Hydro[[#This Row],[LX]]+AK188)*(Tbl_Long_Hydro[[#This Row],[Draught]]-V188)/3+V188,Tbl_Long_Hydro[[#This Row],[Draught]]/2)</f>
        <v>#N/A</v>
      </c>
      <c r="AP189" s="898" t="e">
        <f>IF(ISNUMBER(AP188),Tbl_Long_Hydro[[#This Row],[Volume elt]]+AP188,Tbl_Long_Hydro[[#This Row],[Volume elt]]*AO$4)</f>
        <v>#N/A</v>
      </c>
      <c r="AQ189" s="893" t="e">
        <f>IF(ISNUMBER(AQ188),Tbl_Long_Hydro[[#This Row],[Displacement]]*AQ$4,IF(ISNA(AQ188),NA(),0))</f>
        <v>#N/A</v>
      </c>
      <c r="AR189" s="900" t="e">
        <f>IF(ISNA(Tbl_Long_Hydro[[#This Row],[Draught]]),NA(),IFERROR(Tbl_Long_Hydro[[#This Row],[LX]]*B^3/12/Tbl_Long_Hydro[[#This Row],[Displacement]],0))</f>
        <v>#N/A</v>
      </c>
      <c r="AS189" s="903" t="e">
        <f>IF(ISNA(Tbl_Long_Hydro[[#This Row],[Draught]]),NA(),IFERROR((B*Tbl_Long_Hydro[[#This Row],[LX]]^3/12+(Tbl_Long_Hydro[[#This Row],[LCF]]-Tbl_Long_Hydro[[#This Row],[LCB]])*Tbl_Long_Hydro[[#This Row],[Waterplane area]]*Tbl_Long_Hydro[[#This Row],[LCF]]^2)/Tbl_Long_Hydro[[#This Row],[Displacement]],0))</f>
        <v>#N/A</v>
      </c>
      <c r="AT189" s="900" t="e">
        <f>Tbl_Long_Hydro[[#This Row],[Aft X]]+Tbl_Long_Hydro[[#This Row],[LX]]/2</f>
        <v>#N/A</v>
      </c>
      <c r="AU189" s="901" t="e">
        <f>IF(ISNUMBER(AU188),(AU188*AP188+Tbl_Long_Hydro[[#This Row],[X CoG elt]]*Tbl_Long_Hydro[[#This Row],[Volume elt]])/Tbl_Long_Hydro[[#This Row],[Displacement]],Tbl_Long_Hydro[[#This Row],[X CoG elt]])</f>
        <v>#N/A</v>
      </c>
      <c r="AV189" s="902" t="e">
        <f>IF(ISNA(Tbl_Long_Hydro[[#This Row],[Draught]]),NA(),0)</f>
        <v>#N/A</v>
      </c>
      <c r="AW189" s="876" t="e">
        <f>IF(ISNUMBER(AW188),(AW188*AP188+Tbl_Long_Hydro[[#This Row],[Z CoG elt]]*Tbl_Long_Hydro[[#This Row],[Volume elt]])/Tbl_Long_Hydro[[#This Row],[Displacement]],Tbl_Long_Hydro[[#This Row],[Z CoG elt]])</f>
        <v>#N/A</v>
      </c>
      <c r="AX189" s="899" t="e">
        <f>Tbl_Long_Hydro[[#This Row],[RMT]]+Tbl_Long_Hydro[[#This Row],[VCB]]</f>
        <v>#N/A</v>
      </c>
      <c r="AY189" s="904" t="e">
        <f>Tbl_Long_Hydro[[#This Row],[Displacement]]*Tbl_Long_Hydro[[#This Row],[RML]]/(100*Lpp)</f>
        <v>#N/A</v>
      </c>
      <c r="AZ189" s="956" t="e">
        <f>Tbl_Long_Hydro[[#This Row],[Draught]]</f>
        <v>#N/A</v>
      </c>
      <c r="BA189" s="959" t="e">
        <f>Tbl_Long_Hydro[[#This Row],[Displacement]]</f>
        <v>#N/A</v>
      </c>
      <c r="BB189" s="960" t="e">
        <f>Tbl_Long_Hydro[[#This Row],[Displac. SW]]</f>
        <v>#N/A</v>
      </c>
      <c r="BC189" s="964" t="e">
        <f>Tbl_Long_Hydro[[#This Row],[Waterplane area]]/100*$AQ$4</f>
        <v>#N/A</v>
      </c>
      <c r="BD189" s="961" t="e">
        <f>Tbl_Long_Hydro[[#This Row],[MCT]]</f>
        <v>#N/A</v>
      </c>
      <c r="BE189" s="962" t="e">
        <f>Tbl_Long_Hydro[[#This Row],[LCB]]</f>
        <v>#N/A</v>
      </c>
      <c r="BF189" s="962" t="e">
        <f>Tbl_Long_Hydro[[#This Row],[TCB]]</f>
        <v>#N/A</v>
      </c>
      <c r="BG189" s="962" t="e">
        <f>Tbl_Long_Hydro[[#This Row],[LCF]]</f>
        <v>#N/A</v>
      </c>
      <c r="BH189" s="963" t="e">
        <f>Tbl_Long_Hydro[[#This Row],[KMT]]</f>
        <v>#N/A</v>
      </c>
    </row>
    <row r="190" spans="11:60" x14ac:dyDescent="0.25">
      <c r="K190" s="156" t="e">
        <f t="shared" si="9"/>
        <v>#N/A</v>
      </c>
      <c r="L190" s="164" t="e">
        <f t="shared" si="10"/>
        <v>#N/A</v>
      </c>
      <c r="M190" s="262" t="e">
        <f>MATCH(Tbl_Long_Section[[#This Row],[X]],Tbl_Long_Definition[X],1)</f>
        <v>#N/A</v>
      </c>
      <c r="N190" s="262" t="e">
        <f>IF(Tbl_Long_Section[[#This Row],[Nline Prev]]&lt;COUNT(Tbl_Long_Definition[X]),Tbl_Long_Section[[#This Row],[Nline Prev]]+1,Tbl_Long_Section[[#This Row],[Nline Prev]])</f>
        <v>#N/A</v>
      </c>
      <c r="O190" s="162" t="e">
        <f>INDEX(Tbl_Long_Definition[X],Tbl_Long_Section[[#This Row],[Nline Prev]])</f>
        <v>#N/A</v>
      </c>
      <c r="P190" s="263" t="e">
        <f>INDEX(Tbl_Long_Definition[X],Tbl_Long_Section[[#This Row],[Nline Next]])</f>
        <v>#N/A</v>
      </c>
      <c r="Q190" s="160" t="e">
        <f>INDEX(Tbl_Long_Definition[H Deck-Bott.],Tbl_Long_Section[[#This Row],[Nline Prev]])</f>
        <v>#N/A</v>
      </c>
      <c r="R190" s="161" t="e">
        <f>INDEX(Tbl_Long_Definition[H Deck-Bott.],Tbl_Long_Section[[#This Row],[Nline Next]])</f>
        <v>#N/A</v>
      </c>
      <c r="S190"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90" s="8"/>
      <c r="V190" s="873" t="e">
        <f t="shared" si="12"/>
        <v>#N/A</v>
      </c>
      <c r="W190" s="885" t="e">
        <f>MATCH(Tbl_Long_Hydro[[#This Row],[Draught]],Tbl_Long_Definition[H k-bott],-1)</f>
        <v>#N/A</v>
      </c>
      <c r="X190"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90" s="886" t="e">
        <f>MATCH(Tbl_Long_Hydro[[#This Row],[Draught]],Tbl_Long_Definition[H k-bott],1)</f>
        <v>#N/A</v>
      </c>
      <c r="Z190"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90" s="888" t="e">
        <f>IF(ISNA(Tbl_Long_Hydro[[#This Row],[Draught]]),NA(),IFERROR(INDEX(Tbl_Long_Definition[X],Tbl_Long_Hydro[[#This Row],[Aft Nline prev]]),0))</f>
        <v>#N/A</v>
      </c>
      <c r="AB190" s="889" t="e">
        <f>IF(ISNA(Tbl_Long_Hydro[[#This Row],[Draught]]),NA(),IFERROR(INDEX(Tbl_Long_Definition[X],Tbl_Long_Hydro[[#This Row],[Aft Nline next]]),0))</f>
        <v>#N/A</v>
      </c>
      <c r="AC190" s="889" t="e">
        <f>IF(ISNA(Tbl_Long_Hydro[[#This Row],[Draught]]),NA(),INDEX(Tbl_Long_Definition[H k-bott],Tbl_Long_Hydro[[#This Row],[Aft Nline prev]]))</f>
        <v>#N/A</v>
      </c>
      <c r="AD190" s="889" t="e">
        <f>IF(ISNA(Tbl_Long_Hydro[[#This Row],[Draught]]),NA(),INDEX(Tbl_Long_Definition[H k-bott],Tbl_Long_Hydro[[#This Row],[Aft Nline next]]))</f>
        <v>#N/A</v>
      </c>
      <c r="AE190" s="888" t="e">
        <f>IF(ISNA(Tbl_Long_Hydro[[#This Row],[Draught]]),NA(),IFERROR(INDEX(Tbl_Long_Definition[X],Tbl_Long_Hydro[[#This Row],[Fore Nline prev]]),0))</f>
        <v>#N/A</v>
      </c>
      <c r="AF190" s="889" t="e">
        <f>IF(ISNA(Tbl_Long_Hydro[[#This Row],[Draught]]),NA(),IFERROR(INDEX(Tbl_Long_Definition[X],Tbl_Long_Hydro[[#This Row],[Fore Nline next]]),0))</f>
        <v>#N/A</v>
      </c>
      <c r="AG190" s="889" t="e">
        <f>IF(ISNA(Tbl_Long_Hydro[[#This Row],[Draught]]),NA(),INDEX(Tbl_Long_Definition[H k-bott],Tbl_Long_Hydro[[#This Row],[Fore Nline prev]]))</f>
        <v>#N/A</v>
      </c>
      <c r="AH190" s="890" t="e">
        <f>IF(ISNA(Tbl_Long_Hydro[[#This Row],[Draught]]),NA(),INDEX(Tbl_Long_Definition[H k-bott],Tbl_Long_Hydro[[#This Row],[Fore Nline next]]))</f>
        <v>#N/A</v>
      </c>
      <c r="AI190"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90"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90" s="894" t="e">
        <f>Tbl_Long_Hydro[[#This Row],[Fore X]]-Tbl_Long_Hydro[[#This Row],[Aft X]]</f>
        <v>#N/A</v>
      </c>
      <c r="AL190" s="884" t="e">
        <f>Tbl_Long_Hydro[[#This Row],[LX]]*B</f>
        <v>#N/A</v>
      </c>
      <c r="AM190" s="892" t="e">
        <f>IF(ISNUMBER(AM189),(AK189+Tbl_Long_Hydro[[#This Row],[LX]])*(Tbl_Long_Hydro[[#This Row],[Draught]]-V189)/2*B,(Tbl_Long_Hydro[[#This Row],[LX]])*Tbl_Long_Hydro[[#This Row],[Draught]]*B)</f>
        <v>#N/A</v>
      </c>
      <c r="AN190" s="899" t="e">
        <f>Tbl_Long_Hydro[[#This Row],[Aft X]]+Tbl_Long_Hydro[[#This Row],[LX]]/2</f>
        <v>#N/A</v>
      </c>
      <c r="AO190" s="876" t="e">
        <f>IF(ISNUMBER(AO189),(2*Tbl_Long_Hydro[[#This Row],[LX]]+AK189)/(Tbl_Long_Hydro[[#This Row],[LX]]+AK189)*(Tbl_Long_Hydro[[#This Row],[Draught]]-V189)/3+V189,Tbl_Long_Hydro[[#This Row],[Draught]]/2)</f>
        <v>#N/A</v>
      </c>
      <c r="AP190" s="898" t="e">
        <f>IF(ISNUMBER(AP189),Tbl_Long_Hydro[[#This Row],[Volume elt]]+AP189,Tbl_Long_Hydro[[#This Row],[Volume elt]]*AO$4)</f>
        <v>#N/A</v>
      </c>
      <c r="AQ190" s="893" t="e">
        <f>IF(ISNUMBER(AQ189),Tbl_Long_Hydro[[#This Row],[Displacement]]*AQ$4,IF(ISNA(AQ189),NA(),0))</f>
        <v>#N/A</v>
      </c>
      <c r="AR190" s="900" t="e">
        <f>IF(ISNA(Tbl_Long_Hydro[[#This Row],[Draught]]),NA(),IFERROR(Tbl_Long_Hydro[[#This Row],[LX]]*B^3/12/Tbl_Long_Hydro[[#This Row],[Displacement]],0))</f>
        <v>#N/A</v>
      </c>
      <c r="AS190" s="903" t="e">
        <f>IF(ISNA(Tbl_Long_Hydro[[#This Row],[Draught]]),NA(),IFERROR((B*Tbl_Long_Hydro[[#This Row],[LX]]^3/12+(Tbl_Long_Hydro[[#This Row],[LCF]]-Tbl_Long_Hydro[[#This Row],[LCB]])*Tbl_Long_Hydro[[#This Row],[Waterplane area]]*Tbl_Long_Hydro[[#This Row],[LCF]]^2)/Tbl_Long_Hydro[[#This Row],[Displacement]],0))</f>
        <v>#N/A</v>
      </c>
      <c r="AT190" s="900" t="e">
        <f>Tbl_Long_Hydro[[#This Row],[Aft X]]+Tbl_Long_Hydro[[#This Row],[LX]]/2</f>
        <v>#N/A</v>
      </c>
      <c r="AU190" s="901" t="e">
        <f>IF(ISNUMBER(AU189),(AU189*AP189+Tbl_Long_Hydro[[#This Row],[X CoG elt]]*Tbl_Long_Hydro[[#This Row],[Volume elt]])/Tbl_Long_Hydro[[#This Row],[Displacement]],Tbl_Long_Hydro[[#This Row],[X CoG elt]])</f>
        <v>#N/A</v>
      </c>
      <c r="AV190" s="902" t="e">
        <f>IF(ISNA(Tbl_Long_Hydro[[#This Row],[Draught]]),NA(),0)</f>
        <v>#N/A</v>
      </c>
      <c r="AW190" s="876" t="e">
        <f>IF(ISNUMBER(AW189),(AW189*AP189+Tbl_Long_Hydro[[#This Row],[Z CoG elt]]*Tbl_Long_Hydro[[#This Row],[Volume elt]])/Tbl_Long_Hydro[[#This Row],[Displacement]],Tbl_Long_Hydro[[#This Row],[Z CoG elt]])</f>
        <v>#N/A</v>
      </c>
      <c r="AX190" s="899" t="e">
        <f>Tbl_Long_Hydro[[#This Row],[RMT]]+Tbl_Long_Hydro[[#This Row],[VCB]]</f>
        <v>#N/A</v>
      </c>
      <c r="AY190" s="904" t="e">
        <f>Tbl_Long_Hydro[[#This Row],[Displacement]]*Tbl_Long_Hydro[[#This Row],[RML]]/(100*Lpp)</f>
        <v>#N/A</v>
      </c>
      <c r="AZ190" s="956" t="e">
        <f>Tbl_Long_Hydro[[#This Row],[Draught]]</f>
        <v>#N/A</v>
      </c>
      <c r="BA190" s="959" t="e">
        <f>Tbl_Long_Hydro[[#This Row],[Displacement]]</f>
        <v>#N/A</v>
      </c>
      <c r="BB190" s="960" t="e">
        <f>Tbl_Long_Hydro[[#This Row],[Displac. SW]]</f>
        <v>#N/A</v>
      </c>
      <c r="BC190" s="964" t="e">
        <f>Tbl_Long_Hydro[[#This Row],[Waterplane area]]/100*$AQ$4</f>
        <v>#N/A</v>
      </c>
      <c r="BD190" s="961" t="e">
        <f>Tbl_Long_Hydro[[#This Row],[MCT]]</f>
        <v>#N/A</v>
      </c>
      <c r="BE190" s="962" t="e">
        <f>Tbl_Long_Hydro[[#This Row],[LCB]]</f>
        <v>#N/A</v>
      </c>
      <c r="BF190" s="962" t="e">
        <f>Tbl_Long_Hydro[[#This Row],[TCB]]</f>
        <v>#N/A</v>
      </c>
      <c r="BG190" s="962" t="e">
        <f>Tbl_Long_Hydro[[#This Row],[LCF]]</f>
        <v>#N/A</v>
      </c>
      <c r="BH190" s="963" t="e">
        <f>Tbl_Long_Hydro[[#This Row],[KMT]]</f>
        <v>#N/A</v>
      </c>
    </row>
    <row r="191" spans="11:60" x14ac:dyDescent="0.25">
      <c r="K191" s="156" t="e">
        <f t="shared" si="9"/>
        <v>#N/A</v>
      </c>
      <c r="L191" s="164" t="e">
        <f t="shared" si="10"/>
        <v>#N/A</v>
      </c>
      <c r="M191" s="262" t="e">
        <f>MATCH(Tbl_Long_Section[[#This Row],[X]],Tbl_Long_Definition[X],1)</f>
        <v>#N/A</v>
      </c>
      <c r="N191" s="262" t="e">
        <f>IF(Tbl_Long_Section[[#This Row],[Nline Prev]]&lt;COUNT(Tbl_Long_Definition[X]),Tbl_Long_Section[[#This Row],[Nline Prev]]+1,Tbl_Long_Section[[#This Row],[Nline Prev]])</f>
        <v>#N/A</v>
      </c>
      <c r="O191" s="162" t="e">
        <f>INDEX(Tbl_Long_Definition[X],Tbl_Long_Section[[#This Row],[Nline Prev]])</f>
        <v>#N/A</v>
      </c>
      <c r="P191" s="263" t="e">
        <f>INDEX(Tbl_Long_Definition[X],Tbl_Long_Section[[#This Row],[Nline Next]])</f>
        <v>#N/A</v>
      </c>
      <c r="Q191" s="160" t="e">
        <f>INDEX(Tbl_Long_Definition[H Deck-Bott.],Tbl_Long_Section[[#This Row],[Nline Prev]])</f>
        <v>#N/A</v>
      </c>
      <c r="R191" s="161" t="e">
        <f>INDEX(Tbl_Long_Definition[H Deck-Bott.],Tbl_Long_Section[[#This Row],[Nline Next]])</f>
        <v>#N/A</v>
      </c>
      <c r="S191"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91" s="8"/>
      <c r="V191" s="873" t="e">
        <f t="shared" si="12"/>
        <v>#N/A</v>
      </c>
      <c r="W191" s="885" t="e">
        <f>MATCH(Tbl_Long_Hydro[[#This Row],[Draught]],Tbl_Long_Definition[H k-bott],-1)</f>
        <v>#N/A</v>
      </c>
      <c r="X191"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91" s="886" t="e">
        <f>MATCH(Tbl_Long_Hydro[[#This Row],[Draught]],Tbl_Long_Definition[H k-bott],1)</f>
        <v>#N/A</v>
      </c>
      <c r="Z191"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91" s="888" t="e">
        <f>IF(ISNA(Tbl_Long_Hydro[[#This Row],[Draught]]),NA(),IFERROR(INDEX(Tbl_Long_Definition[X],Tbl_Long_Hydro[[#This Row],[Aft Nline prev]]),0))</f>
        <v>#N/A</v>
      </c>
      <c r="AB191" s="889" t="e">
        <f>IF(ISNA(Tbl_Long_Hydro[[#This Row],[Draught]]),NA(),IFERROR(INDEX(Tbl_Long_Definition[X],Tbl_Long_Hydro[[#This Row],[Aft Nline next]]),0))</f>
        <v>#N/A</v>
      </c>
      <c r="AC191" s="889" t="e">
        <f>IF(ISNA(Tbl_Long_Hydro[[#This Row],[Draught]]),NA(),INDEX(Tbl_Long_Definition[H k-bott],Tbl_Long_Hydro[[#This Row],[Aft Nline prev]]))</f>
        <v>#N/A</v>
      </c>
      <c r="AD191" s="889" t="e">
        <f>IF(ISNA(Tbl_Long_Hydro[[#This Row],[Draught]]),NA(),INDEX(Tbl_Long_Definition[H k-bott],Tbl_Long_Hydro[[#This Row],[Aft Nline next]]))</f>
        <v>#N/A</v>
      </c>
      <c r="AE191" s="888" t="e">
        <f>IF(ISNA(Tbl_Long_Hydro[[#This Row],[Draught]]),NA(),IFERROR(INDEX(Tbl_Long_Definition[X],Tbl_Long_Hydro[[#This Row],[Fore Nline prev]]),0))</f>
        <v>#N/A</v>
      </c>
      <c r="AF191" s="889" t="e">
        <f>IF(ISNA(Tbl_Long_Hydro[[#This Row],[Draught]]),NA(),IFERROR(INDEX(Tbl_Long_Definition[X],Tbl_Long_Hydro[[#This Row],[Fore Nline next]]),0))</f>
        <v>#N/A</v>
      </c>
      <c r="AG191" s="889" t="e">
        <f>IF(ISNA(Tbl_Long_Hydro[[#This Row],[Draught]]),NA(),INDEX(Tbl_Long_Definition[H k-bott],Tbl_Long_Hydro[[#This Row],[Fore Nline prev]]))</f>
        <v>#N/A</v>
      </c>
      <c r="AH191" s="890" t="e">
        <f>IF(ISNA(Tbl_Long_Hydro[[#This Row],[Draught]]),NA(),INDEX(Tbl_Long_Definition[H k-bott],Tbl_Long_Hydro[[#This Row],[Fore Nline next]]))</f>
        <v>#N/A</v>
      </c>
      <c r="AI191"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91"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91" s="894" t="e">
        <f>Tbl_Long_Hydro[[#This Row],[Fore X]]-Tbl_Long_Hydro[[#This Row],[Aft X]]</f>
        <v>#N/A</v>
      </c>
      <c r="AL191" s="884" t="e">
        <f>Tbl_Long_Hydro[[#This Row],[LX]]*B</f>
        <v>#N/A</v>
      </c>
      <c r="AM191" s="892" t="e">
        <f>IF(ISNUMBER(AM190),(AK190+Tbl_Long_Hydro[[#This Row],[LX]])*(Tbl_Long_Hydro[[#This Row],[Draught]]-V190)/2*B,(Tbl_Long_Hydro[[#This Row],[LX]])*Tbl_Long_Hydro[[#This Row],[Draught]]*B)</f>
        <v>#N/A</v>
      </c>
      <c r="AN191" s="899" t="e">
        <f>Tbl_Long_Hydro[[#This Row],[Aft X]]+Tbl_Long_Hydro[[#This Row],[LX]]/2</f>
        <v>#N/A</v>
      </c>
      <c r="AO191" s="876" t="e">
        <f>IF(ISNUMBER(AO190),(2*Tbl_Long_Hydro[[#This Row],[LX]]+AK190)/(Tbl_Long_Hydro[[#This Row],[LX]]+AK190)*(Tbl_Long_Hydro[[#This Row],[Draught]]-V190)/3+V190,Tbl_Long_Hydro[[#This Row],[Draught]]/2)</f>
        <v>#N/A</v>
      </c>
      <c r="AP191" s="898" t="e">
        <f>IF(ISNUMBER(AP190),Tbl_Long_Hydro[[#This Row],[Volume elt]]+AP190,Tbl_Long_Hydro[[#This Row],[Volume elt]]*AO$4)</f>
        <v>#N/A</v>
      </c>
      <c r="AQ191" s="893" t="e">
        <f>IF(ISNUMBER(AQ190),Tbl_Long_Hydro[[#This Row],[Displacement]]*AQ$4,IF(ISNA(AQ190),NA(),0))</f>
        <v>#N/A</v>
      </c>
      <c r="AR191" s="900" t="e">
        <f>IF(ISNA(Tbl_Long_Hydro[[#This Row],[Draught]]),NA(),IFERROR(Tbl_Long_Hydro[[#This Row],[LX]]*B^3/12/Tbl_Long_Hydro[[#This Row],[Displacement]],0))</f>
        <v>#N/A</v>
      </c>
      <c r="AS191" s="903" t="e">
        <f>IF(ISNA(Tbl_Long_Hydro[[#This Row],[Draught]]),NA(),IFERROR((B*Tbl_Long_Hydro[[#This Row],[LX]]^3/12+(Tbl_Long_Hydro[[#This Row],[LCF]]-Tbl_Long_Hydro[[#This Row],[LCB]])*Tbl_Long_Hydro[[#This Row],[Waterplane area]]*Tbl_Long_Hydro[[#This Row],[LCF]]^2)/Tbl_Long_Hydro[[#This Row],[Displacement]],0))</f>
        <v>#N/A</v>
      </c>
      <c r="AT191" s="900" t="e">
        <f>Tbl_Long_Hydro[[#This Row],[Aft X]]+Tbl_Long_Hydro[[#This Row],[LX]]/2</f>
        <v>#N/A</v>
      </c>
      <c r="AU191" s="901" t="e">
        <f>IF(ISNUMBER(AU190),(AU190*AP190+Tbl_Long_Hydro[[#This Row],[X CoG elt]]*Tbl_Long_Hydro[[#This Row],[Volume elt]])/Tbl_Long_Hydro[[#This Row],[Displacement]],Tbl_Long_Hydro[[#This Row],[X CoG elt]])</f>
        <v>#N/A</v>
      </c>
      <c r="AV191" s="902" t="e">
        <f>IF(ISNA(Tbl_Long_Hydro[[#This Row],[Draught]]),NA(),0)</f>
        <v>#N/A</v>
      </c>
      <c r="AW191" s="876" t="e">
        <f>IF(ISNUMBER(AW190),(AW190*AP190+Tbl_Long_Hydro[[#This Row],[Z CoG elt]]*Tbl_Long_Hydro[[#This Row],[Volume elt]])/Tbl_Long_Hydro[[#This Row],[Displacement]],Tbl_Long_Hydro[[#This Row],[Z CoG elt]])</f>
        <v>#N/A</v>
      </c>
      <c r="AX191" s="899" t="e">
        <f>Tbl_Long_Hydro[[#This Row],[RMT]]+Tbl_Long_Hydro[[#This Row],[VCB]]</f>
        <v>#N/A</v>
      </c>
      <c r="AY191" s="904" t="e">
        <f>Tbl_Long_Hydro[[#This Row],[Displacement]]*Tbl_Long_Hydro[[#This Row],[RML]]/(100*Lpp)</f>
        <v>#N/A</v>
      </c>
      <c r="AZ191" s="956" t="e">
        <f>Tbl_Long_Hydro[[#This Row],[Draught]]</f>
        <v>#N/A</v>
      </c>
      <c r="BA191" s="959" t="e">
        <f>Tbl_Long_Hydro[[#This Row],[Displacement]]</f>
        <v>#N/A</v>
      </c>
      <c r="BB191" s="960" t="e">
        <f>Tbl_Long_Hydro[[#This Row],[Displac. SW]]</f>
        <v>#N/A</v>
      </c>
      <c r="BC191" s="964" t="e">
        <f>Tbl_Long_Hydro[[#This Row],[Waterplane area]]/100*$AQ$4</f>
        <v>#N/A</v>
      </c>
      <c r="BD191" s="961" t="e">
        <f>Tbl_Long_Hydro[[#This Row],[MCT]]</f>
        <v>#N/A</v>
      </c>
      <c r="BE191" s="962" t="e">
        <f>Tbl_Long_Hydro[[#This Row],[LCB]]</f>
        <v>#N/A</v>
      </c>
      <c r="BF191" s="962" t="e">
        <f>Tbl_Long_Hydro[[#This Row],[TCB]]</f>
        <v>#N/A</v>
      </c>
      <c r="BG191" s="962" t="e">
        <f>Tbl_Long_Hydro[[#This Row],[LCF]]</f>
        <v>#N/A</v>
      </c>
      <c r="BH191" s="963" t="e">
        <f>Tbl_Long_Hydro[[#This Row],[KMT]]</f>
        <v>#N/A</v>
      </c>
    </row>
    <row r="192" spans="11:60" x14ac:dyDescent="0.25">
      <c r="K192" s="156" t="e">
        <f t="shared" si="9"/>
        <v>#N/A</v>
      </c>
      <c r="L192" s="164" t="e">
        <f t="shared" si="10"/>
        <v>#N/A</v>
      </c>
      <c r="M192" s="262" t="e">
        <f>MATCH(Tbl_Long_Section[[#This Row],[X]],Tbl_Long_Definition[X],1)</f>
        <v>#N/A</v>
      </c>
      <c r="N192" s="262" t="e">
        <f>IF(Tbl_Long_Section[[#This Row],[Nline Prev]]&lt;COUNT(Tbl_Long_Definition[X]),Tbl_Long_Section[[#This Row],[Nline Prev]]+1,Tbl_Long_Section[[#This Row],[Nline Prev]])</f>
        <v>#N/A</v>
      </c>
      <c r="O192" s="162" t="e">
        <f>INDEX(Tbl_Long_Definition[X],Tbl_Long_Section[[#This Row],[Nline Prev]])</f>
        <v>#N/A</v>
      </c>
      <c r="P192" s="263" t="e">
        <f>INDEX(Tbl_Long_Definition[X],Tbl_Long_Section[[#This Row],[Nline Next]])</f>
        <v>#N/A</v>
      </c>
      <c r="Q192" s="160" t="e">
        <f>INDEX(Tbl_Long_Definition[H Deck-Bott.],Tbl_Long_Section[[#This Row],[Nline Prev]])</f>
        <v>#N/A</v>
      </c>
      <c r="R192" s="161" t="e">
        <f>INDEX(Tbl_Long_Definition[H Deck-Bott.],Tbl_Long_Section[[#This Row],[Nline Next]])</f>
        <v>#N/A</v>
      </c>
      <c r="S192"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92" s="8"/>
      <c r="V192" s="873" t="e">
        <f t="shared" si="12"/>
        <v>#N/A</v>
      </c>
      <c r="W192" s="885" t="e">
        <f>MATCH(Tbl_Long_Hydro[[#This Row],[Draught]],Tbl_Long_Definition[H k-bott],-1)</f>
        <v>#N/A</v>
      </c>
      <c r="X192"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92" s="886" t="e">
        <f>MATCH(Tbl_Long_Hydro[[#This Row],[Draught]],Tbl_Long_Definition[H k-bott],1)</f>
        <v>#N/A</v>
      </c>
      <c r="Z192"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92" s="888" t="e">
        <f>IF(ISNA(Tbl_Long_Hydro[[#This Row],[Draught]]),NA(),IFERROR(INDEX(Tbl_Long_Definition[X],Tbl_Long_Hydro[[#This Row],[Aft Nline prev]]),0))</f>
        <v>#N/A</v>
      </c>
      <c r="AB192" s="889" t="e">
        <f>IF(ISNA(Tbl_Long_Hydro[[#This Row],[Draught]]),NA(),IFERROR(INDEX(Tbl_Long_Definition[X],Tbl_Long_Hydro[[#This Row],[Aft Nline next]]),0))</f>
        <v>#N/A</v>
      </c>
      <c r="AC192" s="889" t="e">
        <f>IF(ISNA(Tbl_Long_Hydro[[#This Row],[Draught]]),NA(),INDEX(Tbl_Long_Definition[H k-bott],Tbl_Long_Hydro[[#This Row],[Aft Nline prev]]))</f>
        <v>#N/A</v>
      </c>
      <c r="AD192" s="889" t="e">
        <f>IF(ISNA(Tbl_Long_Hydro[[#This Row],[Draught]]),NA(),INDEX(Tbl_Long_Definition[H k-bott],Tbl_Long_Hydro[[#This Row],[Aft Nline next]]))</f>
        <v>#N/A</v>
      </c>
      <c r="AE192" s="888" t="e">
        <f>IF(ISNA(Tbl_Long_Hydro[[#This Row],[Draught]]),NA(),IFERROR(INDEX(Tbl_Long_Definition[X],Tbl_Long_Hydro[[#This Row],[Fore Nline prev]]),0))</f>
        <v>#N/A</v>
      </c>
      <c r="AF192" s="889" t="e">
        <f>IF(ISNA(Tbl_Long_Hydro[[#This Row],[Draught]]),NA(),IFERROR(INDEX(Tbl_Long_Definition[X],Tbl_Long_Hydro[[#This Row],[Fore Nline next]]),0))</f>
        <v>#N/A</v>
      </c>
      <c r="AG192" s="889" t="e">
        <f>IF(ISNA(Tbl_Long_Hydro[[#This Row],[Draught]]),NA(),INDEX(Tbl_Long_Definition[H k-bott],Tbl_Long_Hydro[[#This Row],[Fore Nline prev]]))</f>
        <v>#N/A</v>
      </c>
      <c r="AH192" s="890" t="e">
        <f>IF(ISNA(Tbl_Long_Hydro[[#This Row],[Draught]]),NA(),INDEX(Tbl_Long_Definition[H k-bott],Tbl_Long_Hydro[[#This Row],[Fore Nline next]]))</f>
        <v>#N/A</v>
      </c>
      <c r="AI192"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92"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92" s="894" t="e">
        <f>Tbl_Long_Hydro[[#This Row],[Fore X]]-Tbl_Long_Hydro[[#This Row],[Aft X]]</f>
        <v>#N/A</v>
      </c>
      <c r="AL192" s="884" t="e">
        <f>Tbl_Long_Hydro[[#This Row],[LX]]*B</f>
        <v>#N/A</v>
      </c>
      <c r="AM192" s="892" t="e">
        <f>IF(ISNUMBER(AM191),(AK191+Tbl_Long_Hydro[[#This Row],[LX]])*(Tbl_Long_Hydro[[#This Row],[Draught]]-V191)/2*B,(Tbl_Long_Hydro[[#This Row],[LX]])*Tbl_Long_Hydro[[#This Row],[Draught]]*B)</f>
        <v>#N/A</v>
      </c>
      <c r="AN192" s="899" t="e">
        <f>Tbl_Long_Hydro[[#This Row],[Aft X]]+Tbl_Long_Hydro[[#This Row],[LX]]/2</f>
        <v>#N/A</v>
      </c>
      <c r="AO192" s="876" t="e">
        <f>IF(ISNUMBER(AO191),(2*Tbl_Long_Hydro[[#This Row],[LX]]+AK191)/(Tbl_Long_Hydro[[#This Row],[LX]]+AK191)*(Tbl_Long_Hydro[[#This Row],[Draught]]-V191)/3+V191,Tbl_Long_Hydro[[#This Row],[Draught]]/2)</f>
        <v>#N/A</v>
      </c>
      <c r="AP192" s="898" t="e">
        <f>IF(ISNUMBER(AP191),Tbl_Long_Hydro[[#This Row],[Volume elt]]+AP191,Tbl_Long_Hydro[[#This Row],[Volume elt]]*AO$4)</f>
        <v>#N/A</v>
      </c>
      <c r="AQ192" s="893" t="e">
        <f>IF(ISNUMBER(AQ191),Tbl_Long_Hydro[[#This Row],[Displacement]]*AQ$4,IF(ISNA(AQ191),NA(),0))</f>
        <v>#N/A</v>
      </c>
      <c r="AR192" s="900" t="e">
        <f>IF(ISNA(Tbl_Long_Hydro[[#This Row],[Draught]]),NA(),IFERROR(Tbl_Long_Hydro[[#This Row],[LX]]*B^3/12/Tbl_Long_Hydro[[#This Row],[Displacement]],0))</f>
        <v>#N/A</v>
      </c>
      <c r="AS192" s="903" t="e">
        <f>IF(ISNA(Tbl_Long_Hydro[[#This Row],[Draught]]),NA(),IFERROR((B*Tbl_Long_Hydro[[#This Row],[LX]]^3/12+(Tbl_Long_Hydro[[#This Row],[LCF]]-Tbl_Long_Hydro[[#This Row],[LCB]])*Tbl_Long_Hydro[[#This Row],[Waterplane area]]*Tbl_Long_Hydro[[#This Row],[LCF]]^2)/Tbl_Long_Hydro[[#This Row],[Displacement]],0))</f>
        <v>#N/A</v>
      </c>
      <c r="AT192" s="900" t="e">
        <f>Tbl_Long_Hydro[[#This Row],[Aft X]]+Tbl_Long_Hydro[[#This Row],[LX]]/2</f>
        <v>#N/A</v>
      </c>
      <c r="AU192" s="901" t="e">
        <f>IF(ISNUMBER(AU191),(AU191*AP191+Tbl_Long_Hydro[[#This Row],[X CoG elt]]*Tbl_Long_Hydro[[#This Row],[Volume elt]])/Tbl_Long_Hydro[[#This Row],[Displacement]],Tbl_Long_Hydro[[#This Row],[X CoG elt]])</f>
        <v>#N/A</v>
      </c>
      <c r="AV192" s="902" t="e">
        <f>IF(ISNA(Tbl_Long_Hydro[[#This Row],[Draught]]),NA(),0)</f>
        <v>#N/A</v>
      </c>
      <c r="AW192" s="876" t="e">
        <f>IF(ISNUMBER(AW191),(AW191*AP191+Tbl_Long_Hydro[[#This Row],[Z CoG elt]]*Tbl_Long_Hydro[[#This Row],[Volume elt]])/Tbl_Long_Hydro[[#This Row],[Displacement]],Tbl_Long_Hydro[[#This Row],[Z CoG elt]])</f>
        <v>#N/A</v>
      </c>
      <c r="AX192" s="899" t="e">
        <f>Tbl_Long_Hydro[[#This Row],[RMT]]+Tbl_Long_Hydro[[#This Row],[VCB]]</f>
        <v>#N/A</v>
      </c>
      <c r="AY192" s="904" t="e">
        <f>Tbl_Long_Hydro[[#This Row],[Displacement]]*Tbl_Long_Hydro[[#This Row],[RML]]/(100*Lpp)</f>
        <v>#N/A</v>
      </c>
      <c r="AZ192" s="956" t="e">
        <f>Tbl_Long_Hydro[[#This Row],[Draught]]</f>
        <v>#N/A</v>
      </c>
      <c r="BA192" s="959" t="e">
        <f>Tbl_Long_Hydro[[#This Row],[Displacement]]</f>
        <v>#N/A</v>
      </c>
      <c r="BB192" s="960" t="e">
        <f>Tbl_Long_Hydro[[#This Row],[Displac. SW]]</f>
        <v>#N/A</v>
      </c>
      <c r="BC192" s="964" t="e">
        <f>Tbl_Long_Hydro[[#This Row],[Waterplane area]]/100*$AQ$4</f>
        <v>#N/A</v>
      </c>
      <c r="BD192" s="961" t="e">
        <f>Tbl_Long_Hydro[[#This Row],[MCT]]</f>
        <v>#N/A</v>
      </c>
      <c r="BE192" s="962" t="e">
        <f>Tbl_Long_Hydro[[#This Row],[LCB]]</f>
        <v>#N/A</v>
      </c>
      <c r="BF192" s="962" t="e">
        <f>Tbl_Long_Hydro[[#This Row],[TCB]]</f>
        <v>#N/A</v>
      </c>
      <c r="BG192" s="962" t="e">
        <f>Tbl_Long_Hydro[[#This Row],[LCF]]</f>
        <v>#N/A</v>
      </c>
      <c r="BH192" s="963" t="e">
        <f>Tbl_Long_Hydro[[#This Row],[KMT]]</f>
        <v>#N/A</v>
      </c>
    </row>
    <row r="193" spans="11:60" x14ac:dyDescent="0.25">
      <c r="K193" s="156" t="e">
        <f t="shared" si="9"/>
        <v>#N/A</v>
      </c>
      <c r="L193" s="164" t="e">
        <f t="shared" si="10"/>
        <v>#N/A</v>
      </c>
      <c r="M193" s="262" t="e">
        <f>MATCH(Tbl_Long_Section[[#This Row],[X]],Tbl_Long_Definition[X],1)</f>
        <v>#N/A</v>
      </c>
      <c r="N193" s="262" t="e">
        <f>IF(Tbl_Long_Section[[#This Row],[Nline Prev]]&lt;COUNT(Tbl_Long_Definition[X]),Tbl_Long_Section[[#This Row],[Nline Prev]]+1,Tbl_Long_Section[[#This Row],[Nline Prev]])</f>
        <v>#N/A</v>
      </c>
      <c r="O193" s="162" t="e">
        <f>INDEX(Tbl_Long_Definition[X],Tbl_Long_Section[[#This Row],[Nline Prev]])</f>
        <v>#N/A</v>
      </c>
      <c r="P193" s="263" t="e">
        <f>INDEX(Tbl_Long_Definition[X],Tbl_Long_Section[[#This Row],[Nline Next]])</f>
        <v>#N/A</v>
      </c>
      <c r="Q193" s="160" t="e">
        <f>INDEX(Tbl_Long_Definition[H Deck-Bott.],Tbl_Long_Section[[#This Row],[Nline Prev]])</f>
        <v>#N/A</v>
      </c>
      <c r="R193" s="161" t="e">
        <f>INDEX(Tbl_Long_Definition[H Deck-Bott.],Tbl_Long_Section[[#This Row],[Nline Next]])</f>
        <v>#N/A</v>
      </c>
      <c r="S193"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93" s="8"/>
      <c r="V193" s="873" t="e">
        <f t="shared" si="12"/>
        <v>#N/A</v>
      </c>
      <c r="W193" s="885" t="e">
        <f>MATCH(Tbl_Long_Hydro[[#This Row],[Draught]],Tbl_Long_Definition[H k-bott],-1)</f>
        <v>#N/A</v>
      </c>
      <c r="X193"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93" s="886" t="e">
        <f>MATCH(Tbl_Long_Hydro[[#This Row],[Draught]],Tbl_Long_Definition[H k-bott],1)</f>
        <v>#N/A</v>
      </c>
      <c r="Z193"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93" s="888" t="e">
        <f>IF(ISNA(Tbl_Long_Hydro[[#This Row],[Draught]]),NA(),IFERROR(INDEX(Tbl_Long_Definition[X],Tbl_Long_Hydro[[#This Row],[Aft Nline prev]]),0))</f>
        <v>#N/A</v>
      </c>
      <c r="AB193" s="889" t="e">
        <f>IF(ISNA(Tbl_Long_Hydro[[#This Row],[Draught]]),NA(),IFERROR(INDEX(Tbl_Long_Definition[X],Tbl_Long_Hydro[[#This Row],[Aft Nline next]]),0))</f>
        <v>#N/A</v>
      </c>
      <c r="AC193" s="889" t="e">
        <f>IF(ISNA(Tbl_Long_Hydro[[#This Row],[Draught]]),NA(),INDEX(Tbl_Long_Definition[H k-bott],Tbl_Long_Hydro[[#This Row],[Aft Nline prev]]))</f>
        <v>#N/A</v>
      </c>
      <c r="AD193" s="889" t="e">
        <f>IF(ISNA(Tbl_Long_Hydro[[#This Row],[Draught]]),NA(),INDEX(Tbl_Long_Definition[H k-bott],Tbl_Long_Hydro[[#This Row],[Aft Nline next]]))</f>
        <v>#N/A</v>
      </c>
      <c r="AE193" s="888" t="e">
        <f>IF(ISNA(Tbl_Long_Hydro[[#This Row],[Draught]]),NA(),IFERROR(INDEX(Tbl_Long_Definition[X],Tbl_Long_Hydro[[#This Row],[Fore Nline prev]]),0))</f>
        <v>#N/A</v>
      </c>
      <c r="AF193" s="889" t="e">
        <f>IF(ISNA(Tbl_Long_Hydro[[#This Row],[Draught]]),NA(),IFERROR(INDEX(Tbl_Long_Definition[X],Tbl_Long_Hydro[[#This Row],[Fore Nline next]]),0))</f>
        <v>#N/A</v>
      </c>
      <c r="AG193" s="889" t="e">
        <f>IF(ISNA(Tbl_Long_Hydro[[#This Row],[Draught]]),NA(),INDEX(Tbl_Long_Definition[H k-bott],Tbl_Long_Hydro[[#This Row],[Fore Nline prev]]))</f>
        <v>#N/A</v>
      </c>
      <c r="AH193" s="890" t="e">
        <f>IF(ISNA(Tbl_Long_Hydro[[#This Row],[Draught]]),NA(),INDEX(Tbl_Long_Definition[H k-bott],Tbl_Long_Hydro[[#This Row],[Fore Nline next]]))</f>
        <v>#N/A</v>
      </c>
      <c r="AI193"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93"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93" s="894" t="e">
        <f>Tbl_Long_Hydro[[#This Row],[Fore X]]-Tbl_Long_Hydro[[#This Row],[Aft X]]</f>
        <v>#N/A</v>
      </c>
      <c r="AL193" s="884" t="e">
        <f>Tbl_Long_Hydro[[#This Row],[LX]]*B</f>
        <v>#N/A</v>
      </c>
      <c r="AM193" s="892" t="e">
        <f>IF(ISNUMBER(AM192),(AK192+Tbl_Long_Hydro[[#This Row],[LX]])*(Tbl_Long_Hydro[[#This Row],[Draught]]-V192)/2*B,(Tbl_Long_Hydro[[#This Row],[LX]])*Tbl_Long_Hydro[[#This Row],[Draught]]*B)</f>
        <v>#N/A</v>
      </c>
      <c r="AN193" s="899" t="e">
        <f>Tbl_Long_Hydro[[#This Row],[Aft X]]+Tbl_Long_Hydro[[#This Row],[LX]]/2</f>
        <v>#N/A</v>
      </c>
      <c r="AO193" s="876" t="e">
        <f>IF(ISNUMBER(AO192),(2*Tbl_Long_Hydro[[#This Row],[LX]]+AK192)/(Tbl_Long_Hydro[[#This Row],[LX]]+AK192)*(Tbl_Long_Hydro[[#This Row],[Draught]]-V192)/3+V192,Tbl_Long_Hydro[[#This Row],[Draught]]/2)</f>
        <v>#N/A</v>
      </c>
      <c r="AP193" s="898" t="e">
        <f>IF(ISNUMBER(AP192),Tbl_Long_Hydro[[#This Row],[Volume elt]]+AP192,Tbl_Long_Hydro[[#This Row],[Volume elt]]*AO$4)</f>
        <v>#N/A</v>
      </c>
      <c r="AQ193" s="893" t="e">
        <f>IF(ISNUMBER(AQ192),Tbl_Long_Hydro[[#This Row],[Displacement]]*AQ$4,IF(ISNA(AQ192),NA(),0))</f>
        <v>#N/A</v>
      </c>
      <c r="AR193" s="900" t="e">
        <f>IF(ISNA(Tbl_Long_Hydro[[#This Row],[Draught]]),NA(),IFERROR(Tbl_Long_Hydro[[#This Row],[LX]]*B^3/12/Tbl_Long_Hydro[[#This Row],[Displacement]],0))</f>
        <v>#N/A</v>
      </c>
      <c r="AS193" s="903" t="e">
        <f>IF(ISNA(Tbl_Long_Hydro[[#This Row],[Draught]]),NA(),IFERROR((B*Tbl_Long_Hydro[[#This Row],[LX]]^3/12+(Tbl_Long_Hydro[[#This Row],[LCF]]-Tbl_Long_Hydro[[#This Row],[LCB]])*Tbl_Long_Hydro[[#This Row],[Waterplane area]]*Tbl_Long_Hydro[[#This Row],[LCF]]^2)/Tbl_Long_Hydro[[#This Row],[Displacement]],0))</f>
        <v>#N/A</v>
      </c>
      <c r="AT193" s="900" t="e">
        <f>Tbl_Long_Hydro[[#This Row],[Aft X]]+Tbl_Long_Hydro[[#This Row],[LX]]/2</f>
        <v>#N/A</v>
      </c>
      <c r="AU193" s="901" t="e">
        <f>IF(ISNUMBER(AU192),(AU192*AP192+Tbl_Long_Hydro[[#This Row],[X CoG elt]]*Tbl_Long_Hydro[[#This Row],[Volume elt]])/Tbl_Long_Hydro[[#This Row],[Displacement]],Tbl_Long_Hydro[[#This Row],[X CoG elt]])</f>
        <v>#N/A</v>
      </c>
      <c r="AV193" s="902" t="e">
        <f>IF(ISNA(Tbl_Long_Hydro[[#This Row],[Draught]]),NA(),0)</f>
        <v>#N/A</v>
      </c>
      <c r="AW193" s="876" t="e">
        <f>IF(ISNUMBER(AW192),(AW192*AP192+Tbl_Long_Hydro[[#This Row],[Z CoG elt]]*Tbl_Long_Hydro[[#This Row],[Volume elt]])/Tbl_Long_Hydro[[#This Row],[Displacement]],Tbl_Long_Hydro[[#This Row],[Z CoG elt]])</f>
        <v>#N/A</v>
      </c>
      <c r="AX193" s="899" t="e">
        <f>Tbl_Long_Hydro[[#This Row],[RMT]]+Tbl_Long_Hydro[[#This Row],[VCB]]</f>
        <v>#N/A</v>
      </c>
      <c r="AY193" s="904" t="e">
        <f>Tbl_Long_Hydro[[#This Row],[Displacement]]*Tbl_Long_Hydro[[#This Row],[RML]]/(100*Lpp)</f>
        <v>#N/A</v>
      </c>
      <c r="AZ193" s="956" t="e">
        <f>Tbl_Long_Hydro[[#This Row],[Draught]]</f>
        <v>#N/A</v>
      </c>
      <c r="BA193" s="959" t="e">
        <f>Tbl_Long_Hydro[[#This Row],[Displacement]]</f>
        <v>#N/A</v>
      </c>
      <c r="BB193" s="960" t="e">
        <f>Tbl_Long_Hydro[[#This Row],[Displac. SW]]</f>
        <v>#N/A</v>
      </c>
      <c r="BC193" s="964" t="e">
        <f>Tbl_Long_Hydro[[#This Row],[Waterplane area]]/100*$AQ$4</f>
        <v>#N/A</v>
      </c>
      <c r="BD193" s="961" t="e">
        <f>Tbl_Long_Hydro[[#This Row],[MCT]]</f>
        <v>#N/A</v>
      </c>
      <c r="BE193" s="962" t="e">
        <f>Tbl_Long_Hydro[[#This Row],[LCB]]</f>
        <v>#N/A</v>
      </c>
      <c r="BF193" s="962" t="e">
        <f>Tbl_Long_Hydro[[#This Row],[TCB]]</f>
        <v>#N/A</v>
      </c>
      <c r="BG193" s="962" t="e">
        <f>Tbl_Long_Hydro[[#This Row],[LCF]]</f>
        <v>#N/A</v>
      </c>
      <c r="BH193" s="963" t="e">
        <f>Tbl_Long_Hydro[[#This Row],[KMT]]</f>
        <v>#N/A</v>
      </c>
    </row>
    <row r="194" spans="11:60" x14ac:dyDescent="0.25">
      <c r="K194" s="156" t="e">
        <f t="shared" si="9"/>
        <v>#N/A</v>
      </c>
      <c r="L194" s="164" t="e">
        <f t="shared" si="10"/>
        <v>#N/A</v>
      </c>
      <c r="M194" s="262" t="e">
        <f>MATCH(Tbl_Long_Section[[#This Row],[X]],Tbl_Long_Definition[X],1)</f>
        <v>#N/A</v>
      </c>
      <c r="N194" s="262" t="e">
        <f>IF(Tbl_Long_Section[[#This Row],[Nline Prev]]&lt;COUNT(Tbl_Long_Definition[X]),Tbl_Long_Section[[#This Row],[Nline Prev]]+1,Tbl_Long_Section[[#This Row],[Nline Prev]])</f>
        <v>#N/A</v>
      </c>
      <c r="O194" s="162" t="e">
        <f>INDEX(Tbl_Long_Definition[X],Tbl_Long_Section[[#This Row],[Nline Prev]])</f>
        <v>#N/A</v>
      </c>
      <c r="P194" s="263" t="e">
        <f>INDEX(Tbl_Long_Definition[X],Tbl_Long_Section[[#This Row],[Nline Next]])</f>
        <v>#N/A</v>
      </c>
      <c r="Q194" s="160" t="e">
        <f>INDEX(Tbl_Long_Definition[H Deck-Bott.],Tbl_Long_Section[[#This Row],[Nline Prev]])</f>
        <v>#N/A</v>
      </c>
      <c r="R194" s="161" t="e">
        <f>INDEX(Tbl_Long_Definition[H Deck-Bott.],Tbl_Long_Section[[#This Row],[Nline Next]])</f>
        <v>#N/A</v>
      </c>
      <c r="S194"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94" s="8"/>
      <c r="V194" s="873" t="e">
        <f t="shared" si="12"/>
        <v>#N/A</v>
      </c>
      <c r="W194" s="885" t="e">
        <f>MATCH(Tbl_Long_Hydro[[#This Row],[Draught]],Tbl_Long_Definition[H k-bott],-1)</f>
        <v>#N/A</v>
      </c>
      <c r="X194"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94" s="886" t="e">
        <f>MATCH(Tbl_Long_Hydro[[#This Row],[Draught]],Tbl_Long_Definition[H k-bott],1)</f>
        <v>#N/A</v>
      </c>
      <c r="Z194"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94" s="888" t="e">
        <f>IF(ISNA(Tbl_Long_Hydro[[#This Row],[Draught]]),NA(),IFERROR(INDEX(Tbl_Long_Definition[X],Tbl_Long_Hydro[[#This Row],[Aft Nline prev]]),0))</f>
        <v>#N/A</v>
      </c>
      <c r="AB194" s="889" t="e">
        <f>IF(ISNA(Tbl_Long_Hydro[[#This Row],[Draught]]),NA(),IFERROR(INDEX(Tbl_Long_Definition[X],Tbl_Long_Hydro[[#This Row],[Aft Nline next]]),0))</f>
        <v>#N/A</v>
      </c>
      <c r="AC194" s="889" t="e">
        <f>IF(ISNA(Tbl_Long_Hydro[[#This Row],[Draught]]),NA(),INDEX(Tbl_Long_Definition[H k-bott],Tbl_Long_Hydro[[#This Row],[Aft Nline prev]]))</f>
        <v>#N/A</v>
      </c>
      <c r="AD194" s="889" t="e">
        <f>IF(ISNA(Tbl_Long_Hydro[[#This Row],[Draught]]),NA(),INDEX(Tbl_Long_Definition[H k-bott],Tbl_Long_Hydro[[#This Row],[Aft Nline next]]))</f>
        <v>#N/A</v>
      </c>
      <c r="AE194" s="888" t="e">
        <f>IF(ISNA(Tbl_Long_Hydro[[#This Row],[Draught]]),NA(),IFERROR(INDEX(Tbl_Long_Definition[X],Tbl_Long_Hydro[[#This Row],[Fore Nline prev]]),0))</f>
        <v>#N/A</v>
      </c>
      <c r="AF194" s="889" t="e">
        <f>IF(ISNA(Tbl_Long_Hydro[[#This Row],[Draught]]),NA(),IFERROR(INDEX(Tbl_Long_Definition[X],Tbl_Long_Hydro[[#This Row],[Fore Nline next]]),0))</f>
        <v>#N/A</v>
      </c>
      <c r="AG194" s="889" t="e">
        <f>IF(ISNA(Tbl_Long_Hydro[[#This Row],[Draught]]),NA(),INDEX(Tbl_Long_Definition[H k-bott],Tbl_Long_Hydro[[#This Row],[Fore Nline prev]]))</f>
        <v>#N/A</v>
      </c>
      <c r="AH194" s="890" t="e">
        <f>IF(ISNA(Tbl_Long_Hydro[[#This Row],[Draught]]),NA(),INDEX(Tbl_Long_Definition[H k-bott],Tbl_Long_Hydro[[#This Row],[Fore Nline next]]))</f>
        <v>#N/A</v>
      </c>
      <c r="AI194"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94"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94" s="894" t="e">
        <f>Tbl_Long_Hydro[[#This Row],[Fore X]]-Tbl_Long_Hydro[[#This Row],[Aft X]]</f>
        <v>#N/A</v>
      </c>
      <c r="AL194" s="884" t="e">
        <f>Tbl_Long_Hydro[[#This Row],[LX]]*B</f>
        <v>#N/A</v>
      </c>
      <c r="AM194" s="892" t="e">
        <f>IF(ISNUMBER(AM193),(AK193+Tbl_Long_Hydro[[#This Row],[LX]])*(Tbl_Long_Hydro[[#This Row],[Draught]]-V193)/2*B,(Tbl_Long_Hydro[[#This Row],[LX]])*Tbl_Long_Hydro[[#This Row],[Draught]]*B)</f>
        <v>#N/A</v>
      </c>
      <c r="AN194" s="899" t="e">
        <f>Tbl_Long_Hydro[[#This Row],[Aft X]]+Tbl_Long_Hydro[[#This Row],[LX]]/2</f>
        <v>#N/A</v>
      </c>
      <c r="AO194" s="876" t="e">
        <f>IF(ISNUMBER(AO193),(2*Tbl_Long_Hydro[[#This Row],[LX]]+AK193)/(Tbl_Long_Hydro[[#This Row],[LX]]+AK193)*(Tbl_Long_Hydro[[#This Row],[Draught]]-V193)/3+V193,Tbl_Long_Hydro[[#This Row],[Draught]]/2)</f>
        <v>#N/A</v>
      </c>
      <c r="AP194" s="898" t="e">
        <f>IF(ISNUMBER(AP193),Tbl_Long_Hydro[[#This Row],[Volume elt]]+AP193,Tbl_Long_Hydro[[#This Row],[Volume elt]]*AO$4)</f>
        <v>#N/A</v>
      </c>
      <c r="AQ194" s="893" t="e">
        <f>IF(ISNUMBER(AQ193),Tbl_Long_Hydro[[#This Row],[Displacement]]*AQ$4,IF(ISNA(AQ193),NA(),0))</f>
        <v>#N/A</v>
      </c>
      <c r="AR194" s="900" t="e">
        <f>IF(ISNA(Tbl_Long_Hydro[[#This Row],[Draught]]),NA(),IFERROR(Tbl_Long_Hydro[[#This Row],[LX]]*B^3/12/Tbl_Long_Hydro[[#This Row],[Displacement]],0))</f>
        <v>#N/A</v>
      </c>
      <c r="AS194" s="903" t="e">
        <f>IF(ISNA(Tbl_Long_Hydro[[#This Row],[Draught]]),NA(),IFERROR((B*Tbl_Long_Hydro[[#This Row],[LX]]^3/12+(Tbl_Long_Hydro[[#This Row],[LCF]]-Tbl_Long_Hydro[[#This Row],[LCB]])*Tbl_Long_Hydro[[#This Row],[Waterplane area]]*Tbl_Long_Hydro[[#This Row],[LCF]]^2)/Tbl_Long_Hydro[[#This Row],[Displacement]],0))</f>
        <v>#N/A</v>
      </c>
      <c r="AT194" s="900" t="e">
        <f>Tbl_Long_Hydro[[#This Row],[Aft X]]+Tbl_Long_Hydro[[#This Row],[LX]]/2</f>
        <v>#N/A</v>
      </c>
      <c r="AU194" s="901" t="e">
        <f>IF(ISNUMBER(AU193),(AU193*AP193+Tbl_Long_Hydro[[#This Row],[X CoG elt]]*Tbl_Long_Hydro[[#This Row],[Volume elt]])/Tbl_Long_Hydro[[#This Row],[Displacement]],Tbl_Long_Hydro[[#This Row],[X CoG elt]])</f>
        <v>#N/A</v>
      </c>
      <c r="AV194" s="902" t="e">
        <f>IF(ISNA(Tbl_Long_Hydro[[#This Row],[Draught]]),NA(),0)</f>
        <v>#N/A</v>
      </c>
      <c r="AW194" s="876" t="e">
        <f>IF(ISNUMBER(AW193),(AW193*AP193+Tbl_Long_Hydro[[#This Row],[Z CoG elt]]*Tbl_Long_Hydro[[#This Row],[Volume elt]])/Tbl_Long_Hydro[[#This Row],[Displacement]],Tbl_Long_Hydro[[#This Row],[Z CoG elt]])</f>
        <v>#N/A</v>
      </c>
      <c r="AX194" s="899" t="e">
        <f>Tbl_Long_Hydro[[#This Row],[RMT]]+Tbl_Long_Hydro[[#This Row],[VCB]]</f>
        <v>#N/A</v>
      </c>
      <c r="AY194" s="904" t="e">
        <f>Tbl_Long_Hydro[[#This Row],[Displacement]]*Tbl_Long_Hydro[[#This Row],[RML]]/(100*Lpp)</f>
        <v>#N/A</v>
      </c>
      <c r="AZ194" s="956" t="e">
        <f>Tbl_Long_Hydro[[#This Row],[Draught]]</f>
        <v>#N/A</v>
      </c>
      <c r="BA194" s="959" t="e">
        <f>Tbl_Long_Hydro[[#This Row],[Displacement]]</f>
        <v>#N/A</v>
      </c>
      <c r="BB194" s="960" t="e">
        <f>Tbl_Long_Hydro[[#This Row],[Displac. SW]]</f>
        <v>#N/A</v>
      </c>
      <c r="BC194" s="964" t="e">
        <f>Tbl_Long_Hydro[[#This Row],[Waterplane area]]/100*$AQ$4</f>
        <v>#N/A</v>
      </c>
      <c r="BD194" s="961" t="e">
        <f>Tbl_Long_Hydro[[#This Row],[MCT]]</f>
        <v>#N/A</v>
      </c>
      <c r="BE194" s="962" t="e">
        <f>Tbl_Long_Hydro[[#This Row],[LCB]]</f>
        <v>#N/A</v>
      </c>
      <c r="BF194" s="962" t="e">
        <f>Tbl_Long_Hydro[[#This Row],[TCB]]</f>
        <v>#N/A</v>
      </c>
      <c r="BG194" s="962" t="e">
        <f>Tbl_Long_Hydro[[#This Row],[LCF]]</f>
        <v>#N/A</v>
      </c>
      <c r="BH194" s="963" t="e">
        <f>Tbl_Long_Hydro[[#This Row],[KMT]]</f>
        <v>#N/A</v>
      </c>
    </row>
    <row r="195" spans="11:60" x14ac:dyDescent="0.25">
      <c r="K195" s="156" t="e">
        <f t="shared" si="9"/>
        <v>#N/A</v>
      </c>
      <c r="L195" s="164" t="e">
        <f t="shared" si="10"/>
        <v>#N/A</v>
      </c>
      <c r="M195" s="262" t="e">
        <f>MATCH(Tbl_Long_Section[[#This Row],[X]],Tbl_Long_Definition[X],1)</f>
        <v>#N/A</v>
      </c>
      <c r="N195" s="262" t="e">
        <f>IF(Tbl_Long_Section[[#This Row],[Nline Prev]]&lt;COUNT(Tbl_Long_Definition[X]),Tbl_Long_Section[[#This Row],[Nline Prev]]+1,Tbl_Long_Section[[#This Row],[Nline Prev]])</f>
        <v>#N/A</v>
      </c>
      <c r="O195" s="162" t="e">
        <f>INDEX(Tbl_Long_Definition[X],Tbl_Long_Section[[#This Row],[Nline Prev]])</f>
        <v>#N/A</v>
      </c>
      <c r="P195" s="263" t="e">
        <f>INDEX(Tbl_Long_Definition[X],Tbl_Long_Section[[#This Row],[Nline Next]])</f>
        <v>#N/A</v>
      </c>
      <c r="Q195" s="160" t="e">
        <f>INDEX(Tbl_Long_Definition[H Deck-Bott.],Tbl_Long_Section[[#This Row],[Nline Prev]])</f>
        <v>#N/A</v>
      </c>
      <c r="R195" s="161" t="e">
        <f>INDEX(Tbl_Long_Definition[H Deck-Bott.],Tbl_Long_Section[[#This Row],[Nline Next]])</f>
        <v>#N/A</v>
      </c>
      <c r="S195"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95" s="8"/>
      <c r="V195" s="873" t="e">
        <f t="shared" si="12"/>
        <v>#N/A</v>
      </c>
      <c r="W195" s="885" t="e">
        <f>MATCH(Tbl_Long_Hydro[[#This Row],[Draught]],Tbl_Long_Definition[H k-bott],-1)</f>
        <v>#N/A</v>
      </c>
      <c r="X195"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95" s="886" t="e">
        <f>MATCH(Tbl_Long_Hydro[[#This Row],[Draught]],Tbl_Long_Definition[H k-bott],1)</f>
        <v>#N/A</v>
      </c>
      <c r="Z195"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95" s="888" t="e">
        <f>IF(ISNA(Tbl_Long_Hydro[[#This Row],[Draught]]),NA(),IFERROR(INDEX(Tbl_Long_Definition[X],Tbl_Long_Hydro[[#This Row],[Aft Nline prev]]),0))</f>
        <v>#N/A</v>
      </c>
      <c r="AB195" s="889" t="e">
        <f>IF(ISNA(Tbl_Long_Hydro[[#This Row],[Draught]]),NA(),IFERROR(INDEX(Tbl_Long_Definition[X],Tbl_Long_Hydro[[#This Row],[Aft Nline next]]),0))</f>
        <v>#N/A</v>
      </c>
      <c r="AC195" s="889" t="e">
        <f>IF(ISNA(Tbl_Long_Hydro[[#This Row],[Draught]]),NA(),INDEX(Tbl_Long_Definition[H k-bott],Tbl_Long_Hydro[[#This Row],[Aft Nline prev]]))</f>
        <v>#N/A</v>
      </c>
      <c r="AD195" s="889" t="e">
        <f>IF(ISNA(Tbl_Long_Hydro[[#This Row],[Draught]]),NA(),INDEX(Tbl_Long_Definition[H k-bott],Tbl_Long_Hydro[[#This Row],[Aft Nline next]]))</f>
        <v>#N/A</v>
      </c>
      <c r="AE195" s="888" t="e">
        <f>IF(ISNA(Tbl_Long_Hydro[[#This Row],[Draught]]),NA(),IFERROR(INDEX(Tbl_Long_Definition[X],Tbl_Long_Hydro[[#This Row],[Fore Nline prev]]),0))</f>
        <v>#N/A</v>
      </c>
      <c r="AF195" s="889" t="e">
        <f>IF(ISNA(Tbl_Long_Hydro[[#This Row],[Draught]]),NA(),IFERROR(INDEX(Tbl_Long_Definition[X],Tbl_Long_Hydro[[#This Row],[Fore Nline next]]),0))</f>
        <v>#N/A</v>
      </c>
      <c r="AG195" s="889" t="e">
        <f>IF(ISNA(Tbl_Long_Hydro[[#This Row],[Draught]]),NA(),INDEX(Tbl_Long_Definition[H k-bott],Tbl_Long_Hydro[[#This Row],[Fore Nline prev]]))</f>
        <v>#N/A</v>
      </c>
      <c r="AH195" s="890" t="e">
        <f>IF(ISNA(Tbl_Long_Hydro[[#This Row],[Draught]]),NA(),INDEX(Tbl_Long_Definition[H k-bott],Tbl_Long_Hydro[[#This Row],[Fore Nline next]]))</f>
        <v>#N/A</v>
      </c>
      <c r="AI195"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95"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95" s="894" t="e">
        <f>Tbl_Long_Hydro[[#This Row],[Fore X]]-Tbl_Long_Hydro[[#This Row],[Aft X]]</f>
        <v>#N/A</v>
      </c>
      <c r="AL195" s="884" t="e">
        <f>Tbl_Long_Hydro[[#This Row],[LX]]*B</f>
        <v>#N/A</v>
      </c>
      <c r="AM195" s="892" t="e">
        <f>IF(ISNUMBER(AM194),(AK194+Tbl_Long_Hydro[[#This Row],[LX]])*(Tbl_Long_Hydro[[#This Row],[Draught]]-V194)/2*B,(Tbl_Long_Hydro[[#This Row],[LX]])*Tbl_Long_Hydro[[#This Row],[Draught]]*B)</f>
        <v>#N/A</v>
      </c>
      <c r="AN195" s="899" t="e">
        <f>Tbl_Long_Hydro[[#This Row],[Aft X]]+Tbl_Long_Hydro[[#This Row],[LX]]/2</f>
        <v>#N/A</v>
      </c>
      <c r="AO195" s="876" t="e">
        <f>IF(ISNUMBER(AO194),(2*Tbl_Long_Hydro[[#This Row],[LX]]+AK194)/(Tbl_Long_Hydro[[#This Row],[LX]]+AK194)*(Tbl_Long_Hydro[[#This Row],[Draught]]-V194)/3+V194,Tbl_Long_Hydro[[#This Row],[Draught]]/2)</f>
        <v>#N/A</v>
      </c>
      <c r="AP195" s="898" t="e">
        <f>IF(ISNUMBER(AP194),Tbl_Long_Hydro[[#This Row],[Volume elt]]+AP194,Tbl_Long_Hydro[[#This Row],[Volume elt]]*AO$4)</f>
        <v>#N/A</v>
      </c>
      <c r="AQ195" s="893" t="e">
        <f>IF(ISNUMBER(AQ194),Tbl_Long_Hydro[[#This Row],[Displacement]]*AQ$4,IF(ISNA(AQ194),NA(),0))</f>
        <v>#N/A</v>
      </c>
      <c r="AR195" s="900" t="e">
        <f>IF(ISNA(Tbl_Long_Hydro[[#This Row],[Draught]]),NA(),IFERROR(Tbl_Long_Hydro[[#This Row],[LX]]*B^3/12/Tbl_Long_Hydro[[#This Row],[Displacement]],0))</f>
        <v>#N/A</v>
      </c>
      <c r="AS195" s="903" t="e">
        <f>IF(ISNA(Tbl_Long_Hydro[[#This Row],[Draught]]),NA(),IFERROR((B*Tbl_Long_Hydro[[#This Row],[LX]]^3/12+(Tbl_Long_Hydro[[#This Row],[LCF]]-Tbl_Long_Hydro[[#This Row],[LCB]])*Tbl_Long_Hydro[[#This Row],[Waterplane area]]*Tbl_Long_Hydro[[#This Row],[LCF]]^2)/Tbl_Long_Hydro[[#This Row],[Displacement]],0))</f>
        <v>#N/A</v>
      </c>
      <c r="AT195" s="900" t="e">
        <f>Tbl_Long_Hydro[[#This Row],[Aft X]]+Tbl_Long_Hydro[[#This Row],[LX]]/2</f>
        <v>#N/A</v>
      </c>
      <c r="AU195" s="901" t="e">
        <f>IF(ISNUMBER(AU194),(AU194*AP194+Tbl_Long_Hydro[[#This Row],[X CoG elt]]*Tbl_Long_Hydro[[#This Row],[Volume elt]])/Tbl_Long_Hydro[[#This Row],[Displacement]],Tbl_Long_Hydro[[#This Row],[X CoG elt]])</f>
        <v>#N/A</v>
      </c>
      <c r="AV195" s="902" t="e">
        <f>IF(ISNA(Tbl_Long_Hydro[[#This Row],[Draught]]),NA(),0)</f>
        <v>#N/A</v>
      </c>
      <c r="AW195" s="876" t="e">
        <f>IF(ISNUMBER(AW194),(AW194*AP194+Tbl_Long_Hydro[[#This Row],[Z CoG elt]]*Tbl_Long_Hydro[[#This Row],[Volume elt]])/Tbl_Long_Hydro[[#This Row],[Displacement]],Tbl_Long_Hydro[[#This Row],[Z CoG elt]])</f>
        <v>#N/A</v>
      </c>
      <c r="AX195" s="899" t="e">
        <f>Tbl_Long_Hydro[[#This Row],[RMT]]+Tbl_Long_Hydro[[#This Row],[VCB]]</f>
        <v>#N/A</v>
      </c>
      <c r="AY195" s="904" t="e">
        <f>Tbl_Long_Hydro[[#This Row],[Displacement]]*Tbl_Long_Hydro[[#This Row],[RML]]/(100*Lpp)</f>
        <v>#N/A</v>
      </c>
      <c r="AZ195" s="956" t="e">
        <f>Tbl_Long_Hydro[[#This Row],[Draught]]</f>
        <v>#N/A</v>
      </c>
      <c r="BA195" s="959" t="e">
        <f>Tbl_Long_Hydro[[#This Row],[Displacement]]</f>
        <v>#N/A</v>
      </c>
      <c r="BB195" s="960" t="e">
        <f>Tbl_Long_Hydro[[#This Row],[Displac. SW]]</f>
        <v>#N/A</v>
      </c>
      <c r="BC195" s="964" t="e">
        <f>Tbl_Long_Hydro[[#This Row],[Waterplane area]]/100*$AQ$4</f>
        <v>#N/A</v>
      </c>
      <c r="BD195" s="961" t="e">
        <f>Tbl_Long_Hydro[[#This Row],[MCT]]</f>
        <v>#N/A</v>
      </c>
      <c r="BE195" s="962" t="e">
        <f>Tbl_Long_Hydro[[#This Row],[LCB]]</f>
        <v>#N/A</v>
      </c>
      <c r="BF195" s="962" t="e">
        <f>Tbl_Long_Hydro[[#This Row],[TCB]]</f>
        <v>#N/A</v>
      </c>
      <c r="BG195" s="962" t="e">
        <f>Tbl_Long_Hydro[[#This Row],[LCF]]</f>
        <v>#N/A</v>
      </c>
      <c r="BH195" s="963" t="e">
        <f>Tbl_Long_Hydro[[#This Row],[KMT]]</f>
        <v>#N/A</v>
      </c>
    </row>
    <row r="196" spans="11:60" x14ac:dyDescent="0.25">
      <c r="K196" s="156" t="e">
        <f t="shared" si="9"/>
        <v>#N/A</v>
      </c>
      <c r="L196" s="164" t="e">
        <f t="shared" si="10"/>
        <v>#N/A</v>
      </c>
      <c r="M196" s="262" t="e">
        <f>MATCH(Tbl_Long_Section[[#This Row],[X]],Tbl_Long_Definition[X],1)</f>
        <v>#N/A</v>
      </c>
      <c r="N196" s="262" t="e">
        <f>IF(Tbl_Long_Section[[#This Row],[Nline Prev]]&lt;COUNT(Tbl_Long_Definition[X]),Tbl_Long_Section[[#This Row],[Nline Prev]]+1,Tbl_Long_Section[[#This Row],[Nline Prev]])</f>
        <v>#N/A</v>
      </c>
      <c r="O196" s="162" t="e">
        <f>INDEX(Tbl_Long_Definition[X],Tbl_Long_Section[[#This Row],[Nline Prev]])</f>
        <v>#N/A</v>
      </c>
      <c r="P196" s="263" t="e">
        <f>INDEX(Tbl_Long_Definition[X],Tbl_Long_Section[[#This Row],[Nline Next]])</f>
        <v>#N/A</v>
      </c>
      <c r="Q196" s="160" t="e">
        <f>INDEX(Tbl_Long_Definition[H Deck-Bott.],Tbl_Long_Section[[#This Row],[Nline Prev]])</f>
        <v>#N/A</v>
      </c>
      <c r="R196" s="161" t="e">
        <f>INDEX(Tbl_Long_Definition[H Deck-Bott.],Tbl_Long_Section[[#This Row],[Nline Next]])</f>
        <v>#N/A</v>
      </c>
      <c r="S196"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96" s="8"/>
      <c r="V196" s="873" t="e">
        <f t="shared" si="12"/>
        <v>#N/A</v>
      </c>
      <c r="W196" s="885" t="e">
        <f>MATCH(Tbl_Long_Hydro[[#This Row],[Draught]],Tbl_Long_Definition[H k-bott],-1)</f>
        <v>#N/A</v>
      </c>
      <c r="X196"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96" s="886" t="e">
        <f>MATCH(Tbl_Long_Hydro[[#This Row],[Draught]],Tbl_Long_Definition[H k-bott],1)</f>
        <v>#N/A</v>
      </c>
      <c r="Z196"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96" s="888" t="e">
        <f>IF(ISNA(Tbl_Long_Hydro[[#This Row],[Draught]]),NA(),IFERROR(INDEX(Tbl_Long_Definition[X],Tbl_Long_Hydro[[#This Row],[Aft Nline prev]]),0))</f>
        <v>#N/A</v>
      </c>
      <c r="AB196" s="889" t="e">
        <f>IF(ISNA(Tbl_Long_Hydro[[#This Row],[Draught]]),NA(),IFERROR(INDEX(Tbl_Long_Definition[X],Tbl_Long_Hydro[[#This Row],[Aft Nline next]]),0))</f>
        <v>#N/A</v>
      </c>
      <c r="AC196" s="889" t="e">
        <f>IF(ISNA(Tbl_Long_Hydro[[#This Row],[Draught]]),NA(),INDEX(Tbl_Long_Definition[H k-bott],Tbl_Long_Hydro[[#This Row],[Aft Nline prev]]))</f>
        <v>#N/A</v>
      </c>
      <c r="AD196" s="889" t="e">
        <f>IF(ISNA(Tbl_Long_Hydro[[#This Row],[Draught]]),NA(),INDEX(Tbl_Long_Definition[H k-bott],Tbl_Long_Hydro[[#This Row],[Aft Nline next]]))</f>
        <v>#N/A</v>
      </c>
      <c r="AE196" s="888" t="e">
        <f>IF(ISNA(Tbl_Long_Hydro[[#This Row],[Draught]]),NA(),IFERROR(INDEX(Tbl_Long_Definition[X],Tbl_Long_Hydro[[#This Row],[Fore Nline prev]]),0))</f>
        <v>#N/A</v>
      </c>
      <c r="AF196" s="889" t="e">
        <f>IF(ISNA(Tbl_Long_Hydro[[#This Row],[Draught]]),NA(),IFERROR(INDEX(Tbl_Long_Definition[X],Tbl_Long_Hydro[[#This Row],[Fore Nline next]]),0))</f>
        <v>#N/A</v>
      </c>
      <c r="AG196" s="889" t="e">
        <f>IF(ISNA(Tbl_Long_Hydro[[#This Row],[Draught]]),NA(),INDEX(Tbl_Long_Definition[H k-bott],Tbl_Long_Hydro[[#This Row],[Fore Nline prev]]))</f>
        <v>#N/A</v>
      </c>
      <c r="AH196" s="890" t="e">
        <f>IF(ISNA(Tbl_Long_Hydro[[#This Row],[Draught]]),NA(),INDEX(Tbl_Long_Definition[H k-bott],Tbl_Long_Hydro[[#This Row],[Fore Nline next]]))</f>
        <v>#N/A</v>
      </c>
      <c r="AI196"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96"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96" s="894" t="e">
        <f>Tbl_Long_Hydro[[#This Row],[Fore X]]-Tbl_Long_Hydro[[#This Row],[Aft X]]</f>
        <v>#N/A</v>
      </c>
      <c r="AL196" s="884" t="e">
        <f>Tbl_Long_Hydro[[#This Row],[LX]]*B</f>
        <v>#N/A</v>
      </c>
      <c r="AM196" s="892" t="e">
        <f>IF(ISNUMBER(AM195),(AK195+Tbl_Long_Hydro[[#This Row],[LX]])*(Tbl_Long_Hydro[[#This Row],[Draught]]-V195)/2*B,(Tbl_Long_Hydro[[#This Row],[LX]])*Tbl_Long_Hydro[[#This Row],[Draught]]*B)</f>
        <v>#N/A</v>
      </c>
      <c r="AN196" s="899" t="e">
        <f>Tbl_Long_Hydro[[#This Row],[Aft X]]+Tbl_Long_Hydro[[#This Row],[LX]]/2</f>
        <v>#N/A</v>
      </c>
      <c r="AO196" s="876" t="e">
        <f>IF(ISNUMBER(AO195),(2*Tbl_Long_Hydro[[#This Row],[LX]]+AK195)/(Tbl_Long_Hydro[[#This Row],[LX]]+AK195)*(Tbl_Long_Hydro[[#This Row],[Draught]]-V195)/3+V195,Tbl_Long_Hydro[[#This Row],[Draught]]/2)</f>
        <v>#N/A</v>
      </c>
      <c r="AP196" s="898" t="e">
        <f>IF(ISNUMBER(AP195),Tbl_Long_Hydro[[#This Row],[Volume elt]]+AP195,Tbl_Long_Hydro[[#This Row],[Volume elt]]*AO$4)</f>
        <v>#N/A</v>
      </c>
      <c r="AQ196" s="893" t="e">
        <f>IF(ISNUMBER(AQ195),Tbl_Long_Hydro[[#This Row],[Displacement]]*AQ$4,IF(ISNA(AQ195),NA(),0))</f>
        <v>#N/A</v>
      </c>
      <c r="AR196" s="900" t="e">
        <f>IF(ISNA(Tbl_Long_Hydro[[#This Row],[Draught]]),NA(),IFERROR(Tbl_Long_Hydro[[#This Row],[LX]]*B^3/12/Tbl_Long_Hydro[[#This Row],[Displacement]],0))</f>
        <v>#N/A</v>
      </c>
      <c r="AS196" s="903" t="e">
        <f>IF(ISNA(Tbl_Long_Hydro[[#This Row],[Draught]]),NA(),IFERROR((B*Tbl_Long_Hydro[[#This Row],[LX]]^3/12+(Tbl_Long_Hydro[[#This Row],[LCF]]-Tbl_Long_Hydro[[#This Row],[LCB]])*Tbl_Long_Hydro[[#This Row],[Waterplane area]]*Tbl_Long_Hydro[[#This Row],[LCF]]^2)/Tbl_Long_Hydro[[#This Row],[Displacement]],0))</f>
        <v>#N/A</v>
      </c>
      <c r="AT196" s="900" t="e">
        <f>Tbl_Long_Hydro[[#This Row],[Aft X]]+Tbl_Long_Hydro[[#This Row],[LX]]/2</f>
        <v>#N/A</v>
      </c>
      <c r="AU196" s="901" t="e">
        <f>IF(ISNUMBER(AU195),(AU195*AP195+Tbl_Long_Hydro[[#This Row],[X CoG elt]]*Tbl_Long_Hydro[[#This Row],[Volume elt]])/Tbl_Long_Hydro[[#This Row],[Displacement]],Tbl_Long_Hydro[[#This Row],[X CoG elt]])</f>
        <v>#N/A</v>
      </c>
      <c r="AV196" s="902" t="e">
        <f>IF(ISNA(Tbl_Long_Hydro[[#This Row],[Draught]]),NA(),0)</f>
        <v>#N/A</v>
      </c>
      <c r="AW196" s="876" t="e">
        <f>IF(ISNUMBER(AW195),(AW195*AP195+Tbl_Long_Hydro[[#This Row],[Z CoG elt]]*Tbl_Long_Hydro[[#This Row],[Volume elt]])/Tbl_Long_Hydro[[#This Row],[Displacement]],Tbl_Long_Hydro[[#This Row],[Z CoG elt]])</f>
        <v>#N/A</v>
      </c>
      <c r="AX196" s="899" t="e">
        <f>Tbl_Long_Hydro[[#This Row],[RMT]]+Tbl_Long_Hydro[[#This Row],[VCB]]</f>
        <v>#N/A</v>
      </c>
      <c r="AY196" s="904" t="e">
        <f>Tbl_Long_Hydro[[#This Row],[Displacement]]*Tbl_Long_Hydro[[#This Row],[RML]]/(100*Lpp)</f>
        <v>#N/A</v>
      </c>
      <c r="AZ196" s="956" t="e">
        <f>Tbl_Long_Hydro[[#This Row],[Draught]]</f>
        <v>#N/A</v>
      </c>
      <c r="BA196" s="959" t="e">
        <f>Tbl_Long_Hydro[[#This Row],[Displacement]]</f>
        <v>#N/A</v>
      </c>
      <c r="BB196" s="960" t="e">
        <f>Tbl_Long_Hydro[[#This Row],[Displac. SW]]</f>
        <v>#N/A</v>
      </c>
      <c r="BC196" s="964" t="e">
        <f>Tbl_Long_Hydro[[#This Row],[Waterplane area]]/100*$AQ$4</f>
        <v>#N/A</v>
      </c>
      <c r="BD196" s="961" t="e">
        <f>Tbl_Long_Hydro[[#This Row],[MCT]]</f>
        <v>#N/A</v>
      </c>
      <c r="BE196" s="962" t="e">
        <f>Tbl_Long_Hydro[[#This Row],[LCB]]</f>
        <v>#N/A</v>
      </c>
      <c r="BF196" s="962" t="e">
        <f>Tbl_Long_Hydro[[#This Row],[TCB]]</f>
        <v>#N/A</v>
      </c>
      <c r="BG196" s="962" t="e">
        <f>Tbl_Long_Hydro[[#This Row],[LCF]]</f>
        <v>#N/A</v>
      </c>
      <c r="BH196" s="963" t="e">
        <f>Tbl_Long_Hydro[[#This Row],[KMT]]</f>
        <v>#N/A</v>
      </c>
    </row>
    <row r="197" spans="11:60" x14ac:dyDescent="0.25">
      <c r="K197" s="156" t="e">
        <f t="shared" si="9"/>
        <v>#N/A</v>
      </c>
      <c r="L197" s="164" t="e">
        <f t="shared" si="10"/>
        <v>#N/A</v>
      </c>
      <c r="M197" s="262" t="e">
        <f>MATCH(Tbl_Long_Section[[#This Row],[X]],Tbl_Long_Definition[X],1)</f>
        <v>#N/A</v>
      </c>
      <c r="N197" s="262" t="e">
        <f>IF(Tbl_Long_Section[[#This Row],[Nline Prev]]&lt;COUNT(Tbl_Long_Definition[X]),Tbl_Long_Section[[#This Row],[Nline Prev]]+1,Tbl_Long_Section[[#This Row],[Nline Prev]])</f>
        <v>#N/A</v>
      </c>
      <c r="O197" s="162" t="e">
        <f>INDEX(Tbl_Long_Definition[X],Tbl_Long_Section[[#This Row],[Nline Prev]])</f>
        <v>#N/A</v>
      </c>
      <c r="P197" s="263" t="e">
        <f>INDEX(Tbl_Long_Definition[X],Tbl_Long_Section[[#This Row],[Nline Next]])</f>
        <v>#N/A</v>
      </c>
      <c r="Q197" s="160" t="e">
        <f>INDEX(Tbl_Long_Definition[H Deck-Bott.],Tbl_Long_Section[[#This Row],[Nline Prev]])</f>
        <v>#N/A</v>
      </c>
      <c r="R197" s="161" t="e">
        <f>INDEX(Tbl_Long_Definition[H Deck-Bott.],Tbl_Long_Section[[#This Row],[Nline Next]])</f>
        <v>#N/A</v>
      </c>
      <c r="S197"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97" s="8"/>
      <c r="V197" s="873" t="e">
        <f t="shared" si="12"/>
        <v>#N/A</v>
      </c>
      <c r="W197" s="885" t="e">
        <f>MATCH(Tbl_Long_Hydro[[#This Row],[Draught]],Tbl_Long_Definition[H k-bott],-1)</f>
        <v>#N/A</v>
      </c>
      <c r="X197"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97" s="886" t="e">
        <f>MATCH(Tbl_Long_Hydro[[#This Row],[Draught]],Tbl_Long_Definition[H k-bott],1)</f>
        <v>#N/A</v>
      </c>
      <c r="Z197"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97" s="888" t="e">
        <f>IF(ISNA(Tbl_Long_Hydro[[#This Row],[Draught]]),NA(),IFERROR(INDEX(Tbl_Long_Definition[X],Tbl_Long_Hydro[[#This Row],[Aft Nline prev]]),0))</f>
        <v>#N/A</v>
      </c>
      <c r="AB197" s="889" t="e">
        <f>IF(ISNA(Tbl_Long_Hydro[[#This Row],[Draught]]),NA(),IFERROR(INDEX(Tbl_Long_Definition[X],Tbl_Long_Hydro[[#This Row],[Aft Nline next]]),0))</f>
        <v>#N/A</v>
      </c>
      <c r="AC197" s="889" t="e">
        <f>IF(ISNA(Tbl_Long_Hydro[[#This Row],[Draught]]),NA(),INDEX(Tbl_Long_Definition[H k-bott],Tbl_Long_Hydro[[#This Row],[Aft Nline prev]]))</f>
        <v>#N/A</v>
      </c>
      <c r="AD197" s="889" t="e">
        <f>IF(ISNA(Tbl_Long_Hydro[[#This Row],[Draught]]),NA(),INDEX(Tbl_Long_Definition[H k-bott],Tbl_Long_Hydro[[#This Row],[Aft Nline next]]))</f>
        <v>#N/A</v>
      </c>
      <c r="AE197" s="888" t="e">
        <f>IF(ISNA(Tbl_Long_Hydro[[#This Row],[Draught]]),NA(),IFERROR(INDEX(Tbl_Long_Definition[X],Tbl_Long_Hydro[[#This Row],[Fore Nline prev]]),0))</f>
        <v>#N/A</v>
      </c>
      <c r="AF197" s="889" t="e">
        <f>IF(ISNA(Tbl_Long_Hydro[[#This Row],[Draught]]),NA(),IFERROR(INDEX(Tbl_Long_Definition[X],Tbl_Long_Hydro[[#This Row],[Fore Nline next]]),0))</f>
        <v>#N/A</v>
      </c>
      <c r="AG197" s="889" t="e">
        <f>IF(ISNA(Tbl_Long_Hydro[[#This Row],[Draught]]),NA(),INDEX(Tbl_Long_Definition[H k-bott],Tbl_Long_Hydro[[#This Row],[Fore Nline prev]]))</f>
        <v>#N/A</v>
      </c>
      <c r="AH197" s="890" t="e">
        <f>IF(ISNA(Tbl_Long_Hydro[[#This Row],[Draught]]),NA(),INDEX(Tbl_Long_Definition[H k-bott],Tbl_Long_Hydro[[#This Row],[Fore Nline next]]))</f>
        <v>#N/A</v>
      </c>
      <c r="AI197"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97"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97" s="894" t="e">
        <f>Tbl_Long_Hydro[[#This Row],[Fore X]]-Tbl_Long_Hydro[[#This Row],[Aft X]]</f>
        <v>#N/A</v>
      </c>
      <c r="AL197" s="884" t="e">
        <f>Tbl_Long_Hydro[[#This Row],[LX]]*B</f>
        <v>#N/A</v>
      </c>
      <c r="AM197" s="892" t="e">
        <f>IF(ISNUMBER(AM196),(AK196+Tbl_Long_Hydro[[#This Row],[LX]])*(Tbl_Long_Hydro[[#This Row],[Draught]]-V196)/2*B,(Tbl_Long_Hydro[[#This Row],[LX]])*Tbl_Long_Hydro[[#This Row],[Draught]]*B)</f>
        <v>#N/A</v>
      </c>
      <c r="AN197" s="899" t="e">
        <f>Tbl_Long_Hydro[[#This Row],[Aft X]]+Tbl_Long_Hydro[[#This Row],[LX]]/2</f>
        <v>#N/A</v>
      </c>
      <c r="AO197" s="876" t="e">
        <f>IF(ISNUMBER(AO196),(2*Tbl_Long_Hydro[[#This Row],[LX]]+AK196)/(Tbl_Long_Hydro[[#This Row],[LX]]+AK196)*(Tbl_Long_Hydro[[#This Row],[Draught]]-V196)/3+V196,Tbl_Long_Hydro[[#This Row],[Draught]]/2)</f>
        <v>#N/A</v>
      </c>
      <c r="AP197" s="898" t="e">
        <f>IF(ISNUMBER(AP196),Tbl_Long_Hydro[[#This Row],[Volume elt]]+AP196,Tbl_Long_Hydro[[#This Row],[Volume elt]]*AO$4)</f>
        <v>#N/A</v>
      </c>
      <c r="AQ197" s="893" t="e">
        <f>IF(ISNUMBER(AQ196),Tbl_Long_Hydro[[#This Row],[Displacement]]*AQ$4,IF(ISNA(AQ196),NA(),0))</f>
        <v>#N/A</v>
      </c>
      <c r="AR197" s="900" t="e">
        <f>IF(ISNA(Tbl_Long_Hydro[[#This Row],[Draught]]),NA(),IFERROR(Tbl_Long_Hydro[[#This Row],[LX]]*B^3/12/Tbl_Long_Hydro[[#This Row],[Displacement]],0))</f>
        <v>#N/A</v>
      </c>
      <c r="AS197" s="903" t="e">
        <f>IF(ISNA(Tbl_Long_Hydro[[#This Row],[Draught]]),NA(),IFERROR((B*Tbl_Long_Hydro[[#This Row],[LX]]^3/12+(Tbl_Long_Hydro[[#This Row],[LCF]]-Tbl_Long_Hydro[[#This Row],[LCB]])*Tbl_Long_Hydro[[#This Row],[Waterplane area]]*Tbl_Long_Hydro[[#This Row],[LCF]]^2)/Tbl_Long_Hydro[[#This Row],[Displacement]],0))</f>
        <v>#N/A</v>
      </c>
      <c r="AT197" s="900" t="e">
        <f>Tbl_Long_Hydro[[#This Row],[Aft X]]+Tbl_Long_Hydro[[#This Row],[LX]]/2</f>
        <v>#N/A</v>
      </c>
      <c r="AU197" s="901" t="e">
        <f>IF(ISNUMBER(AU196),(AU196*AP196+Tbl_Long_Hydro[[#This Row],[X CoG elt]]*Tbl_Long_Hydro[[#This Row],[Volume elt]])/Tbl_Long_Hydro[[#This Row],[Displacement]],Tbl_Long_Hydro[[#This Row],[X CoG elt]])</f>
        <v>#N/A</v>
      </c>
      <c r="AV197" s="902" t="e">
        <f>IF(ISNA(Tbl_Long_Hydro[[#This Row],[Draught]]),NA(),0)</f>
        <v>#N/A</v>
      </c>
      <c r="AW197" s="876" t="e">
        <f>IF(ISNUMBER(AW196),(AW196*AP196+Tbl_Long_Hydro[[#This Row],[Z CoG elt]]*Tbl_Long_Hydro[[#This Row],[Volume elt]])/Tbl_Long_Hydro[[#This Row],[Displacement]],Tbl_Long_Hydro[[#This Row],[Z CoG elt]])</f>
        <v>#N/A</v>
      </c>
      <c r="AX197" s="899" t="e">
        <f>Tbl_Long_Hydro[[#This Row],[RMT]]+Tbl_Long_Hydro[[#This Row],[VCB]]</f>
        <v>#N/A</v>
      </c>
      <c r="AY197" s="904" t="e">
        <f>Tbl_Long_Hydro[[#This Row],[Displacement]]*Tbl_Long_Hydro[[#This Row],[RML]]/(100*Lpp)</f>
        <v>#N/A</v>
      </c>
      <c r="AZ197" s="956" t="e">
        <f>Tbl_Long_Hydro[[#This Row],[Draught]]</f>
        <v>#N/A</v>
      </c>
      <c r="BA197" s="959" t="e">
        <f>Tbl_Long_Hydro[[#This Row],[Displacement]]</f>
        <v>#N/A</v>
      </c>
      <c r="BB197" s="960" t="e">
        <f>Tbl_Long_Hydro[[#This Row],[Displac. SW]]</f>
        <v>#N/A</v>
      </c>
      <c r="BC197" s="964" t="e">
        <f>Tbl_Long_Hydro[[#This Row],[Waterplane area]]/100*$AQ$4</f>
        <v>#N/A</v>
      </c>
      <c r="BD197" s="961" t="e">
        <f>Tbl_Long_Hydro[[#This Row],[MCT]]</f>
        <v>#N/A</v>
      </c>
      <c r="BE197" s="962" t="e">
        <f>Tbl_Long_Hydro[[#This Row],[LCB]]</f>
        <v>#N/A</v>
      </c>
      <c r="BF197" s="962" t="e">
        <f>Tbl_Long_Hydro[[#This Row],[TCB]]</f>
        <v>#N/A</v>
      </c>
      <c r="BG197" s="962" t="e">
        <f>Tbl_Long_Hydro[[#This Row],[LCF]]</f>
        <v>#N/A</v>
      </c>
      <c r="BH197" s="963" t="e">
        <f>Tbl_Long_Hydro[[#This Row],[KMT]]</f>
        <v>#N/A</v>
      </c>
    </row>
    <row r="198" spans="11:60" x14ac:dyDescent="0.25">
      <c r="K198" s="156" t="e">
        <f t="shared" ref="K198:K261" si="13">IF(ISTEXT($K197),0,IF($K197+1&gt;Last_Frame,NA(),$K197+1))</f>
        <v>#N/A</v>
      </c>
      <c r="L198" s="164" t="e">
        <f t="shared" ref="L198:L261" si="14">IF(ISTEXT($L197),0,IF($L197+FE_size&gt;Lpp,IF($L197&lt;&gt;Lpp,Lpp,NA()),$L197+FE_size))</f>
        <v>#N/A</v>
      </c>
      <c r="M198" s="262" t="e">
        <f>MATCH(Tbl_Long_Section[[#This Row],[X]],Tbl_Long_Definition[X],1)</f>
        <v>#N/A</v>
      </c>
      <c r="N198" s="262" t="e">
        <f>IF(Tbl_Long_Section[[#This Row],[Nline Prev]]&lt;COUNT(Tbl_Long_Definition[X]),Tbl_Long_Section[[#This Row],[Nline Prev]]+1,Tbl_Long_Section[[#This Row],[Nline Prev]])</f>
        <v>#N/A</v>
      </c>
      <c r="O198" s="162" t="e">
        <f>INDEX(Tbl_Long_Definition[X],Tbl_Long_Section[[#This Row],[Nline Prev]])</f>
        <v>#N/A</v>
      </c>
      <c r="P198" s="263" t="e">
        <f>INDEX(Tbl_Long_Definition[X],Tbl_Long_Section[[#This Row],[Nline Next]])</f>
        <v>#N/A</v>
      </c>
      <c r="Q198" s="160" t="e">
        <f>INDEX(Tbl_Long_Definition[H Deck-Bott.],Tbl_Long_Section[[#This Row],[Nline Prev]])</f>
        <v>#N/A</v>
      </c>
      <c r="R198" s="161" t="e">
        <f>INDEX(Tbl_Long_Definition[H Deck-Bott.],Tbl_Long_Section[[#This Row],[Nline Next]])</f>
        <v>#N/A</v>
      </c>
      <c r="S198"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98" s="8"/>
      <c r="V198" s="873" t="e">
        <f t="shared" si="12"/>
        <v>#N/A</v>
      </c>
      <c r="W198" s="885" t="e">
        <f>MATCH(Tbl_Long_Hydro[[#This Row],[Draught]],Tbl_Long_Definition[H k-bott],-1)</f>
        <v>#N/A</v>
      </c>
      <c r="X198"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98" s="886" t="e">
        <f>MATCH(Tbl_Long_Hydro[[#This Row],[Draught]],Tbl_Long_Definition[H k-bott],1)</f>
        <v>#N/A</v>
      </c>
      <c r="Z198"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98" s="888" t="e">
        <f>IF(ISNA(Tbl_Long_Hydro[[#This Row],[Draught]]),NA(),IFERROR(INDEX(Tbl_Long_Definition[X],Tbl_Long_Hydro[[#This Row],[Aft Nline prev]]),0))</f>
        <v>#N/A</v>
      </c>
      <c r="AB198" s="889" t="e">
        <f>IF(ISNA(Tbl_Long_Hydro[[#This Row],[Draught]]),NA(),IFERROR(INDEX(Tbl_Long_Definition[X],Tbl_Long_Hydro[[#This Row],[Aft Nline next]]),0))</f>
        <v>#N/A</v>
      </c>
      <c r="AC198" s="889" t="e">
        <f>IF(ISNA(Tbl_Long_Hydro[[#This Row],[Draught]]),NA(),INDEX(Tbl_Long_Definition[H k-bott],Tbl_Long_Hydro[[#This Row],[Aft Nline prev]]))</f>
        <v>#N/A</v>
      </c>
      <c r="AD198" s="889" t="e">
        <f>IF(ISNA(Tbl_Long_Hydro[[#This Row],[Draught]]),NA(),INDEX(Tbl_Long_Definition[H k-bott],Tbl_Long_Hydro[[#This Row],[Aft Nline next]]))</f>
        <v>#N/A</v>
      </c>
      <c r="AE198" s="888" t="e">
        <f>IF(ISNA(Tbl_Long_Hydro[[#This Row],[Draught]]),NA(),IFERROR(INDEX(Tbl_Long_Definition[X],Tbl_Long_Hydro[[#This Row],[Fore Nline prev]]),0))</f>
        <v>#N/A</v>
      </c>
      <c r="AF198" s="889" t="e">
        <f>IF(ISNA(Tbl_Long_Hydro[[#This Row],[Draught]]),NA(),IFERROR(INDEX(Tbl_Long_Definition[X],Tbl_Long_Hydro[[#This Row],[Fore Nline next]]),0))</f>
        <v>#N/A</v>
      </c>
      <c r="AG198" s="889" t="e">
        <f>IF(ISNA(Tbl_Long_Hydro[[#This Row],[Draught]]),NA(),INDEX(Tbl_Long_Definition[H k-bott],Tbl_Long_Hydro[[#This Row],[Fore Nline prev]]))</f>
        <v>#N/A</v>
      </c>
      <c r="AH198" s="890" t="e">
        <f>IF(ISNA(Tbl_Long_Hydro[[#This Row],[Draught]]),NA(),INDEX(Tbl_Long_Definition[H k-bott],Tbl_Long_Hydro[[#This Row],[Fore Nline next]]))</f>
        <v>#N/A</v>
      </c>
      <c r="AI198"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98"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98" s="894" t="e">
        <f>Tbl_Long_Hydro[[#This Row],[Fore X]]-Tbl_Long_Hydro[[#This Row],[Aft X]]</f>
        <v>#N/A</v>
      </c>
      <c r="AL198" s="884" t="e">
        <f>Tbl_Long_Hydro[[#This Row],[LX]]*B</f>
        <v>#N/A</v>
      </c>
      <c r="AM198" s="892" t="e">
        <f>IF(ISNUMBER(AM197),(AK197+Tbl_Long_Hydro[[#This Row],[LX]])*(Tbl_Long_Hydro[[#This Row],[Draught]]-V197)/2*B,(Tbl_Long_Hydro[[#This Row],[LX]])*Tbl_Long_Hydro[[#This Row],[Draught]]*B)</f>
        <v>#N/A</v>
      </c>
      <c r="AN198" s="899" t="e">
        <f>Tbl_Long_Hydro[[#This Row],[Aft X]]+Tbl_Long_Hydro[[#This Row],[LX]]/2</f>
        <v>#N/A</v>
      </c>
      <c r="AO198" s="876" t="e">
        <f>IF(ISNUMBER(AO197),(2*Tbl_Long_Hydro[[#This Row],[LX]]+AK197)/(Tbl_Long_Hydro[[#This Row],[LX]]+AK197)*(Tbl_Long_Hydro[[#This Row],[Draught]]-V197)/3+V197,Tbl_Long_Hydro[[#This Row],[Draught]]/2)</f>
        <v>#N/A</v>
      </c>
      <c r="AP198" s="898" t="e">
        <f>IF(ISNUMBER(AP197),Tbl_Long_Hydro[[#This Row],[Volume elt]]+AP197,Tbl_Long_Hydro[[#This Row],[Volume elt]]*AO$4)</f>
        <v>#N/A</v>
      </c>
      <c r="AQ198" s="893" t="e">
        <f>IF(ISNUMBER(AQ197),Tbl_Long_Hydro[[#This Row],[Displacement]]*AQ$4,IF(ISNA(AQ197),NA(),0))</f>
        <v>#N/A</v>
      </c>
      <c r="AR198" s="900" t="e">
        <f>IF(ISNA(Tbl_Long_Hydro[[#This Row],[Draught]]),NA(),IFERROR(Tbl_Long_Hydro[[#This Row],[LX]]*B^3/12/Tbl_Long_Hydro[[#This Row],[Displacement]],0))</f>
        <v>#N/A</v>
      </c>
      <c r="AS198" s="903" t="e">
        <f>IF(ISNA(Tbl_Long_Hydro[[#This Row],[Draught]]),NA(),IFERROR((B*Tbl_Long_Hydro[[#This Row],[LX]]^3/12+(Tbl_Long_Hydro[[#This Row],[LCF]]-Tbl_Long_Hydro[[#This Row],[LCB]])*Tbl_Long_Hydro[[#This Row],[Waterplane area]]*Tbl_Long_Hydro[[#This Row],[LCF]]^2)/Tbl_Long_Hydro[[#This Row],[Displacement]],0))</f>
        <v>#N/A</v>
      </c>
      <c r="AT198" s="900" t="e">
        <f>Tbl_Long_Hydro[[#This Row],[Aft X]]+Tbl_Long_Hydro[[#This Row],[LX]]/2</f>
        <v>#N/A</v>
      </c>
      <c r="AU198" s="901" t="e">
        <f>IF(ISNUMBER(AU197),(AU197*AP197+Tbl_Long_Hydro[[#This Row],[X CoG elt]]*Tbl_Long_Hydro[[#This Row],[Volume elt]])/Tbl_Long_Hydro[[#This Row],[Displacement]],Tbl_Long_Hydro[[#This Row],[X CoG elt]])</f>
        <v>#N/A</v>
      </c>
      <c r="AV198" s="902" t="e">
        <f>IF(ISNA(Tbl_Long_Hydro[[#This Row],[Draught]]),NA(),0)</f>
        <v>#N/A</v>
      </c>
      <c r="AW198" s="876" t="e">
        <f>IF(ISNUMBER(AW197),(AW197*AP197+Tbl_Long_Hydro[[#This Row],[Z CoG elt]]*Tbl_Long_Hydro[[#This Row],[Volume elt]])/Tbl_Long_Hydro[[#This Row],[Displacement]],Tbl_Long_Hydro[[#This Row],[Z CoG elt]])</f>
        <v>#N/A</v>
      </c>
      <c r="AX198" s="899" t="e">
        <f>Tbl_Long_Hydro[[#This Row],[RMT]]+Tbl_Long_Hydro[[#This Row],[VCB]]</f>
        <v>#N/A</v>
      </c>
      <c r="AY198" s="904" t="e">
        <f>Tbl_Long_Hydro[[#This Row],[Displacement]]*Tbl_Long_Hydro[[#This Row],[RML]]/(100*Lpp)</f>
        <v>#N/A</v>
      </c>
      <c r="AZ198" s="956" t="e">
        <f>Tbl_Long_Hydro[[#This Row],[Draught]]</f>
        <v>#N/A</v>
      </c>
      <c r="BA198" s="959" t="e">
        <f>Tbl_Long_Hydro[[#This Row],[Displacement]]</f>
        <v>#N/A</v>
      </c>
      <c r="BB198" s="960" t="e">
        <f>Tbl_Long_Hydro[[#This Row],[Displac. SW]]</f>
        <v>#N/A</v>
      </c>
      <c r="BC198" s="964" t="e">
        <f>Tbl_Long_Hydro[[#This Row],[Waterplane area]]/100*$AQ$4</f>
        <v>#N/A</v>
      </c>
      <c r="BD198" s="961" t="e">
        <f>Tbl_Long_Hydro[[#This Row],[MCT]]</f>
        <v>#N/A</v>
      </c>
      <c r="BE198" s="962" t="e">
        <f>Tbl_Long_Hydro[[#This Row],[LCB]]</f>
        <v>#N/A</v>
      </c>
      <c r="BF198" s="962" t="e">
        <f>Tbl_Long_Hydro[[#This Row],[TCB]]</f>
        <v>#N/A</v>
      </c>
      <c r="BG198" s="962" t="e">
        <f>Tbl_Long_Hydro[[#This Row],[LCF]]</f>
        <v>#N/A</v>
      </c>
      <c r="BH198" s="963" t="e">
        <f>Tbl_Long_Hydro[[#This Row],[KMT]]</f>
        <v>#N/A</v>
      </c>
    </row>
    <row r="199" spans="11:60" x14ac:dyDescent="0.25">
      <c r="K199" s="156" t="e">
        <f t="shared" si="13"/>
        <v>#N/A</v>
      </c>
      <c r="L199" s="164" t="e">
        <f t="shared" si="14"/>
        <v>#N/A</v>
      </c>
      <c r="M199" s="262" t="e">
        <f>MATCH(Tbl_Long_Section[[#This Row],[X]],Tbl_Long_Definition[X],1)</f>
        <v>#N/A</v>
      </c>
      <c r="N199" s="262" t="e">
        <f>IF(Tbl_Long_Section[[#This Row],[Nline Prev]]&lt;COUNT(Tbl_Long_Definition[X]),Tbl_Long_Section[[#This Row],[Nline Prev]]+1,Tbl_Long_Section[[#This Row],[Nline Prev]])</f>
        <v>#N/A</v>
      </c>
      <c r="O199" s="162" t="e">
        <f>INDEX(Tbl_Long_Definition[X],Tbl_Long_Section[[#This Row],[Nline Prev]])</f>
        <v>#N/A</v>
      </c>
      <c r="P199" s="263" t="e">
        <f>INDEX(Tbl_Long_Definition[X],Tbl_Long_Section[[#This Row],[Nline Next]])</f>
        <v>#N/A</v>
      </c>
      <c r="Q199" s="160" t="e">
        <f>INDEX(Tbl_Long_Definition[H Deck-Bott.],Tbl_Long_Section[[#This Row],[Nline Prev]])</f>
        <v>#N/A</v>
      </c>
      <c r="R199" s="161" t="e">
        <f>INDEX(Tbl_Long_Definition[H Deck-Bott.],Tbl_Long_Section[[#This Row],[Nline Next]])</f>
        <v>#N/A</v>
      </c>
      <c r="S199"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199" s="8"/>
      <c r="V199" s="873" t="e">
        <f t="shared" si="12"/>
        <v>#N/A</v>
      </c>
      <c r="W199" s="885" t="e">
        <f>MATCH(Tbl_Long_Hydro[[#This Row],[Draught]],Tbl_Long_Definition[H k-bott],-1)</f>
        <v>#N/A</v>
      </c>
      <c r="X199"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199" s="886" t="e">
        <f>MATCH(Tbl_Long_Hydro[[#This Row],[Draught]],Tbl_Long_Definition[H k-bott],1)</f>
        <v>#N/A</v>
      </c>
      <c r="Z199"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199" s="888" t="e">
        <f>IF(ISNA(Tbl_Long_Hydro[[#This Row],[Draught]]),NA(),IFERROR(INDEX(Tbl_Long_Definition[X],Tbl_Long_Hydro[[#This Row],[Aft Nline prev]]),0))</f>
        <v>#N/A</v>
      </c>
      <c r="AB199" s="889" t="e">
        <f>IF(ISNA(Tbl_Long_Hydro[[#This Row],[Draught]]),NA(),IFERROR(INDEX(Tbl_Long_Definition[X],Tbl_Long_Hydro[[#This Row],[Aft Nline next]]),0))</f>
        <v>#N/A</v>
      </c>
      <c r="AC199" s="889" t="e">
        <f>IF(ISNA(Tbl_Long_Hydro[[#This Row],[Draught]]),NA(),INDEX(Tbl_Long_Definition[H k-bott],Tbl_Long_Hydro[[#This Row],[Aft Nline prev]]))</f>
        <v>#N/A</v>
      </c>
      <c r="AD199" s="889" t="e">
        <f>IF(ISNA(Tbl_Long_Hydro[[#This Row],[Draught]]),NA(),INDEX(Tbl_Long_Definition[H k-bott],Tbl_Long_Hydro[[#This Row],[Aft Nline next]]))</f>
        <v>#N/A</v>
      </c>
      <c r="AE199" s="888" t="e">
        <f>IF(ISNA(Tbl_Long_Hydro[[#This Row],[Draught]]),NA(),IFERROR(INDEX(Tbl_Long_Definition[X],Tbl_Long_Hydro[[#This Row],[Fore Nline prev]]),0))</f>
        <v>#N/A</v>
      </c>
      <c r="AF199" s="889" t="e">
        <f>IF(ISNA(Tbl_Long_Hydro[[#This Row],[Draught]]),NA(),IFERROR(INDEX(Tbl_Long_Definition[X],Tbl_Long_Hydro[[#This Row],[Fore Nline next]]),0))</f>
        <v>#N/A</v>
      </c>
      <c r="AG199" s="889" t="e">
        <f>IF(ISNA(Tbl_Long_Hydro[[#This Row],[Draught]]),NA(),INDEX(Tbl_Long_Definition[H k-bott],Tbl_Long_Hydro[[#This Row],[Fore Nline prev]]))</f>
        <v>#N/A</v>
      </c>
      <c r="AH199" s="890" t="e">
        <f>IF(ISNA(Tbl_Long_Hydro[[#This Row],[Draught]]),NA(),INDEX(Tbl_Long_Definition[H k-bott],Tbl_Long_Hydro[[#This Row],[Fore Nline next]]))</f>
        <v>#N/A</v>
      </c>
      <c r="AI199"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199"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199" s="894" t="e">
        <f>Tbl_Long_Hydro[[#This Row],[Fore X]]-Tbl_Long_Hydro[[#This Row],[Aft X]]</f>
        <v>#N/A</v>
      </c>
      <c r="AL199" s="884" t="e">
        <f>Tbl_Long_Hydro[[#This Row],[LX]]*B</f>
        <v>#N/A</v>
      </c>
      <c r="AM199" s="892" t="e">
        <f>IF(ISNUMBER(AM198),(AK198+Tbl_Long_Hydro[[#This Row],[LX]])*(Tbl_Long_Hydro[[#This Row],[Draught]]-V198)/2*B,(Tbl_Long_Hydro[[#This Row],[LX]])*Tbl_Long_Hydro[[#This Row],[Draught]]*B)</f>
        <v>#N/A</v>
      </c>
      <c r="AN199" s="899" t="e">
        <f>Tbl_Long_Hydro[[#This Row],[Aft X]]+Tbl_Long_Hydro[[#This Row],[LX]]/2</f>
        <v>#N/A</v>
      </c>
      <c r="AO199" s="876" t="e">
        <f>IF(ISNUMBER(AO198),(2*Tbl_Long_Hydro[[#This Row],[LX]]+AK198)/(Tbl_Long_Hydro[[#This Row],[LX]]+AK198)*(Tbl_Long_Hydro[[#This Row],[Draught]]-V198)/3+V198,Tbl_Long_Hydro[[#This Row],[Draught]]/2)</f>
        <v>#N/A</v>
      </c>
      <c r="AP199" s="898" t="e">
        <f>IF(ISNUMBER(AP198),Tbl_Long_Hydro[[#This Row],[Volume elt]]+AP198,Tbl_Long_Hydro[[#This Row],[Volume elt]]*AO$4)</f>
        <v>#N/A</v>
      </c>
      <c r="AQ199" s="893" t="e">
        <f>IF(ISNUMBER(AQ198),Tbl_Long_Hydro[[#This Row],[Displacement]]*AQ$4,IF(ISNA(AQ198),NA(),0))</f>
        <v>#N/A</v>
      </c>
      <c r="AR199" s="900" t="e">
        <f>IF(ISNA(Tbl_Long_Hydro[[#This Row],[Draught]]),NA(),IFERROR(Tbl_Long_Hydro[[#This Row],[LX]]*B^3/12/Tbl_Long_Hydro[[#This Row],[Displacement]],0))</f>
        <v>#N/A</v>
      </c>
      <c r="AS199" s="903" t="e">
        <f>IF(ISNA(Tbl_Long_Hydro[[#This Row],[Draught]]),NA(),IFERROR((B*Tbl_Long_Hydro[[#This Row],[LX]]^3/12+(Tbl_Long_Hydro[[#This Row],[LCF]]-Tbl_Long_Hydro[[#This Row],[LCB]])*Tbl_Long_Hydro[[#This Row],[Waterplane area]]*Tbl_Long_Hydro[[#This Row],[LCF]]^2)/Tbl_Long_Hydro[[#This Row],[Displacement]],0))</f>
        <v>#N/A</v>
      </c>
      <c r="AT199" s="900" t="e">
        <f>Tbl_Long_Hydro[[#This Row],[Aft X]]+Tbl_Long_Hydro[[#This Row],[LX]]/2</f>
        <v>#N/A</v>
      </c>
      <c r="AU199" s="901" t="e">
        <f>IF(ISNUMBER(AU198),(AU198*AP198+Tbl_Long_Hydro[[#This Row],[X CoG elt]]*Tbl_Long_Hydro[[#This Row],[Volume elt]])/Tbl_Long_Hydro[[#This Row],[Displacement]],Tbl_Long_Hydro[[#This Row],[X CoG elt]])</f>
        <v>#N/A</v>
      </c>
      <c r="AV199" s="902" t="e">
        <f>IF(ISNA(Tbl_Long_Hydro[[#This Row],[Draught]]),NA(),0)</f>
        <v>#N/A</v>
      </c>
      <c r="AW199" s="876" t="e">
        <f>IF(ISNUMBER(AW198),(AW198*AP198+Tbl_Long_Hydro[[#This Row],[Z CoG elt]]*Tbl_Long_Hydro[[#This Row],[Volume elt]])/Tbl_Long_Hydro[[#This Row],[Displacement]],Tbl_Long_Hydro[[#This Row],[Z CoG elt]])</f>
        <v>#N/A</v>
      </c>
      <c r="AX199" s="899" t="e">
        <f>Tbl_Long_Hydro[[#This Row],[RMT]]+Tbl_Long_Hydro[[#This Row],[VCB]]</f>
        <v>#N/A</v>
      </c>
      <c r="AY199" s="904" t="e">
        <f>Tbl_Long_Hydro[[#This Row],[Displacement]]*Tbl_Long_Hydro[[#This Row],[RML]]/(100*Lpp)</f>
        <v>#N/A</v>
      </c>
      <c r="AZ199" s="956" t="e">
        <f>Tbl_Long_Hydro[[#This Row],[Draught]]</f>
        <v>#N/A</v>
      </c>
      <c r="BA199" s="959" t="e">
        <f>Tbl_Long_Hydro[[#This Row],[Displacement]]</f>
        <v>#N/A</v>
      </c>
      <c r="BB199" s="960" t="e">
        <f>Tbl_Long_Hydro[[#This Row],[Displac. SW]]</f>
        <v>#N/A</v>
      </c>
      <c r="BC199" s="964" t="e">
        <f>Tbl_Long_Hydro[[#This Row],[Waterplane area]]/100*$AQ$4</f>
        <v>#N/A</v>
      </c>
      <c r="BD199" s="961" t="e">
        <f>Tbl_Long_Hydro[[#This Row],[MCT]]</f>
        <v>#N/A</v>
      </c>
      <c r="BE199" s="962" t="e">
        <f>Tbl_Long_Hydro[[#This Row],[LCB]]</f>
        <v>#N/A</v>
      </c>
      <c r="BF199" s="962" t="e">
        <f>Tbl_Long_Hydro[[#This Row],[TCB]]</f>
        <v>#N/A</v>
      </c>
      <c r="BG199" s="962" t="e">
        <f>Tbl_Long_Hydro[[#This Row],[LCF]]</f>
        <v>#N/A</v>
      </c>
      <c r="BH199" s="963" t="e">
        <f>Tbl_Long_Hydro[[#This Row],[KMT]]</f>
        <v>#N/A</v>
      </c>
    </row>
    <row r="200" spans="11:60" x14ac:dyDescent="0.25">
      <c r="K200" s="156" t="e">
        <f t="shared" si="13"/>
        <v>#N/A</v>
      </c>
      <c r="L200" s="164" t="e">
        <f t="shared" si="14"/>
        <v>#N/A</v>
      </c>
      <c r="M200" s="262" t="e">
        <f>MATCH(Tbl_Long_Section[[#This Row],[X]],Tbl_Long_Definition[X],1)</f>
        <v>#N/A</v>
      </c>
      <c r="N200" s="262" t="e">
        <f>IF(Tbl_Long_Section[[#This Row],[Nline Prev]]&lt;COUNT(Tbl_Long_Definition[X]),Tbl_Long_Section[[#This Row],[Nline Prev]]+1,Tbl_Long_Section[[#This Row],[Nline Prev]])</f>
        <v>#N/A</v>
      </c>
      <c r="O200" s="162" t="e">
        <f>INDEX(Tbl_Long_Definition[X],Tbl_Long_Section[[#This Row],[Nline Prev]])</f>
        <v>#N/A</v>
      </c>
      <c r="P200" s="263" t="e">
        <f>INDEX(Tbl_Long_Definition[X],Tbl_Long_Section[[#This Row],[Nline Next]])</f>
        <v>#N/A</v>
      </c>
      <c r="Q200" s="160" t="e">
        <f>INDEX(Tbl_Long_Definition[H Deck-Bott.],Tbl_Long_Section[[#This Row],[Nline Prev]])</f>
        <v>#N/A</v>
      </c>
      <c r="R200" s="161" t="e">
        <f>INDEX(Tbl_Long_Definition[H Deck-Bott.],Tbl_Long_Section[[#This Row],[Nline Next]])</f>
        <v>#N/A</v>
      </c>
      <c r="S200"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00" s="8"/>
      <c r="V200" s="873" t="e">
        <f t="shared" si="12"/>
        <v>#N/A</v>
      </c>
      <c r="W200" s="885" t="e">
        <f>MATCH(Tbl_Long_Hydro[[#This Row],[Draught]],Tbl_Long_Definition[H k-bott],-1)</f>
        <v>#N/A</v>
      </c>
      <c r="X200"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200" s="886" t="e">
        <f>MATCH(Tbl_Long_Hydro[[#This Row],[Draught]],Tbl_Long_Definition[H k-bott],1)</f>
        <v>#N/A</v>
      </c>
      <c r="Z200"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200" s="888" t="e">
        <f>IF(ISNA(Tbl_Long_Hydro[[#This Row],[Draught]]),NA(),IFERROR(INDEX(Tbl_Long_Definition[X],Tbl_Long_Hydro[[#This Row],[Aft Nline prev]]),0))</f>
        <v>#N/A</v>
      </c>
      <c r="AB200" s="889" t="e">
        <f>IF(ISNA(Tbl_Long_Hydro[[#This Row],[Draught]]),NA(),IFERROR(INDEX(Tbl_Long_Definition[X],Tbl_Long_Hydro[[#This Row],[Aft Nline next]]),0))</f>
        <v>#N/A</v>
      </c>
      <c r="AC200" s="889" t="e">
        <f>IF(ISNA(Tbl_Long_Hydro[[#This Row],[Draught]]),NA(),INDEX(Tbl_Long_Definition[H k-bott],Tbl_Long_Hydro[[#This Row],[Aft Nline prev]]))</f>
        <v>#N/A</v>
      </c>
      <c r="AD200" s="889" t="e">
        <f>IF(ISNA(Tbl_Long_Hydro[[#This Row],[Draught]]),NA(),INDEX(Tbl_Long_Definition[H k-bott],Tbl_Long_Hydro[[#This Row],[Aft Nline next]]))</f>
        <v>#N/A</v>
      </c>
      <c r="AE200" s="888" t="e">
        <f>IF(ISNA(Tbl_Long_Hydro[[#This Row],[Draught]]),NA(),IFERROR(INDEX(Tbl_Long_Definition[X],Tbl_Long_Hydro[[#This Row],[Fore Nline prev]]),0))</f>
        <v>#N/A</v>
      </c>
      <c r="AF200" s="889" t="e">
        <f>IF(ISNA(Tbl_Long_Hydro[[#This Row],[Draught]]),NA(),IFERROR(INDEX(Tbl_Long_Definition[X],Tbl_Long_Hydro[[#This Row],[Fore Nline next]]),0))</f>
        <v>#N/A</v>
      </c>
      <c r="AG200" s="889" t="e">
        <f>IF(ISNA(Tbl_Long_Hydro[[#This Row],[Draught]]),NA(),INDEX(Tbl_Long_Definition[H k-bott],Tbl_Long_Hydro[[#This Row],[Fore Nline prev]]))</f>
        <v>#N/A</v>
      </c>
      <c r="AH200" s="890" t="e">
        <f>IF(ISNA(Tbl_Long_Hydro[[#This Row],[Draught]]),NA(),INDEX(Tbl_Long_Definition[H k-bott],Tbl_Long_Hydro[[#This Row],[Fore Nline next]]))</f>
        <v>#N/A</v>
      </c>
      <c r="AI200"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200"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200" s="894" t="e">
        <f>Tbl_Long_Hydro[[#This Row],[Fore X]]-Tbl_Long_Hydro[[#This Row],[Aft X]]</f>
        <v>#N/A</v>
      </c>
      <c r="AL200" s="884" t="e">
        <f>Tbl_Long_Hydro[[#This Row],[LX]]*B</f>
        <v>#N/A</v>
      </c>
      <c r="AM200" s="892" t="e">
        <f>IF(ISNUMBER(AM199),(AK199+Tbl_Long_Hydro[[#This Row],[LX]])*(Tbl_Long_Hydro[[#This Row],[Draught]]-V199)/2*B,(Tbl_Long_Hydro[[#This Row],[LX]])*Tbl_Long_Hydro[[#This Row],[Draught]]*B)</f>
        <v>#N/A</v>
      </c>
      <c r="AN200" s="899" t="e">
        <f>Tbl_Long_Hydro[[#This Row],[Aft X]]+Tbl_Long_Hydro[[#This Row],[LX]]/2</f>
        <v>#N/A</v>
      </c>
      <c r="AO200" s="876" t="e">
        <f>IF(ISNUMBER(AO199),(2*Tbl_Long_Hydro[[#This Row],[LX]]+AK199)/(Tbl_Long_Hydro[[#This Row],[LX]]+AK199)*(Tbl_Long_Hydro[[#This Row],[Draught]]-V199)/3+V199,Tbl_Long_Hydro[[#This Row],[Draught]]/2)</f>
        <v>#N/A</v>
      </c>
      <c r="AP200" s="898" t="e">
        <f>IF(ISNUMBER(AP199),Tbl_Long_Hydro[[#This Row],[Volume elt]]+AP199,Tbl_Long_Hydro[[#This Row],[Volume elt]]*AO$4)</f>
        <v>#N/A</v>
      </c>
      <c r="AQ200" s="893" t="e">
        <f>IF(ISNUMBER(AQ199),Tbl_Long_Hydro[[#This Row],[Displacement]]*AQ$4,IF(ISNA(AQ199),NA(),0))</f>
        <v>#N/A</v>
      </c>
      <c r="AR200" s="900" t="e">
        <f>IF(ISNA(Tbl_Long_Hydro[[#This Row],[Draught]]),NA(),IFERROR(Tbl_Long_Hydro[[#This Row],[LX]]*B^3/12/Tbl_Long_Hydro[[#This Row],[Displacement]],0))</f>
        <v>#N/A</v>
      </c>
      <c r="AS200" s="903" t="e">
        <f>IF(ISNA(Tbl_Long_Hydro[[#This Row],[Draught]]),NA(),IFERROR((B*Tbl_Long_Hydro[[#This Row],[LX]]^3/12+(Tbl_Long_Hydro[[#This Row],[LCF]]-Tbl_Long_Hydro[[#This Row],[LCB]])*Tbl_Long_Hydro[[#This Row],[Waterplane area]]*Tbl_Long_Hydro[[#This Row],[LCF]]^2)/Tbl_Long_Hydro[[#This Row],[Displacement]],0))</f>
        <v>#N/A</v>
      </c>
      <c r="AT200" s="900" t="e">
        <f>Tbl_Long_Hydro[[#This Row],[Aft X]]+Tbl_Long_Hydro[[#This Row],[LX]]/2</f>
        <v>#N/A</v>
      </c>
      <c r="AU200" s="901" t="e">
        <f>IF(ISNUMBER(AU199),(AU199*AP199+Tbl_Long_Hydro[[#This Row],[X CoG elt]]*Tbl_Long_Hydro[[#This Row],[Volume elt]])/Tbl_Long_Hydro[[#This Row],[Displacement]],Tbl_Long_Hydro[[#This Row],[X CoG elt]])</f>
        <v>#N/A</v>
      </c>
      <c r="AV200" s="902" t="e">
        <f>IF(ISNA(Tbl_Long_Hydro[[#This Row],[Draught]]),NA(),0)</f>
        <v>#N/A</v>
      </c>
      <c r="AW200" s="876" t="e">
        <f>IF(ISNUMBER(AW199),(AW199*AP199+Tbl_Long_Hydro[[#This Row],[Z CoG elt]]*Tbl_Long_Hydro[[#This Row],[Volume elt]])/Tbl_Long_Hydro[[#This Row],[Displacement]],Tbl_Long_Hydro[[#This Row],[Z CoG elt]])</f>
        <v>#N/A</v>
      </c>
      <c r="AX200" s="899" t="e">
        <f>Tbl_Long_Hydro[[#This Row],[RMT]]+Tbl_Long_Hydro[[#This Row],[VCB]]</f>
        <v>#N/A</v>
      </c>
      <c r="AY200" s="904" t="e">
        <f>Tbl_Long_Hydro[[#This Row],[Displacement]]*Tbl_Long_Hydro[[#This Row],[RML]]/(100*Lpp)</f>
        <v>#N/A</v>
      </c>
      <c r="AZ200" s="956" t="e">
        <f>Tbl_Long_Hydro[[#This Row],[Draught]]</f>
        <v>#N/A</v>
      </c>
      <c r="BA200" s="959" t="e">
        <f>Tbl_Long_Hydro[[#This Row],[Displacement]]</f>
        <v>#N/A</v>
      </c>
      <c r="BB200" s="960" t="e">
        <f>Tbl_Long_Hydro[[#This Row],[Displac. SW]]</f>
        <v>#N/A</v>
      </c>
      <c r="BC200" s="964" t="e">
        <f>Tbl_Long_Hydro[[#This Row],[Waterplane area]]/100*$AQ$4</f>
        <v>#N/A</v>
      </c>
      <c r="BD200" s="961" t="e">
        <f>Tbl_Long_Hydro[[#This Row],[MCT]]</f>
        <v>#N/A</v>
      </c>
      <c r="BE200" s="962" t="e">
        <f>Tbl_Long_Hydro[[#This Row],[LCB]]</f>
        <v>#N/A</v>
      </c>
      <c r="BF200" s="962" t="e">
        <f>Tbl_Long_Hydro[[#This Row],[TCB]]</f>
        <v>#N/A</v>
      </c>
      <c r="BG200" s="962" t="e">
        <f>Tbl_Long_Hydro[[#This Row],[LCF]]</f>
        <v>#N/A</v>
      </c>
      <c r="BH200" s="963" t="e">
        <f>Tbl_Long_Hydro[[#This Row],[KMT]]</f>
        <v>#N/A</v>
      </c>
    </row>
    <row r="201" spans="11:60" x14ac:dyDescent="0.25">
      <c r="K201" s="156" t="e">
        <f t="shared" si="13"/>
        <v>#N/A</v>
      </c>
      <c r="L201" s="164" t="e">
        <f t="shared" si="14"/>
        <v>#N/A</v>
      </c>
      <c r="M201" s="262" t="e">
        <f>MATCH(Tbl_Long_Section[[#This Row],[X]],Tbl_Long_Definition[X],1)</f>
        <v>#N/A</v>
      </c>
      <c r="N201" s="262" t="e">
        <f>IF(Tbl_Long_Section[[#This Row],[Nline Prev]]&lt;COUNT(Tbl_Long_Definition[X]),Tbl_Long_Section[[#This Row],[Nline Prev]]+1,Tbl_Long_Section[[#This Row],[Nline Prev]])</f>
        <v>#N/A</v>
      </c>
      <c r="O201" s="162" t="e">
        <f>INDEX(Tbl_Long_Definition[X],Tbl_Long_Section[[#This Row],[Nline Prev]])</f>
        <v>#N/A</v>
      </c>
      <c r="P201" s="263" t="e">
        <f>INDEX(Tbl_Long_Definition[X],Tbl_Long_Section[[#This Row],[Nline Next]])</f>
        <v>#N/A</v>
      </c>
      <c r="Q201" s="160" t="e">
        <f>INDEX(Tbl_Long_Definition[H Deck-Bott.],Tbl_Long_Section[[#This Row],[Nline Prev]])</f>
        <v>#N/A</v>
      </c>
      <c r="R201" s="161" t="e">
        <f>INDEX(Tbl_Long_Definition[H Deck-Bott.],Tbl_Long_Section[[#This Row],[Nline Next]])</f>
        <v>#N/A</v>
      </c>
      <c r="S201"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01" s="8"/>
      <c r="V201" s="873" t="e">
        <f t="shared" si="12"/>
        <v>#N/A</v>
      </c>
      <c r="W201" s="885" t="e">
        <f>MATCH(Tbl_Long_Hydro[[#This Row],[Draught]],Tbl_Long_Definition[H k-bott],-1)</f>
        <v>#N/A</v>
      </c>
      <c r="X201" s="885" t="e">
        <f>IF(Tbl_Long_Hydro[[#This Row],[Aft Nline prev]]&lt;COUNT(Tbl_Long_Definition[H k-bott]),IF(INDEX(Tbl_Long_Definition[H k-bott],Tbl_Long_Hydro[[#This Row],[Aft Nline prev]])=Tbl_Long_Hydro[[#This Row],[Draught]],Tbl_Long_Hydro[[#This Row],[Aft Nline prev]],Tbl_Long_Hydro[[#This Row],[Aft Nline prev]]+1),Tbl_Long_Hydro[[#This Row],[Aft Nline prev]])</f>
        <v>#N/A</v>
      </c>
      <c r="Y201" s="886" t="e">
        <f>MATCH(Tbl_Long_Hydro[[#This Row],[Draught]],Tbl_Long_Definition[H k-bott],1)</f>
        <v>#N/A</v>
      </c>
      <c r="Z201" s="885" t="e">
        <f>IF(Tbl_Long_Hydro[[#This Row],[Fore Nline prev]]&lt;COUNT(Tbl_Long_Definition[H k-bott]),IF(INDEX(Tbl_Long_Definition[H k-bott],Tbl_Long_Hydro[[#This Row],[Fore Nline prev]])=Tbl_Long_Hydro[[#This Row],[Draught]],Tbl_Long_Hydro[[#This Row],[Fore Nline prev]],Tbl_Long_Hydro[[#This Row],[Fore Nline prev]]+1),Tbl_Long_Hydro[[#This Row],[Fore Nline prev]])</f>
        <v>#N/A</v>
      </c>
      <c r="AA201" s="888" t="e">
        <f>IF(ISNA(Tbl_Long_Hydro[[#This Row],[Draught]]),NA(),IFERROR(INDEX(Tbl_Long_Definition[X],Tbl_Long_Hydro[[#This Row],[Aft Nline prev]]),0))</f>
        <v>#N/A</v>
      </c>
      <c r="AB201" s="889" t="e">
        <f>IF(ISNA(Tbl_Long_Hydro[[#This Row],[Draught]]),NA(),IFERROR(INDEX(Tbl_Long_Definition[X],Tbl_Long_Hydro[[#This Row],[Aft Nline next]]),0))</f>
        <v>#N/A</v>
      </c>
      <c r="AC201" s="889" t="e">
        <f>IF(ISNA(Tbl_Long_Hydro[[#This Row],[Draught]]),NA(),INDEX(Tbl_Long_Definition[H k-bott],Tbl_Long_Hydro[[#This Row],[Aft Nline prev]]))</f>
        <v>#N/A</v>
      </c>
      <c r="AD201" s="889" t="e">
        <f>IF(ISNA(Tbl_Long_Hydro[[#This Row],[Draught]]),NA(),INDEX(Tbl_Long_Definition[H k-bott],Tbl_Long_Hydro[[#This Row],[Aft Nline next]]))</f>
        <v>#N/A</v>
      </c>
      <c r="AE201" s="888" t="e">
        <f>IF(ISNA(Tbl_Long_Hydro[[#This Row],[Draught]]),NA(),IFERROR(INDEX(Tbl_Long_Definition[X],Tbl_Long_Hydro[[#This Row],[Fore Nline prev]]),0))</f>
        <v>#N/A</v>
      </c>
      <c r="AF201" s="889" t="e">
        <f>IF(ISNA(Tbl_Long_Hydro[[#This Row],[Draught]]),NA(),IFERROR(INDEX(Tbl_Long_Definition[X],Tbl_Long_Hydro[[#This Row],[Fore Nline next]]),0))</f>
        <v>#N/A</v>
      </c>
      <c r="AG201" s="889" t="e">
        <f>IF(ISNA(Tbl_Long_Hydro[[#This Row],[Draught]]),NA(),INDEX(Tbl_Long_Definition[H k-bott],Tbl_Long_Hydro[[#This Row],[Fore Nline prev]]))</f>
        <v>#N/A</v>
      </c>
      <c r="AH201" s="890" t="e">
        <f>IF(ISNA(Tbl_Long_Hydro[[#This Row],[Draught]]),NA(),INDEX(Tbl_Long_Definition[H k-bott],Tbl_Long_Hydro[[#This Row],[Fore Nline next]]))</f>
        <v>#N/A</v>
      </c>
      <c r="AI201" s="897" t="e">
        <f>IF(ISNA(Tbl_Long_Hydro[[#This Row],[Draught]]),NA(),IFERROR((Tbl_Long_Hydro[[#This Row],[Aft Draft next]]-Tbl_Long_Hydro[[#This Row],[Draught]])/(Tbl_Long_Hydro[[#This Row],[Aft Draft next]]-Tbl_Long_Hydro[[#This Row],[Aft Draft prev]])*Tbl_Long_Hydro[[#This Row],[Aft X prev]]+(Tbl_Long_Hydro[[#This Row],[Draught]]-Tbl_Long_Hydro[[#This Row],[Aft Draft prev]])/(Tbl_Long_Hydro[[#This Row],[Aft Draft next]]-Tbl_Long_Hydro[[#This Row],[Aft Draft prev]])*Tbl_Long_Hydro[[#This Row],[Aft X next]],Tbl_Long_Hydro[[#This Row],[Aft X prev]]))</f>
        <v>#N/A</v>
      </c>
      <c r="AJ201" s="890" t="e">
        <f>IF(ISNA(Tbl_Long_Hydro[[#This Row],[Draught]]),NA(),IFERROR((Tbl_Long_Hydro[[#This Row],[Fore Draft next]]-Tbl_Long_Hydro[[#This Row],[Draught]])/(Tbl_Long_Hydro[[#This Row],[Fore Draft next]]-Tbl_Long_Hydro[[#This Row],[Fore Draft prev]])*Tbl_Long_Hydro[[#This Row],[Fore X prev]]+(Tbl_Long_Hydro[[#This Row],[Draught]]-Tbl_Long_Hydro[[#This Row],[Fore Draft prev]])/(Tbl_Long_Hydro[[#This Row],[Fore Draft next]]-Tbl_Long_Hydro[[#This Row],[Fore Draft prev]])*Tbl_Long_Hydro[[#This Row],[Fore X next]],Tbl_Long_Hydro[[#This Row],[Fore X prev]]))</f>
        <v>#N/A</v>
      </c>
      <c r="AK201" s="894" t="e">
        <f>Tbl_Long_Hydro[[#This Row],[Fore X]]-Tbl_Long_Hydro[[#This Row],[Aft X]]</f>
        <v>#N/A</v>
      </c>
      <c r="AL201" s="884" t="e">
        <f>Tbl_Long_Hydro[[#This Row],[LX]]*B</f>
        <v>#N/A</v>
      </c>
      <c r="AM201" s="892" t="e">
        <f>IF(ISNUMBER(AM200),(AK200+Tbl_Long_Hydro[[#This Row],[LX]])*(Tbl_Long_Hydro[[#This Row],[Draught]]-V200)/2*B,(Tbl_Long_Hydro[[#This Row],[LX]])*Tbl_Long_Hydro[[#This Row],[Draught]]*B)</f>
        <v>#N/A</v>
      </c>
      <c r="AN201" s="899" t="e">
        <f>Tbl_Long_Hydro[[#This Row],[Aft X]]+Tbl_Long_Hydro[[#This Row],[LX]]/2</f>
        <v>#N/A</v>
      </c>
      <c r="AO201" s="876" t="e">
        <f>IF(ISNUMBER(AO200),(2*Tbl_Long_Hydro[[#This Row],[LX]]+AK200)/(Tbl_Long_Hydro[[#This Row],[LX]]+AK200)*(Tbl_Long_Hydro[[#This Row],[Draught]]-V200)/3+V200,Tbl_Long_Hydro[[#This Row],[Draught]]/2)</f>
        <v>#N/A</v>
      </c>
      <c r="AP201" s="898" t="e">
        <f>IF(ISNUMBER(AP200),Tbl_Long_Hydro[[#This Row],[Volume elt]]+AP200,Tbl_Long_Hydro[[#This Row],[Volume elt]]*AO$4)</f>
        <v>#N/A</v>
      </c>
      <c r="AQ201" s="893" t="e">
        <f>IF(ISNUMBER(AQ200),Tbl_Long_Hydro[[#This Row],[Displacement]]*AQ$4,IF(ISNA(AQ200),NA(),0))</f>
        <v>#N/A</v>
      </c>
      <c r="AR201" s="900" t="e">
        <f>IF(ISNA(Tbl_Long_Hydro[[#This Row],[Draught]]),NA(),IFERROR(Tbl_Long_Hydro[[#This Row],[LX]]*B^3/12/Tbl_Long_Hydro[[#This Row],[Displacement]],0))</f>
        <v>#N/A</v>
      </c>
      <c r="AS201" s="903" t="e">
        <f>IF(ISNA(Tbl_Long_Hydro[[#This Row],[Draught]]),NA(),IFERROR((B*Tbl_Long_Hydro[[#This Row],[LX]]^3/12+(Tbl_Long_Hydro[[#This Row],[LCF]]-Tbl_Long_Hydro[[#This Row],[LCB]])*Tbl_Long_Hydro[[#This Row],[Waterplane area]]*Tbl_Long_Hydro[[#This Row],[LCF]]^2)/Tbl_Long_Hydro[[#This Row],[Displacement]],0))</f>
        <v>#N/A</v>
      </c>
      <c r="AT201" s="900" t="e">
        <f>Tbl_Long_Hydro[[#This Row],[Aft X]]+Tbl_Long_Hydro[[#This Row],[LX]]/2</f>
        <v>#N/A</v>
      </c>
      <c r="AU201" s="901" t="e">
        <f>IF(ISNUMBER(AU200),(AU200*AP200+Tbl_Long_Hydro[[#This Row],[X CoG elt]]*Tbl_Long_Hydro[[#This Row],[Volume elt]])/Tbl_Long_Hydro[[#This Row],[Displacement]],Tbl_Long_Hydro[[#This Row],[X CoG elt]])</f>
        <v>#N/A</v>
      </c>
      <c r="AV201" s="902" t="e">
        <f>IF(ISNA(Tbl_Long_Hydro[[#This Row],[Draught]]),NA(),0)</f>
        <v>#N/A</v>
      </c>
      <c r="AW201" s="876" t="e">
        <f>IF(ISNUMBER(AW200),(AW200*AP200+Tbl_Long_Hydro[[#This Row],[Z CoG elt]]*Tbl_Long_Hydro[[#This Row],[Volume elt]])/Tbl_Long_Hydro[[#This Row],[Displacement]],Tbl_Long_Hydro[[#This Row],[Z CoG elt]])</f>
        <v>#N/A</v>
      </c>
      <c r="AX201" s="899" t="e">
        <f>Tbl_Long_Hydro[[#This Row],[RMT]]+Tbl_Long_Hydro[[#This Row],[VCB]]</f>
        <v>#N/A</v>
      </c>
      <c r="AY201" s="904" t="e">
        <f>Tbl_Long_Hydro[[#This Row],[Displacement]]*Tbl_Long_Hydro[[#This Row],[RML]]/(100*Lpp)</f>
        <v>#N/A</v>
      </c>
      <c r="AZ201" s="956" t="e">
        <f>Tbl_Long_Hydro[[#This Row],[Draught]]</f>
        <v>#N/A</v>
      </c>
      <c r="BA201" s="959" t="e">
        <f>Tbl_Long_Hydro[[#This Row],[Displacement]]</f>
        <v>#N/A</v>
      </c>
      <c r="BB201" s="960" t="e">
        <f>Tbl_Long_Hydro[[#This Row],[Displac. SW]]</f>
        <v>#N/A</v>
      </c>
      <c r="BC201" s="964" t="e">
        <f>Tbl_Long_Hydro[[#This Row],[Waterplane area]]/100*$AQ$4</f>
        <v>#N/A</v>
      </c>
      <c r="BD201" s="961" t="e">
        <f>Tbl_Long_Hydro[[#This Row],[MCT]]</f>
        <v>#N/A</v>
      </c>
      <c r="BE201" s="962" t="e">
        <f>Tbl_Long_Hydro[[#This Row],[LCB]]</f>
        <v>#N/A</v>
      </c>
      <c r="BF201" s="962" t="e">
        <f>Tbl_Long_Hydro[[#This Row],[TCB]]</f>
        <v>#N/A</v>
      </c>
      <c r="BG201" s="962" t="e">
        <f>Tbl_Long_Hydro[[#This Row],[LCF]]</f>
        <v>#N/A</v>
      </c>
      <c r="BH201" s="963" t="e">
        <f>Tbl_Long_Hydro[[#This Row],[KMT]]</f>
        <v>#N/A</v>
      </c>
    </row>
    <row r="202" spans="11:60" x14ac:dyDescent="0.25">
      <c r="K202" s="156" t="e">
        <f t="shared" si="13"/>
        <v>#N/A</v>
      </c>
      <c r="L202" s="164" t="e">
        <f t="shared" si="14"/>
        <v>#N/A</v>
      </c>
      <c r="M202" s="262" t="e">
        <f>MATCH(Tbl_Long_Section[[#This Row],[X]],Tbl_Long_Definition[X],1)</f>
        <v>#N/A</v>
      </c>
      <c r="N202" s="262" t="e">
        <f>IF(Tbl_Long_Section[[#This Row],[Nline Prev]]&lt;COUNT(Tbl_Long_Definition[X]),Tbl_Long_Section[[#This Row],[Nline Prev]]+1,Tbl_Long_Section[[#This Row],[Nline Prev]])</f>
        <v>#N/A</v>
      </c>
      <c r="O202" s="162" t="e">
        <f>INDEX(Tbl_Long_Definition[X],Tbl_Long_Section[[#This Row],[Nline Prev]])</f>
        <v>#N/A</v>
      </c>
      <c r="P202" s="263" t="e">
        <f>INDEX(Tbl_Long_Definition[X],Tbl_Long_Section[[#This Row],[Nline Next]])</f>
        <v>#N/A</v>
      </c>
      <c r="Q202" s="160" t="e">
        <f>INDEX(Tbl_Long_Definition[H Deck-Bott.],Tbl_Long_Section[[#This Row],[Nline Prev]])</f>
        <v>#N/A</v>
      </c>
      <c r="R202" s="161" t="e">
        <f>INDEX(Tbl_Long_Definition[H Deck-Bott.],Tbl_Long_Section[[#This Row],[Nline Next]])</f>
        <v>#N/A</v>
      </c>
      <c r="S202"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02" s="8"/>
    </row>
    <row r="203" spans="11:60" x14ac:dyDescent="0.25">
      <c r="K203" s="156" t="e">
        <f t="shared" si="13"/>
        <v>#N/A</v>
      </c>
      <c r="L203" s="164" t="e">
        <f t="shared" si="14"/>
        <v>#N/A</v>
      </c>
      <c r="M203" s="262" t="e">
        <f>MATCH(Tbl_Long_Section[[#This Row],[X]],Tbl_Long_Definition[X],1)</f>
        <v>#N/A</v>
      </c>
      <c r="N203" s="262" t="e">
        <f>IF(Tbl_Long_Section[[#This Row],[Nline Prev]]&lt;COUNT(Tbl_Long_Definition[X]),Tbl_Long_Section[[#This Row],[Nline Prev]]+1,Tbl_Long_Section[[#This Row],[Nline Prev]])</f>
        <v>#N/A</v>
      </c>
      <c r="O203" s="162" t="e">
        <f>INDEX(Tbl_Long_Definition[X],Tbl_Long_Section[[#This Row],[Nline Prev]])</f>
        <v>#N/A</v>
      </c>
      <c r="P203" s="263" t="e">
        <f>INDEX(Tbl_Long_Definition[X],Tbl_Long_Section[[#This Row],[Nline Next]])</f>
        <v>#N/A</v>
      </c>
      <c r="Q203" s="160" t="e">
        <f>INDEX(Tbl_Long_Definition[H Deck-Bott.],Tbl_Long_Section[[#This Row],[Nline Prev]])</f>
        <v>#N/A</v>
      </c>
      <c r="R203" s="161" t="e">
        <f>INDEX(Tbl_Long_Definition[H Deck-Bott.],Tbl_Long_Section[[#This Row],[Nline Next]])</f>
        <v>#N/A</v>
      </c>
      <c r="S203"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03" s="8"/>
    </row>
    <row r="204" spans="11:60" x14ac:dyDescent="0.25">
      <c r="K204" s="156" t="e">
        <f t="shared" si="13"/>
        <v>#N/A</v>
      </c>
      <c r="L204" s="164" t="e">
        <f t="shared" si="14"/>
        <v>#N/A</v>
      </c>
      <c r="M204" s="262" t="e">
        <f>MATCH(Tbl_Long_Section[[#This Row],[X]],Tbl_Long_Definition[X],1)</f>
        <v>#N/A</v>
      </c>
      <c r="N204" s="262" t="e">
        <f>IF(Tbl_Long_Section[[#This Row],[Nline Prev]]&lt;COUNT(Tbl_Long_Definition[X]),Tbl_Long_Section[[#This Row],[Nline Prev]]+1,Tbl_Long_Section[[#This Row],[Nline Prev]])</f>
        <v>#N/A</v>
      </c>
      <c r="O204" s="162" t="e">
        <f>INDEX(Tbl_Long_Definition[X],Tbl_Long_Section[[#This Row],[Nline Prev]])</f>
        <v>#N/A</v>
      </c>
      <c r="P204" s="263" t="e">
        <f>INDEX(Tbl_Long_Definition[X],Tbl_Long_Section[[#This Row],[Nline Next]])</f>
        <v>#N/A</v>
      </c>
      <c r="Q204" s="160" t="e">
        <f>INDEX(Tbl_Long_Definition[H Deck-Bott.],Tbl_Long_Section[[#This Row],[Nline Prev]])</f>
        <v>#N/A</v>
      </c>
      <c r="R204" s="161" t="e">
        <f>INDEX(Tbl_Long_Definition[H Deck-Bott.],Tbl_Long_Section[[#This Row],[Nline Next]])</f>
        <v>#N/A</v>
      </c>
      <c r="S204"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04" s="8"/>
    </row>
    <row r="205" spans="11:60" x14ac:dyDescent="0.25">
      <c r="K205" s="156" t="e">
        <f t="shared" si="13"/>
        <v>#N/A</v>
      </c>
      <c r="L205" s="164" t="e">
        <f t="shared" si="14"/>
        <v>#N/A</v>
      </c>
      <c r="M205" s="262" t="e">
        <f>MATCH(Tbl_Long_Section[[#This Row],[X]],Tbl_Long_Definition[X],1)</f>
        <v>#N/A</v>
      </c>
      <c r="N205" s="262" t="e">
        <f>IF(Tbl_Long_Section[[#This Row],[Nline Prev]]&lt;COUNT(Tbl_Long_Definition[X]),Tbl_Long_Section[[#This Row],[Nline Prev]]+1,Tbl_Long_Section[[#This Row],[Nline Prev]])</f>
        <v>#N/A</v>
      </c>
      <c r="O205" s="162" t="e">
        <f>INDEX(Tbl_Long_Definition[X],Tbl_Long_Section[[#This Row],[Nline Prev]])</f>
        <v>#N/A</v>
      </c>
      <c r="P205" s="263" t="e">
        <f>INDEX(Tbl_Long_Definition[X],Tbl_Long_Section[[#This Row],[Nline Next]])</f>
        <v>#N/A</v>
      </c>
      <c r="Q205" s="160" t="e">
        <f>INDEX(Tbl_Long_Definition[H Deck-Bott.],Tbl_Long_Section[[#This Row],[Nline Prev]])</f>
        <v>#N/A</v>
      </c>
      <c r="R205" s="161" t="e">
        <f>INDEX(Tbl_Long_Definition[H Deck-Bott.],Tbl_Long_Section[[#This Row],[Nline Next]])</f>
        <v>#N/A</v>
      </c>
      <c r="S205"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05" s="8"/>
    </row>
    <row r="206" spans="11:60" x14ac:dyDescent="0.25">
      <c r="K206" s="156" t="e">
        <f t="shared" si="13"/>
        <v>#N/A</v>
      </c>
      <c r="L206" s="164" t="e">
        <f t="shared" si="14"/>
        <v>#N/A</v>
      </c>
      <c r="M206" s="262" t="e">
        <f>MATCH(Tbl_Long_Section[[#This Row],[X]],Tbl_Long_Definition[X],1)</f>
        <v>#N/A</v>
      </c>
      <c r="N206" s="262" t="e">
        <f>IF(Tbl_Long_Section[[#This Row],[Nline Prev]]&lt;COUNT(Tbl_Long_Definition[X]),Tbl_Long_Section[[#This Row],[Nline Prev]]+1,Tbl_Long_Section[[#This Row],[Nline Prev]])</f>
        <v>#N/A</v>
      </c>
      <c r="O206" s="162" t="e">
        <f>INDEX(Tbl_Long_Definition[X],Tbl_Long_Section[[#This Row],[Nline Prev]])</f>
        <v>#N/A</v>
      </c>
      <c r="P206" s="263" t="e">
        <f>INDEX(Tbl_Long_Definition[X],Tbl_Long_Section[[#This Row],[Nline Next]])</f>
        <v>#N/A</v>
      </c>
      <c r="Q206" s="160" t="e">
        <f>INDEX(Tbl_Long_Definition[H Deck-Bott.],Tbl_Long_Section[[#This Row],[Nline Prev]])</f>
        <v>#N/A</v>
      </c>
      <c r="R206" s="161" t="e">
        <f>INDEX(Tbl_Long_Definition[H Deck-Bott.],Tbl_Long_Section[[#This Row],[Nline Next]])</f>
        <v>#N/A</v>
      </c>
      <c r="S206"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06" s="8"/>
    </row>
    <row r="207" spans="11:60" x14ac:dyDescent="0.25">
      <c r="K207" s="156" t="e">
        <f t="shared" si="13"/>
        <v>#N/A</v>
      </c>
      <c r="L207" s="164" t="e">
        <f t="shared" si="14"/>
        <v>#N/A</v>
      </c>
      <c r="M207" s="262" t="e">
        <f>MATCH(Tbl_Long_Section[[#This Row],[X]],Tbl_Long_Definition[X],1)</f>
        <v>#N/A</v>
      </c>
      <c r="N207" s="262" t="e">
        <f>IF(Tbl_Long_Section[[#This Row],[Nline Prev]]&lt;COUNT(Tbl_Long_Definition[X]),Tbl_Long_Section[[#This Row],[Nline Prev]]+1,Tbl_Long_Section[[#This Row],[Nline Prev]])</f>
        <v>#N/A</v>
      </c>
      <c r="O207" s="162" t="e">
        <f>INDEX(Tbl_Long_Definition[X],Tbl_Long_Section[[#This Row],[Nline Prev]])</f>
        <v>#N/A</v>
      </c>
      <c r="P207" s="263" t="e">
        <f>INDEX(Tbl_Long_Definition[X],Tbl_Long_Section[[#This Row],[Nline Next]])</f>
        <v>#N/A</v>
      </c>
      <c r="Q207" s="160" t="e">
        <f>INDEX(Tbl_Long_Definition[H Deck-Bott.],Tbl_Long_Section[[#This Row],[Nline Prev]])</f>
        <v>#N/A</v>
      </c>
      <c r="R207" s="161" t="e">
        <f>INDEX(Tbl_Long_Definition[H Deck-Bott.],Tbl_Long_Section[[#This Row],[Nline Next]])</f>
        <v>#N/A</v>
      </c>
      <c r="S207"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07" s="8"/>
    </row>
    <row r="208" spans="11:60" x14ac:dyDescent="0.25">
      <c r="K208" s="156" t="e">
        <f t="shared" si="13"/>
        <v>#N/A</v>
      </c>
      <c r="L208" s="164" t="e">
        <f t="shared" si="14"/>
        <v>#N/A</v>
      </c>
      <c r="M208" s="262" t="e">
        <f>MATCH(Tbl_Long_Section[[#This Row],[X]],Tbl_Long_Definition[X],1)</f>
        <v>#N/A</v>
      </c>
      <c r="N208" s="262" t="e">
        <f>IF(Tbl_Long_Section[[#This Row],[Nline Prev]]&lt;COUNT(Tbl_Long_Definition[X]),Tbl_Long_Section[[#This Row],[Nline Prev]]+1,Tbl_Long_Section[[#This Row],[Nline Prev]])</f>
        <v>#N/A</v>
      </c>
      <c r="O208" s="162" t="e">
        <f>INDEX(Tbl_Long_Definition[X],Tbl_Long_Section[[#This Row],[Nline Prev]])</f>
        <v>#N/A</v>
      </c>
      <c r="P208" s="263" t="e">
        <f>INDEX(Tbl_Long_Definition[X],Tbl_Long_Section[[#This Row],[Nline Next]])</f>
        <v>#N/A</v>
      </c>
      <c r="Q208" s="160" t="e">
        <f>INDEX(Tbl_Long_Definition[H Deck-Bott.],Tbl_Long_Section[[#This Row],[Nline Prev]])</f>
        <v>#N/A</v>
      </c>
      <c r="R208" s="161" t="e">
        <f>INDEX(Tbl_Long_Definition[H Deck-Bott.],Tbl_Long_Section[[#This Row],[Nline Next]])</f>
        <v>#N/A</v>
      </c>
      <c r="S208"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08" s="8"/>
    </row>
    <row r="209" spans="11:20" x14ac:dyDescent="0.25">
      <c r="K209" s="156" t="e">
        <f t="shared" si="13"/>
        <v>#N/A</v>
      </c>
      <c r="L209" s="164" t="e">
        <f t="shared" si="14"/>
        <v>#N/A</v>
      </c>
      <c r="M209" s="262" t="e">
        <f>MATCH(Tbl_Long_Section[[#This Row],[X]],Tbl_Long_Definition[X],1)</f>
        <v>#N/A</v>
      </c>
      <c r="N209" s="262" t="e">
        <f>IF(Tbl_Long_Section[[#This Row],[Nline Prev]]&lt;COUNT(Tbl_Long_Definition[X]),Tbl_Long_Section[[#This Row],[Nline Prev]]+1,Tbl_Long_Section[[#This Row],[Nline Prev]])</f>
        <v>#N/A</v>
      </c>
      <c r="O209" s="162" t="e">
        <f>INDEX(Tbl_Long_Definition[X],Tbl_Long_Section[[#This Row],[Nline Prev]])</f>
        <v>#N/A</v>
      </c>
      <c r="P209" s="263" t="e">
        <f>INDEX(Tbl_Long_Definition[X],Tbl_Long_Section[[#This Row],[Nline Next]])</f>
        <v>#N/A</v>
      </c>
      <c r="Q209" s="160" t="e">
        <f>INDEX(Tbl_Long_Definition[H Deck-Bott.],Tbl_Long_Section[[#This Row],[Nline Prev]])</f>
        <v>#N/A</v>
      </c>
      <c r="R209" s="161" t="e">
        <f>INDEX(Tbl_Long_Definition[H Deck-Bott.],Tbl_Long_Section[[#This Row],[Nline Next]])</f>
        <v>#N/A</v>
      </c>
      <c r="S209"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09" s="8"/>
    </row>
    <row r="210" spans="11:20" x14ac:dyDescent="0.25">
      <c r="K210" s="156" t="e">
        <f t="shared" si="13"/>
        <v>#N/A</v>
      </c>
      <c r="L210" s="164" t="e">
        <f t="shared" si="14"/>
        <v>#N/A</v>
      </c>
      <c r="M210" s="262" t="e">
        <f>MATCH(Tbl_Long_Section[[#This Row],[X]],Tbl_Long_Definition[X],1)</f>
        <v>#N/A</v>
      </c>
      <c r="N210" s="262" t="e">
        <f>IF(Tbl_Long_Section[[#This Row],[Nline Prev]]&lt;COUNT(Tbl_Long_Definition[X]),Tbl_Long_Section[[#This Row],[Nline Prev]]+1,Tbl_Long_Section[[#This Row],[Nline Prev]])</f>
        <v>#N/A</v>
      </c>
      <c r="O210" s="162" t="e">
        <f>INDEX(Tbl_Long_Definition[X],Tbl_Long_Section[[#This Row],[Nline Prev]])</f>
        <v>#N/A</v>
      </c>
      <c r="P210" s="263" t="e">
        <f>INDEX(Tbl_Long_Definition[X],Tbl_Long_Section[[#This Row],[Nline Next]])</f>
        <v>#N/A</v>
      </c>
      <c r="Q210" s="160" t="e">
        <f>INDEX(Tbl_Long_Definition[H Deck-Bott.],Tbl_Long_Section[[#This Row],[Nline Prev]])</f>
        <v>#N/A</v>
      </c>
      <c r="R210" s="161" t="e">
        <f>INDEX(Tbl_Long_Definition[H Deck-Bott.],Tbl_Long_Section[[#This Row],[Nline Next]])</f>
        <v>#N/A</v>
      </c>
      <c r="S210"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10" s="8"/>
    </row>
    <row r="211" spans="11:20" x14ac:dyDescent="0.25">
      <c r="K211" s="156" t="e">
        <f t="shared" si="13"/>
        <v>#N/A</v>
      </c>
      <c r="L211" s="164" t="e">
        <f t="shared" si="14"/>
        <v>#N/A</v>
      </c>
      <c r="M211" s="262" t="e">
        <f>MATCH(Tbl_Long_Section[[#This Row],[X]],Tbl_Long_Definition[X],1)</f>
        <v>#N/A</v>
      </c>
      <c r="N211" s="262" t="e">
        <f>IF(Tbl_Long_Section[[#This Row],[Nline Prev]]&lt;COUNT(Tbl_Long_Definition[X]),Tbl_Long_Section[[#This Row],[Nline Prev]]+1,Tbl_Long_Section[[#This Row],[Nline Prev]])</f>
        <v>#N/A</v>
      </c>
      <c r="O211" s="162" t="e">
        <f>INDEX(Tbl_Long_Definition[X],Tbl_Long_Section[[#This Row],[Nline Prev]])</f>
        <v>#N/A</v>
      </c>
      <c r="P211" s="263" t="e">
        <f>INDEX(Tbl_Long_Definition[X],Tbl_Long_Section[[#This Row],[Nline Next]])</f>
        <v>#N/A</v>
      </c>
      <c r="Q211" s="160" t="e">
        <f>INDEX(Tbl_Long_Definition[H Deck-Bott.],Tbl_Long_Section[[#This Row],[Nline Prev]])</f>
        <v>#N/A</v>
      </c>
      <c r="R211" s="161" t="e">
        <f>INDEX(Tbl_Long_Definition[H Deck-Bott.],Tbl_Long_Section[[#This Row],[Nline Next]])</f>
        <v>#N/A</v>
      </c>
      <c r="S211"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11" s="8"/>
    </row>
    <row r="212" spans="11:20" x14ac:dyDescent="0.25">
      <c r="K212" s="156" t="e">
        <f t="shared" si="13"/>
        <v>#N/A</v>
      </c>
      <c r="L212" s="164" t="e">
        <f t="shared" si="14"/>
        <v>#N/A</v>
      </c>
      <c r="M212" s="262" t="e">
        <f>MATCH(Tbl_Long_Section[[#This Row],[X]],Tbl_Long_Definition[X],1)</f>
        <v>#N/A</v>
      </c>
      <c r="N212" s="262" t="e">
        <f>IF(Tbl_Long_Section[[#This Row],[Nline Prev]]&lt;COUNT(Tbl_Long_Definition[X]),Tbl_Long_Section[[#This Row],[Nline Prev]]+1,Tbl_Long_Section[[#This Row],[Nline Prev]])</f>
        <v>#N/A</v>
      </c>
      <c r="O212" s="162" t="e">
        <f>INDEX(Tbl_Long_Definition[X],Tbl_Long_Section[[#This Row],[Nline Prev]])</f>
        <v>#N/A</v>
      </c>
      <c r="P212" s="263" t="e">
        <f>INDEX(Tbl_Long_Definition[X],Tbl_Long_Section[[#This Row],[Nline Next]])</f>
        <v>#N/A</v>
      </c>
      <c r="Q212" s="160" t="e">
        <f>INDEX(Tbl_Long_Definition[H Deck-Bott.],Tbl_Long_Section[[#This Row],[Nline Prev]])</f>
        <v>#N/A</v>
      </c>
      <c r="R212" s="161" t="e">
        <f>INDEX(Tbl_Long_Definition[H Deck-Bott.],Tbl_Long_Section[[#This Row],[Nline Next]])</f>
        <v>#N/A</v>
      </c>
      <c r="S212"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12" s="8"/>
    </row>
    <row r="213" spans="11:20" x14ac:dyDescent="0.25">
      <c r="K213" s="156" t="e">
        <f t="shared" si="13"/>
        <v>#N/A</v>
      </c>
      <c r="L213" s="164" t="e">
        <f t="shared" si="14"/>
        <v>#N/A</v>
      </c>
      <c r="M213" s="262" t="e">
        <f>MATCH(Tbl_Long_Section[[#This Row],[X]],Tbl_Long_Definition[X],1)</f>
        <v>#N/A</v>
      </c>
      <c r="N213" s="262" t="e">
        <f>IF(Tbl_Long_Section[[#This Row],[Nline Prev]]&lt;COUNT(Tbl_Long_Definition[X]),Tbl_Long_Section[[#This Row],[Nline Prev]]+1,Tbl_Long_Section[[#This Row],[Nline Prev]])</f>
        <v>#N/A</v>
      </c>
      <c r="O213" s="162" t="e">
        <f>INDEX(Tbl_Long_Definition[X],Tbl_Long_Section[[#This Row],[Nline Prev]])</f>
        <v>#N/A</v>
      </c>
      <c r="P213" s="263" t="e">
        <f>INDEX(Tbl_Long_Definition[X],Tbl_Long_Section[[#This Row],[Nline Next]])</f>
        <v>#N/A</v>
      </c>
      <c r="Q213" s="160" t="e">
        <f>INDEX(Tbl_Long_Definition[H Deck-Bott.],Tbl_Long_Section[[#This Row],[Nline Prev]])</f>
        <v>#N/A</v>
      </c>
      <c r="R213" s="161" t="e">
        <f>INDEX(Tbl_Long_Definition[H Deck-Bott.],Tbl_Long_Section[[#This Row],[Nline Next]])</f>
        <v>#N/A</v>
      </c>
      <c r="S213"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13" s="8"/>
    </row>
    <row r="214" spans="11:20" x14ac:dyDescent="0.25">
      <c r="K214" s="156" t="e">
        <f t="shared" si="13"/>
        <v>#N/A</v>
      </c>
      <c r="L214" s="164" t="e">
        <f t="shared" si="14"/>
        <v>#N/A</v>
      </c>
      <c r="M214" s="262" t="e">
        <f>MATCH(Tbl_Long_Section[[#This Row],[X]],Tbl_Long_Definition[X],1)</f>
        <v>#N/A</v>
      </c>
      <c r="N214" s="262" t="e">
        <f>IF(Tbl_Long_Section[[#This Row],[Nline Prev]]&lt;COUNT(Tbl_Long_Definition[X]),Tbl_Long_Section[[#This Row],[Nline Prev]]+1,Tbl_Long_Section[[#This Row],[Nline Prev]])</f>
        <v>#N/A</v>
      </c>
      <c r="O214" s="162" t="e">
        <f>INDEX(Tbl_Long_Definition[X],Tbl_Long_Section[[#This Row],[Nline Prev]])</f>
        <v>#N/A</v>
      </c>
      <c r="P214" s="263" t="e">
        <f>INDEX(Tbl_Long_Definition[X],Tbl_Long_Section[[#This Row],[Nline Next]])</f>
        <v>#N/A</v>
      </c>
      <c r="Q214" s="160" t="e">
        <f>INDEX(Tbl_Long_Definition[H Deck-Bott.],Tbl_Long_Section[[#This Row],[Nline Prev]])</f>
        <v>#N/A</v>
      </c>
      <c r="R214" s="161" t="e">
        <f>INDEX(Tbl_Long_Definition[H Deck-Bott.],Tbl_Long_Section[[#This Row],[Nline Next]])</f>
        <v>#N/A</v>
      </c>
      <c r="S214"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14" s="8"/>
    </row>
    <row r="215" spans="11:20" x14ac:dyDescent="0.25">
      <c r="K215" s="156" t="e">
        <f t="shared" si="13"/>
        <v>#N/A</v>
      </c>
      <c r="L215" s="164" t="e">
        <f t="shared" si="14"/>
        <v>#N/A</v>
      </c>
      <c r="M215" s="262" t="e">
        <f>MATCH(Tbl_Long_Section[[#This Row],[X]],Tbl_Long_Definition[X],1)</f>
        <v>#N/A</v>
      </c>
      <c r="N215" s="262" t="e">
        <f>IF(Tbl_Long_Section[[#This Row],[Nline Prev]]&lt;COUNT(Tbl_Long_Definition[X]),Tbl_Long_Section[[#This Row],[Nline Prev]]+1,Tbl_Long_Section[[#This Row],[Nline Prev]])</f>
        <v>#N/A</v>
      </c>
      <c r="O215" s="162" t="e">
        <f>INDEX(Tbl_Long_Definition[X],Tbl_Long_Section[[#This Row],[Nline Prev]])</f>
        <v>#N/A</v>
      </c>
      <c r="P215" s="263" t="e">
        <f>INDEX(Tbl_Long_Definition[X],Tbl_Long_Section[[#This Row],[Nline Next]])</f>
        <v>#N/A</v>
      </c>
      <c r="Q215" s="160" t="e">
        <f>INDEX(Tbl_Long_Definition[H Deck-Bott.],Tbl_Long_Section[[#This Row],[Nline Prev]])</f>
        <v>#N/A</v>
      </c>
      <c r="R215" s="161" t="e">
        <f>INDEX(Tbl_Long_Definition[H Deck-Bott.],Tbl_Long_Section[[#This Row],[Nline Next]])</f>
        <v>#N/A</v>
      </c>
      <c r="S215"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15" s="8"/>
    </row>
    <row r="216" spans="11:20" x14ac:dyDescent="0.25">
      <c r="K216" s="156" t="e">
        <f t="shared" si="13"/>
        <v>#N/A</v>
      </c>
      <c r="L216" s="164" t="e">
        <f t="shared" si="14"/>
        <v>#N/A</v>
      </c>
      <c r="M216" s="262" t="e">
        <f>MATCH(Tbl_Long_Section[[#This Row],[X]],Tbl_Long_Definition[X],1)</f>
        <v>#N/A</v>
      </c>
      <c r="N216" s="262" t="e">
        <f>IF(Tbl_Long_Section[[#This Row],[Nline Prev]]&lt;COUNT(Tbl_Long_Definition[X]),Tbl_Long_Section[[#This Row],[Nline Prev]]+1,Tbl_Long_Section[[#This Row],[Nline Prev]])</f>
        <v>#N/A</v>
      </c>
      <c r="O216" s="162" t="e">
        <f>INDEX(Tbl_Long_Definition[X],Tbl_Long_Section[[#This Row],[Nline Prev]])</f>
        <v>#N/A</v>
      </c>
      <c r="P216" s="263" t="e">
        <f>INDEX(Tbl_Long_Definition[X],Tbl_Long_Section[[#This Row],[Nline Next]])</f>
        <v>#N/A</v>
      </c>
      <c r="Q216" s="160" t="e">
        <f>INDEX(Tbl_Long_Definition[H Deck-Bott.],Tbl_Long_Section[[#This Row],[Nline Prev]])</f>
        <v>#N/A</v>
      </c>
      <c r="R216" s="161" t="e">
        <f>INDEX(Tbl_Long_Definition[H Deck-Bott.],Tbl_Long_Section[[#This Row],[Nline Next]])</f>
        <v>#N/A</v>
      </c>
      <c r="S216"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16" s="8"/>
    </row>
    <row r="217" spans="11:20" x14ac:dyDescent="0.25">
      <c r="K217" s="156" t="e">
        <f t="shared" si="13"/>
        <v>#N/A</v>
      </c>
      <c r="L217" s="164" t="e">
        <f t="shared" si="14"/>
        <v>#N/A</v>
      </c>
      <c r="M217" s="262" t="e">
        <f>MATCH(Tbl_Long_Section[[#This Row],[X]],Tbl_Long_Definition[X],1)</f>
        <v>#N/A</v>
      </c>
      <c r="N217" s="262" t="e">
        <f>IF(Tbl_Long_Section[[#This Row],[Nline Prev]]&lt;COUNT(Tbl_Long_Definition[X]),Tbl_Long_Section[[#This Row],[Nline Prev]]+1,Tbl_Long_Section[[#This Row],[Nline Prev]])</f>
        <v>#N/A</v>
      </c>
      <c r="O217" s="162" t="e">
        <f>INDEX(Tbl_Long_Definition[X],Tbl_Long_Section[[#This Row],[Nline Prev]])</f>
        <v>#N/A</v>
      </c>
      <c r="P217" s="263" t="e">
        <f>INDEX(Tbl_Long_Definition[X],Tbl_Long_Section[[#This Row],[Nline Next]])</f>
        <v>#N/A</v>
      </c>
      <c r="Q217" s="160" t="e">
        <f>INDEX(Tbl_Long_Definition[H Deck-Bott.],Tbl_Long_Section[[#This Row],[Nline Prev]])</f>
        <v>#N/A</v>
      </c>
      <c r="R217" s="161" t="e">
        <f>INDEX(Tbl_Long_Definition[H Deck-Bott.],Tbl_Long_Section[[#This Row],[Nline Next]])</f>
        <v>#N/A</v>
      </c>
      <c r="S217"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17" s="8"/>
    </row>
    <row r="218" spans="11:20" x14ac:dyDescent="0.25">
      <c r="K218" s="156" t="e">
        <f t="shared" si="13"/>
        <v>#N/A</v>
      </c>
      <c r="L218" s="164" t="e">
        <f t="shared" si="14"/>
        <v>#N/A</v>
      </c>
      <c r="M218" s="262" t="e">
        <f>MATCH(Tbl_Long_Section[[#This Row],[X]],Tbl_Long_Definition[X],1)</f>
        <v>#N/A</v>
      </c>
      <c r="N218" s="262" t="e">
        <f>IF(Tbl_Long_Section[[#This Row],[Nline Prev]]&lt;COUNT(Tbl_Long_Definition[X]),Tbl_Long_Section[[#This Row],[Nline Prev]]+1,Tbl_Long_Section[[#This Row],[Nline Prev]])</f>
        <v>#N/A</v>
      </c>
      <c r="O218" s="162" t="e">
        <f>INDEX(Tbl_Long_Definition[X],Tbl_Long_Section[[#This Row],[Nline Prev]])</f>
        <v>#N/A</v>
      </c>
      <c r="P218" s="263" t="e">
        <f>INDEX(Tbl_Long_Definition[X],Tbl_Long_Section[[#This Row],[Nline Next]])</f>
        <v>#N/A</v>
      </c>
      <c r="Q218" s="160" t="e">
        <f>INDEX(Tbl_Long_Definition[H Deck-Bott.],Tbl_Long_Section[[#This Row],[Nline Prev]])</f>
        <v>#N/A</v>
      </c>
      <c r="R218" s="161" t="e">
        <f>INDEX(Tbl_Long_Definition[H Deck-Bott.],Tbl_Long_Section[[#This Row],[Nline Next]])</f>
        <v>#N/A</v>
      </c>
      <c r="S218"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18" s="8"/>
    </row>
    <row r="219" spans="11:20" x14ac:dyDescent="0.25">
      <c r="K219" s="156" t="e">
        <f t="shared" si="13"/>
        <v>#N/A</v>
      </c>
      <c r="L219" s="164" t="e">
        <f t="shared" si="14"/>
        <v>#N/A</v>
      </c>
      <c r="M219" s="262" t="e">
        <f>MATCH(Tbl_Long_Section[[#This Row],[X]],Tbl_Long_Definition[X],1)</f>
        <v>#N/A</v>
      </c>
      <c r="N219" s="262" t="e">
        <f>IF(Tbl_Long_Section[[#This Row],[Nline Prev]]&lt;COUNT(Tbl_Long_Definition[X]),Tbl_Long_Section[[#This Row],[Nline Prev]]+1,Tbl_Long_Section[[#This Row],[Nline Prev]])</f>
        <v>#N/A</v>
      </c>
      <c r="O219" s="162" t="e">
        <f>INDEX(Tbl_Long_Definition[X],Tbl_Long_Section[[#This Row],[Nline Prev]])</f>
        <v>#N/A</v>
      </c>
      <c r="P219" s="263" t="e">
        <f>INDEX(Tbl_Long_Definition[X],Tbl_Long_Section[[#This Row],[Nline Next]])</f>
        <v>#N/A</v>
      </c>
      <c r="Q219" s="160" t="e">
        <f>INDEX(Tbl_Long_Definition[H Deck-Bott.],Tbl_Long_Section[[#This Row],[Nline Prev]])</f>
        <v>#N/A</v>
      </c>
      <c r="R219" s="161" t="e">
        <f>INDEX(Tbl_Long_Definition[H Deck-Bott.],Tbl_Long_Section[[#This Row],[Nline Next]])</f>
        <v>#N/A</v>
      </c>
      <c r="S219"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19" s="8"/>
    </row>
    <row r="220" spans="11:20" x14ac:dyDescent="0.25">
      <c r="K220" s="156" t="e">
        <f t="shared" si="13"/>
        <v>#N/A</v>
      </c>
      <c r="L220" s="164" t="e">
        <f t="shared" si="14"/>
        <v>#N/A</v>
      </c>
      <c r="M220" s="262" t="e">
        <f>MATCH(Tbl_Long_Section[[#This Row],[X]],Tbl_Long_Definition[X],1)</f>
        <v>#N/A</v>
      </c>
      <c r="N220" s="262" t="e">
        <f>IF(Tbl_Long_Section[[#This Row],[Nline Prev]]&lt;COUNT(Tbl_Long_Definition[X]),Tbl_Long_Section[[#This Row],[Nline Prev]]+1,Tbl_Long_Section[[#This Row],[Nline Prev]])</f>
        <v>#N/A</v>
      </c>
      <c r="O220" s="162" t="e">
        <f>INDEX(Tbl_Long_Definition[X],Tbl_Long_Section[[#This Row],[Nline Prev]])</f>
        <v>#N/A</v>
      </c>
      <c r="P220" s="263" t="e">
        <f>INDEX(Tbl_Long_Definition[X],Tbl_Long_Section[[#This Row],[Nline Next]])</f>
        <v>#N/A</v>
      </c>
      <c r="Q220" s="160" t="e">
        <f>INDEX(Tbl_Long_Definition[H Deck-Bott.],Tbl_Long_Section[[#This Row],[Nline Prev]])</f>
        <v>#N/A</v>
      </c>
      <c r="R220" s="161" t="e">
        <f>INDEX(Tbl_Long_Definition[H Deck-Bott.],Tbl_Long_Section[[#This Row],[Nline Next]])</f>
        <v>#N/A</v>
      </c>
      <c r="S220"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20" s="8"/>
    </row>
    <row r="221" spans="11:20" x14ac:dyDescent="0.25">
      <c r="K221" s="156" t="e">
        <f t="shared" si="13"/>
        <v>#N/A</v>
      </c>
      <c r="L221" s="164" t="e">
        <f t="shared" si="14"/>
        <v>#N/A</v>
      </c>
      <c r="M221" s="262" t="e">
        <f>MATCH(Tbl_Long_Section[[#This Row],[X]],Tbl_Long_Definition[X],1)</f>
        <v>#N/A</v>
      </c>
      <c r="N221" s="262" t="e">
        <f>IF(Tbl_Long_Section[[#This Row],[Nline Prev]]&lt;COUNT(Tbl_Long_Definition[X]),Tbl_Long_Section[[#This Row],[Nline Prev]]+1,Tbl_Long_Section[[#This Row],[Nline Prev]])</f>
        <v>#N/A</v>
      </c>
      <c r="O221" s="162" t="e">
        <f>INDEX(Tbl_Long_Definition[X],Tbl_Long_Section[[#This Row],[Nline Prev]])</f>
        <v>#N/A</v>
      </c>
      <c r="P221" s="263" t="e">
        <f>INDEX(Tbl_Long_Definition[X],Tbl_Long_Section[[#This Row],[Nline Next]])</f>
        <v>#N/A</v>
      </c>
      <c r="Q221" s="160" t="e">
        <f>INDEX(Tbl_Long_Definition[H Deck-Bott.],Tbl_Long_Section[[#This Row],[Nline Prev]])</f>
        <v>#N/A</v>
      </c>
      <c r="R221" s="161" t="e">
        <f>INDEX(Tbl_Long_Definition[H Deck-Bott.],Tbl_Long_Section[[#This Row],[Nline Next]])</f>
        <v>#N/A</v>
      </c>
      <c r="S221"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21" s="8"/>
    </row>
    <row r="222" spans="11:20" x14ac:dyDescent="0.25">
      <c r="K222" s="156" t="e">
        <f t="shared" si="13"/>
        <v>#N/A</v>
      </c>
      <c r="L222" s="164" t="e">
        <f t="shared" si="14"/>
        <v>#N/A</v>
      </c>
      <c r="M222" s="262" t="e">
        <f>MATCH(Tbl_Long_Section[[#This Row],[X]],Tbl_Long_Definition[X],1)</f>
        <v>#N/A</v>
      </c>
      <c r="N222" s="262" t="e">
        <f>IF(Tbl_Long_Section[[#This Row],[Nline Prev]]&lt;COUNT(Tbl_Long_Definition[X]),Tbl_Long_Section[[#This Row],[Nline Prev]]+1,Tbl_Long_Section[[#This Row],[Nline Prev]])</f>
        <v>#N/A</v>
      </c>
      <c r="O222" s="162" t="e">
        <f>INDEX(Tbl_Long_Definition[X],Tbl_Long_Section[[#This Row],[Nline Prev]])</f>
        <v>#N/A</v>
      </c>
      <c r="P222" s="263" t="e">
        <f>INDEX(Tbl_Long_Definition[X],Tbl_Long_Section[[#This Row],[Nline Next]])</f>
        <v>#N/A</v>
      </c>
      <c r="Q222" s="160" t="e">
        <f>INDEX(Tbl_Long_Definition[H Deck-Bott.],Tbl_Long_Section[[#This Row],[Nline Prev]])</f>
        <v>#N/A</v>
      </c>
      <c r="R222" s="161" t="e">
        <f>INDEX(Tbl_Long_Definition[H Deck-Bott.],Tbl_Long_Section[[#This Row],[Nline Next]])</f>
        <v>#N/A</v>
      </c>
      <c r="S222"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22" s="8"/>
    </row>
    <row r="223" spans="11:20" x14ac:dyDescent="0.25">
      <c r="K223" s="156" t="e">
        <f t="shared" si="13"/>
        <v>#N/A</v>
      </c>
      <c r="L223" s="164" t="e">
        <f t="shared" si="14"/>
        <v>#N/A</v>
      </c>
      <c r="M223" s="262" t="e">
        <f>MATCH(Tbl_Long_Section[[#This Row],[X]],Tbl_Long_Definition[X],1)</f>
        <v>#N/A</v>
      </c>
      <c r="N223" s="262" t="e">
        <f>IF(Tbl_Long_Section[[#This Row],[Nline Prev]]&lt;COUNT(Tbl_Long_Definition[X]),Tbl_Long_Section[[#This Row],[Nline Prev]]+1,Tbl_Long_Section[[#This Row],[Nline Prev]])</f>
        <v>#N/A</v>
      </c>
      <c r="O223" s="162" t="e">
        <f>INDEX(Tbl_Long_Definition[X],Tbl_Long_Section[[#This Row],[Nline Prev]])</f>
        <v>#N/A</v>
      </c>
      <c r="P223" s="263" t="e">
        <f>INDEX(Tbl_Long_Definition[X],Tbl_Long_Section[[#This Row],[Nline Next]])</f>
        <v>#N/A</v>
      </c>
      <c r="Q223" s="160" t="e">
        <f>INDEX(Tbl_Long_Definition[H Deck-Bott.],Tbl_Long_Section[[#This Row],[Nline Prev]])</f>
        <v>#N/A</v>
      </c>
      <c r="R223" s="161" t="e">
        <f>INDEX(Tbl_Long_Definition[H Deck-Bott.],Tbl_Long_Section[[#This Row],[Nline Next]])</f>
        <v>#N/A</v>
      </c>
      <c r="S223"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23" s="8"/>
    </row>
    <row r="224" spans="11:20" x14ac:dyDescent="0.25">
      <c r="K224" s="156" t="e">
        <f t="shared" si="13"/>
        <v>#N/A</v>
      </c>
      <c r="L224" s="164" t="e">
        <f t="shared" si="14"/>
        <v>#N/A</v>
      </c>
      <c r="M224" s="262" t="e">
        <f>MATCH(Tbl_Long_Section[[#This Row],[X]],Tbl_Long_Definition[X],1)</f>
        <v>#N/A</v>
      </c>
      <c r="N224" s="262" t="e">
        <f>IF(Tbl_Long_Section[[#This Row],[Nline Prev]]&lt;COUNT(Tbl_Long_Definition[X]),Tbl_Long_Section[[#This Row],[Nline Prev]]+1,Tbl_Long_Section[[#This Row],[Nline Prev]])</f>
        <v>#N/A</v>
      </c>
      <c r="O224" s="162" t="e">
        <f>INDEX(Tbl_Long_Definition[X],Tbl_Long_Section[[#This Row],[Nline Prev]])</f>
        <v>#N/A</v>
      </c>
      <c r="P224" s="263" t="e">
        <f>INDEX(Tbl_Long_Definition[X],Tbl_Long_Section[[#This Row],[Nline Next]])</f>
        <v>#N/A</v>
      </c>
      <c r="Q224" s="160" t="e">
        <f>INDEX(Tbl_Long_Definition[H Deck-Bott.],Tbl_Long_Section[[#This Row],[Nline Prev]])</f>
        <v>#N/A</v>
      </c>
      <c r="R224" s="161" t="e">
        <f>INDEX(Tbl_Long_Definition[H Deck-Bott.],Tbl_Long_Section[[#This Row],[Nline Next]])</f>
        <v>#N/A</v>
      </c>
      <c r="S224"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24" s="8"/>
    </row>
    <row r="225" spans="11:20" x14ac:dyDescent="0.25">
      <c r="K225" s="156" t="e">
        <f t="shared" si="13"/>
        <v>#N/A</v>
      </c>
      <c r="L225" s="164" t="e">
        <f t="shared" si="14"/>
        <v>#N/A</v>
      </c>
      <c r="M225" s="262" t="e">
        <f>MATCH(Tbl_Long_Section[[#This Row],[X]],Tbl_Long_Definition[X],1)</f>
        <v>#N/A</v>
      </c>
      <c r="N225" s="262" t="e">
        <f>IF(Tbl_Long_Section[[#This Row],[Nline Prev]]&lt;COUNT(Tbl_Long_Definition[X]),Tbl_Long_Section[[#This Row],[Nline Prev]]+1,Tbl_Long_Section[[#This Row],[Nline Prev]])</f>
        <v>#N/A</v>
      </c>
      <c r="O225" s="162" t="e">
        <f>INDEX(Tbl_Long_Definition[X],Tbl_Long_Section[[#This Row],[Nline Prev]])</f>
        <v>#N/A</v>
      </c>
      <c r="P225" s="263" t="e">
        <f>INDEX(Tbl_Long_Definition[X],Tbl_Long_Section[[#This Row],[Nline Next]])</f>
        <v>#N/A</v>
      </c>
      <c r="Q225" s="160" t="e">
        <f>INDEX(Tbl_Long_Definition[H Deck-Bott.],Tbl_Long_Section[[#This Row],[Nline Prev]])</f>
        <v>#N/A</v>
      </c>
      <c r="R225" s="161" t="e">
        <f>INDEX(Tbl_Long_Definition[H Deck-Bott.],Tbl_Long_Section[[#This Row],[Nline Next]])</f>
        <v>#N/A</v>
      </c>
      <c r="S225"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25" s="8"/>
    </row>
    <row r="226" spans="11:20" x14ac:dyDescent="0.25">
      <c r="K226" s="156" t="e">
        <f t="shared" si="13"/>
        <v>#N/A</v>
      </c>
      <c r="L226" s="164" t="e">
        <f t="shared" si="14"/>
        <v>#N/A</v>
      </c>
      <c r="M226" s="262" t="e">
        <f>MATCH(Tbl_Long_Section[[#This Row],[X]],Tbl_Long_Definition[X],1)</f>
        <v>#N/A</v>
      </c>
      <c r="N226" s="262" t="e">
        <f>IF(Tbl_Long_Section[[#This Row],[Nline Prev]]&lt;COUNT(Tbl_Long_Definition[X]),Tbl_Long_Section[[#This Row],[Nline Prev]]+1,Tbl_Long_Section[[#This Row],[Nline Prev]])</f>
        <v>#N/A</v>
      </c>
      <c r="O226" s="162" t="e">
        <f>INDEX(Tbl_Long_Definition[X],Tbl_Long_Section[[#This Row],[Nline Prev]])</f>
        <v>#N/A</v>
      </c>
      <c r="P226" s="263" t="e">
        <f>INDEX(Tbl_Long_Definition[X],Tbl_Long_Section[[#This Row],[Nline Next]])</f>
        <v>#N/A</v>
      </c>
      <c r="Q226" s="160" t="e">
        <f>INDEX(Tbl_Long_Definition[H Deck-Bott.],Tbl_Long_Section[[#This Row],[Nline Prev]])</f>
        <v>#N/A</v>
      </c>
      <c r="R226" s="161" t="e">
        <f>INDEX(Tbl_Long_Definition[H Deck-Bott.],Tbl_Long_Section[[#This Row],[Nline Next]])</f>
        <v>#N/A</v>
      </c>
      <c r="S226"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26" s="8"/>
    </row>
    <row r="227" spans="11:20" x14ac:dyDescent="0.25">
      <c r="K227" s="156" t="e">
        <f t="shared" si="13"/>
        <v>#N/A</v>
      </c>
      <c r="L227" s="164" t="e">
        <f t="shared" si="14"/>
        <v>#N/A</v>
      </c>
      <c r="M227" s="262" t="e">
        <f>MATCH(Tbl_Long_Section[[#This Row],[X]],Tbl_Long_Definition[X],1)</f>
        <v>#N/A</v>
      </c>
      <c r="N227" s="262" t="e">
        <f>IF(Tbl_Long_Section[[#This Row],[Nline Prev]]&lt;COUNT(Tbl_Long_Definition[X]),Tbl_Long_Section[[#This Row],[Nline Prev]]+1,Tbl_Long_Section[[#This Row],[Nline Prev]])</f>
        <v>#N/A</v>
      </c>
      <c r="O227" s="162" t="e">
        <f>INDEX(Tbl_Long_Definition[X],Tbl_Long_Section[[#This Row],[Nline Prev]])</f>
        <v>#N/A</v>
      </c>
      <c r="P227" s="263" t="e">
        <f>INDEX(Tbl_Long_Definition[X],Tbl_Long_Section[[#This Row],[Nline Next]])</f>
        <v>#N/A</v>
      </c>
      <c r="Q227" s="160" t="e">
        <f>INDEX(Tbl_Long_Definition[H Deck-Bott.],Tbl_Long_Section[[#This Row],[Nline Prev]])</f>
        <v>#N/A</v>
      </c>
      <c r="R227" s="161" t="e">
        <f>INDEX(Tbl_Long_Definition[H Deck-Bott.],Tbl_Long_Section[[#This Row],[Nline Next]])</f>
        <v>#N/A</v>
      </c>
      <c r="S227"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27" s="8"/>
    </row>
    <row r="228" spans="11:20" x14ac:dyDescent="0.25">
      <c r="K228" s="156" t="e">
        <f t="shared" si="13"/>
        <v>#N/A</v>
      </c>
      <c r="L228" s="164" t="e">
        <f t="shared" si="14"/>
        <v>#N/A</v>
      </c>
      <c r="M228" s="262" t="e">
        <f>MATCH(Tbl_Long_Section[[#This Row],[X]],Tbl_Long_Definition[X],1)</f>
        <v>#N/A</v>
      </c>
      <c r="N228" s="262" t="e">
        <f>IF(Tbl_Long_Section[[#This Row],[Nline Prev]]&lt;COUNT(Tbl_Long_Definition[X]),Tbl_Long_Section[[#This Row],[Nline Prev]]+1,Tbl_Long_Section[[#This Row],[Nline Prev]])</f>
        <v>#N/A</v>
      </c>
      <c r="O228" s="162" t="e">
        <f>INDEX(Tbl_Long_Definition[X],Tbl_Long_Section[[#This Row],[Nline Prev]])</f>
        <v>#N/A</v>
      </c>
      <c r="P228" s="263" t="e">
        <f>INDEX(Tbl_Long_Definition[X],Tbl_Long_Section[[#This Row],[Nline Next]])</f>
        <v>#N/A</v>
      </c>
      <c r="Q228" s="160" t="e">
        <f>INDEX(Tbl_Long_Definition[H Deck-Bott.],Tbl_Long_Section[[#This Row],[Nline Prev]])</f>
        <v>#N/A</v>
      </c>
      <c r="R228" s="161" t="e">
        <f>INDEX(Tbl_Long_Definition[H Deck-Bott.],Tbl_Long_Section[[#This Row],[Nline Next]])</f>
        <v>#N/A</v>
      </c>
      <c r="S228"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28" s="8"/>
    </row>
    <row r="229" spans="11:20" x14ac:dyDescent="0.25">
      <c r="K229" s="156" t="e">
        <f t="shared" si="13"/>
        <v>#N/A</v>
      </c>
      <c r="L229" s="164" t="e">
        <f t="shared" si="14"/>
        <v>#N/A</v>
      </c>
      <c r="M229" s="262" t="e">
        <f>MATCH(Tbl_Long_Section[[#This Row],[X]],Tbl_Long_Definition[X],1)</f>
        <v>#N/A</v>
      </c>
      <c r="N229" s="262" t="e">
        <f>IF(Tbl_Long_Section[[#This Row],[Nline Prev]]&lt;COUNT(Tbl_Long_Definition[X]),Tbl_Long_Section[[#This Row],[Nline Prev]]+1,Tbl_Long_Section[[#This Row],[Nline Prev]])</f>
        <v>#N/A</v>
      </c>
      <c r="O229" s="162" t="e">
        <f>INDEX(Tbl_Long_Definition[X],Tbl_Long_Section[[#This Row],[Nline Prev]])</f>
        <v>#N/A</v>
      </c>
      <c r="P229" s="263" t="e">
        <f>INDEX(Tbl_Long_Definition[X],Tbl_Long_Section[[#This Row],[Nline Next]])</f>
        <v>#N/A</v>
      </c>
      <c r="Q229" s="160" t="e">
        <f>INDEX(Tbl_Long_Definition[H Deck-Bott.],Tbl_Long_Section[[#This Row],[Nline Prev]])</f>
        <v>#N/A</v>
      </c>
      <c r="R229" s="161" t="e">
        <f>INDEX(Tbl_Long_Definition[H Deck-Bott.],Tbl_Long_Section[[#This Row],[Nline Next]])</f>
        <v>#N/A</v>
      </c>
      <c r="S229"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29" s="8"/>
    </row>
    <row r="230" spans="11:20" x14ac:dyDescent="0.25">
      <c r="K230" s="156" t="e">
        <f t="shared" si="13"/>
        <v>#N/A</v>
      </c>
      <c r="L230" s="164" t="e">
        <f t="shared" si="14"/>
        <v>#N/A</v>
      </c>
      <c r="M230" s="262" t="e">
        <f>MATCH(Tbl_Long_Section[[#This Row],[X]],Tbl_Long_Definition[X],1)</f>
        <v>#N/A</v>
      </c>
      <c r="N230" s="262" t="e">
        <f>IF(Tbl_Long_Section[[#This Row],[Nline Prev]]&lt;COUNT(Tbl_Long_Definition[X]),Tbl_Long_Section[[#This Row],[Nline Prev]]+1,Tbl_Long_Section[[#This Row],[Nline Prev]])</f>
        <v>#N/A</v>
      </c>
      <c r="O230" s="162" t="e">
        <f>INDEX(Tbl_Long_Definition[X],Tbl_Long_Section[[#This Row],[Nline Prev]])</f>
        <v>#N/A</v>
      </c>
      <c r="P230" s="263" t="e">
        <f>INDEX(Tbl_Long_Definition[X],Tbl_Long_Section[[#This Row],[Nline Next]])</f>
        <v>#N/A</v>
      </c>
      <c r="Q230" s="160" t="e">
        <f>INDEX(Tbl_Long_Definition[H Deck-Bott.],Tbl_Long_Section[[#This Row],[Nline Prev]])</f>
        <v>#N/A</v>
      </c>
      <c r="R230" s="161" t="e">
        <f>INDEX(Tbl_Long_Definition[H Deck-Bott.],Tbl_Long_Section[[#This Row],[Nline Next]])</f>
        <v>#N/A</v>
      </c>
      <c r="S230"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30" s="8"/>
    </row>
    <row r="231" spans="11:20" x14ac:dyDescent="0.25">
      <c r="K231" s="156" t="e">
        <f t="shared" si="13"/>
        <v>#N/A</v>
      </c>
      <c r="L231" s="164" t="e">
        <f t="shared" si="14"/>
        <v>#N/A</v>
      </c>
      <c r="M231" s="262" t="e">
        <f>MATCH(Tbl_Long_Section[[#This Row],[X]],Tbl_Long_Definition[X],1)</f>
        <v>#N/A</v>
      </c>
      <c r="N231" s="262" t="e">
        <f>IF(Tbl_Long_Section[[#This Row],[Nline Prev]]&lt;COUNT(Tbl_Long_Definition[X]),Tbl_Long_Section[[#This Row],[Nline Prev]]+1,Tbl_Long_Section[[#This Row],[Nline Prev]])</f>
        <v>#N/A</v>
      </c>
      <c r="O231" s="162" t="e">
        <f>INDEX(Tbl_Long_Definition[X],Tbl_Long_Section[[#This Row],[Nline Prev]])</f>
        <v>#N/A</v>
      </c>
      <c r="P231" s="263" t="e">
        <f>INDEX(Tbl_Long_Definition[X],Tbl_Long_Section[[#This Row],[Nline Next]])</f>
        <v>#N/A</v>
      </c>
      <c r="Q231" s="160" t="e">
        <f>INDEX(Tbl_Long_Definition[H Deck-Bott.],Tbl_Long_Section[[#This Row],[Nline Prev]])</f>
        <v>#N/A</v>
      </c>
      <c r="R231" s="161" t="e">
        <f>INDEX(Tbl_Long_Definition[H Deck-Bott.],Tbl_Long_Section[[#This Row],[Nline Next]])</f>
        <v>#N/A</v>
      </c>
      <c r="S231"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31" s="8"/>
    </row>
    <row r="232" spans="11:20" x14ac:dyDescent="0.25">
      <c r="K232" s="156" t="e">
        <f t="shared" si="13"/>
        <v>#N/A</v>
      </c>
      <c r="L232" s="164" t="e">
        <f t="shared" si="14"/>
        <v>#N/A</v>
      </c>
      <c r="M232" s="262" t="e">
        <f>MATCH(Tbl_Long_Section[[#This Row],[X]],Tbl_Long_Definition[X],1)</f>
        <v>#N/A</v>
      </c>
      <c r="N232" s="262" t="e">
        <f>IF(Tbl_Long_Section[[#This Row],[Nline Prev]]&lt;COUNT(Tbl_Long_Definition[X]),Tbl_Long_Section[[#This Row],[Nline Prev]]+1,Tbl_Long_Section[[#This Row],[Nline Prev]])</f>
        <v>#N/A</v>
      </c>
      <c r="O232" s="162" t="e">
        <f>INDEX(Tbl_Long_Definition[X],Tbl_Long_Section[[#This Row],[Nline Prev]])</f>
        <v>#N/A</v>
      </c>
      <c r="P232" s="263" t="e">
        <f>INDEX(Tbl_Long_Definition[X],Tbl_Long_Section[[#This Row],[Nline Next]])</f>
        <v>#N/A</v>
      </c>
      <c r="Q232" s="160" t="e">
        <f>INDEX(Tbl_Long_Definition[H Deck-Bott.],Tbl_Long_Section[[#This Row],[Nline Prev]])</f>
        <v>#N/A</v>
      </c>
      <c r="R232" s="161" t="e">
        <f>INDEX(Tbl_Long_Definition[H Deck-Bott.],Tbl_Long_Section[[#This Row],[Nline Next]])</f>
        <v>#N/A</v>
      </c>
      <c r="S232"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32" s="8"/>
    </row>
    <row r="233" spans="11:20" x14ac:dyDescent="0.25">
      <c r="K233" s="156" t="e">
        <f t="shared" si="13"/>
        <v>#N/A</v>
      </c>
      <c r="L233" s="164" t="e">
        <f t="shared" si="14"/>
        <v>#N/A</v>
      </c>
      <c r="M233" s="262" t="e">
        <f>MATCH(Tbl_Long_Section[[#This Row],[X]],Tbl_Long_Definition[X],1)</f>
        <v>#N/A</v>
      </c>
      <c r="N233" s="262" t="e">
        <f>IF(Tbl_Long_Section[[#This Row],[Nline Prev]]&lt;COUNT(Tbl_Long_Definition[X]),Tbl_Long_Section[[#This Row],[Nline Prev]]+1,Tbl_Long_Section[[#This Row],[Nline Prev]])</f>
        <v>#N/A</v>
      </c>
      <c r="O233" s="162" t="e">
        <f>INDEX(Tbl_Long_Definition[X],Tbl_Long_Section[[#This Row],[Nline Prev]])</f>
        <v>#N/A</v>
      </c>
      <c r="P233" s="263" t="e">
        <f>INDEX(Tbl_Long_Definition[X],Tbl_Long_Section[[#This Row],[Nline Next]])</f>
        <v>#N/A</v>
      </c>
      <c r="Q233" s="160" t="e">
        <f>INDEX(Tbl_Long_Definition[H Deck-Bott.],Tbl_Long_Section[[#This Row],[Nline Prev]])</f>
        <v>#N/A</v>
      </c>
      <c r="R233" s="161" t="e">
        <f>INDEX(Tbl_Long_Definition[H Deck-Bott.],Tbl_Long_Section[[#This Row],[Nline Next]])</f>
        <v>#N/A</v>
      </c>
      <c r="S233"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33" s="8"/>
    </row>
    <row r="234" spans="11:20" x14ac:dyDescent="0.25">
      <c r="K234" s="156" t="e">
        <f t="shared" si="13"/>
        <v>#N/A</v>
      </c>
      <c r="L234" s="164" t="e">
        <f t="shared" si="14"/>
        <v>#N/A</v>
      </c>
      <c r="M234" s="262" t="e">
        <f>MATCH(Tbl_Long_Section[[#This Row],[X]],Tbl_Long_Definition[X],1)</f>
        <v>#N/A</v>
      </c>
      <c r="N234" s="262" t="e">
        <f>IF(Tbl_Long_Section[[#This Row],[Nline Prev]]&lt;COUNT(Tbl_Long_Definition[X]),Tbl_Long_Section[[#This Row],[Nline Prev]]+1,Tbl_Long_Section[[#This Row],[Nline Prev]])</f>
        <v>#N/A</v>
      </c>
      <c r="O234" s="162" t="e">
        <f>INDEX(Tbl_Long_Definition[X],Tbl_Long_Section[[#This Row],[Nline Prev]])</f>
        <v>#N/A</v>
      </c>
      <c r="P234" s="263" t="e">
        <f>INDEX(Tbl_Long_Definition[X],Tbl_Long_Section[[#This Row],[Nline Next]])</f>
        <v>#N/A</v>
      </c>
      <c r="Q234" s="160" t="e">
        <f>INDEX(Tbl_Long_Definition[H Deck-Bott.],Tbl_Long_Section[[#This Row],[Nline Prev]])</f>
        <v>#N/A</v>
      </c>
      <c r="R234" s="161" t="e">
        <f>INDEX(Tbl_Long_Definition[H Deck-Bott.],Tbl_Long_Section[[#This Row],[Nline Next]])</f>
        <v>#N/A</v>
      </c>
      <c r="S234"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34" s="8"/>
    </row>
    <row r="235" spans="11:20" x14ac:dyDescent="0.25">
      <c r="K235" s="156" t="e">
        <f t="shared" si="13"/>
        <v>#N/A</v>
      </c>
      <c r="L235" s="164" t="e">
        <f t="shared" si="14"/>
        <v>#N/A</v>
      </c>
      <c r="M235" s="262" t="e">
        <f>MATCH(Tbl_Long_Section[[#This Row],[X]],Tbl_Long_Definition[X],1)</f>
        <v>#N/A</v>
      </c>
      <c r="N235" s="262" t="e">
        <f>IF(Tbl_Long_Section[[#This Row],[Nline Prev]]&lt;COUNT(Tbl_Long_Definition[X]),Tbl_Long_Section[[#This Row],[Nline Prev]]+1,Tbl_Long_Section[[#This Row],[Nline Prev]])</f>
        <v>#N/A</v>
      </c>
      <c r="O235" s="162" t="e">
        <f>INDEX(Tbl_Long_Definition[X],Tbl_Long_Section[[#This Row],[Nline Prev]])</f>
        <v>#N/A</v>
      </c>
      <c r="P235" s="263" t="e">
        <f>INDEX(Tbl_Long_Definition[X],Tbl_Long_Section[[#This Row],[Nline Next]])</f>
        <v>#N/A</v>
      </c>
      <c r="Q235" s="160" t="e">
        <f>INDEX(Tbl_Long_Definition[H Deck-Bott.],Tbl_Long_Section[[#This Row],[Nline Prev]])</f>
        <v>#N/A</v>
      </c>
      <c r="R235" s="161" t="e">
        <f>INDEX(Tbl_Long_Definition[H Deck-Bott.],Tbl_Long_Section[[#This Row],[Nline Next]])</f>
        <v>#N/A</v>
      </c>
      <c r="S235"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35" s="8"/>
    </row>
    <row r="236" spans="11:20" x14ac:dyDescent="0.25">
      <c r="K236" s="156" t="e">
        <f t="shared" si="13"/>
        <v>#N/A</v>
      </c>
      <c r="L236" s="164" t="e">
        <f t="shared" si="14"/>
        <v>#N/A</v>
      </c>
      <c r="M236" s="262" t="e">
        <f>MATCH(Tbl_Long_Section[[#This Row],[X]],Tbl_Long_Definition[X],1)</f>
        <v>#N/A</v>
      </c>
      <c r="N236" s="262" t="e">
        <f>IF(Tbl_Long_Section[[#This Row],[Nline Prev]]&lt;COUNT(Tbl_Long_Definition[X]),Tbl_Long_Section[[#This Row],[Nline Prev]]+1,Tbl_Long_Section[[#This Row],[Nline Prev]])</f>
        <v>#N/A</v>
      </c>
      <c r="O236" s="162" t="e">
        <f>INDEX(Tbl_Long_Definition[X],Tbl_Long_Section[[#This Row],[Nline Prev]])</f>
        <v>#N/A</v>
      </c>
      <c r="P236" s="263" t="e">
        <f>INDEX(Tbl_Long_Definition[X],Tbl_Long_Section[[#This Row],[Nline Next]])</f>
        <v>#N/A</v>
      </c>
      <c r="Q236" s="160" t="e">
        <f>INDEX(Tbl_Long_Definition[H Deck-Bott.],Tbl_Long_Section[[#This Row],[Nline Prev]])</f>
        <v>#N/A</v>
      </c>
      <c r="R236" s="161" t="e">
        <f>INDEX(Tbl_Long_Definition[H Deck-Bott.],Tbl_Long_Section[[#This Row],[Nline Next]])</f>
        <v>#N/A</v>
      </c>
      <c r="S236"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36" s="8"/>
    </row>
    <row r="237" spans="11:20" x14ac:dyDescent="0.25">
      <c r="K237" s="156" t="e">
        <f t="shared" si="13"/>
        <v>#N/A</v>
      </c>
      <c r="L237" s="164" t="e">
        <f t="shared" si="14"/>
        <v>#N/A</v>
      </c>
      <c r="M237" s="262" t="e">
        <f>MATCH(Tbl_Long_Section[[#This Row],[X]],Tbl_Long_Definition[X],1)</f>
        <v>#N/A</v>
      </c>
      <c r="N237" s="262" t="e">
        <f>IF(Tbl_Long_Section[[#This Row],[Nline Prev]]&lt;COUNT(Tbl_Long_Definition[X]),Tbl_Long_Section[[#This Row],[Nline Prev]]+1,Tbl_Long_Section[[#This Row],[Nline Prev]])</f>
        <v>#N/A</v>
      </c>
      <c r="O237" s="162" t="e">
        <f>INDEX(Tbl_Long_Definition[X],Tbl_Long_Section[[#This Row],[Nline Prev]])</f>
        <v>#N/A</v>
      </c>
      <c r="P237" s="263" t="e">
        <f>INDEX(Tbl_Long_Definition[X],Tbl_Long_Section[[#This Row],[Nline Next]])</f>
        <v>#N/A</v>
      </c>
      <c r="Q237" s="160" t="e">
        <f>INDEX(Tbl_Long_Definition[H Deck-Bott.],Tbl_Long_Section[[#This Row],[Nline Prev]])</f>
        <v>#N/A</v>
      </c>
      <c r="R237" s="161" t="e">
        <f>INDEX(Tbl_Long_Definition[H Deck-Bott.],Tbl_Long_Section[[#This Row],[Nline Next]])</f>
        <v>#N/A</v>
      </c>
      <c r="S237"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37" s="8"/>
    </row>
    <row r="238" spans="11:20" x14ac:dyDescent="0.25">
      <c r="K238" s="156" t="e">
        <f t="shared" si="13"/>
        <v>#N/A</v>
      </c>
      <c r="L238" s="164" t="e">
        <f t="shared" si="14"/>
        <v>#N/A</v>
      </c>
      <c r="M238" s="262" t="e">
        <f>MATCH(Tbl_Long_Section[[#This Row],[X]],Tbl_Long_Definition[X],1)</f>
        <v>#N/A</v>
      </c>
      <c r="N238" s="262" t="e">
        <f>IF(Tbl_Long_Section[[#This Row],[Nline Prev]]&lt;COUNT(Tbl_Long_Definition[X]),Tbl_Long_Section[[#This Row],[Nline Prev]]+1,Tbl_Long_Section[[#This Row],[Nline Prev]])</f>
        <v>#N/A</v>
      </c>
      <c r="O238" s="162" t="e">
        <f>INDEX(Tbl_Long_Definition[X],Tbl_Long_Section[[#This Row],[Nline Prev]])</f>
        <v>#N/A</v>
      </c>
      <c r="P238" s="263" t="e">
        <f>INDEX(Tbl_Long_Definition[X],Tbl_Long_Section[[#This Row],[Nline Next]])</f>
        <v>#N/A</v>
      </c>
      <c r="Q238" s="160" t="e">
        <f>INDEX(Tbl_Long_Definition[H Deck-Bott.],Tbl_Long_Section[[#This Row],[Nline Prev]])</f>
        <v>#N/A</v>
      </c>
      <c r="R238" s="161" t="e">
        <f>INDEX(Tbl_Long_Definition[H Deck-Bott.],Tbl_Long_Section[[#This Row],[Nline Next]])</f>
        <v>#N/A</v>
      </c>
      <c r="S238"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38" s="8"/>
    </row>
    <row r="239" spans="11:20" x14ac:dyDescent="0.25">
      <c r="K239" s="156" t="e">
        <f t="shared" si="13"/>
        <v>#N/A</v>
      </c>
      <c r="L239" s="164" t="e">
        <f t="shared" si="14"/>
        <v>#N/A</v>
      </c>
      <c r="M239" s="262" t="e">
        <f>MATCH(Tbl_Long_Section[[#This Row],[X]],Tbl_Long_Definition[X],1)</f>
        <v>#N/A</v>
      </c>
      <c r="N239" s="262" t="e">
        <f>IF(Tbl_Long_Section[[#This Row],[Nline Prev]]&lt;COUNT(Tbl_Long_Definition[X]),Tbl_Long_Section[[#This Row],[Nline Prev]]+1,Tbl_Long_Section[[#This Row],[Nline Prev]])</f>
        <v>#N/A</v>
      </c>
      <c r="O239" s="162" t="e">
        <f>INDEX(Tbl_Long_Definition[X],Tbl_Long_Section[[#This Row],[Nline Prev]])</f>
        <v>#N/A</v>
      </c>
      <c r="P239" s="263" t="e">
        <f>INDEX(Tbl_Long_Definition[X],Tbl_Long_Section[[#This Row],[Nline Next]])</f>
        <v>#N/A</v>
      </c>
      <c r="Q239" s="160" t="e">
        <f>INDEX(Tbl_Long_Definition[H Deck-Bott.],Tbl_Long_Section[[#This Row],[Nline Prev]])</f>
        <v>#N/A</v>
      </c>
      <c r="R239" s="161" t="e">
        <f>INDEX(Tbl_Long_Definition[H Deck-Bott.],Tbl_Long_Section[[#This Row],[Nline Next]])</f>
        <v>#N/A</v>
      </c>
      <c r="S239"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39" s="8"/>
    </row>
    <row r="240" spans="11:20" x14ac:dyDescent="0.25">
      <c r="K240" s="156" t="e">
        <f t="shared" si="13"/>
        <v>#N/A</v>
      </c>
      <c r="L240" s="164" t="e">
        <f t="shared" si="14"/>
        <v>#N/A</v>
      </c>
      <c r="M240" s="262" t="e">
        <f>MATCH(Tbl_Long_Section[[#This Row],[X]],Tbl_Long_Definition[X],1)</f>
        <v>#N/A</v>
      </c>
      <c r="N240" s="262" t="e">
        <f>IF(Tbl_Long_Section[[#This Row],[Nline Prev]]&lt;COUNT(Tbl_Long_Definition[X]),Tbl_Long_Section[[#This Row],[Nline Prev]]+1,Tbl_Long_Section[[#This Row],[Nline Prev]])</f>
        <v>#N/A</v>
      </c>
      <c r="O240" s="162" t="e">
        <f>INDEX(Tbl_Long_Definition[X],Tbl_Long_Section[[#This Row],[Nline Prev]])</f>
        <v>#N/A</v>
      </c>
      <c r="P240" s="263" t="e">
        <f>INDEX(Tbl_Long_Definition[X],Tbl_Long_Section[[#This Row],[Nline Next]])</f>
        <v>#N/A</v>
      </c>
      <c r="Q240" s="160" t="e">
        <f>INDEX(Tbl_Long_Definition[H Deck-Bott.],Tbl_Long_Section[[#This Row],[Nline Prev]])</f>
        <v>#N/A</v>
      </c>
      <c r="R240" s="161" t="e">
        <f>INDEX(Tbl_Long_Definition[H Deck-Bott.],Tbl_Long_Section[[#This Row],[Nline Next]])</f>
        <v>#N/A</v>
      </c>
      <c r="S240"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40" s="8"/>
    </row>
    <row r="241" spans="11:20" x14ac:dyDescent="0.25">
      <c r="K241" s="156" t="e">
        <f t="shared" si="13"/>
        <v>#N/A</v>
      </c>
      <c r="L241" s="164" t="e">
        <f t="shared" si="14"/>
        <v>#N/A</v>
      </c>
      <c r="M241" s="262" t="e">
        <f>MATCH(Tbl_Long_Section[[#This Row],[X]],Tbl_Long_Definition[X],1)</f>
        <v>#N/A</v>
      </c>
      <c r="N241" s="262" t="e">
        <f>IF(Tbl_Long_Section[[#This Row],[Nline Prev]]&lt;COUNT(Tbl_Long_Definition[X]),Tbl_Long_Section[[#This Row],[Nline Prev]]+1,Tbl_Long_Section[[#This Row],[Nline Prev]])</f>
        <v>#N/A</v>
      </c>
      <c r="O241" s="162" t="e">
        <f>INDEX(Tbl_Long_Definition[X],Tbl_Long_Section[[#This Row],[Nline Prev]])</f>
        <v>#N/A</v>
      </c>
      <c r="P241" s="263" t="e">
        <f>INDEX(Tbl_Long_Definition[X],Tbl_Long_Section[[#This Row],[Nline Next]])</f>
        <v>#N/A</v>
      </c>
      <c r="Q241" s="160" t="e">
        <f>INDEX(Tbl_Long_Definition[H Deck-Bott.],Tbl_Long_Section[[#This Row],[Nline Prev]])</f>
        <v>#N/A</v>
      </c>
      <c r="R241" s="161" t="e">
        <f>INDEX(Tbl_Long_Definition[H Deck-Bott.],Tbl_Long_Section[[#This Row],[Nline Next]])</f>
        <v>#N/A</v>
      </c>
      <c r="S241"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41" s="8"/>
    </row>
    <row r="242" spans="11:20" x14ac:dyDescent="0.25">
      <c r="K242" s="156" t="e">
        <f t="shared" si="13"/>
        <v>#N/A</v>
      </c>
      <c r="L242" s="164" t="e">
        <f t="shared" si="14"/>
        <v>#N/A</v>
      </c>
      <c r="M242" s="262" t="e">
        <f>MATCH(Tbl_Long_Section[[#This Row],[X]],Tbl_Long_Definition[X],1)</f>
        <v>#N/A</v>
      </c>
      <c r="N242" s="262" t="e">
        <f>IF(Tbl_Long_Section[[#This Row],[Nline Prev]]&lt;COUNT(Tbl_Long_Definition[X]),Tbl_Long_Section[[#This Row],[Nline Prev]]+1,Tbl_Long_Section[[#This Row],[Nline Prev]])</f>
        <v>#N/A</v>
      </c>
      <c r="O242" s="162" t="e">
        <f>INDEX(Tbl_Long_Definition[X],Tbl_Long_Section[[#This Row],[Nline Prev]])</f>
        <v>#N/A</v>
      </c>
      <c r="P242" s="263" t="e">
        <f>INDEX(Tbl_Long_Definition[X],Tbl_Long_Section[[#This Row],[Nline Next]])</f>
        <v>#N/A</v>
      </c>
      <c r="Q242" s="160" t="e">
        <f>INDEX(Tbl_Long_Definition[H Deck-Bott.],Tbl_Long_Section[[#This Row],[Nline Prev]])</f>
        <v>#N/A</v>
      </c>
      <c r="R242" s="161" t="e">
        <f>INDEX(Tbl_Long_Definition[H Deck-Bott.],Tbl_Long_Section[[#This Row],[Nline Next]])</f>
        <v>#N/A</v>
      </c>
      <c r="S242"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42" s="8"/>
    </row>
    <row r="243" spans="11:20" x14ac:dyDescent="0.25">
      <c r="K243" s="156" t="e">
        <f t="shared" si="13"/>
        <v>#N/A</v>
      </c>
      <c r="L243" s="164" t="e">
        <f t="shared" si="14"/>
        <v>#N/A</v>
      </c>
      <c r="M243" s="262" t="e">
        <f>MATCH(Tbl_Long_Section[[#This Row],[X]],Tbl_Long_Definition[X],1)</f>
        <v>#N/A</v>
      </c>
      <c r="N243" s="262" t="e">
        <f>IF(Tbl_Long_Section[[#This Row],[Nline Prev]]&lt;COUNT(Tbl_Long_Definition[X]),Tbl_Long_Section[[#This Row],[Nline Prev]]+1,Tbl_Long_Section[[#This Row],[Nline Prev]])</f>
        <v>#N/A</v>
      </c>
      <c r="O243" s="162" t="e">
        <f>INDEX(Tbl_Long_Definition[X],Tbl_Long_Section[[#This Row],[Nline Prev]])</f>
        <v>#N/A</v>
      </c>
      <c r="P243" s="263" t="e">
        <f>INDEX(Tbl_Long_Definition[X],Tbl_Long_Section[[#This Row],[Nline Next]])</f>
        <v>#N/A</v>
      </c>
      <c r="Q243" s="160" t="e">
        <f>INDEX(Tbl_Long_Definition[H Deck-Bott.],Tbl_Long_Section[[#This Row],[Nline Prev]])</f>
        <v>#N/A</v>
      </c>
      <c r="R243" s="161" t="e">
        <f>INDEX(Tbl_Long_Definition[H Deck-Bott.],Tbl_Long_Section[[#This Row],[Nline Next]])</f>
        <v>#N/A</v>
      </c>
      <c r="S243"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43" s="8"/>
    </row>
    <row r="244" spans="11:20" x14ac:dyDescent="0.25">
      <c r="K244" s="156" t="e">
        <f t="shared" si="13"/>
        <v>#N/A</v>
      </c>
      <c r="L244" s="164" t="e">
        <f t="shared" si="14"/>
        <v>#N/A</v>
      </c>
      <c r="M244" s="262" t="e">
        <f>MATCH(Tbl_Long_Section[[#This Row],[X]],Tbl_Long_Definition[X],1)</f>
        <v>#N/A</v>
      </c>
      <c r="N244" s="262" t="e">
        <f>IF(Tbl_Long_Section[[#This Row],[Nline Prev]]&lt;COUNT(Tbl_Long_Definition[X]),Tbl_Long_Section[[#This Row],[Nline Prev]]+1,Tbl_Long_Section[[#This Row],[Nline Prev]])</f>
        <v>#N/A</v>
      </c>
      <c r="O244" s="162" t="e">
        <f>INDEX(Tbl_Long_Definition[X],Tbl_Long_Section[[#This Row],[Nline Prev]])</f>
        <v>#N/A</v>
      </c>
      <c r="P244" s="263" t="e">
        <f>INDEX(Tbl_Long_Definition[X],Tbl_Long_Section[[#This Row],[Nline Next]])</f>
        <v>#N/A</v>
      </c>
      <c r="Q244" s="160" t="e">
        <f>INDEX(Tbl_Long_Definition[H Deck-Bott.],Tbl_Long_Section[[#This Row],[Nline Prev]])</f>
        <v>#N/A</v>
      </c>
      <c r="R244" s="161" t="e">
        <f>INDEX(Tbl_Long_Definition[H Deck-Bott.],Tbl_Long_Section[[#This Row],[Nline Next]])</f>
        <v>#N/A</v>
      </c>
      <c r="S244"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44" s="8"/>
    </row>
    <row r="245" spans="11:20" x14ac:dyDescent="0.25">
      <c r="K245" s="156" t="e">
        <f t="shared" si="13"/>
        <v>#N/A</v>
      </c>
      <c r="L245" s="164" t="e">
        <f t="shared" si="14"/>
        <v>#N/A</v>
      </c>
      <c r="M245" s="262" t="e">
        <f>MATCH(Tbl_Long_Section[[#This Row],[X]],Tbl_Long_Definition[X],1)</f>
        <v>#N/A</v>
      </c>
      <c r="N245" s="262" t="e">
        <f>IF(Tbl_Long_Section[[#This Row],[Nline Prev]]&lt;COUNT(Tbl_Long_Definition[X]),Tbl_Long_Section[[#This Row],[Nline Prev]]+1,Tbl_Long_Section[[#This Row],[Nline Prev]])</f>
        <v>#N/A</v>
      </c>
      <c r="O245" s="162" t="e">
        <f>INDEX(Tbl_Long_Definition[X],Tbl_Long_Section[[#This Row],[Nline Prev]])</f>
        <v>#N/A</v>
      </c>
      <c r="P245" s="263" t="e">
        <f>INDEX(Tbl_Long_Definition[X],Tbl_Long_Section[[#This Row],[Nline Next]])</f>
        <v>#N/A</v>
      </c>
      <c r="Q245" s="160" t="e">
        <f>INDEX(Tbl_Long_Definition[H Deck-Bott.],Tbl_Long_Section[[#This Row],[Nline Prev]])</f>
        <v>#N/A</v>
      </c>
      <c r="R245" s="161" t="e">
        <f>INDEX(Tbl_Long_Definition[H Deck-Bott.],Tbl_Long_Section[[#This Row],[Nline Next]])</f>
        <v>#N/A</v>
      </c>
      <c r="S245"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45" s="8"/>
    </row>
    <row r="246" spans="11:20" x14ac:dyDescent="0.25">
      <c r="K246" s="156" t="e">
        <f t="shared" si="13"/>
        <v>#N/A</v>
      </c>
      <c r="L246" s="164" t="e">
        <f t="shared" si="14"/>
        <v>#N/A</v>
      </c>
      <c r="M246" s="262" t="e">
        <f>MATCH(Tbl_Long_Section[[#This Row],[X]],Tbl_Long_Definition[X],1)</f>
        <v>#N/A</v>
      </c>
      <c r="N246" s="262" t="e">
        <f>IF(Tbl_Long_Section[[#This Row],[Nline Prev]]&lt;COUNT(Tbl_Long_Definition[X]),Tbl_Long_Section[[#This Row],[Nline Prev]]+1,Tbl_Long_Section[[#This Row],[Nline Prev]])</f>
        <v>#N/A</v>
      </c>
      <c r="O246" s="162" t="e">
        <f>INDEX(Tbl_Long_Definition[X],Tbl_Long_Section[[#This Row],[Nline Prev]])</f>
        <v>#N/A</v>
      </c>
      <c r="P246" s="263" t="e">
        <f>INDEX(Tbl_Long_Definition[X],Tbl_Long_Section[[#This Row],[Nline Next]])</f>
        <v>#N/A</v>
      </c>
      <c r="Q246" s="160" t="e">
        <f>INDEX(Tbl_Long_Definition[H Deck-Bott.],Tbl_Long_Section[[#This Row],[Nline Prev]])</f>
        <v>#N/A</v>
      </c>
      <c r="R246" s="161" t="e">
        <f>INDEX(Tbl_Long_Definition[H Deck-Bott.],Tbl_Long_Section[[#This Row],[Nline Next]])</f>
        <v>#N/A</v>
      </c>
      <c r="S246"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46" s="8"/>
    </row>
    <row r="247" spans="11:20" x14ac:dyDescent="0.25">
      <c r="K247" s="156" t="e">
        <f t="shared" si="13"/>
        <v>#N/A</v>
      </c>
      <c r="L247" s="164" t="e">
        <f t="shared" si="14"/>
        <v>#N/A</v>
      </c>
      <c r="M247" s="262" t="e">
        <f>MATCH(Tbl_Long_Section[[#This Row],[X]],Tbl_Long_Definition[X],1)</f>
        <v>#N/A</v>
      </c>
      <c r="N247" s="262" t="e">
        <f>IF(Tbl_Long_Section[[#This Row],[Nline Prev]]&lt;COUNT(Tbl_Long_Definition[X]),Tbl_Long_Section[[#This Row],[Nline Prev]]+1,Tbl_Long_Section[[#This Row],[Nline Prev]])</f>
        <v>#N/A</v>
      </c>
      <c r="O247" s="162" t="e">
        <f>INDEX(Tbl_Long_Definition[X],Tbl_Long_Section[[#This Row],[Nline Prev]])</f>
        <v>#N/A</v>
      </c>
      <c r="P247" s="263" t="e">
        <f>INDEX(Tbl_Long_Definition[X],Tbl_Long_Section[[#This Row],[Nline Next]])</f>
        <v>#N/A</v>
      </c>
      <c r="Q247" s="160" t="e">
        <f>INDEX(Tbl_Long_Definition[H Deck-Bott.],Tbl_Long_Section[[#This Row],[Nline Prev]])</f>
        <v>#N/A</v>
      </c>
      <c r="R247" s="161" t="e">
        <f>INDEX(Tbl_Long_Definition[H Deck-Bott.],Tbl_Long_Section[[#This Row],[Nline Next]])</f>
        <v>#N/A</v>
      </c>
      <c r="S247"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47" s="8"/>
    </row>
    <row r="248" spans="11:20" x14ac:dyDescent="0.25">
      <c r="K248" s="156" t="e">
        <f t="shared" si="13"/>
        <v>#N/A</v>
      </c>
      <c r="L248" s="164" t="e">
        <f t="shared" si="14"/>
        <v>#N/A</v>
      </c>
      <c r="M248" s="262" t="e">
        <f>MATCH(Tbl_Long_Section[[#This Row],[X]],Tbl_Long_Definition[X],1)</f>
        <v>#N/A</v>
      </c>
      <c r="N248" s="262" t="e">
        <f>IF(Tbl_Long_Section[[#This Row],[Nline Prev]]&lt;COUNT(Tbl_Long_Definition[X]),Tbl_Long_Section[[#This Row],[Nline Prev]]+1,Tbl_Long_Section[[#This Row],[Nline Prev]])</f>
        <v>#N/A</v>
      </c>
      <c r="O248" s="162" t="e">
        <f>INDEX(Tbl_Long_Definition[X],Tbl_Long_Section[[#This Row],[Nline Prev]])</f>
        <v>#N/A</v>
      </c>
      <c r="P248" s="263" t="e">
        <f>INDEX(Tbl_Long_Definition[X],Tbl_Long_Section[[#This Row],[Nline Next]])</f>
        <v>#N/A</v>
      </c>
      <c r="Q248" s="160" t="e">
        <f>INDEX(Tbl_Long_Definition[H Deck-Bott.],Tbl_Long_Section[[#This Row],[Nline Prev]])</f>
        <v>#N/A</v>
      </c>
      <c r="R248" s="161" t="e">
        <f>INDEX(Tbl_Long_Definition[H Deck-Bott.],Tbl_Long_Section[[#This Row],[Nline Next]])</f>
        <v>#N/A</v>
      </c>
      <c r="S248"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48" s="8"/>
    </row>
    <row r="249" spans="11:20" x14ac:dyDescent="0.25">
      <c r="K249" s="156" t="e">
        <f t="shared" si="13"/>
        <v>#N/A</v>
      </c>
      <c r="L249" s="164" t="e">
        <f t="shared" si="14"/>
        <v>#N/A</v>
      </c>
      <c r="M249" s="262" t="e">
        <f>MATCH(Tbl_Long_Section[[#This Row],[X]],Tbl_Long_Definition[X],1)</f>
        <v>#N/A</v>
      </c>
      <c r="N249" s="262" t="e">
        <f>IF(Tbl_Long_Section[[#This Row],[Nline Prev]]&lt;COUNT(Tbl_Long_Definition[X]),Tbl_Long_Section[[#This Row],[Nline Prev]]+1,Tbl_Long_Section[[#This Row],[Nline Prev]])</f>
        <v>#N/A</v>
      </c>
      <c r="O249" s="162" t="e">
        <f>INDEX(Tbl_Long_Definition[X],Tbl_Long_Section[[#This Row],[Nline Prev]])</f>
        <v>#N/A</v>
      </c>
      <c r="P249" s="263" t="e">
        <f>INDEX(Tbl_Long_Definition[X],Tbl_Long_Section[[#This Row],[Nline Next]])</f>
        <v>#N/A</v>
      </c>
      <c r="Q249" s="160" t="e">
        <f>INDEX(Tbl_Long_Definition[H Deck-Bott.],Tbl_Long_Section[[#This Row],[Nline Prev]])</f>
        <v>#N/A</v>
      </c>
      <c r="R249" s="161" t="e">
        <f>INDEX(Tbl_Long_Definition[H Deck-Bott.],Tbl_Long_Section[[#This Row],[Nline Next]])</f>
        <v>#N/A</v>
      </c>
      <c r="S249"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49" s="8"/>
    </row>
    <row r="250" spans="11:20" x14ac:dyDescent="0.25">
      <c r="K250" s="156" t="e">
        <f t="shared" si="13"/>
        <v>#N/A</v>
      </c>
      <c r="L250" s="164" t="e">
        <f t="shared" si="14"/>
        <v>#N/A</v>
      </c>
      <c r="M250" s="262" t="e">
        <f>MATCH(Tbl_Long_Section[[#This Row],[X]],Tbl_Long_Definition[X],1)</f>
        <v>#N/A</v>
      </c>
      <c r="N250" s="262" t="e">
        <f>IF(Tbl_Long_Section[[#This Row],[Nline Prev]]&lt;COUNT(Tbl_Long_Definition[X]),Tbl_Long_Section[[#This Row],[Nline Prev]]+1,Tbl_Long_Section[[#This Row],[Nline Prev]])</f>
        <v>#N/A</v>
      </c>
      <c r="O250" s="162" t="e">
        <f>INDEX(Tbl_Long_Definition[X],Tbl_Long_Section[[#This Row],[Nline Prev]])</f>
        <v>#N/A</v>
      </c>
      <c r="P250" s="263" t="e">
        <f>INDEX(Tbl_Long_Definition[X],Tbl_Long_Section[[#This Row],[Nline Next]])</f>
        <v>#N/A</v>
      </c>
      <c r="Q250" s="160" t="e">
        <f>INDEX(Tbl_Long_Definition[H Deck-Bott.],Tbl_Long_Section[[#This Row],[Nline Prev]])</f>
        <v>#N/A</v>
      </c>
      <c r="R250" s="161" t="e">
        <f>INDEX(Tbl_Long_Definition[H Deck-Bott.],Tbl_Long_Section[[#This Row],[Nline Next]])</f>
        <v>#N/A</v>
      </c>
      <c r="S250"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50" s="8"/>
    </row>
    <row r="251" spans="11:20" x14ac:dyDescent="0.25">
      <c r="K251" s="156" t="e">
        <f t="shared" si="13"/>
        <v>#N/A</v>
      </c>
      <c r="L251" s="164" t="e">
        <f t="shared" si="14"/>
        <v>#N/A</v>
      </c>
      <c r="M251" s="262" t="e">
        <f>MATCH(Tbl_Long_Section[[#This Row],[X]],Tbl_Long_Definition[X],1)</f>
        <v>#N/A</v>
      </c>
      <c r="N251" s="262" t="e">
        <f>IF(Tbl_Long_Section[[#This Row],[Nline Prev]]&lt;COUNT(Tbl_Long_Definition[X]),Tbl_Long_Section[[#This Row],[Nline Prev]]+1,Tbl_Long_Section[[#This Row],[Nline Prev]])</f>
        <v>#N/A</v>
      </c>
      <c r="O251" s="162" t="e">
        <f>INDEX(Tbl_Long_Definition[X],Tbl_Long_Section[[#This Row],[Nline Prev]])</f>
        <v>#N/A</v>
      </c>
      <c r="P251" s="263" t="e">
        <f>INDEX(Tbl_Long_Definition[X],Tbl_Long_Section[[#This Row],[Nline Next]])</f>
        <v>#N/A</v>
      </c>
      <c r="Q251" s="160" t="e">
        <f>INDEX(Tbl_Long_Definition[H Deck-Bott.],Tbl_Long_Section[[#This Row],[Nline Prev]])</f>
        <v>#N/A</v>
      </c>
      <c r="R251" s="161" t="e">
        <f>INDEX(Tbl_Long_Definition[H Deck-Bott.],Tbl_Long_Section[[#This Row],[Nline Next]])</f>
        <v>#N/A</v>
      </c>
      <c r="S251"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51" s="8"/>
    </row>
    <row r="252" spans="11:20" x14ac:dyDescent="0.25">
      <c r="K252" s="156" t="e">
        <f t="shared" si="13"/>
        <v>#N/A</v>
      </c>
      <c r="L252" s="164" t="e">
        <f t="shared" si="14"/>
        <v>#N/A</v>
      </c>
      <c r="M252" s="262" t="e">
        <f>MATCH(Tbl_Long_Section[[#This Row],[X]],Tbl_Long_Definition[X],1)</f>
        <v>#N/A</v>
      </c>
      <c r="N252" s="262" t="e">
        <f>IF(Tbl_Long_Section[[#This Row],[Nline Prev]]&lt;COUNT(Tbl_Long_Definition[X]),Tbl_Long_Section[[#This Row],[Nline Prev]]+1,Tbl_Long_Section[[#This Row],[Nline Prev]])</f>
        <v>#N/A</v>
      </c>
      <c r="O252" s="162" t="e">
        <f>INDEX(Tbl_Long_Definition[X],Tbl_Long_Section[[#This Row],[Nline Prev]])</f>
        <v>#N/A</v>
      </c>
      <c r="P252" s="263" t="e">
        <f>INDEX(Tbl_Long_Definition[X],Tbl_Long_Section[[#This Row],[Nline Next]])</f>
        <v>#N/A</v>
      </c>
      <c r="Q252" s="160" t="e">
        <f>INDEX(Tbl_Long_Definition[H Deck-Bott.],Tbl_Long_Section[[#This Row],[Nline Prev]])</f>
        <v>#N/A</v>
      </c>
      <c r="R252" s="161" t="e">
        <f>INDEX(Tbl_Long_Definition[H Deck-Bott.],Tbl_Long_Section[[#This Row],[Nline Next]])</f>
        <v>#N/A</v>
      </c>
      <c r="S252"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52" s="8"/>
    </row>
    <row r="253" spans="11:20" x14ac:dyDescent="0.25">
      <c r="K253" s="156" t="e">
        <f t="shared" si="13"/>
        <v>#N/A</v>
      </c>
      <c r="L253" s="164" t="e">
        <f t="shared" si="14"/>
        <v>#N/A</v>
      </c>
      <c r="M253" s="262" t="e">
        <f>MATCH(Tbl_Long_Section[[#This Row],[X]],Tbl_Long_Definition[X],1)</f>
        <v>#N/A</v>
      </c>
      <c r="N253" s="262" t="e">
        <f>IF(Tbl_Long_Section[[#This Row],[Nline Prev]]&lt;COUNT(Tbl_Long_Definition[X]),Tbl_Long_Section[[#This Row],[Nline Prev]]+1,Tbl_Long_Section[[#This Row],[Nline Prev]])</f>
        <v>#N/A</v>
      </c>
      <c r="O253" s="162" t="e">
        <f>INDEX(Tbl_Long_Definition[X],Tbl_Long_Section[[#This Row],[Nline Prev]])</f>
        <v>#N/A</v>
      </c>
      <c r="P253" s="263" t="e">
        <f>INDEX(Tbl_Long_Definition[X],Tbl_Long_Section[[#This Row],[Nline Next]])</f>
        <v>#N/A</v>
      </c>
      <c r="Q253" s="160" t="e">
        <f>INDEX(Tbl_Long_Definition[H Deck-Bott.],Tbl_Long_Section[[#This Row],[Nline Prev]])</f>
        <v>#N/A</v>
      </c>
      <c r="R253" s="161" t="e">
        <f>INDEX(Tbl_Long_Definition[H Deck-Bott.],Tbl_Long_Section[[#This Row],[Nline Next]])</f>
        <v>#N/A</v>
      </c>
      <c r="S253"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53" s="8"/>
    </row>
    <row r="254" spans="11:20" x14ac:dyDescent="0.25">
      <c r="K254" s="156" t="e">
        <f t="shared" si="13"/>
        <v>#N/A</v>
      </c>
      <c r="L254" s="164" t="e">
        <f t="shared" si="14"/>
        <v>#N/A</v>
      </c>
      <c r="M254" s="262" t="e">
        <f>MATCH(Tbl_Long_Section[[#This Row],[X]],Tbl_Long_Definition[X],1)</f>
        <v>#N/A</v>
      </c>
      <c r="N254" s="262" t="e">
        <f>IF(Tbl_Long_Section[[#This Row],[Nline Prev]]&lt;COUNT(Tbl_Long_Definition[X]),Tbl_Long_Section[[#This Row],[Nline Prev]]+1,Tbl_Long_Section[[#This Row],[Nline Prev]])</f>
        <v>#N/A</v>
      </c>
      <c r="O254" s="162" t="e">
        <f>INDEX(Tbl_Long_Definition[X],Tbl_Long_Section[[#This Row],[Nline Prev]])</f>
        <v>#N/A</v>
      </c>
      <c r="P254" s="263" t="e">
        <f>INDEX(Tbl_Long_Definition[X],Tbl_Long_Section[[#This Row],[Nline Next]])</f>
        <v>#N/A</v>
      </c>
      <c r="Q254" s="160" t="e">
        <f>INDEX(Tbl_Long_Definition[H Deck-Bott.],Tbl_Long_Section[[#This Row],[Nline Prev]])</f>
        <v>#N/A</v>
      </c>
      <c r="R254" s="161" t="e">
        <f>INDEX(Tbl_Long_Definition[H Deck-Bott.],Tbl_Long_Section[[#This Row],[Nline Next]])</f>
        <v>#N/A</v>
      </c>
      <c r="S254"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54" s="8"/>
    </row>
    <row r="255" spans="11:20" x14ac:dyDescent="0.25">
      <c r="K255" s="156" t="e">
        <f t="shared" si="13"/>
        <v>#N/A</v>
      </c>
      <c r="L255" s="164" t="e">
        <f t="shared" si="14"/>
        <v>#N/A</v>
      </c>
      <c r="M255" s="262" t="e">
        <f>MATCH(Tbl_Long_Section[[#This Row],[X]],Tbl_Long_Definition[X],1)</f>
        <v>#N/A</v>
      </c>
      <c r="N255" s="262" t="e">
        <f>IF(Tbl_Long_Section[[#This Row],[Nline Prev]]&lt;COUNT(Tbl_Long_Definition[X]),Tbl_Long_Section[[#This Row],[Nline Prev]]+1,Tbl_Long_Section[[#This Row],[Nline Prev]])</f>
        <v>#N/A</v>
      </c>
      <c r="O255" s="162" t="e">
        <f>INDEX(Tbl_Long_Definition[X],Tbl_Long_Section[[#This Row],[Nline Prev]])</f>
        <v>#N/A</v>
      </c>
      <c r="P255" s="263" t="e">
        <f>INDEX(Tbl_Long_Definition[X],Tbl_Long_Section[[#This Row],[Nline Next]])</f>
        <v>#N/A</v>
      </c>
      <c r="Q255" s="160" t="e">
        <f>INDEX(Tbl_Long_Definition[H Deck-Bott.],Tbl_Long_Section[[#This Row],[Nline Prev]])</f>
        <v>#N/A</v>
      </c>
      <c r="R255" s="161" t="e">
        <f>INDEX(Tbl_Long_Definition[H Deck-Bott.],Tbl_Long_Section[[#This Row],[Nline Next]])</f>
        <v>#N/A</v>
      </c>
      <c r="S255"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55" s="8"/>
    </row>
    <row r="256" spans="11:20" x14ac:dyDescent="0.25">
      <c r="K256" s="156" t="e">
        <f t="shared" si="13"/>
        <v>#N/A</v>
      </c>
      <c r="L256" s="164" t="e">
        <f t="shared" si="14"/>
        <v>#N/A</v>
      </c>
      <c r="M256" s="262" t="e">
        <f>MATCH(Tbl_Long_Section[[#This Row],[X]],Tbl_Long_Definition[X],1)</f>
        <v>#N/A</v>
      </c>
      <c r="N256" s="262" t="e">
        <f>IF(Tbl_Long_Section[[#This Row],[Nline Prev]]&lt;COUNT(Tbl_Long_Definition[X]),Tbl_Long_Section[[#This Row],[Nline Prev]]+1,Tbl_Long_Section[[#This Row],[Nline Prev]])</f>
        <v>#N/A</v>
      </c>
      <c r="O256" s="162" t="e">
        <f>INDEX(Tbl_Long_Definition[X],Tbl_Long_Section[[#This Row],[Nline Prev]])</f>
        <v>#N/A</v>
      </c>
      <c r="P256" s="263" t="e">
        <f>INDEX(Tbl_Long_Definition[X],Tbl_Long_Section[[#This Row],[Nline Next]])</f>
        <v>#N/A</v>
      </c>
      <c r="Q256" s="160" t="e">
        <f>INDEX(Tbl_Long_Definition[H Deck-Bott.],Tbl_Long_Section[[#This Row],[Nline Prev]])</f>
        <v>#N/A</v>
      </c>
      <c r="R256" s="161" t="e">
        <f>INDEX(Tbl_Long_Definition[H Deck-Bott.],Tbl_Long_Section[[#This Row],[Nline Next]])</f>
        <v>#N/A</v>
      </c>
      <c r="S256"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56" s="8"/>
    </row>
    <row r="257" spans="11:20" x14ac:dyDescent="0.25">
      <c r="K257" s="156" t="e">
        <f t="shared" si="13"/>
        <v>#N/A</v>
      </c>
      <c r="L257" s="164" t="e">
        <f t="shared" si="14"/>
        <v>#N/A</v>
      </c>
      <c r="M257" s="262" t="e">
        <f>MATCH(Tbl_Long_Section[[#This Row],[X]],Tbl_Long_Definition[X],1)</f>
        <v>#N/A</v>
      </c>
      <c r="N257" s="262" t="e">
        <f>IF(Tbl_Long_Section[[#This Row],[Nline Prev]]&lt;COUNT(Tbl_Long_Definition[X]),Tbl_Long_Section[[#This Row],[Nline Prev]]+1,Tbl_Long_Section[[#This Row],[Nline Prev]])</f>
        <v>#N/A</v>
      </c>
      <c r="O257" s="162" t="e">
        <f>INDEX(Tbl_Long_Definition[X],Tbl_Long_Section[[#This Row],[Nline Prev]])</f>
        <v>#N/A</v>
      </c>
      <c r="P257" s="263" t="e">
        <f>INDEX(Tbl_Long_Definition[X],Tbl_Long_Section[[#This Row],[Nline Next]])</f>
        <v>#N/A</v>
      </c>
      <c r="Q257" s="160" t="e">
        <f>INDEX(Tbl_Long_Definition[H Deck-Bott.],Tbl_Long_Section[[#This Row],[Nline Prev]])</f>
        <v>#N/A</v>
      </c>
      <c r="R257" s="161" t="e">
        <f>INDEX(Tbl_Long_Definition[H Deck-Bott.],Tbl_Long_Section[[#This Row],[Nline Next]])</f>
        <v>#N/A</v>
      </c>
      <c r="S257"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57" s="8"/>
    </row>
    <row r="258" spans="11:20" x14ac:dyDescent="0.25">
      <c r="K258" s="156" t="e">
        <f t="shared" si="13"/>
        <v>#N/A</v>
      </c>
      <c r="L258" s="164" t="e">
        <f t="shared" si="14"/>
        <v>#N/A</v>
      </c>
      <c r="M258" s="262" t="e">
        <f>MATCH(Tbl_Long_Section[[#This Row],[X]],Tbl_Long_Definition[X],1)</f>
        <v>#N/A</v>
      </c>
      <c r="N258" s="262" t="e">
        <f>IF(Tbl_Long_Section[[#This Row],[Nline Prev]]&lt;COUNT(Tbl_Long_Definition[X]),Tbl_Long_Section[[#This Row],[Nline Prev]]+1,Tbl_Long_Section[[#This Row],[Nline Prev]])</f>
        <v>#N/A</v>
      </c>
      <c r="O258" s="162" t="e">
        <f>INDEX(Tbl_Long_Definition[X],Tbl_Long_Section[[#This Row],[Nline Prev]])</f>
        <v>#N/A</v>
      </c>
      <c r="P258" s="263" t="e">
        <f>INDEX(Tbl_Long_Definition[X],Tbl_Long_Section[[#This Row],[Nline Next]])</f>
        <v>#N/A</v>
      </c>
      <c r="Q258" s="160" t="e">
        <f>INDEX(Tbl_Long_Definition[H Deck-Bott.],Tbl_Long_Section[[#This Row],[Nline Prev]])</f>
        <v>#N/A</v>
      </c>
      <c r="R258" s="161" t="e">
        <f>INDEX(Tbl_Long_Definition[H Deck-Bott.],Tbl_Long_Section[[#This Row],[Nline Next]])</f>
        <v>#N/A</v>
      </c>
      <c r="S258"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58" s="8"/>
    </row>
    <row r="259" spans="11:20" x14ac:dyDescent="0.25">
      <c r="K259" s="156" t="e">
        <f t="shared" si="13"/>
        <v>#N/A</v>
      </c>
      <c r="L259" s="164" t="e">
        <f t="shared" si="14"/>
        <v>#N/A</v>
      </c>
      <c r="M259" s="262" t="e">
        <f>MATCH(Tbl_Long_Section[[#This Row],[X]],Tbl_Long_Definition[X],1)</f>
        <v>#N/A</v>
      </c>
      <c r="N259" s="262" t="e">
        <f>IF(Tbl_Long_Section[[#This Row],[Nline Prev]]&lt;COUNT(Tbl_Long_Definition[X]),Tbl_Long_Section[[#This Row],[Nline Prev]]+1,Tbl_Long_Section[[#This Row],[Nline Prev]])</f>
        <v>#N/A</v>
      </c>
      <c r="O259" s="162" t="e">
        <f>INDEX(Tbl_Long_Definition[X],Tbl_Long_Section[[#This Row],[Nline Prev]])</f>
        <v>#N/A</v>
      </c>
      <c r="P259" s="263" t="e">
        <f>INDEX(Tbl_Long_Definition[X],Tbl_Long_Section[[#This Row],[Nline Next]])</f>
        <v>#N/A</v>
      </c>
      <c r="Q259" s="160" t="e">
        <f>INDEX(Tbl_Long_Definition[H Deck-Bott.],Tbl_Long_Section[[#This Row],[Nline Prev]])</f>
        <v>#N/A</v>
      </c>
      <c r="R259" s="161" t="e">
        <f>INDEX(Tbl_Long_Definition[H Deck-Bott.],Tbl_Long_Section[[#This Row],[Nline Next]])</f>
        <v>#N/A</v>
      </c>
      <c r="S259"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59" s="8"/>
    </row>
    <row r="260" spans="11:20" x14ac:dyDescent="0.25">
      <c r="K260" s="156" t="e">
        <f t="shared" si="13"/>
        <v>#N/A</v>
      </c>
      <c r="L260" s="164" t="e">
        <f t="shared" si="14"/>
        <v>#N/A</v>
      </c>
      <c r="M260" s="262" t="e">
        <f>MATCH(Tbl_Long_Section[[#This Row],[X]],Tbl_Long_Definition[X],1)</f>
        <v>#N/A</v>
      </c>
      <c r="N260" s="262" t="e">
        <f>IF(Tbl_Long_Section[[#This Row],[Nline Prev]]&lt;COUNT(Tbl_Long_Definition[X]),Tbl_Long_Section[[#This Row],[Nline Prev]]+1,Tbl_Long_Section[[#This Row],[Nline Prev]])</f>
        <v>#N/A</v>
      </c>
      <c r="O260" s="162" t="e">
        <f>INDEX(Tbl_Long_Definition[X],Tbl_Long_Section[[#This Row],[Nline Prev]])</f>
        <v>#N/A</v>
      </c>
      <c r="P260" s="263" t="e">
        <f>INDEX(Tbl_Long_Definition[X],Tbl_Long_Section[[#This Row],[Nline Next]])</f>
        <v>#N/A</v>
      </c>
      <c r="Q260" s="160" t="e">
        <f>INDEX(Tbl_Long_Definition[H Deck-Bott.],Tbl_Long_Section[[#This Row],[Nline Prev]])</f>
        <v>#N/A</v>
      </c>
      <c r="R260" s="161" t="e">
        <f>INDEX(Tbl_Long_Definition[H Deck-Bott.],Tbl_Long_Section[[#This Row],[Nline Next]])</f>
        <v>#N/A</v>
      </c>
      <c r="S260"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60" s="8"/>
    </row>
    <row r="261" spans="11:20" x14ac:dyDescent="0.25">
      <c r="K261" s="156" t="e">
        <f t="shared" si="13"/>
        <v>#N/A</v>
      </c>
      <c r="L261" s="164" t="e">
        <f t="shared" si="14"/>
        <v>#N/A</v>
      </c>
      <c r="M261" s="262" t="e">
        <f>MATCH(Tbl_Long_Section[[#This Row],[X]],Tbl_Long_Definition[X],1)</f>
        <v>#N/A</v>
      </c>
      <c r="N261" s="262" t="e">
        <f>IF(Tbl_Long_Section[[#This Row],[Nline Prev]]&lt;COUNT(Tbl_Long_Definition[X]),Tbl_Long_Section[[#This Row],[Nline Prev]]+1,Tbl_Long_Section[[#This Row],[Nline Prev]])</f>
        <v>#N/A</v>
      </c>
      <c r="O261" s="162" t="e">
        <f>INDEX(Tbl_Long_Definition[X],Tbl_Long_Section[[#This Row],[Nline Prev]])</f>
        <v>#N/A</v>
      </c>
      <c r="P261" s="263" t="e">
        <f>INDEX(Tbl_Long_Definition[X],Tbl_Long_Section[[#This Row],[Nline Next]])</f>
        <v>#N/A</v>
      </c>
      <c r="Q261" s="160" t="e">
        <f>INDEX(Tbl_Long_Definition[H Deck-Bott.],Tbl_Long_Section[[#This Row],[Nline Prev]])</f>
        <v>#N/A</v>
      </c>
      <c r="R261" s="161" t="e">
        <f>INDEX(Tbl_Long_Definition[H Deck-Bott.],Tbl_Long_Section[[#This Row],[Nline Next]])</f>
        <v>#N/A</v>
      </c>
      <c r="S261"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61" s="8"/>
    </row>
    <row r="262" spans="11:20" x14ac:dyDescent="0.25">
      <c r="K262" s="156" t="e">
        <f t="shared" ref="K262:K300" si="15">IF(ISTEXT($K261),0,IF($K261+1&gt;Last_Frame,NA(),$K261+1))</f>
        <v>#N/A</v>
      </c>
      <c r="L262" s="164" t="e">
        <f t="shared" ref="L262:L300" si="16">IF(ISTEXT($L261),0,IF($L261+FE_size&gt;Lpp,IF($L261&lt;&gt;Lpp,Lpp,NA()),$L261+FE_size))</f>
        <v>#N/A</v>
      </c>
      <c r="M262" s="262" t="e">
        <f>MATCH(Tbl_Long_Section[[#This Row],[X]],Tbl_Long_Definition[X],1)</f>
        <v>#N/A</v>
      </c>
      <c r="N262" s="262" t="e">
        <f>IF(Tbl_Long_Section[[#This Row],[Nline Prev]]&lt;COUNT(Tbl_Long_Definition[X]),Tbl_Long_Section[[#This Row],[Nline Prev]]+1,Tbl_Long_Section[[#This Row],[Nline Prev]])</f>
        <v>#N/A</v>
      </c>
      <c r="O262" s="162" t="e">
        <f>INDEX(Tbl_Long_Definition[X],Tbl_Long_Section[[#This Row],[Nline Prev]])</f>
        <v>#N/A</v>
      </c>
      <c r="P262" s="263" t="e">
        <f>INDEX(Tbl_Long_Definition[X],Tbl_Long_Section[[#This Row],[Nline Next]])</f>
        <v>#N/A</v>
      </c>
      <c r="Q262" s="160" t="e">
        <f>INDEX(Tbl_Long_Definition[H Deck-Bott.],Tbl_Long_Section[[#This Row],[Nline Prev]])</f>
        <v>#N/A</v>
      </c>
      <c r="R262" s="161" t="e">
        <f>INDEX(Tbl_Long_Definition[H Deck-Bott.],Tbl_Long_Section[[#This Row],[Nline Next]])</f>
        <v>#N/A</v>
      </c>
      <c r="S262"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62" s="8"/>
    </row>
    <row r="263" spans="11:20" x14ac:dyDescent="0.25">
      <c r="K263" s="156" t="e">
        <f t="shared" si="15"/>
        <v>#N/A</v>
      </c>
      <c r="L263" s="164" t="e">
        <f t="shared" si="16"/>
        <v>#N/A</v>
      </c>
      <c r="M263" s="262" t="e">
        <f>MATCH(Tbl_Long_Section[[#This Row],[X]],Tbl_Long_Definition[X],1)</f>
        <v>#N/A</v>
      </c>
      <c r="N263" s="262" t="e">
        <f>IF(Tbl_Long_Section[[#This Row],[Nline Prev]]&lt;COUNT(Tbl_Long_Definition[X]),Tbl_Long_Section[[#This Row],[Nline Prev]]+1,Tbl_Long_Section[[#This Row],[Nline Prev]])</f>
        <v>#N/A</v>
      </c>
      <c r="O263" s="162" t="e">
        <f>INDEX(Tbl_Long_Definition[X],Tbl_Long_Section[[#This Row],[Nline Prev]])</f>
        <v>#N/A</v>
      </c>
      <c r="P263" s="263" t="e">
        <f>INDEX(Tbl_Long_Definition[X],Tbl_Long_Section[[#This Row],[Nline Next]])</f>
        <v>#N/A</v>
      </c>
      <c r="Q263" s="160" t="e">
        <f>INDEX(Tbl_Long_Definition[H Deck-Bott.],Tbl_Long_Section[[#This Row],[Nline Prev]])</f>
        <v>#N/A</v>
      </c>
      <c r="R263" s="161" t="e">
        <f>INDEX(Tbl_Long_Definition[H Deck-Bott.],Tbl_Long_Section[[#This Row],[Nline Next]])</f>
        <v>#N/A</v>
      </c>
      <c r="S263"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63" s="8"/>
    </row>
    <row r="264" spans="11:20" x14ac:dyDescent="0.25">
      <c r="K264" s="156" t="e">
        <f t="shared" si="15"/>
        <v>#N/A</v>
      </c>
      <c r="L264" s="164" t="e">
        <f t="shared" si="16"/>
        <v>#N/A</v>
      </c>
      <c r="M264" s="262" t="e">
        <f>MATCH(Tbl_Long_Section[[#This Row],[X]],Tbl_Long_Definition[X],1)</f>
        <v>#N/A</v>
      </c>
      <c r="N264" s="262" t="e">
        <f>IF(Tbl_Long_Section[[#This Row],[Nline Prev]]&lt;COUNT(Tbl_Long_Definition[X]),Tbl_Long_Section[[#This Row],[Nline Prev]]+1,Tbl_Long_Section[[#This Row],[Nline Prev]])</f>
        <v>#N/A</v>
      </c>
      <c r="O264" s="162" t="e">
        <f>INDEX(Tbl_Long_Definition[X],Tbl_Long_Section[[#This Row],[Nline Prev]])</f>
        <v>#N/A</v>
      </c>
      <c r="P264" s="263" t="e">
        <f>INDEX(Tbl_Long_Definition[X],Tbl_Long_Section[[#This Row],[Nline Next]])</f>
        <v>#N/A</v>
      </c>
      <c r="Q264" s="160" t="e">
        <f>INDEX(Tbl_Long_Definition[H Deck-Bott.],Tbl_Long_Section[[#This Row],[Nline Prev]])</f>
        <v>#N/A</v>
      </c>
      <c r="R264" s="161" t="e">
        <f>INDEX(Tbl_Long_Definition[H Deck-Bott.],Tbl_Long_Section[[#This Row],[Nline Next]])</f>
        <v>#N/A</v>
      </c>
      <c r="S264"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64" s="8"/>
    </row>
    <row r="265" spans="11:20" x14ac:dyDescent="0.25">
      <c r="K265" s="156" t="e">
        <f t="shared" si="15"/>
        <v>#N/A</v>
      </c>
      <c r="L265" s="164" t="e">
        <f t="shared" si="16"/>
        <v>#N/A</v>
      </c>
      <c r="M265" s="262" t="e">
        <f>MATCH(Tbl_Long_Section[[#This Row],[X]],Tbl_Long_Definition[X],1)</f>
        <v>#N/A</v>
      </c>
      <c r="N265" s="262" t="e">
        <f>IF(Tbl_Long_Section[[#This Row],[Nline Prev]]&lt;COUNT(Tbl_Long_Definition[X]),Tbl_Long_Section[[#This Row],[Nline Prev]]+1,Tbl_Long_Section[[#This Row],[Nline Prev]])</f>
        <v>#N/A</v>
      </c>
      <c r="O265" s="162" t="e">
        <f>INDEX(Tbl_Long_Definition[X],Tbl_Long_Section[[#This Row],[Nline Prev]])</f>
        <v>#N/A</v>
      </c>
      <c r="P265" s="263" t="e">
        <f>INDEX(Tbl_Long_Definition[X],Tbl_Long_Section[[#This Row],[Nline Next]])</f>
        <v>#N/A</v>
      </c>
      <c r="Q265" s="160" t="e">
        <f>INDEX(Tbl_Long_Definition[H Deck-Bott.],Tbl_Long_Section[[#This Row],[Nline Prev]])</f>
        <v>#N/A</v>
      </c>
      <c r="R265" s="161" t="e">
        <f>INDEX(Tbl_Long_Definition[H Deck-Bott.],Tbl_Long_Section[[#This Row],[Nline Next]])</f>
        <v>#N/A</v>
      </c>
      <c r="S265"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65" s="8"/>
    </row>
    <row r="266" spans="11:20" x14ac:dyDescent="0.25">
      <c r="K266" s="156" t="e">
        <f t="shared" si="15"/>
        <v>#N/A</v>
      </c>
      <c r="L266" s="164" t="e">
        <f t="shared" si="16"/>
        <v>#N/A</v>
      </c>
      <c r="M266" s="262" t="e">
        <f>MATCH(Tbl_Long_Section[[#This Row],[X]],Tbl_Long_Definition[X],1)</f>
        <v>#N/A</v>
      </c>
      <c r="N266" s="262" t="e">
        <f>IF(Tbl_Long_Section[[#This Row],[Nline Prev]]&lt;COUNT(Tbl_Long_Definition[X]),Tbl_Long_Section[[#This Row],[Nline Prev]]+1,Tbl_Long_Section[[#This Row],[Nline Prev]])</f>
        <v>#N/A</v>
      </c>
      <c r="O266" s="162" t="e">
        <f>INDEX(Tbl_Long_Definition[X],Tbl_Long_Section[[#This Row],[Nline Prev]])</f>
        <v>#N/A</v>
      </c>
      <c r="P266" s="263" t="e">
        <f>INDEX(Tbl_Long_Definition[X],Tbl_Long_Section[[#This Row],[Nline Next]])</f>
        <v>#N/A</v>
      </c>
      <c r="Q266" s="160" t="e">
        <f>INDEX(Tbl_Long_Definition[H Deck-Bott.],Tbl_Long_Section[[#This Row],[Nline Prev]])</f>
        <v>#N/A</v>
      </c>
      <c r="R266" s="161" t="e">
        <f>INDEX(Tbl_Long_Definition[H Deck-Bott.],Tbl_Long_Section[[#This Row],[Nline Next]])</f>
        <v>#N/A</v>
      </c>
      <c r="S266"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66" s="8"/>
    </row>
    <row r="267" spans="11:20" x14ac:dyDescent="0.25">
      <c r="K267" s="156" t="e">
        <f t="shared" si="15"/>
        <v>#N/A</v>
      </c>
      <c r="L267" s="164" t="e">
        <f t="shared" si="16"/>
        <v>#N/A</v>
      </c>
      <c r="M267" s="262" t="e">
        <f>MATCH(Tbl_Long_Section[[#This Row],[X]],Tbl_Long_Definition[X],1)</f>
        <v>#N/A</v>
      </c>
      <c r="N267" s="262" t="e">
        <f>IF(Tbl_Long_Section[[#This Row],[Nline Prev]]&lt;COUNT(Tbl_Long_Definition[X]),Tbl_Long_Section[[#This Row],[Nline Prev]]+1,Tbl_Long_Section[[#This Row],[Nline Prev]])</f>
        <v>#N/A</v>
      </c>
      <c r="O267" s="162" t="e">
        <f>INDEX(Tbl_Long_Definition[X],Tbl_Long_Section[[#This Row],[Nline Prev]])</f>
        <v>#N/A</v>
      </c>
      <c r="P267" s="263" t="e">
        <f>INDEX(Tbl_Long_Definition[X],Tbl_Long_Section[[#This Row],[Nline Next]])</f>
        <v>#N/A</v>
      </c>
      <c r="Q267" s="160" t="e">
        <f>INDEX(Tbl_Long_Definition[H Deck-Bott.],Tbl_Long_Section[[#This Row],[Nline Prev]])</f>
        <v>#N/A</v>
      </c>
      <c r="R267" s="161" t="e">
        <f>INDEX(Tbl_Long_Definition[H Deck-Bott.],Tbl_Long_Section[[#This Row],[Nline Next]])</f>
        <v>#N/A</v>
      </c>
      <c r="S267"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67" s="8"/>
    </row>
    <row r="268" spans="11:20" x14ac:dyDescent="0.25">
      <c r="K268" s="156" t="e">
        <f t="shared" si="15"/>
        <v>#N/A</v>
      </c>
      <c r="L268" s="164" t="e">
        <f t="shared" si="16"/>
        <v>#N/A</v>
      </c>
      <c r="M268" s="262" t="e">
        <f>MATCH(Tbl_Long_Section[[#This Row],[X]],Tbl_Long_Definition[X],1)</f>
        <v>#N/A</v>
      </c>
      <c r="N268" s="262" t="e">
        <f>IF(Tbl_Long_Section[[#This Row],[Nline Prev]]&lt;COUNT(Tbl_Long_Definition[X]),Tbl_Long_Section[[#This Row],[Nline Prev]]+1,Tbl_Long_Section[[#This Row],[Nline Prev]])</f>
        <v>#N/A</v>
      </c>
      <c r="O268" s="162" t="e">
        <f>INDEX(Tbl_Long_Definition[X],Tbl_Long_Section[[#This Row],[Nline Prev]])</f>
        <v>#N/A</v>
      </c>
      <c r="P268" s="263" t="e">
        <f>INDEX(Tbl_Long_Definition[X],Tbl_Long_Section[[#This Row],[Nline Next]])</f>
        <v>#N/A</v>
      </c>
      <c r="Q268" s="160" t="e">
        <f>INDEX(Tbl_Long_Definition[H Deck-Bott.],Tbl_Long_Section[[#This Row],[Nline Prev]])</f>
        <v>#N/A</v>
      </c>
      <c r="R268" s="161" t="e">
        <f>INDEX(Tbl_Long_Definition[H Deck-Bott.],Tbl_Long_Section[[#This Row],[Nline Next]])</f>
        <v>#N/A</v>
      </c>
      <c r="S268"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68" s="8"/>
    </row>
    <row r="269" spans="11:20" x14ac:dyDescent="0.25">
      <c r="K269" s="156" t="e">
        <f t="shared" si="15"/>
        <v>#N/A</v>
      </c>
      <c r="L269" s="164" t="e">
        <f t="shared" si="16"/>
        <v>#N/A</v>
      </c>
      <c r="M269" s="262" t="e">
        <f>MATCH(Tbl_Long_Section[[#This Row],[X]],Tbl_Long_Definition[X],1)</f>
        <v>#N/A</v>
      </c>
      <c r="N269" s="262" t="e">
        <f>IF(Tbl_Long_Section[[#This Row],[Nline Prev]]&lt;COUNT(Tbl_Long_Definition[X]),Tbl_Long_Section[[#This Row],[Nline Prev]]+1,Tbl_Long_Section[[#This Row],[Nline Prev]])</f>
        <v>#N/A</v>
      </c>
      <c r="O269" s="162" t="e">
        <f>INDEX(Tbl_Long_Definition[X],Tbl_Long_Section[[#This Row],[Nline Prev]])</f>
        <v>#N/A</v>
      </c>
      <c r="P269" s="263" t="e">
        <f>INDEX(Tbl_Long_Definition[X],Tbl_Long_Section[[#This Row],[Nline Next]])</f>
        <v>#N/A</v>
      </c>
      <c r="Q269" s="160" t="e">
        <f>INDEX(Tbl_Long_Definition[H Deck-Bott.],Tbl_Long_Section[[#This Row],[Nline Prev]])</f>
        <v>#N/A</v>
      </c>
      <c r="R269" s="161" t="e">
        <f>INDEX(Tbl_Long_Definition[H Deck-Bott.],Tbl_Long_Section[[#This Row],[Nline Next]])</f>
        <v>#N/A</v>
      </c>
      <c r="S269"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69" s="8"/>
    </row>
    <row r="270" spans="11:20" x14ac:dyDescent="0.25">
      <c r="K270" s="156" t="e">
        <f t="shared" si="15"/>
        <v>#N/A</v>
      </c>
      <c r="L270" s="164" t="e">
        <f t="shared" si="16"/>
        <v>#N/A</v>
      </c>
      <c r="M270" s="262" t="e">
        <f>MATCH(Tbl_Long_Section[[#This Row],[X]],Tbl_Long_Definition[X],1)</f>
        <v>#N/A</v>
      </c>
      <c r="N270" s="262" t="e">
        <f>IF(Tbl_Long_Section[[#This Row],[Nline Prev]]&lt;COUNT(Tbl_Long_Definition[X]),Tbl_Long_Section[[#This Row],[Nline Prev]]+1,Tbl_Long_Section[[#This Row],[Nline Prev]])</f>
        <v>#N/A</v>
      </c>
      <c r="O270" s="162" t="e">
        <f>INDEX(Tbl_Long_Definition[X],Tbl_Long_Section[[#This Row],[Nline Prev]])</f>
        <v>#N/A</v>
      </c>
      <c r="P270" s="263" t="e">
        <f>INDEX(Tbl_Long_Definition[X],Tbl_Long_Section[[#This Row],[Nline Next]])</f>
        <v>#N/A</v>
      </c>
      <c r="Q270" s="160" t="e">
        <f>INDEX(Tbl_Long_Definition[H Deck-Bott.],Tbl_Long_Section[[#This Row],[Nline Prev]])</f>
        <v>#N/A</v>
      </c>
      <c r="R270" s="161" t="e">
        <f>INDEX(Tbl_Long_Definition[H Deck-Bott.],Tbl_Long_Section[[#This Row],[Nline Next]])</f>
        <v>#N/A</v>
      </c>
      <c r="S270"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70" s="8"/>
    </row>
    <row r="271" spans="11:20" x14ac:dyDescent="0.25">
      <c r="K271" s="156" t="e">
        <f t="shared" si="15"/>
        <v>#N/A</v>
      </c>
      <c r="L271" s="164" t="e">
        <f t="shared" si="16"/>
        <v>#N/A</v>
      </c>
      <c r="M271" s="262" t="e">
        <f>MATCH(Tbl_Long_Section[[#This Row],[X]],Tbl_Long_Definition[X],1)</f>
        <v>#N/A</v>
      </c>
      <c r="N271" s="262" t="e">
        <f>IF(Tbl_Long_Section[[#This Row],[Nline Prev]]&lt;COUNT(Tbl_Long_Definition[X]),Tbl_Long_Section[[#This Row],[Nline Prev]]+1,Tbl_Long_Section[[#This Row],[Nline Prev]])</f>
        <v>#N/A</v>
      </c>
      <c r="O271" s="162" t="e">
        <f>INDEX(Tbl_Long_Definition[X],Tbl_Long_Section[[#This Row],[Nline Prev]])</f>
        <v>#N/A</v>
      </c>
      <c r="P271" s="263" t="e">
        <f>INDEX(Tbl_Long_Definition[X],Tbl_Long_Section[[#This Row],[Nline Next]])</f>
        <v>#N/A</v>
      </c>
      <c r="Q271" s="160" t="e">
        <f>INDEX(Tbl_Long_Definition[H Deck-Bott.],Tbl_Long_Section[[#This Row],[Nline Prev]])</f>
        <v>#N/A</v>
      </c>
      <c r="R271" s="161" t="e">
        <f>INDEX(Tbl_Long_Definition[H Deck-Bott.],Tbl_Long_Section[[#This Row],[Nline Next]])</f>
        <v>#N/A</v>
      </c>
      <c r="S271"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71" s="8"/>
    </row>
    <row r="272" spans="11:20" x14ac:dyDescent="0.25">
      <c r="K272" s="156" t="e">
        <f t="shared" si="15"/>
        <v>#N/A</v>
      </c>
      <c r="L272" s="164" t="e">
        <f t="shared" si="16"/>
        <v>#N/A</v>
      </c>
      <c r="M272" s="262" t="e">
        <f>MATCH(Tbl_Long_Section[[#This Row],[X]],Tbl_Long_Definition[X],1)</f>
        <v>#N/A</v>
      </c>
      <c r="N272" s="262" t="e">
        <f>IF(Tbl_Long_Section[[#This Row],[Nline Prev]]&lt;COUNT(Tbl_Long_Definition[X]),Tbl_Long_Section[[#This Row],[Nline Prev]]+1,Tbl_Long_Section[[#This Row],[Nline Prev]])</f>
        <v>#N/A</v>
      </c>
      <c r="O272" s="162" t="e">
        <f>INDEX(Tbl_Long_Definition[X],Tbl_Long_Section[[#This Row],[Nline Prev]])</f>
        <v>#N/A</v>
      </c>
      <c r="P272" s="263" t="e">
        <f>INDEX(Tbl_Long_Definition[X],Tbl_Long_Section[[#This Row],[Nline Next]])</f>
        <v>#N/A</v>
      </c>
      <c r="Q272" s="160" t="e">
        <f>INDEX(Tbl_Long_Definition[H Deck-Bott.],Tbl_Long_Section[[#This Row],[Nline Prev]])</f>
        <v>#N/A</v>
      </c>
      <c r="R272" s="161" t="e">
        <f>INDEX(Tbl_Long_Definition[H Deck-Bott.],Tbl_Long_Section[[#This Row],[Nline Next]])</f>
        <v>#N/A</v>
      </c>
      <c r="S272"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72" s="8"/>
    </row>
    <row r="273" spans="11:20" x14ac:dyDescent="0.25">
      <c r="K273" s="156" t="e">
        <f t="shared" si="15"/>
        <v>#N/A</v>
      </c>
      <c r="L273" s="164" t="e">
        <f t="shared" si="16"/>
        <v>#N/A</v>
      </c>
      <c r="M273" s="262" t="e">
        <f>MATCH(Tbl_Long_Section[[#This Row],[X]],Tbl_Long_Definition[X],1)</f>
        <v>#N/A</v>
      </c>
      <c r="N273" s="262" t="e">
        <f>IF(Tbl_Long_Section[[#This Row],[Nline Prev]]&lt;COUNT(Tbl_Long_Definition[X]),Tbl_Long_Section[[#This Row],[Nline Prev]]+1,Tbl_Long_Section[[#This Row],[Nline Prev]])</f>
        <v>#N/A</v>
      </c>
      <c r="O273" s="162" t="e">
        <f>INDEX(Tbl_Long_Definition[X],Tbl_Long_Section[[#This Row],[Nline Prev]])</f>
        <v>#N/A</v>
      </c>
      <c r="P273" s="263" t="e">
        <f>INDEX(Tbl_Long_Definition[X],Tbl_Long_Section[[#This Row],[Nline Next]])</f>
        <v>#N/A</v>
      </c>
      <c r="Q273" s="160" t="e">
        <f>INDEX(Tbl_Long_Definition[H Deck-Bott.],Tbl_Long_Section[[#This Row],[Nline Prev]])</f>
        <v>#N/A</v>
      </c>
      <c r="R273" s="161" t="e">
        <f>INDEX(Tbl_Long_Definition[H Deck-Bott.],Tbl_Long_Section[[#This Row],[Nline Next]])</f>
        <v>#N/A</v>
      </c>
      <c r="S273"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73" s="8"/>
    </row>
    <row r="274" spans="11:20" x14ac:dyDescent="0.25">
      <c r="K274" s="156" t="e">
        <f t="shared" si="15"/>
        <v>#N/A</v>
      </c>
      <c r="L274" s="164" t="e">
        <f t="shared" si="16"/>
        <v>#N/A</v>
      </c>
      <c r="M274" s="262" t="e">
        <f>MATCH(Tbl_Long_Section[[#This Row],[X]],Tbl_Long_Definition[X],1)</f>
        <v>#N/A</v>
      </c>
      <c r="N274" s="262" t="e">
        <f>IF(Tbl_Long_Section[[#This Row],[Nline Prev]]&lt;COUNT(Tbl_Long_Definition[X]),Tbl_Long_Section[[#This Row],[Nline Prev]]+1,Tbl_Long_Section[[#This Row],[Nline Prev]])</f>
        <v>#N/A</v>
      </c>
      <c r="O274" s="162" t="e">
        <f>INDEX(Tbl_Long_Definition[X],Tbl_Long_Section[[#This Row],[Nline Prev]])</f>
        <v>#N/A</v>
      </c>
      <c r="P274" s="263" t="e">
        <f>INDEX(Tbl_Long_Definition[X],Tbl_Long_Section[[#This Row],[Nline Next]])</f>
        <v>#N/A</v>
      </c>
      <c r="Q274" s="160" t="e">
        <f>INDEX(Tbl_Long_Definition[H Deck-Bott.],Tbl_Long_Section[[#This Row],[Nline Prev]])</f>
        <v>#N/A</v>
      </c>
      <c r="R274" s="161" t="e">
        <f>INDEX(Tbl_Long_Definition[H Deck-Bott.],Tbl_Long_Section[[#This Row],[Nline Next]])</f>
        <v>#N/A</v>
      </c>
      <c r="S274"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74" s="8"/>
    </row>
    <row r="275" spans="11:20" x14ac:dyDescent="0.25">
      <c r="K275" s="156" t="e">
        <f t="shared" si="15"/>
        <v>#N/A</v>
      </c>
      <c r="L275" s="164" t="e">
        <f t="shared" si="16"/>
        <v>#N/A</v>
      </c>
      <c r="M275" s="262" t="e">
        <f>MATCH(Tbl_Long_Section[[#This Row],[X]],Tbl_Long_Definition[X],1)</f>
        <v>#N/A</v>
      </c>
      <c r="N275" s="262" t="e">
        <f>IF(Tbl_Long_Section[[#This Row],[Nline Prev]]&lt;COUNT(Tbl_Long_Definition[X]),Tbl_Long_Section[[#This Row],[Nline Prev]]+1,Tbl_Long_Section[[#This Row],[Nline Prev]])</f>
        <v>#N/A</v>
      </c>
      <c r="O275" s="162" t="e">
        <f>INDEX(Tbl_Long_Definition[X],Tbl_Long_Section[[#This Row],[Nline Prev]])</f>
        <v>#N/A</v>
      </c>
      <c r="P275" s="263" t="e">
        <f>INDEX(Tbl_Long_Definition[X],Tbl_Long_Section[[#This Row],[Nline Next]])</f>
        <v>#N/A</v>
      </c>
      <c r="Q275" s="160" t="e">
        <f>INDEX(Tbl_Long_Definition[H Deck-Bott.],Tbl_Long_Section[[#This Row],[Nline Prev]])</f>
        <v>#N/A</v>
      </c>
      <c r="R275" s="161" t="e">
        <f>INDEX(Tbl_Long_Definition[H Deck-Bott.],Tbl_Long_Section[[#This Row],[Nline Next]])</f>
        <v>#N/A</v>
      </c>
      <c r="S275"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75" s="8"/>
    </row>
    <row r="276" spans="11:20" x14ac:dyDescent="0.25">
      <c r="K276" s="156" t="e">
        <f t="shared" si="15"/>
        <v>#N/A</v>
      </c>
      <c r="L276" s="164" t="e">
        <f t="shared" si="16"/>
        <v>#N/A</v>
      </c>
      <c r="M276" s="262" t="e">
        <f>MATCH(Tbl_Long_Section[[#This Row],[X]],Tbl_Long_Definition[X],1)</f>
        <v>#N/A</v>
      </c>
      <c r="N276" s="262" t="e">
        <f>IF(Tbl_Long_Section[[#This Row],[Nline Prev]]&lt;COUNT(Tbl_Long_Definition[X]),Tbl_Long_Section[[#This Row],[Nline Prev]]+1,Tbl_Long_Section[[#This Row],[Nline Prev]])</f>
        <v>#N/A</v>
      </c>
      <c r="O276" s="162" t="e">
        <f>INDEX(Tbl_Long_Definition[X],Tbl_Long_Section[[#This Row],[Nline Prev]])</f>
        <v>#N/A</v>
      </c>
      <c r="P276" s="263" t="e">
        <f>INDEX(Tbl_Long_Definition[X],Tbl_Long_Section[[#This Row],[Nline Next]])</f>
        <v>#N/A</v>
      </c>
      <c r="Q276" s="160" t="e">
        <f>INDEX(Tbl_Long_Definition[H Deck-Bott.],Tbl_Long_Section[[#This Row],[Nline Prev]])</f>
        <v>#N/A</v>
      </c>
      <c r="R276" s="161" t="e">
        <f>INDEX(Tbl_Long_Definition[H Deck-Bott.],Tbl_Long_Section[[#This Row],[Nline Next]])</f>
        <v>#N/A</v>
      </c>
      <c r="S276"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76" s="8"/>
    </row>
    <row r="277" spans="11:20" x14ac:dyDescent="0.25">
      <c r="K277" s="156" t="e">
        <f t="shared" si="15"/>
        <v>#N/A</v>
      </c>
      <c r="L277" s="164" t="e">
        <f t="shared" si="16"/>
        <v>#N/A</v>
      </c>
      <c r="M277" s="262" t="e">
        <f>MATCH(Tbl_Long_Section[[#This Row],[X]],Tbl_Long_Definition[X],1)</f>
        <v>#N/A</v>
      </c>
      <c r="N277" s="262" t="e">
        <f>IF(Tbl_Long_Section[[#This Row],[Nline Prev]]&lt;COUNT(Tbl_Long_Definition[X]),Tbl_Long_Section[[#This Row],[Nline Prev]]+1,Tbl_Long_Section[[#This Row],[Nline Prev]])</f>
        <v>#N/A</v>
      </c>
      <c r="O277" s="162" t="e">
        <f>INDEX(Tbl_Long_Definition[X],Tbl_Long_Section[[#This Row],[Nline Prev]])</f>
        <v>#N/A</v>
      </c>
      <c r="P277" s="263" t="e">
        <f>INDEX(Tbl_Long_Definition[X],Tbl_Long_Section[[#This Row],[Nline Next]])</f>
        <v>#N/A</v>
      </c>
      <c r="Q277" s="160" t="e">
        <f>INDEX(Tbl_Long_Definition[H Deck-Bott.],Tbl_Long_Section[[#This Row],[Nline Prev]])</f>
        <v>#N/A</v>
      </c>
      <c r="R277" s="161" t="e">
        <f>INDEX(Tbl_Long_Definition[H Deck-Bott.],Tbl_Long_Section[[#This Row],[Nline Next]])</f>
        <v>#N/A</v>
      </c>
      <c r="S277"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77" s="8"/>
    </row>
    <row r="278" spans="11:20" x14ac:dyDescent="0.25">
      <c r="K278" s="156" t="e">
        <f t="shared" si="15"/>
        <v>#N/A</v>
      </c>
      <c r="L278" s="164" t="e">
        <f t="shared" si="16"/>
        <v>#N/A</v>
      </c>
      <c r="M278" s="262" t="e">
        <f>MATCH(Tbl_Long_Section[[#This Row],[X]],Tbl_Long_Definition[X],1)</f>
        <v>#N/A</v>
      </c>
      <c r="N278" s="262" t="e">
        <f>IF(Tbl_Long_Section[[#This Row],[Nline Prev]]&lt;COUNT(Tbl_Long_Definition[X]),Tbl_Long_Section[[#This Row],[Nline Prev]]+1,Tbl_Long_Section[[#This Row],[Nline Prev]])</f>
        <v>#N/A</v>
      </c>
      <c r="O278" s="162" t="e">
        <f>INDEX(Tbl_Long_Definition[X],Tbl_Long_Section[[#This Row],[Nline Prev]])</f>
        <v>#N/A</v>
      </c>
      <c r="P278" s="263" t="e">
        <f>INDEX(Tbl_Long_Definition[X],Tbl_Long_Section[[#This Row],[Nline Next]])</f>
        <v>#N/A</v>
      </c>
      <c r="Q278" s="160" t="e">
        <f>INDEX(Tbl_Long_Definition[H Deck-Bott.],Tbl_Long_Section[[#This Row],[Nline Prev]])</f>
        <v>#N/A</v>
      </c>
      <c r="R278" s="161" t="e">
        <f>INDEX(Tbl_Long_Definition[H Deck-Bott.],Tbl_Long_Section[[#This Row],[Nline Next]])</f>
        <v>#N/A</v>
      </c>
      <c r="S278"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78" s="8"/>
    </row>
    <row r="279" spans="11:20" x14ac:dyDescent="0.25">
      <c r="K279" s="156" t="e">
        <f t="shared" si="15"/>
        <v>#N/A</v>
      </c>
      <c r="L279" s="164" t="e">
        <f t="shared" si="16"/>
        <v>#N/A</v>
      </c>
      <c r="M279" s="262" t="e">
        <f>MATCH(Tbl_Long_Section[[#This Row],[X]],Tbl_Long_Definition[X],1)</f>
        <v>#N/A</v>
      </c>
      <c r="N279" s="262" t="e">
        <f>IF(Tbl_Long_Section[[#This Row],[Nline Prev]]&lt;COUNT(Tbl_Long_Definition[X]),Tbl_Long_Section[[#This Row],[Nline Prev]]+1,Tbl_Long_Section[[#This Row],[Nline Prev]])</f>
        <v>#N/A</v>
      </c>
      <c r="O279" s="162" t="e">
        <f>INDEX(Tbl_Long_Definition[X],Tbl_Long_Section[[#This Row],[Nline Prev]])</f>
        <v>#N/A</v>
      </c>
      <c r="P279" s="263" t="e">
        <f>INDEX(Tbl_Long_Definition[X],Tbl_Long_Section[[#This Row],[Nline Next]])</f>
        <v>#N/A</v>
      </c>
      <c r="Q279" s="160" t="e">
        <f>INDEX(Tbl_Long_Definition[H Deck-Bott.],Tbl_Long_Section[[#This Row],[Nline Prev]])</f>
        <v>#N/A</v>
      </c>
      <c r="R279" s="161" t="e">
        <f>INDEX(Tbl_Long_Definition[H Deck-Bott.],Tbl_Long_Section[[#This Row],[Nline Next]])</f>
        <v>#N/A</v>
      </c>
      <c r="S279"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79" s="8"/>
    </row>
    <row r="280" spans="11:20" x14ac:dyDescent="0.25">
      <c r="K280" s="156" t="e">
        <f t="shared" si="15"/>
        <v>#N/A</v>
      </c>
      <c r="L280" s="164" t="e">
        <f t="shared" si="16"/>
        <v>#N/A</v>
      </c>
      <c r="M280" s="262" t="e">
        <f>MATCH(Tbl_Long_Section[[#This Row],[X]],Tbl_Long_Definition[X],1)</f>
        <v>#N/A</v>
      </c>
      <c r="N280" s="262" t="e">
        <f>IF(Tbl_Long_Section[[#This Row],[Nline Prev]]&lt;COUNT(Tbl_Long_Definition[X]),Tbl_Long_Section[[#This Row],[Nline Prev]]+1,Tbl_Long_Section[[#This Row],[Nline Prev]])</f>
        <v>#N/A</v>
      </c>
      <c r="O280" s="162" t="e">
        <f>INDEX(Tbl_Long_Definition[X],Tbl_Long_Section[[#This Row],[Nline Prev]])</f>
        <v>#N/A</v>
      </c>
      <c r="P280" s="263" t="e">
        <f>INDEX(Tbl_Long_Definition[X],Tbl_Long_Section[[#This Row],[Nline Next]])</f>
        <v>#N/A</v>
      </c>
      <c r="Q280" s="160" t="e">
        <f>INDEX(Tbl_Long_Definition[H Deck-Bott.],Tbl_Long_Section[[#This Row],[Nline Prev]])</f>
        <v>#N/A</v>
      </c>
      <c r="R280" s="161" t="e">
        <f>INDEX(Tbl_Long_Definition[H Deck-Bott.],Tbl_Long_Section[[#This Row],[Nline Next]])</f>
        <v>#N/A</v>
      </c>
      <c r="S280"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80" s="8"/>
    </row>
    <row r="281" spans="11:20" x14ac:dyDescent="0.25">
      <c r="K281" s="156" t="e">
        <f t="shared" si="15"/>
        <v>#N/A</v>
      </c>
      <c r="L281" s="164" t="e">
        <f t="shared" si="16"/>
        <v>#N/A</v>
      </c>
      <c r="M281" s="262" t="e">
        <f>MATCH(Tbl_Long_Section[[#This Row],[X]],Tbl_Long_Definition[X],1)</f>
        <v>#N/A</v>
      </c>
      <c r="N281" s="262" t="e">
        <f>IF(Tbl_Long_Section[[#This Row],[Nline Prev]]&lt;COUNT(Tbl_Long_Definition[X]),Tbl_Long_Section[[#This Row],[Nline Prev]]+1,Tbl_Long_Section[[#This Row],[Nline Prev]])</f>
        <v>#N/A</v>
      </c>
      <c r="O281" s="162" t="e">
        <f>INDEX(Tbl_Long_Definition[X],Tbl_Long_Section[[#This Row],[Nline Prev]])</f>
        <v>#N/A</v>
      </c>
      <c r="P281" s="263" t="e">
        <f>INDEX(Tbl_Long_Definition[X],Tbl_Long_Section[[#This Row],[Nline Next]])</f>
        <v>#N/A</v>
      </c>
      <c r="Q281" s="160" t="e">
        <f>INDEX(Tbl_Long_Definition[H Deck-Bott.],Tbl_Long_Section[[#This Row],[Nline Prev]])</f>
        <v>#N/A</v>
      </c>
      <c r="R281" s="161" t="e">
        <f>INDEX(Tbl_Long_Definition[H Deck-Bott.],Tbl_Long_Section[[#This Row],[Nline Next]])</f>
        <v>#N/A</v>
      </c>
      <c r="S281"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81" s="8"/>
    </row>
    <row r="282" spans="11:20" x14ac:dyDescent="0.25">
      <c r="K282" s="156" t="e">
        <f t="shared" si="15"/>
        <v>#N/A</v>
      </c>
      <c r="L282" s="164" t="e">
        <f t="shared" si="16"/>
        <v>#N/A</v>
      </c>
      <c r="M282" s="262" t="e">
        <f>MATCH(Tbl_Long_Section[[#This Row],[X]],Tbl_Long_Definition[X],1)</f>
        <v>#N/A</v>
      </c>
      <c r="N282" s="262" t="e">
        <f>IF(Tbl_Long_Section[[#This Row],[Nline Prev]]&lt;COUNT(Tbl_Long_Definition[X]),Tbl_Long_Section[[#This Row],[Nline Prev]]+1,Tbl_Long_Section[[#This Row],[Nline Prev]])</f>
        <v>#N/A</v>
      </c>
      <c r="O282" s="162" t="e">
        <f>INDEX(Tbl_Long_Definition[X],Tbl_Long_Section[[#This Row],[Nline Prev]])</f>
        <v>#N/A</v>
      </c>
      <c r="P282" s="263" t="e">
        <f>INDEX(Tbl_Long_Definition[X],Tbl_Long_Section[[#This Row],[Nline Next]])</f>
        <v>#N/A</v>
      </c>
      <c r="Q282" s="160" t="e">
        <f>INDEX(Tbl_Long_Definition[H Deck-Bott.],Tbl_Long_Section[[#This Row],[Nline Prev]])</f>
        <v>#N/A</v>
      </c>
      <c r="R282" s="161" t="e">
        <f>INDEX(Tbl_Long_Definition[H Deck-Bott.],Tbl_Long_Section[[#This Row],[Nline Next]])</f>
        <v>#N/A</v>
      </c>
      <c r="S282"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82" s="8"/>
    </row>
    <row r="283" spans="11:20" x14ac:dyDescent="0.25">
      <c r="K283" s="156" t="e">
        <f t="shared" si="15"/>
        <v>#N/A</v>
      </c>
      <c r="L283" s="164" t="e">
        <f t="shared" si="16"/>
        <v>#N/A</v>
      </c>
      <c r="M283" s="262" t="e">
        <f>MATCH(Tbl_Long_Section[[#This Row],[X]],Tbl_Long_Definition[X],1)</f>
        <v>#N/A</v>
      </c>
      <c r="N283" s="262" t="e">
        <f>IF(Tbl_Long_Section[[#This Row],[Nline Prev]]&lt;COUNT(Tbl_Long_Definition[X]),Tbl_Long_Section[[#This Row],[Nline Prev]]+1,Tbl_Long_Section[[#This Row],[Nline Prev]])</f>
        <v>#N/A</v>
      </c>
      <c r="O283" s="162" t="e">
        <f>INDEX(Tbl_Long_Definition[X],Tbl_Long_Section[[#This Row],[Nline Prev]])</f>
        <v>#N/A</v>
      </c>
      <c r="P283" s="263" t="e">
        <f>INDEX(Tbl_Long_Definition[X],Tbl_Long_Section[[#This Row],[Nline Next]])</f>
        <v>#N/A</v>
      </c>
      <c r="Q283" s="160" t="e">
        <f>INDEX(Tbl_Long_Definition[H Deck-Bott.],Tbl_Long_Section[[#This Row],[Nline Prev]])</f>
        <v>#N/A</v>
      </c>
      <c r="R283" s="161" t="e">
        <f>INDEX(Tbl_Long_Definition[H Deck-Bott.],Tbl_Long_Section[[#This Row],[Nline Next]])</f>
        <v>#N/A</v>
      </c>
      <c r="S283"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83" s="8"/>
    </row>
    <row r="284" spans="11:20" x14ac:dyDescent="0.25">
      <c r="K284" s="156" t="e">
        <f t="shared" si="15"/>
        <v>#N/A</v>
      </c>
      <c r="L284" s="164" t="e">
        <f t="shared" si="16"/>
        <v>#N/A</v>
      </c>
      <c r="M284" s="262" t="e">
        <f>MATCH(Tbl_Long_Section[[#This Row],[X]],Tbl_Long_Definition[X],1)</f>
        <v>#N/A</v>
      </c>
      <c r="N284" s="262" t="e">
        <f>IF(Tbl_Long_Section[[#This Row],[Nline Prev]]&lt;COUNT(Tbl_Long_Definition[X]),Tbl_Long_Section[[#This Row],[Nline Prev]]+1,Tbl_Long_Section[[#This Row],[Nline Prev]])</f>
        <v>#N/A</v>
      </c>
      <c r="O284" s="162" t="e">
        <f>INDEX(Tbl_Long_Definition[X],Tbl_Long_Section[[#This Row],[Nline Prev]])</f>
        <v>#N/A</v>
      </c>
      <c r="P284" s="263" t="e">
        <f>INDEX(Tbl_Long_Definition[X],Tbl_Long_Section[[#This Row],[Nline Next]])</f>
        <v>#N/A</v>
      </c>
      <c r="Q284" s="160" t="e">
        <f>INDEX(Tbl_Long_Definition[H Deck-Bott.],Tbl_Long_Section[[#This Row],[Nline Prev]])</f>
        <v>#N/A</v>
      </c>
      <c r="R284" s="161" t="e">
        <f>INDEX(Tbl_Long_Definition[H Deck-Bott.],Tbl_Long_Section[[#This Row],[Nline Next]])</f>
        <v>#N/A</v>
      </c>
      <c r="S284"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84" s="8"/>
    </row>
    <row r="285" spans="11:20" x14ac:dyDescent="0.25">
      <c r="K285" s="156" t="e">
        <f t="shared" si="15"/>
        <v>#N/A</v>
      </c>
      <c r="L285" s="164" t="e">
        <f t="shared" si="16"/>
        <v>#N/A</v>
      </c>
      <c r="M285" s="262" t="e">
        <f>MATCH(Tbl_Long_Section[[#This Row],[X]],Tbl_Long_Definition[X],1)</f>
        <v>#N/A</v>
      </c>
      <c r="N285" s="262" t="e">
        <f>IF(Tbl_Long_Section[[#This Row],[Nline Prev]]&lt;COUNT(Tbl_Long_Definition[X]),Tbl_Long_Section[[#This Row],[Nline Prev]]+1,Tbl_Long_Section[[#This Row],[Nline Prev]])</f>
        <v>#N/A</v>
      </c>
      <c r="O285" s="162" t="e">
        <f>INDEX(Tbl_Long_Definition[X],Tbl_Long_Section[[#This Row],[Nline Prev]])</f>
        <v>#N/A</v>
      </c>
      <c r="P285" s="263" t="e">
        <f>INDEX(Tbl_Long_Definition[X],Tbl_Long_Section[[#This Row],[Nline Next]])</f>
        <v>#N/A</v>
      </c>
      <c r="Q285" s="160" t="e">
        <f>INDEX(Tbl_Long_Definition[H Deck-Bott.],Tbl_Long_Section[[#This Row],[Nline Prev]])</f>
        <v>#N/A</v>
      </c>
      <c r="R285" s="161" t="e">
        <f>INDEX(Tbl_Long_Definition[H Deck-Bott.],Tbl_Long_Section[[#This Row],[Nline Next]])</f>
        <v>#N/A</v>
      </c>
      <c r="S285"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85" s="8"/>
    </row>
    <row r="286" spans="11:20" x14ac:dyDescent="0.25">
      <c r="K286" s="156" t="e">
        <f t="shared" si="15"/>
        <v>#N/A</v>
      </c>
      <c r="L286" s="164" t="e">
        <f t="shared" si="16"/>
        <v>#N/A</v>
      </c>
      <c r="M286" s="262" t="e">
        <f>MATCH(Tbl_Long_Section[[#This Row],[X]],Tbl_Long_Definition[X],1)</f>
        <v>#N/A</v>
      </c>
      <c r="N286" s="262" t="e">
        <f>IF(Tbl_Long_Section[[#This Row],[Nline Prev]]&lt;COUNT(Tbl_Long_Definition[X]),Tbl_Long_Section[[#This Row],[Nline Prev]]+1,Tbl_Long_Section[[#This Row],[Nline Prev]])</f>
        <v>#N/A</v>
      </c>
      <c r="O286" s="162" t="e">
        <f>INDEX(Tbl_Long_Definition[X],Tbl_Long_Section[[#This Row],[Nline Prev]])</f>
        <v>#N/A</v>
      </c>
      <c r="P286" s="263" t="e">
        <f>INDEX(Tbl_Long_Definition[X],Tbl_Long_Section[[#This Row],[Nline Next]])</f>
        <v>#N/A</v>
      </c>
      <c r="Q286" s="160" t="e">
        <f>INDEX(Tbl_Long_Definition[H Deck-Bott.],Tbl_Long_Section[[#This Row],[Nline Prev]])</f>
        <v>#N/A</v>
      </c>
      <c r="R286" s="161" t="e">
        <f>INDEX(Tbl_Long_Definition[H Deck-Bott.],Tbl_Long_Section[[#This Row],[Nline Next]])</f>
        <v>#N/A</v>
      </c>
      <c r="S286"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86" s="8"/>
    </row>
    <row r="287" spans="11:20" x14ac:dyDescent="0.25">
      <c r="K287" s="156" t="e">
        <f t="shared" si="15"/>
        <v>#N/A</v>
      </c>
      <c r="L287" s="164" t="e">
        <f t="shared" si="16"/>
        <v>#N/A</v>
      </c>
      <c r="M287" s="262" t="e">
        <f>MATCH(Tbl_Long_Section[[#This Row],[X]],Tbl_Long_Definition[X],1)</f>
        <v>#N/A</v>
      </c>
      <c r="N287" s="262" t="e">
        <f>IF(Tbl_Long_Section[[#This Row],[Nline Prev]]&lt;COUNT(Tbl_Long_Definition[X]),Tbl_Long_Section[[#This Row],[Nline Prev]]+1,Tbl_Long_Section[[#This Row],[Nline Prev]])</f>
        <v>#N/A</v>
      </c>
      <c r="O287" s="162" t="e">
        <f>INDEX(Tbl_Long_Definition[X],Tbl_Long_Section[[#This Row],[Nline Prev]])</f>
        <v>#N/A</v>
      </c>
      <c r="P287" s="263" t="e">
        <f>INDEX(Tbl_Long_Definition[X],Tbl_Long_Section[[#This Row],[Nline Next]])</f>
        <v>#N/A</v>
      </c>
      <c r="Q287" s="160" t="e">
        <f>INDEX(Tbl_Long_Definition[H Deck-Bott.],Tbl_Long_Section[[#This Row],[Nline Prev]])</f>
        <v>#N/A</v>
      </c>
      <c r="R287" s="161" t="e">
        <f>INDEX(Tbl_Long_Definition[H Deck-Bott.],Tbl_Long_Section[[#This Row],[Nline Next]])</f>
        <v>#N/A</v>
      </c>
      <c r="S287"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87" s="8"/>
    </row>
    <row r="288" spans="11:20" x14ac:dyDescent="0.25">
      <c r="K288" s="156" t="e">
        <f t="shared" si="15"/>
        <v>#N/A</v>
      </c>
      <c r="L288" s="164" t="e">
        <f t="shared" si="16"/>
        <v>#N/A</v>
      </c>
      <c r="M288" s="262" t="e">
        <f>MATCH(Tbl_Long_Section[[#This Row],[X]],Tbl_Long_Definition[X],1)</f>
        <v>#N/A</v>
      </c>
      <c r="N288" s="262" t="e">
        <f>IF(Tbl_Long_Section[[#This Row],[Nline Prev]]&lt;COUNT(Tbl_Long_Definition[X]),Tbl_Long_Section[[#This Row],[Nline Prev]]+1,Tbl_Long_Section[[#This Row],[Nline Prev]])</f>
        <v>#N/A</v>
      </c>
      <c r="O288" s="162" t="e">
        <f>INDEX(Tbl_Long_Definition[X],Tbl_Long_Section[[#This Row],[Nline Prev]])</f>
        <v>#N/A</v>
      </c>
      <c r="P288" s="263" t="e">
        <f>INDEX(Tbl_Long_Definition[X],Tbl_Long_Section[[#This Row],[Nline Next]])</f>
        <v>#N/A</v>
      </c>
      <c r="Q288" s="160" t="e">
        <f>INDEX(Tbl_Long_Definition[H Deck-Bott.],Tbl_Long_Section[[#This Row],[Nline Prev]])</f>
        <v>#N/A</v>
      </c>
      <c r="R288" s="161" t="e">
        <f>INDEX(Tbl_Long_Definition[H Deck-Bott.],Tbl_Long_Section[[#This Row],[Nline Next]])</f>
        <v>#N/A</v>
      </c>
      <c r="S288"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88" s="8"/>
    </row>
    <row r="289" spans="11:20" x14ac:dyDescent="0.25">
      <c r="K289" s="156" t="e">
        <f t="shared" si="15"/>
        <v>#N/A</v>
      </c>
      <c r="L289" s="164" t="e">
        <f t="shared" si="16"/>
        <v>#N/A</v>
      </c>
      <c r="M289" s="262" t="e">
        <f>MATCH(Tbl_Long_Section[[#This Row],[X]],Tbl_Long_Definition[X],1)</f>
        <v>#N/A</v>
      </c>
      <c r="N289" s="262" t="e">
        <f>IF(Tbl_Long_Section[[#This Row],[Nline Prev]]&lt;COUNT(Tbl_Long_Definition[X]),Tbl_Long_Section[[#This Row],[Nline Prev]]+1,Tbl_Long_Section[[#This Row],[Nline Prev]])</f>
        <v>#N/A</v>
      </c>
      <c r="O289" s="162" t="e">
        <f>INDEX(Tbl_Long_Definition[X],Tbl_Long_Section[[#This Row],[Nline Prev]])</f>
        <v>#N/A</v>
      </c>
      <c r="P289" s="263" t="e">
        <f>INDEX(Tbl_Long_Definition[X],Tbl_Long_Section[[#This Row],[Nline Next]])</f>
        <v>#N/A</v>
      </c>
      <c r="Q289" s="160" t="e">
        <f>INDEX(Tbl_Long_Definition[H Deck-Bott.],Tbl_Long_Section[[#This Row],[Nline Prev]])</f>
        <v>#N/A</v>
      </c>
      <c r="R289" s="161" t="e">
        <f>INDEX(Tbl_Long_Definition[H Deck-Bott.],Tbl_Long_Section[[#This Row],[Nline Next]])</f>
        <v>#N/A</v>
      </c>
      <c r="S289"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89" s="8"/>
    </row>
    <row r="290" spans="11:20" x14ac:dyDescent="0.25">
      <c r="K290" s="156" t="e">
        <f t="shared" si="15"/>
        <v>#N/A</v>
      </c>
      <c r="L290" s="164" t="e">
        <f t="shared" si="16"/>
        <v>#N/A</v>
      </c>
      <c r="M290" s="262" t="e">
        <f>MATCH(Tbl_Long_Section[[#This Row],[X]],Tbl_Long_Definition[X],1)</f>
        <v>#N/A</v>
      </c>
      <c r="N290" s="262" t="e">
        <f>IF(Tbl_Long_Section[[#This Row],[Nline Prev]]&lt;COUNT(Tbl_Long_Definition[X]),Tbl_Long_Section[[#This Row],[Nline Prev]]+1,Tbl_Long_Section[[#This Row],[Nline Prev]])</f>
        <v>#N/A</v>
      </c>
      <c r="O290" s="162" t="e">
        <f>INDEX(Tbl_Long_Definition[X],Tbl_Long_Section[[#This Row],[Nline Prev]])</f>
        <v>#N/A</v>
      </c>
      <c r="P290" s="263" t="e">
        <f>INDEX(Tbl_Long_Definition[X],Tbl_Long_Section[[#This Row],[Nline Next]])</f>
        <v>#N/A</v>
      </c>
      <c r="Q290" s="160" t="e">
        <f>INDEX(Tbl_Long_Definition[H Deck-Bott.],Tbl_Long_Section[[#This Row],[Nline Prev]])</f>
        <v>#N/A</v>
      </c>
      <c r="R290" s="161" t="e">
        <f>INDEX(Tbl_Long_Definition[H Deck-Bott.],Tbl_Long_Section[[#This Row],[Nline Next]])</f>
        <v>#N/A</v>
      </c>
      <c r="S290"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90" s="8"/>
    </row>
    <row r="291" spans="11:20" x14ac:dyDescent="0.25">
      <c r="K291" s="156" t="e">
        <f t="shared" si="15"/>
        <v>#N/A</v>
      </c>
      <c r="L291" s="164" t="e">
        <f t="shared" si="16"/>
        <v>#N/A</v>
      </c>
      <c r="M291" s="262" t="e">
        <f>MATCH(Tbl_Long_Section[[#This Row],[X]],Tbl_Long_Definition[X],1)</f>
        <v>#N/A</v>
      </c>
      <c r="N291" s="262" t="e">
        <f>IF(Tbl_Long_Section[[#This Row],[Nline Prev]]&lt;COUNT(Tbl_Long_Definition[X]),Tbl_Long_Section[[#This Row],[Nline Prev]]+1,Tbl_Long_Section[[#This Row],[Nline Prev]])</f>
        <v>#N/A</v>
      </c>
      <c r="O291" s="162" t="e">
        <f>INDEX(Tbl_Long_Definition[X],Tbl_Long_Section[[#This Row],[Nline Prev]])</f>
        <v>#N/A</v>
      </c>
      <c r="P291" s="263" t="e">
        <f>INDEX(Tbl_Long_Definition[X],Tbl_Long_Section[[#This Row],[Nline Next]])</f>
        <v>#N/A</v>
      </c>
      <c r="Q291" s="160" t="e">
        <f>INDEX(Tbl_Long_Definition[H Deck-Bott.],Tbl_Long_Section[[#This Row],[Nline Prev]])</f>
        <v>#N/A</v>
      </c>
      <c r="R291" s="161" t="e">
        <f>INDEX(Tbl_Long_Definition[H Deck-Bott.],Tbl_Long_Section[[#This Row],[Nline Next]])</f>
        <v>#N/A</v>
      </c>
      <c r="S291"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91" s="8"/>
    </row>
    <row r="292" spans="11:20" x14ac:dyDescent="0.25">
      <c r="K292" s="156" t="e">
        <f t="shared" si="15"/>
        <v>#N/A</v>
      </c>
      <c r="L292" s="164" t="e">
        <f t="shared" si="16"/>
        <v>#N/A</v>
      </c>
      <c r="M292" s="262" t="e">
        <f>MATCH(Tbl_Long_Section[[#This Row],[X]],Tbl_Long_Definition[X],1)</f>
        <v>#N/A</v>
      </c>
      <c r="N292" s="262" t="e">
        <f>IF(Tbl_Long_Section[[#This Row],[Nline Prev]]&lt;COUNT(Tbl_Long_Definition[X]),Tbl_Long_Section[[#This Row],[Nline Prev]]+1,Tbl_Long_Section[[#This Row],[Nline Prev]])</f>
        <v>#N/A</v>
      </c>
      <c r="O292" s="162" t="e">
        <f>INDEX(Tbl_Long_Definition[X],Tbl_Long_Section[[#This Row],[Nline Prev]])</f>
        <v>#N/A</v>
      </c>
      <c r="P292" s="263" t="e">
        <f>INDEX(Tbl_Long_Definition[X],Tbl_Long_Section[[#This Row],[Nline Next]])</f>
        <v>#N/A</v>
      </c>
      <c r="Q292" s="160" t="e">
        <f>INDEX(Tbl_Long_Definition[H Deck-Bott.],Tbl_Long_Section[[#This Row],[Nline Prev]])</f>
        <v>#N/A</v>
      </c>
      <c r="R292" s="161" t="e">
        <f>INDEX(Tbl_Long_Definition[H Deck-Bott.],Tbl_Long_Section[[#This Row],[Nline Next]])</f>
        <v>#N/A</v>
      </c>
      <c r="S292"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92" s="8"/>
    </row>
    <row r="293" spans="11:20" x14ac:dyDescent="0.25">
      <c r="K293" s="156" t="e">
        <f t="shared" si="15"/>
        <v>#N/A</v>
      </c>
      <c r="L293" s="164" t="e">
        <f t="shared" si="16"/>
        <v>#N/A</v>
      </c>
      <c r="M293" s="262" t="e">
        <f>MATCH(Tbl_Long_Section[[#This Row],[X]],Tbl_Long_Definition[X],1)</f>
        <v>#N/A</v>
      </c>
      <c r="N293" s="262" t="e">
        <f>IF(Tbl_Long_Section[[#This Row],[Nline Prev]]&lt;COUNT(Tbl_Long_Definition[X]),Tbl_Long_Section[[#This Row],[Nline Prev]]+1,Tbl_Long_Section[[#This Row],[Nline Prev]])</f>
        <v>#N/A</v>
      </c>
      <c r="O293" s="162" t="e">
        <f>INDEX(Tbl_Long_Definition[X],Tbl_Long_Section[[#This Row],[Nline Prev]])</f>
        <v>#N/A</v>
      </c>
      <c r="P293" s="263" t="e">
        <f>INDEX(Tbl_Long_Definition[X],Tbl_Long_Section[[#This Row],[Nline Next]])</f>
        <v>#N/A</v>
      </c>
      <c r="Q293" s="160" t="e">
        <f>INDEX(Tbl_Long_Definition[H Deck-Bott.],Tbl_Long_Section[[#This Row],[Nline Prev]])</f>
        <v>#N/A</v>
      </c>
      <c r="R293" s="161" t="e">
        <f>INDEX(Tbl_Long_Definition[H Deck-Bott.],Tbl_Long_Section[[#This Row],[Nline Next]])</f>
        <v>#N/A</v>
      </c>
      <c r="S293"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93" s="8"/>
    </row>
    <row r="294" spans="11:20" x14ac:dyDescent="0.25">
      <c r="K294" s="156" t="e">
        <f t="shared" si="15"/>
        <v>#N/A</v>
      </c>
      <c r="L294" s="164" t="e">
        <f t="shared" si="16"/>
        <v>#N/A</v>
      </c>
      <c r="M294" s="262" t="e">
        <f>MATCH(Tbl_Long_Section[[#This Row],[X]],Tbl_Long_Definition[X],1)</f>
        <v>#N/A</v>
      </c>
      <c r="N294" s="262" t="e">
        <f>IF(Tbl_Long_Section[[#This Row],[Nline Prev]]&lt;COUNT(Tbl_Long_Definition[X]),Tbl_Long_Section[[#This Row],[Nline Prev]]+1,Tbl_Long_Section[[#This Row],[Nline Prev]])</f>
        <v>#N/A</v>
      </c>
      <c r="O294" s="162" t="e">
        <f>INDEX(Tbl_Long_Definition[X],Tbl_Long_Section[[#This Row],[Nline Prev]])</f>
        <v>#N/A</v>
      </c>
      <c r="P294" s="263" t="e">
        <f>INDEX(Tbl_Long_Definition[X],Tbl_Long_Section[[#This Row],[Nline Next]])</f>
        <v>#N/A</v>
      </c>
      <c r="Q294" s="160" t="e">
        <f>INDEX(Tbl_Long_Definition[H Deck-Bott.],Tbl_Long_Section[[#This Row],[Nline Prev]])</f>
        <v>#N/A</v>
      </c>
      <c r="R294" s="161" t="e">
        <f>INDEX(Tbl_Long_Definition[H Deck-Bott.],Tbl_Long_Section[[#This Row],[Nline Next]])</f>
        <v>#N/A</v>
      </c>
      <c r="S294"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94" s="8"/>
    </row>
    <row r="295" spans="11:20" x14ac:dyDescent="0.25">
      <c r="K295" s="156" t="e">
        <f t="shared" si="15"/>
        <v>#N/A</v>
      </c>
      <c r="L295" s="164" t="e">
        <f t="shared" si="16"/>
        <v>#N/A</v>
      </c>
      <c r="M295" s="262" t="e">
        <f>MATCH(Tbl_Long_Section[[#This Row],[X]],Tbl_Long_Definition[X],1)</f>
        <v>#N/A</v>
      </c>
      <c r="N295" s="262" t="e">
        <f>IF(Tbl_Long_Section[[#This Row],[Nline Prev]]&lt;COUNT(Tbl_Long_Definition[X]),Tbl_Long_Section[[#This Row],[Nline Prev]]+1,Tbl_Long_Section[[#This Row],[Nline Prev]])</f>
        <v>#N/A</v>
      </c>
      <c r="O295" s="162" t="e">
        <f>INDEX(Tbl_Long_Definition[X],Tbl_Long_Section[[#This Row],[Nline Prev]])</f>
        <v>#N/A</v>
      </c>
      <c r="P295" s="263" t="e">
        <f>INDEX(Tbl_Long_Definition[X],Tbl_Long_Section[[#This Row],[Nline Next]])</f>
        <v>#N/A</v>
      </c>
      <c r="Q295" s="160" t="e">
        <f>INDEX(Tbl_Long_Definition[H Deck-Bott.],Tbl_Long_Section[[#This Row],[Nline Prev]])</f>
        <v>#N/A</v>
      </c>
      <c r="R295" s="161" t="e">
        <f>INDEX(Tbl_Long_Definition[H Deck-Bott.],Tbl_Long_Section[[#This Row],[Nline Next]])</f>
        <v>#N/A</v>
      </c>
      <c r="S295"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95" s="8"/>
    </row>
    <row r="296" spans="11:20" x14ac:dyDescent="0.25">
      <c r="K296" s="156" t="e">
        <f t="shared" si="15"/>
        <v>#N/A</v>
      </c>
      <c r="L296" s="164" t="e">
        <f t="shared" si="16"/>
        <v>#N/A</v>
      </c>
      <c r="M296" s="262" t="e">
        <f>MATCH(Tbl_Long_Section[[#This Row],[X]],Tbl_Long_Definition[X],1)</f>
        <v>#N/A</v>
      </c>
      <c r="N296" s="262" t="e">
        <f>IF(Tbl_Long_Section[[#This Row],[Nline Prev]]&lt;COUNT(Tbl_Long_Definition[X]),Tbl_Long_Section[[#This Row],[Nline Prev]]+1,Tbl_Long_Section[[#This Row],[Nline Prev]])</f>
        <v>#N/A</v>
      </c>
      <c r="O296" s="162" t="e">
        <f>INDEX(Tbl_Long_Definition[X],Tbl_Long_Section[[#This Row],[Nline Prev]])</f>
        <v>#N/A</v>
      </c>
      <c r="P296" s="263" t="e">
        <f>INDEX(Tbl_Long_Definition[X],Tbl_Long_Section[[#This Row],[Nline Next]])</f>
        <v>#N/A</v>
      </c>
      <c r="Q296" s="160" t="e">
        <f>INDEX(Tbl_Long_Definition[H Deck-Bott.],Tbl_Long_Section[[#This Row],[Nline Prev]])</f>
        <v>#N/A</v>
      </c>
      <c r="R296" s="161" t="e">
        <f>INDEX(Tbl_Long_Definition[H Deck-Bott.],Tbl_Long_Section[[#This Row],[Nline Next]])</f>
        <v>#N/A</v>
      </c>
      <c r="S296"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96" s="8"/>
    </row>
    <row r="297" spans="11:20" x14ac:dyDescent="0.25">
      <c r="K297" s="156" t="e">
        <f t="shared" si="15"/>
        <v>#N/A</v>
      </c>
      <c r="L297" s="164" t="e">
        <f t="shared" si="16"/>
        <v>#N/A</v>
      </c>
      <c r="M297" s="262" t="e">
        <f>MATCH(Tbl_Long_Section[[#This Row],[X]],Tbl_Long_Definition[X],1)</f>
        <v>#N/A</v>
      </c>
      <c r="N297" s="262" t="e">
        <f>IF(Tbl_Long_Section[[#This Row],[Nline Prev]]&lt;COUNT(Tbl_Long_Definition[X]),Tbl_Long_Section[[#This Row],[Nline Prev]]+1,Tbl_Long_Section[[#This Row],[Nline Prev]])</f>
        <v>#N/A</v>
      </c>
      <c r="O297" s="162" t="e">
        <f>INDEX(Tbl_Long_Definition[X],Tbl_Long_Section[[#This Row],[Nline Prev]])</f>
        <v>#N/A</v>
      </c>
      <c r="P297" s="263" t="e">
        <f>INDEX(Tbl_Long_Definition[X],Tbl_Long_Section[[#This Row],[Nline Next]])</f>
        <v>#N/A</v>
      </c>
      <c r="Q297" s="160" t="e">
        <f>INDEX(Tbl_Long_Definition[H Deck-Bott.],Tbl_Long_Section[[#This Row],[Nline Prev]])</f>
        <v>#N/A</v>
      </c>
      <c r="R297" s="161" t="e">
        <f>INDEX(Tbl_Long_Definition[H Deck-Bott.],Tbl_Long_Section[[#This Row],[Nline Next]])</f>
        <v>#N/A</v>
      </c>
      <c r="S297"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97" s="8"/>
    </row>
    <row r="298" spans="11:20" x14ac:dyDescent="0.25">
      <c r="K298" s="156" t="e">
        <f t="shared" si="15"/>
        <v>#N/A</v>
      </c>
      <c r="L298" s="164" t="e">
        <f t="shared" si="16"/>
        <v>#N/A</v>
      </c>
      <c r="M298" s="262" t="e">
        <f>MATCH(Tbl_Long_Section[[#This Row],[X]],Tbl_Long_Definition[X],1)</f>
        <v>#N/A</v>
      </c>
      <c r="N298" s="262" t="e">
        <f>IF(Tbl_Long_Section[[#This Row],[Nline Prev]]&lt;COUNT(Tbl_Long_Definition[X]),Tbl_Long_Section[[#This Row],[Nline Prev]]+1,Tbl_Long_Section[[#This Row],[Nline Prev]])</f>
        <v>#N/A</v>
      </c>
      <c r="O298" s="162" t="e">
        <f>INDEX(Tbl_Long_Definition[X],Tbl_Long_Section[[#This Row],[Nline Prev]])</f>
        <v>#N/A</v>
      </c>
      <c r="P298" s="263" t="e">
        <f>INDEX(Tbl_Long_Definition[X],Tbl_Long_Section[[#This Row],[Nline Next]])</f>
        <v>#N/A</v>
      </c>
      <c r="Q298" s="160" t="e">
        <f>INDEX(Tbl_Long_Definition[H Deck-Bott.],Tbl_Long_Section[[#This Row],[Nline Prev]])</f>
        <v>#N/A</v>
      </c>
      <c r="R298" s="161" t="e">
        <f>INDEX(Tbl_Long_Definition[H Deck-Bott.],Tbl_Long_Section[[#This Row],[Nline Next]])</f>
        <v>#N/A</v>
      </c>
      <c r="S298"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98" s="8"/>
    </row>
    <row r="299" spans="11:20" x14ac:dyDescent="0.25">
      <c r="K299" s="156" t="e">
        <f t="shared" si="15"/>
        <v>#N/A</v>
      </c>
      <c r="L299" s="164" t="e">
        <f t="shared" si="16"/>
        <v>#N/A</v>
      </c>
      <c r="M299" s="262" t="e">
        <f>MATCH(Tbl_Long_Section[[#This Row],[X]],Tbl_Long_Definition[X],1)</f>
        <v>#N/A</v>
      </c>
      <c r="N299" s="262" t="e">
        <f>IF(Tbl_Long_Section[[#This Row],[Nline Prev]]&lt;COUNT(Tbl_Long_Definition[X]),Tbl_Long_Section[[#This Row],[Nline Prev]]+1,Tbl_Long_Section[[#This Row],[Nline Prev]])</f>
        <v>#N/A</v>
      </c>
      <c r="O299" s="162" t="e">
        <f>INDEX(Tbl_Long_Definition[X],Tbl_Long_Section[[#This Row],[Nline Prev]])</f>
        <v>#N/A</v>
      </c>
      <c r="P299" s="263" t="e">
        <f>INDEX(Tbl_Long_Definition[X],Tbl_Long_Section[[#This Row],[Nline Next]])</f>
        <v>#N/A</v>
      </c>
      <c r="Q299" s="160" t="e">
        <f>INDEX(Tbl_Long_Definition[H Deck-Bott.],Tbl_Long_Section[[#This Row],[Nline Prev]])</f>
        <v>#N/A</v>
      </c>
      <c r="R299" s="161" t="e">
        <f>INDEX(Tbl_Long_Definition[H Deck-Bott.],Tbl_Long_Section[[#This Row],[Nline Next]])</f>
        <v>#N/A</v>
      </c>
      <c r="S299"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299" s="8"/>
    </row>
    <row r="300" spans="11:20" x14ac:dyDescent="0.25">
      <c r="K300" s="156" t="e">
        <f t="shared" si="15"/>
        <v>#N/A</v>
      </c>
      <c r="L300" s="164" t="e">
        <f t="shared" si="16"/>
        <v>#N/A</v>
      </c>
      <c r="M300" s="262" t="e">
        <f>MATCH(Tbl_Long_Section[[#This Row],[X]],Tbl_Long_Definition[X],1)</f>
        <v>#N/A</v>
      </c>
      <c r="N300" s="262" t="e">
        <f>IF(Tbl_Long_Section[[#This Row],[Nline Prev]]&lt;COUNT(Tbl_Long_Definition[X]),Tbl_Long_Section[[#This Row],[Nline Prev]]+1,Tbl_Long_Section[[#This Row],[Nline Prev]])</f>
        <v>#N/A</v>
      </c>
      <c r="O300" s="162" t="e">
        <f>INDEX(Tbl_Long_Definition[X],Tbl_Long_Section[[#This Row],[Nline Prev]])</f>
        <v>#N/A</v>
      </c>
      <c r="P300" s="263" t="e">
        <f>INDEX(Tbl_Long_Definition[X],Tbl_Long_Section[[#This Row],[Nline Next]])</f>
        <v>#N/A</v>
      </c>
      <c r="Q300" s="160" t="e">
        <f>INDEX(Tbl_Long_Definition[H Deck-Bott.],Tbl_Long_Section[[#This Row],[Nline Prev]])</f>
        <v>#N/A</v>
      </c>
      <c r="R300" s="161" t="e">
        <f>INDEX(Tbl_Long_Definition[H Deck-Bott.],Tbl_Long_Section[[#This Row],[Nline Next]])</f>
        <v>#N/A</v>
      </c>
      <c r="S300" s="918" t="e">
        <f>IFERROR((Tbl_Long_Section[[#This Row],[X Next]]-Tbl_Long_Section[[#This Row],[X]])/(Tbl_Long_Section[[#This Row],[X Next]]-Tbl_Long_Section[[#This Row],[X Prev]])*Tbl_Long_Section[[#This Row],[Y Prev]]+(Tbl_Long_Section[[#This Row],[X]]-Tbl_Long_Section[[#This Row],[X Prev]])/(Tbl_Long_Section[[#This Row],[X Next]]-Tbl_Long_Section[[#This Row],[X Prev]])*Tbl_Long_Section[[#This Row],[Y Next]],Tbl_Long_Section[[#This Row],[Y Next]])</f>
        <v>#N/A</v>
      </c>
      <c r="T300" s="8"/>
    </row>
  </sheetData>
  <mergeCells count="6">
    <mergeCell ref="AJ1:AL1"/>
    <mergeCell ref="AZ4:BH4"/>
    <mergeCell ref="C3:E3"/>
    <mergeCell ref="H3:I3"/>
    <mergeCell ref="H11:I11"/>
    <mergeCell ref="K4:S4"/>
  </mergeCells>
  <conditionalFormatting sqref="C6:F9">
    <cfRule type="expression" dxfId="286" priority="22">
      <formula>MOD(ROW(),2)</formula>
    </cfRule>
  </conditionalFormatting>
  <conditionalFormatting sqref="L2">
    <cfRule type="cellIs" dxfId="285" priority="3" operator="equal">
      <formula>"OK"</formula>
    </cfRule>
  </conditionalFormatting>
  <conditionalFormatting sqref="D2">
    <cfRule type="cellIs" dxfId="284" priority="2" operator="equal">
      <formula>"OK"</formula>
    </cfRule>
  </conditionalFormatting>
  <conditionalFormatting sqref="A1">
    <cfRule type="cellIs" dxfId="283" priority="1" operator="equal">
      <formula>"OK"</formula>
    </cfRule>
  </conditionalFormatting>
  <pageMargins left="0.7" right="0.7" top="0.75" bottom="0.75" header="0.3" footer="0.3"/>
  <pageSetup paperSize="9" orientation="portrait" r:id="rId1"/>
  <ignoredErrors>
    <ignoredError sqref="AQ1" formula="1"/>
  </ignoredErrors>
  <drawing r:id="rId2"/>
  <legacyDrawing r:id="rId3"/>
  <tableParts count="3">
    <tablePart r:id="rId4"/>
    <tablePart r:id="rId5"/>
    <tablePart r:id="rId6"/>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Feuil4"/>
  <dimension ref="A1:AK82"/>
  <sheetViews>
    <sheetView zoomScale="80" zoomScaleNormal="80" workbookViewId="0">
      <pane xSplit="6" ySplit="4" topLeftCell="G5" activePane="bottomRight" state="frozenSplit"/>
      <selection pane="topRight" activeCell="F1" sqref="F1"/>
      <selection pane="bottomLeft" activeCell="A4" sqref="A4"/>
      <selection pane="bottomRight" activeCell="P13" sqref="P13"/>
    </sheetView>
  </sheetViews>
  <sheetFormatPr baseColWidth="10" defaultRowHeight="15" x14ac:dyDescent="0.25"/>
  <cols>
    <col min="1" max="1" width="4.85546875" style="33" customWidth="1"/>
    <col min="2" max="2" width="5.85546875" customWidth="1"/>
    <col min="3" max="3" width="6.28515625" customWidth="1"/>
    <col min="4" max="4" width="7.5703125" customWidth="1"/>
    <col min="6" max="6" width="41.28515625" customWidth="1"/>
    <col min="7" max="7" width="6.42578125" customWidth="1"/>
    <col min="8" max="8" width="11.140625" customWidth="1"/>
    <col min="9" max="9" width="11.42578125" customWidth="1"/>
    <col min="10" max="10" width="8.42578125" customWidth="1"/>
    <col min="11" max="11" width="11.140625" customWidth="1"/>
    <col min="12" max="14" width="11.5703125" bestFit="1" customWidth="1"/>
    <col min="15" max="15" width="12.28515625" customWidth="1"/>
    <col min="16" max="16" width="45.7109375" customWidth="1"/>
    <col min="17" max="17" width="14.7109375" customWidth="1"/>
    <col min="18" max="18" width="23.5703125" customWidth="1"/>
    <col min="19" max="19" width="12.85546875" bestFit="1" customWidth="1"/>
    <col min="20" max="20" width="11.5703125" bestFit="1" customWidth="1"/>
    <col min="21" max="21" width="13.5703125" bestFit="1" customWidth="1"/>
    <col min="22" max="22" width="12.7109375" customWidth="1"/>
    <col min="26" max="26" width="10.5703125" customWidth="1"/>
    <col min="27" max="27" width="10.42578125" customWidth="1"/>
    <col min="29" max="29" width="8.42578125" customWidth="1"/>
    <col min="30" max="30" width="8.7109375" customWidth="1"/>
    <col min="31" max="31" width="8.28515625" customWidth="1"/>
    <col min="32" max="32" width="11.140625" customWidth="1"/>
    <col min="33" max="33" width="10.85546875" customWidth="1"/>
    <col min="34" max="34" width="11" customWidth="1"/>
    <col min="37" max="16384" width="11.42578125" style="33"/>
  </cols>
  <sheetData>
    <row r="1" spans="1:37" ht="15.75" thickBot="1" x14ac:dyDescent="0.3">
      <c r="A1" s="729" t="str">
        <f>IF(AND(V1="OK",AJ2="OK"),"OK","KO")</f>
        <v>OK</v>
      </c>
      <c r="B1" s="33"/>
      <c r="C1" s="33"/>
      <c r="D1" s="33"/>
      <c r="E1" s="33"/>
      <c r="F1" s="242" t="s">
        <v>215</v>
      </c>
      <c r="G1" s="243"/>
      <c r="H1" s="243"/>
      <c r="I1" s="244">
        <f>SUBTOTAL(9,Tbl_Hull_Structure[Total Op])</f>
        <v>560</v>
      </c>
      <c r="J1" s="245">
        <f>K1/I1</f>
        <v>1</v>
      </c>
      <c r="K1" s="246">
        <f>SUBTOTAL(9,Tbl_Hull_Structure[Weight Op])</f>
        <v>560</v>
      </c>
      <c r="L1" s="247">
        <f>S1/$K$1</f>
        <v>30</v>
      </c>
      <c r="M1" s="248">
        <f>T1/$K$1</f>
        <v>0</v>
      </c>
      <c r="N1" s="249">
        <f>U1/$K$1</f>
        <v>4</v>
      </c>
      <c r="O1" s="250">
        <f>SUBTOTAL(4,Tbl_Hull_Structure[X distrib])</f>
        <v>60</v>
      </c>
      <c r="P1" s="251" t="s">
        <v>216</v>
      </c>
      <c r="Q1" s="252"/>
      <c r="R1" s="253"/>
      <c r="S1" s="254">
        <f>SUBTOTAL(9,Tbl_Hull_Structure[Mx])</f>
        <v>16800</v>
      </c>
      <c r="T1" s="255">
        <f>SUBTOTAL(9,Tbl_Hull_Structure[My])</f>
        <v>0</v>
      </c>
      <c r="U1" s="256">
        <f>SUBTOTAL(9,Tbl_Hull_Structure[Mz])</f>
        <v>2240</v>
      </c>
      <c r="V1" s="158" t="str">
        <f>IF(X1=V2,"OK","KO")</f>
        <v>OK</v>
      </c>
      <c r="W1" s="731" t="s">
        <v>414</v>
      </c>
      <c r="X1" s="730">
        <f>Recap!I8</f>
        <v>560</v>
      </c>
      <c r="Y1" s="544"/>
      <c r="Z1" s="257"/>
      <c r="AA1" s="257"/>
      <c r="AB1" s="257"/>
      <c r="AC1" s="257"/>
      <c r="AD1" s="257"/>
      <c r="AE1" s="257"/>
      <c r="AF1" s="257"/>
      <c r="AG1" s="257"/>
      <c r="AH1" s="257"/>
      <c r="AI1" s="257"/>
      <c r="AJ1" s="33"/>
    </row>
    <row r="2" spans="1:37" x14ac:dyDescent="0.25">
      <c r="B2" s="1063" t="s">
        <v>184</v>
      </c>
      <c r="C2" s="1064"/>
      <c r="D2" s="1065"/>
      <c r="E2" s="1072" t="s">
        <v>201</v>
      </c>
      <c r="F2" s="1070"/>
      <c r="G2" s="1069" t="s">
        <v>200</v>
      </c>
      <c r="H2" s="1070"/>
      <c r="I2" s="1070"/>
      <c r="J2" s="1070"/>
      <c r="K2" s="1070"/>
      <c r="L2" s="1070"/>
      <c r="M2" s="1070"/>
      <c r="N2" s="1070"/>
      <c r="O2" s="1070"/>
      <c r="P2" s="1070"/>
      <c r="Q2" s="1070"/>
      <c r="R2" s="1071"/>
      <c r="S2" s="1082" t="s">
        <v>85</v>
      </c>
      <c r="T2" s="1083"/>
      <c r="U2" s="1084"/>
      <c r="V2" s="268">
        <f>SUM(Tbl_Hull_Structure[Weight Fact])</f>
        <v>560</v>
      </c>
      <c r="W2" s="1060" t="s">
        <v>225</v>
      </c>
      <c r="X2" s="1061"/>
      <c r="Y2" s="1062"/>
      <c r="Z2" s="1078" t="s">
        <v>0</v>
      </c>
      <c r="AA2" s="1079"/>
      <c r="AB2" s="1079"/>
      <c r="AC2" s="1079"/>
      <c r="AD2" s="1079"/>
      <c r="AE2" s="1079"/>
      <c r="AF2" s="1079"/>
      <c r="AG2" s="1079"/>
      <c r="AH2" s="1079"/>
      <c r="AI2" s="1079"/>
      <c r="AJ2" s="848" t="str">
        <f>IF(COUNTIF(Tbl_Hull_Structure[Repart position],"OK")=COUNTA(Tbl_Hull_Structure[Repart position]),"OK","KO")</f>
        <v>OK</v>
      </c>
    </row>
    <row r="3" spans="1:37" x14ac:dyDescent="0.25">
      <c r="B3" s="1066"/>
      <c r="C3" s="1067"/>
      <c r="D3" s="1068"/>
      <c r="E3" s="1073"/>
      <c r="F3" s="1070"/>
      <c r="G3" s="1073" t="s">
        <v>1</v>
      </c>
      <c r="H3" s="1070"/>
      <c r="I3" s="1085"/>
      <c r="J3" s="1086" t="s">
        <v>2</v>
      </c>
      <c r="K3" s="1087"/>
      <c r="L3" s="1088" t="s">
        <v>3</v>
      </c>
      <c r="M3" s="1089"/>
      <c r="N3" s="1090"/>
      <c r="O3" s="75"/>
      <c r="P3" s="75"/>
      <c r="Q3" s="76"/>
      <c r="R3" s="74"/>
      <c r="S3" s="1082"/>
      <c r="T3" s="1083"/>
      <c r="U3" s="1084"/>
      <c r="V3" s="77"/>
      <c r="W3" s="1091" t="s">
        <v>3</v>
      </c>
      <c r="X3" s="1092"/>
      <c r="Y3" s="1093"/>
      <c r="Z3" s="125"/>
      <c r="AA3" s="1076" t="s">
        <v>150</v>
      </c>
      <c r="AB3" s="1077"/>
      <c r="AC3" s="1074" t="s">
        <v>149</v>
      </c>
      <c r="AD3" s="1075"/>
      <c r="AE3" s="78" t="s">
        <v>151</v>
      </c>
      <c r="AF3" s="1080" t="s">
        <v>219</v>
      </c>
      <c r="AG3" s="1081"/>
      <c r="AH3" s="146" t="s">
        <v>152</v>
      </c>
      <c r="AI3" s="1094" t="s">
        <v>151</v>
      </c>
      <c r="AJ3" s="1095"/>
    </row>
    <row r="4" spans="1:37" ht="30" x14ac:dyDescent="0.25">
      <c r="B4" s="79" t="s">
        <v>191</v>
      </c>
      <c r="C4" s="80" t="s">
        <v>187</v>
      </c>
      <c r="D4" s="95" t="s">
        <v>185</v>
      </c>
      <c r="E4" s="96" t="s">
        <v>186</v>
      </c>
      <c r="F4" s="97" t="s">
        <v>4</v>
      </c>
      <c r="G4" s="82" t="s">
        <v>192</v>
      </c>
      <c r="H4" s="83" t="s">
        <v>5</v>
      </c>
      <c r="I4" s="84" t="s">
        <v>193</v>
      </c>
      <c r="J4" s="82" t="s">
        <v>6</v>
      </c>
      <c r="K4" s="84" t="s">
        <v>194</v>
      </c>
      <c r="L4" s="85" t="s">
        <v>17</v>
      </c>
      <c r="M4" s="83" t="s">
        <v>18</v>
      </c>
      <c r="N4" s="83" t="s">
        <v>19</v>
      </c>
      <c r="O4" s="85" t="s">
        <v>213</v>
      </c>
      <c r="P4" s="85" t="s">
        <v>28</v>
      </c>
      <c r="Q4" s="85" t="s">
        <v>29</v>
      </c>
      <c r="R4" s="82" t="s">
        <v>10</v>
      </c>
      <c r="S4" s="86" t="s">
        <v>180</v>
      </c>
      <c r="T4" s="87" t="s">
        <v>181</v>
      </c>
      <c r="U4" s="87" t="s">
        <v>182</v>
      </c>
      <c r="V4" s="81" t="s">
        <v>195</v>
      </c>
      <c r="W4" s="88" t="s">
        <v>7</v>
      </c>
      <c r="X4" s="89" t="s">
        <v>8</v>
      </c>
      <c r="Y4" s="89" t="s">
        <v>9</v>
      </c>
      <c r="Z4" s="92" t="s">
        <v>161</v>
      </c>
      <c r="AA4" s="92" t="s">
        <v>198</v>
      </c>
      <c r="AB4" s="93" t="s">
        <v>199</v>
      </c>
      <c r="AC4" s="90" t="s">
        <v>196</v>
      </c>
      <c r="AD4" s="91" t="s">
        <v>197</v>
      </c>
      <c r="AE4" s="92" t="s">
        <v>183</v>
      </c>
      <c r="AF4" s="126" t="s">
        <v>217</v>
      </c>
      <c r="AG4" s="127" t="s">
        <v>218</v>
      </c>
      <c r="AH4" s="128" t="s">
        <v>153</v>
      </c>
      <c r="AI4" s="92" t="s">
        <v>224</v>
      </c>
      <c r="AJ4" s="849" t="s">
        <v>428</v>
      </c>
    </row>
    <row r="5" spans="1:37" x14ac:dyDescent="0.25">
      <c r="B5" s="94">
        <f t="shared" ref="B5:B33" si="0">IF(NOT(ISBLANK(C5)),C5,B4)</f>
        <v>0</v>
      </c>
      <c r="C5" s="215">
        <v>0</v>
      </c>
      <c r="D5" s="216"/>
      <c r="E5" s="213" t="str">
        <f>IF(NOT(ISBLANK(Tbl_Hull_Structure[[#This Row],[Num]])),TEXT(Tbl_Hull_Structure[[#This Row],[Group]],"00")&amp;"-"&amp;TEXT(Tbl_Hull_Structure[[#This Row],[Num]],"000"),"")</f>
        <v/>
      </c>
      <c r="F5" s="218" t="s">
        <v>188</v>
      </c>
      <c r="G5" s="219"/>
      <c r="H5" s="220"/>
      <c r="I5" s="222">
        <f>Tbl_Hull_Structure[[#This Row],[Qty]]*Tbl_Hull_Structure[[#This Row],[Unitary ]]</f>
        <v>0</v>
      </c>
      <c r="J5" s="221"/>
      <c r="K5" s="222">
        <f>Tbl_Hull_Structure[[#This Row],[Contingency ]]*Tbl_Hull_Structure[[#This Row],[Total Op]]</f>
        <v>0</v>
      </c>
      <c r="L5" s="225"/>
      <c r="M5" s="227"/>
      <c r="N5" s="229"/>
      <c r="O5" s="231"/>
      <c r="P5" s="232"/>
      <c r="Q5" s="232"/>
      <c r="R5" s="239"/>
      <c r="S5" s="237" t="str">
        <f>IF(Tbl_Hull_Structure[[#This Row],[Weight Op]],Tbl_Hull_Structure[[#This Row],[Weight Op]]*Tbl_Hull_Structure[[#This Row],[X]],"")</f>
        <v/>
      </c>
      <c r="T5" s="100" t="str">
        <f>IF(Tbl_Hull_Structure[[#This Row],[Weight Op]],Tbl_Hull_Structure[[#This Row],[Weight Op]]*Tbl_Hull_Structure[[#This Row],[Y]],"")</f>
        <v/>
      </c>
      <c r="U5" s="98" t="str">
        <f>IF(Tbl_Hull_Structure[[#This Row],[Weight Op]],Tbl_Hull_Structure[[#This Row],[Weight Op]]*Tbl_Hull_Structure[[#This Row],[Z]],"")</f>
        <v/>
      </c>
      <c r="V5" s="102">
        <f>Tbl_Hull_Structure[[#This Row],[Weight Op]]</f>
        <v>0</v>
      </c>
      <c r="W5" s="104" t="str">
        <f>IF(Tbl_Hull_Structure[[#This Row],[Weight Fact]],Tbl_Hull_Structure[[#This Row],[X]],"")</f>
        <v/>
      </c>
      <c r="X5" s="106" t="str">
        <f>IF(Tbl_Hull_Structure[[#This Row],[Weight Fact]],Tbl_Hull_Structure[[#This Row],[Y]],"")</f>
        <v/>
      </c>
      <c r="Y5" s="108" t="str">
        <f>IF(Tbl_Hull_Structure[[#This Row],[Weight Fact]],Tbl_Hull_Structure[[#This Row],[Z]],"")</f>
        <v/>
      </c>
      <c r="Z5" s="115" t="str">
        <f>IF(Tbl_Hull_Structure[[#This Row],[Weight Fact]],Tbl_Hull_Structure[[#This Row],[X distrib]],"")</f>
        <v/>
      </c>
      <c r="AA5" s="118" t="str">
        <f>IF(Tbl_Hull_Structure[[#This Row],[Weight Fact]],Tbl_Hull_Structure[[#This Row],[COG x ]]-Tbl_Hull_Structure[[#This Row],[Distrib]]/2,"")</f>
        <v/>
      </c>
      <c r="AB5" s="121" t="str">
        <f>IF(Tbl_Hull_Structure[[#This Row],[Weight Fact]],Tbl_Hull_Structure[[#This Row],[COG x ]]+Tbl_Hull_Structure[[#This Row],[Distrib]]/2,"")</f>
        <v/>
      </c>
      <c r="AC5" s="110" t="str">
        <f>IF(Tbl_Hull_Structure[[#This Row],[Weight Fact]],ROUND(Tbl_Hull_Structure[[#This Row],[AP from]]/FE_size,0),"")</f>
        <v/>
      </c>
      <c r="AD5" s="112" t="str">
        <f>IF(Tbl_Hull_Structure[[#This Row],[Weight Fact]],ROUND(Tbl_Hull_Structure[[#This Row],[AP to]]/FE_size,0),"")</f>
        <v/>
      </c>
      <c r="AE5" s="11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5" s="129" t="str">
        <f>IF(Tbl_Hull_Structure[[#This Row],[Weight Fact]],IF(Tbl_Hull_Structure[[#This Row],[Fr from]]*FE_size&lt;0,0,Tbl_Hull_Structure[[#This Row],[Fr from]]*FE_size),"")</f>
        <v/>
      </c>
      <c r="AG5" s="130" t="str">
        <f>IF(Tbl_Hull_Structure[[#This Row],[Weight Fact]],IF(Tbl_Hull_Structure[[#This Row],[Fr to]]*FE_size=Tbl_Hull_Structure[[#This Row],[L from]],Tbl_Hull_Structure[[#This Row],[L from]]+FE_size,IF(Tbl_Hull_Structure[[#This Row],[Fr to]]*FE_size&gt;Lpp,Lpp,Tbl_Hull_Structure[[#This Row],[Fr to]]*FE_size)),"")</f>
        <v/>
      </c>
      <c r="AH5" s="143" t="str">
        <f>IFERROR(Tbl_Hull_Structure[[#This Row],[Weight Fact]]/(Tbl_Hull_Structure[[#This Row],[L to]]-Tbl_Hull_Structure[[#This Row],[L from]]),"")</f>
        <v/>
      </c>
      <c r="AI5" s="145" t="str">
        <f>IF(Tbl_Hull_Structure[[#This Row],[Weight Fact]],Tbl_Hull_Structure[[#This Row],[Spread]]*(Tbl_Hull_Structure[[#This Row],[L to]]-Tbl_Hull_Structure[[#This Row],[L from]])-Tbl_Hull_Structure[[#This Row],[Weight Fact]],"")</f>
        <v/>
      </c>
      <c r="AJ5" s="141" t="str">
        <f>IF(AND(ISNUMBER(Tbl_Hull_Structure[[#This Row],[L from]]),ISNUMBER(Tbl_Hull_Structure[[#This Row],[L to]])),IF(AND(Tbl_Hull_Structure[[#This Row],[L from]]&gt;=0,Tbl_Hull_Structure[[#This Row],[L to]]&lt;=Lpp),"OK","KO"),"OK")</f>
        <v>OK</v>
      </c>
    </row>
    <row r="6" spans="1:37" x14ac:dyDescent="0.25">
      <c r="B6" s="94">
        <f t="shared" si="0"/>
        <v>0</v>
      </c>
      <c r="C6" s="215"/>
      <c r="D6" s="216">
        <v>0</v>
      </c>
      <c r="E6" s="213" t="str">
        <f>IF(NOT(ISBLANK(Tbl_Hull_Structure[[#This Row],[Num]])),TEXT(Tbl_Hull_Structure[[#This Row],[Group]],"00")&amp;"-"&amp;TEXT(Tbl_Hull_Structure[[#This Row],[Num]],"000"),"")</f>
        <v>00-000</v>
      </c>
      <c r="F6" s="218" t="s">
        <v>189</v>
      </c>
      <c r="G6" s="219">
        <v>1</v>
      </c>
      <c r="H6" s="220">
        <v>560</v>
      </c>
      <c r="I6" s="222">
        <f>Tbl_Hull_Structure[[#This Row],[Qty]]*Tbl_Hull_Structure[[#This Row],[Unitary ]]</f>
        <v>560</v>
      </c>
      <c r="J6" s="221">
        <v>1</v>
      </c>
      <c r="K6" s="222">
        <f>Tbl_Hull_Structure[[#This Row],[Contingency ]]*Tbl_Hull_Structure[[#This Row],[Total Op]]</f>
        <v>560</v>
      </c>
      <c r="L6" s="225">
        <v>30</v>
      </c>
      <c r="M6" s="227">
        <v>0</v>
      </c>
      <c r="N6" s="229">
        <v>4</v>
      </c>
      <c r="O6" s="231">
        <v>60</v>
      </c>
      <c r="P6" s="233" t="s">
        <v>557</v>
      </c>
      <c r="Q6" s="233" t="s">
        <v>190</v>
      </c>
      <c r="R6" s="240"/>
      <c r="S6" s="237">
        <f>IF(Tbl_Hull_Structure[[#This Row],[Weight Op]],Tbl_Hull_Structure[[#This Row],[Weight Op]]*Tbl_Hull_Structure[[#This Row],[X]],"")</f>
        <v>16800</v>
      </c>
      <c r="T6" s="100">
        <f>IF(Tbl_Hull_Structure[[#This Row],[Weight Op]],Tbl_Hull_Structure[[#This Row],[Weight Op]]*Tbl_Hull_Structure[[#This Row],[Y]],"")</f>
        <v>0</v>
      </c>
      <c r="U6" s="98">
        <f>IF(Tbl_Hull_Structure[[#This Row],[Weight Op]],Tbl_Hull_Structure[[#This Row],[Weight Op]]*Tbl_Hull_Structure[[#This Row],[Z]],"")</f>
        <v>2240</v>
      </c>
      <c r="V6" s="102">
        <f>Tbl_Hull_Structure[[#This Row],[Weight Op]]</f>
        <v>560</v>
      </c>
      <c r="W6" s="104">
        <f>IF(Tbl_Hull_Structure[[#This Row],[Weight Fact]],Tbl_Hull_Structure[[#This Row],[X]],"")</f>
        <v>30</v>
      </c>
      <c r="X6" s="106">
        <f>IF(Tbl_Hull_Structure[[#This Row],[Weight Fact]],Tbl_Hull_Structure[[#This Row],[Y]],"")</f>
        <v>0</v>
      </c>
      <c r="Y6" s="108">
        <f>IF(Tbl_Hull_Structure[[#This Row],[Weight Fact]],Tbl_Hull_Structure[[#This Row],[Z]],"")</f>
        <v>4</v>
      </c>
      <c r="Z6" s="116">
        <f>IF(Tbl_Hull_Structure[[#This Row],[Weight Fact]],Tbl_Hull_Structure[[#This Row],[X distrib]],"")</f>
        <v>60</v>
      </c>
      <c r="AA6" s="119">
        <f>IF(Tbl_Hull_Structure[[#This Row],[Weight Fact]],Tbl_Hull_Structure[[#This Row],[COG x ]]-Tbl_Hull_Structure[[#This Row],[Distrib]]/2,"")</f>
        <v>0</v>
      </c>
      <c r="AB6" s="122">
        <f>IF(Tbl_Hull_Structure[[#This Row],[Weight Fact]],Tbl_Hull_Structure[[#This Row],[COG x ]]+Tbl_Hull_Structure[[#This Row],[Distrib]]/2,"")</f>
        <v>60</v>
      </c>
      <c r="AC6" s="110">
        <f>IF(Tbl_Hull_Structure[[#This Row],[Weight Fact]],ROUND(Tbl_Hull_Structure[[#This Row],[AP from]]/FE_size,0),"")</f>
        <v>0</v>
      </c>
      <c r="AD6" s="112">
        <f>IF(Tbl_Hull_Structure[[#This Row],[Weight Fact]],ROUND(Tbl_Hull_Structure[[#This Row],[AP to]]/FE_size,0),"")</f>
        <v>120</v>
      </c>
      <c r="AE6" s="11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OK</v>
      </c>
      <c r="AF6" s="131">
        <f>IF(Tbl_Hull_Structure[[#This Row],[Weight Fact]],IF(Tbl_Hull_Structure[[#This Row],[Fr from]]*FE_size&lt;0,0,Tbl_Hull_Structure[[#This Row],[Fr from]]*FE_size),"")</f>
        <v>0</v>
      </c>
      <c r="AG6" s="132">
        <f>IF(Tbl_Hull_Structure[[#This Row],[Weight Fact]],IF(Tbl_Hull_Structure[[#This Row],[Fr to]]*FE_size=Tbl_Hull_Structure[[#This Row],[L from]],Tbl_Hull_Structure[[#This Row],[L from]]+FE_size,IF(Tbl_Hull_Structure[[#This Row],[Fr to]]*FE_size&gt;Lpp,Lpp,Tbl_Hull_Structure[[#This Row],[Fr to]]*FE_size)),"")</f>
        <v>60</v>
      </c>
      <c r="AH6" s="143">
        <f>IFERROR(Tbl_Hull_Structure[[#This Row],[Weight Fact]]/(Tbl_Hull_Structure[[#This Row],[L to]]-Tbl_Hull_Structure[[#This Row],[L from]]),"")</f>
        <v>9.3333333333333339</v>
      </c>
      <c r="AI6" s="145">
        <f>IF(Tbl_Hull_Structure[[#This Row],[Weight Fact]],Tbl_Hull_Structure[[#This Row],[Spread]]*(Tbl_Hull_Structure[[#This Row],[L to]]-Tbl_Hull_Structure[[#This Row],[L from]])-Tbl_Hull_Structure[[#This Row],[Weight Fact]],"")</f>
        <v>0</v>
      </c>
      <c r="AJ6" s="141" t="str">
        <f>IF(AND(ISNUMBER(Tbl_Hull_Structure[[#This Row],[L from]]),ISNUMBER(Tbl_Hull_Structure[[#This Row],[L to]])),IF(AND(Tbl_Hull_Structure[[#This Row],[L from]]&gt;=0,Tbl_Hull_Structure[[#This Row],[L to]]&lt;=Lpp),"OK","KO"),"OK")</f>
        <v>OK</v>
      </c>
      <c r="AK6" s="191"/>
    </row>
    <row r="7" spans="1:37" ht="14.25" customHeight="1" x14ac:dyDescent="0.25">
      <c r="B7" s="94">
        <f t="shared" si="0"/>
        <v>1</v>
      </c>
      <c r="C7" s="215">
        <v>1</v>
      </c>
      <c r="D7" s="216"/>
      <c r="E7" s="213" t="str">
        <f>IF(NOT(ISBLANK(Tbl_Hull_Structure[[#This Row],[Num]])),TEXT(Tbl_Hull_Structure[[#This Row],[Group]],"00")&amp;"-"&amp;TEXT(Tbl_Hull_Structure[[#This Row],[Num]],"000"),"")</f>
        <v/>
      </c>
      <c r="F7" s="218" t="s">
        <v>202</v>
      </c>
      <c r="G7" s="219"/>
      <c r="H7" s="220"/>
      <c r="I7" s="222">
        <f>Tbl_Hull_Structure[[#This Row],[Qty]]*Tbl_Hull_Structure[[#This Row],[Unitary ]]</f>
        <v>0</v>
      </c>
      <c r="J7" s="221"/>
      <c r="K7" s="222">
        <f>Tbl_Hull_Structure[[#This Row],[Contingency ]]*Tbl_Hull_Structure[[#This Row],[Total Op]]</f>
        <v>0</v>
      </c>
      <c r="L7" s="225"/>
      <c r="M7" s="227"/>
      <c r="N7" s="229"/>
      <c r="O7" s="231"/>
      <c r="P7" s="233"/>
      <c r="Q7" s="233"/>
      <c r="R7" s="240"/>
      <c r="S7" s="237" t="str">
        <f>IF(Tbl_Hull_Structure[[#This Row],[Weight Op]],Tbl_Hull_Structure[[#This Row],[Weight Op]]*Tbl_Hull_Structure[[#This Row],[X]],"")</f>
        <v/>
      </c>
      <c r="T7" s="100" t="str">
        <f>IF(Tbl_Hull_Structure[[#This Row],[Weight Op]],Tbl_Hull_Structure[[#This Row],[Weight Op]]*Tbl_Hull_Structure[[#This Row],[Y]],"")</f>
        <v/>
      </c>
      <c r="U7" s="98" t="str">
        <f>IF(Tbl_Hull_Structure[[#This Row],[Weight Op]],Tbl_Hull_Structure[[#This Row],[Weight Op]]*Tbl_Hull_Structure[[#This Row],[Z]],"")</f>
        <v/>
      </c>
      <c r="V7" s="102">
        <f>Tbl_Hull_Structure[[#This Row],[Weight Op]]</f>
        <v>0</v>
      </c>
      <c r="W7" s="104" t="str">
        <f>IF(Tbl_Hull_Structure[[#This Row],[Weight Fact]],Tbl_Hull_Structure[[#This Row],[X]],"")</f>
        <v/>
      </c>
      <c r="X7" s="106" t="str">
        <f>IF(Tbl_Hull_Structure[[#This Row],[Weight Fact]],Tbl_Hull_Structure[[#This Row],[Y]],"")</f>
        <v/>
      </c>
      <c r="Y7" s="108" t="str">
        <f>IF(Tbl_Hull_Structure[[#This Row],[Weight Fact]],Tbl_Hull_Structure[[#This Row],[Z]],"")</f>
        <v/>
      </c>
      <c r="Z7" s="116" t="str">
        <f>IF(Tbl_Hull_Structure[[#This Row],[Weight Fact]],Tbl_Hull_Structure[[#This Row],[X distrib]],"")</f>
        <v/>
      </c>
      <c r="AA7" s="119" t="str">
        <f>IF(Tbl_Hull_Structure[[#This Row],[Weight Fact]],Tbl_Hull_Structure[[#This Row],[COG x ]]-Tbl_Hull_Structure[[#This Row],[Distrib]]/2,"")</f>
        <v/>
      </c>
      <c r="AB7" s="122" t="str">
        <f>IF(Tbl_Hull_Structure[[#This Row],[Weight Fact]],Tbl_Hull_Structure[[#This Row],[COG x ]]+Tbl_Hull_Structure[[#This Row],[Distrib]]/2,"")</f>
        <v/>
      </c>
      <c r="AC7" s="110" t="str">
        <f>IF(Tbl_Hull_Structure[[#This Row],[Weight Fact]],ROUND(Tbl_Hull_Structure[[#This Row],[AP from]]/FE_size,0),"")</f>
        <v/>
      </c>
      <c r="AD7" s="112" t="str">
        <f>IF(Tbl_Hull_Structure[[#This Row],[Weight Fact]],ROUND(Tbl_Hull_Structure[[#This Row],[AP to]]/FE_size,0),"")</f>
        <v/>
      </c>
      <c r="AE7" s="11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7" s="131" t="str">
        <f>IF(Tbl_Hull_Structure[[#This Row],[Weight Fact]],IF(Tbl_Hull_Structure[[#This Row],[Fr from]]*FE_size&lt;0,0,Tbl_Hull_Structure[[#This Row],[Fr from]]*FE_size),"")</f>
        <v/>
      </c>
      <c r="AG7" s="132" t="str">
        <f>IF(Tbl_Hull_Structure[[#This Row],[Weight Fact]],IF(Tbl_Hull_Structure[[#This Row],[Fr to]]*FE_size=Tbl_Hull_Structure[[#This Row],[L from]],Tbl_Hull_Structure[[#This Row],[L from]]+FE_size,IF(Tbl_Hull_Structure[[#This Row],[Fr to]]*FE_size&gt;Lpp,Lpp,Tbl_Hull_Structure[[#This Row],[Fr to]]*FE_size)),"")</f>
        <v/>
      </c>
      <c r="AH7" s="143" t="str">
        <f>IFERROR(Tbl_Hull_Structure[[#This Row],[Weight Fact]]/(Tbl_Hull_Structure[[#This Row],[L to]]-Tbl_Hull_Structure[[#This Row],[L from]]),"")</f>
        <v/>
      </c>
      <c r="AI7" s="145" t="str">
        <f>IF(Tbl_Hull_Structure[[#This Row],[Weight Fact]],Tbl_Hull_Structure[[#This Row],[Spread]]*(Tbl_Hull_Structure[[#This Row],[L to]]-Tbl_Hull_Structure[[#This Row],[L from]])-Tbl_Hull_Structure[[#This Row],[Weight Fact]],"")</f>
        <v/>
      </c>
      <c r="AJ7" s="141" t="str">
        <f>IF(AND(ISNUMBER(Tbl_Hull_Structure[[#This Row],[L from]]),ISNUMBER(Tbl_Hull_Structure[[#This Row],[L to]])),IF(AND(Tbl_Hull_Structure[[#This Row],[L from]]&gt;=0,Tbl_Hull_Structure[[#This Row],[L to]]&lt;=Lpp),"OK","KO"),"OK")</f>
        <v>OK</v>
      </c>
    </row>
    <row r="8" spans="1:37" x14ac:dyDescent="0.25">
      <c r="B8" s="94">
        <f t="shared" si="0"/>
        <v>1</v>
      </c>
      <c r="C8" s="215"/>
      <c r="D8" s="216" t="s">
        <v>77</v>
      </c>
      <c r="E8" s="213" t="str">
        <f>IF(NOT(ISBLANK(Tbl_Hull_Structure[[#This Row],[Num]])),TEXT(Tbl_Hull_Structure[[#This Row],[Group]],"00")&amp;"-"&amp;TEXT(Tbl_Hull_Structure[[#This Row],[Num]],"000"),"")</f>
        <v>00-13.a</v>
      </c>
      <c r="F8" s="218" t="s">
        <v>206</v>
      </c>
      <c r="G8" s="219">
        <v>0</v>
      </c>
      <c r="H8" s="220">
        <v>26</v>
      </c>
      <c r="I8" s="222">
        <f>Tbl_Hull_Structure[[#This Row],[Qty]]*Tbl_Hull_Structure[[#This Row],[Unitary ]]</f>
        <v>0</v>
      </c>
      <c r="J8" s="221">
        <v>1.01</v>
      </c>
      <c r="K8" s="222">
        <f>Tbl_Hull_Structure[[#This Row],[Contingency ]]*Tbl_Hull_Structure[[#This Row],[Total Op]]</f>
        <v>0</v>
      </c>
      <c r="L8" s="225">
        <v>35.75</v>
      </c>
      <c r="M8" s="227">
        <v>-8.93</v>
      </c>
      <c r="N8" s="229">
        <v>5.35</v>
      </c>
      <c r="O8" s="231">
        <v>4.5</v>
      </c>
      <c r="P8" s="234"/>
      <c r="Q8" s="233" t="s">
        <v>190</v>
      </c>
      <c r="R8" s="240"/>
      <c r="S8" s="237" t="str">
        <f>IF(Tbl_Hull_Structure[[#This Row],[Weight Op]],Tbl_Hull_Structure[[#This Row],[Weight Op]]*Tbl_Hull_Structure[[#This Row],[X]],"")</f>
        <v/>
      </c>
      <c r="T8" s="100" t="str">
        <f>IF(Tbl_Hull_Structure[[#This Row],[Weight Op]],Tbl_Hull_Structure[[#This Row],[Weight Op]]*Tbl_Hull_Structure[[#This Row],[Y]],"")</f>
        <v/>
      </c>
      <c r="U8" s="98" t="str">
        <f>IF(Tbl_Hull_Structure[[#This Row],[Weight Op]],Tbl_Hull_Structure[[#This Row],[Weight Op]]*Tbl_Hull_Structure[[#This Row],[Z]],"")</f>
        <v/>
      </c>
      <c r="V8" s="102">
        <f>Tbl_Hull_Structure[[#This Row],[Weight Op]]</f>
        <v>0</v>
      </c>
      <c r="W8" s="104" t="str">
        <f>IF(Tbl_Hull_Structure[[#This Row],[Weight Fact]],Tbl_Hull_Structure[[#This Row],[X]],"")</f>
        <v/>
      </c>
      <c r="X8" s="106" t="str">
        <f>IF(Tbl_Hull_Structure[[#This Row],[Weight Fact]],Tbl_Hull_Structure[[#This Row],[Y]],"")</f>
        <v/>
      </c>
      <c r="Y8" s="108" t="str">
        <f>IF(Tbl_Hull_Structure[[#This Row],[Weight Fact]],Tbl_Hull_Structure[[#This Row],[Z]],"")</f>
        <v/>
      </c>
      <c r="Z8" s="116" t="str">
        <f>IF(Tbl_Hull_Structure[[#This Row],[Weight Fact]],Tbl_Hull_Structure[[#This Row],[X distrib]],"")</f>
        <v/>
      </c>
      <c r="AA8" s="119" t="str">
        <f>IF(Tbl_Hull_Structure[[#This Row],[Weight Fact]],Tbl_Hull_Structure[[#This Row],[COG x ]]-Tbl_Hull_Structure[[#This Row],[Distrib]]/2,"")</f>
        <v/>
      </c>
      <c r="AB8" s="122" t="str">
        <f>IF(Tbl_Hull_Structure[[#This Row],[Weight Fact]],Tbl_Hull_Structure[[#This Row],[COG x ]]+Tbl_Hull_Structure[[#This Row],[Distrib]]/2,"")</f>
        <v/>
      </c>
      <c r="AC8" s="110" t="str">
        <f>IF(Tbl_Hull_Structure[[#This Row],[Weight Fact]],ROUND(Tbl_Hull_Structure[[#This Row],[AP from]]/FE_size,0),"")</f>
        <v/>
      </c>
      <c r="AD8" s="112" t="str">
        <f>IF(Tbl_Hull_Structure[[#This Row],[Weight Fact]],ROUND(Tbl_Hull_Structure[[#This Row],[AP to]]/FE_size,0),"")</f>
        <v/>
      </c>
      <c r="AE8" s="11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8" s="131" t="str">
        <f>IF(Tbl_Hull_Structure[[#This Row],[Weight Fact]],IF(Tbl_Hull_Structure[[#This Row],[Fr from]]*FE_size&lt;0,0,Tbl_Hull_Structure[[#This Row],[Fr from]]*FE_size),"")</f>
        <v/>
      </c>
      <c r="AG8" s="132" t="str">
        <f>IF(Tbl_Hull_Structure[[#This Row],[Weight Fact]],IF(Tbl_Hull_Structure[[#This Row],[Fr to]]*FE_size=Tbl_Hull_Structure[[#This Row],[L from]],Tbl_Hull_Structure[[#This Row],[L from]]+FE_size,IF(Tbl_Hull_Structure[[#This Row],[Fr to]]*FE_size&gt;Lpp,Lpp,Tbl_Hull_Structure[[#This Row],[Fr to]]*FE_size)),"")</f>
        <v/>
      </c>
      <c r="AH8" s="143" t="str">
        <f>IFERROR(Tbl_Hull_Structure[[#This Row],[Weight Fact]]/(Tbl_Hull_Structure[[#This Row],[L to]]-Tbl_Hull_Structure[[#This Row],[L from]]),"")</f>
        <v/>
      </c>
      <c r="AI8" s="145" t="str">
        <f>IF(Tbl_Hull_Structure[[#This Row],[Weight Fact]],Tbl_Hull_Structure[[#This Row],[Spread]]*(Tbl_Hull_Structure[[#This Row],[L to]]-Tbl_Hull_Structure[[#This Row],[L from]])-Tbl_Hull_Structure[[#This Row],[Weight Fact]],"")</f>
        <v/>
      </c>
      <c r="AJ8" s="141" t="str">
        <f>IF(AND(ISNUMBER(Tbl_Hull_Structure[[#This Row],[L from]]),ISNUMBER(Tbl_Hull_Structure[[#This Row],[L to]])),IF(AND(Tbl_Hull_Structure[[#This Row],[L from]]&gt;=0,Tbl_Hull_Structure[[#This Row],[L to]]&lt;=Lpp),"OK","KO"),"OK")</f>
        <v>OK</v>
      </c>
    </row>
    <row r="9" spans="1:37" x14ac:dyDescent="0.25">
      <c r="B9" s="94">
        <f t="shared" si="0"/>
        <v>1</v>
      </c>
      <c r="C9" s="215"/>
      <c r="D9" s="217" t="s">
        <v>203</v>
      </c>
      <c r="E9" s="214" t="str">
        <f>IF(NOT(ISBLANK(Tbl_Hull_Structure[[#This Row],[Num]])),TEXT(Tbl_Hull_Structure[[#This Row],[Group]],"00")&amp;"-"&amp;TEXT(Tbl_Hull_Structure[[#This Row],[Num]],"000"),"")</f>
        <v>00-13.b</v>
      </c>
      <c r="F9" s="218" t="s">
        <v>204</v>
      </c>
      <c r="G9" s="219">
        <v>0</v>
      </c>
      <c r="H9" s="220">
        <v>26</v>
      </c>
      <c r="I9" s="222">
        <f>Tbl_Hull_Structure[[#This Row],[Qty]]*Tbl_Hull_Structure[[#This Row],[Unitary ]]</f>
        <v>0</v>
      </c>
      <c r="J9" s="221">
        <v>1.01</v>
      </c>
      <c r="K9" s="223">
        <f>Tbl_Hull_Structure[[#This Row],[Contingency ]]*Tbl_Hull_Structure[[#This Row],[Total Op]]</f>
        <v>0</v>
      </c>
      <c r="L9" s="226">
        <v>28.53</v>
      </c>
      <c r="M9" s="228">
        <v>-6.95</v>
      </c>
      <c r="N9" s="230">
        <v>5.35</v>
      </c>
      <c r="O9" s="231">
        <v>4.5</v>
      </c>
      <c r="P9" s="234"/>
      <c r="Q9" s="233" t="s">
        <v>190</v>
      </c>
      <c r="R9" s="240"/>
      <c r="S9" s="238" t="str">
        <f>IF(Tbl_Hull_Structure[[#This Row],[Weight Op]],Tbl_Hull_Structure[[#This Row],[Weight Op]]*Tbl_Hull_Structure[[#This Row],[X]],"")</f>
        <v/>
      </c>
      <c r="T9" s="101" t="str">
        <f>IF(Tbl_Hull_Structure[[#This Row],[Weight Op]],Tbl_Hull_Structure[[#This Row],[Weight Op]]*Tbl_Hull_Structure[[#This Row],[Y]],"")</f>
        <v/>
      </c>
      <c r="U9" s="99" t="str">
        <f>IF(Tbl_Hull_Structure[[#This Row],[Weight Op]],Tbl_Hull_Structure[[#This Row],[Weight Op]]*Tbl_Hull_Structure[[#This Row],[Z]],"")</f>
        <v/>
      </c>
      <c r="V9" s="103">
        <f>Tbl_Hull_Structure[[#This Row],[Weight Op]]</f>
        <v>0</v>
      </c>
      <c r="W9" s="105" t="str">
        <f>IF(Tbl_Hull_Structure[[#This Row],[Weight Fact]],Tbl_Hull_Structure[[#This Row],[X]],"")</f>
        <v/>
      </c>
      <c r="X9" s="107" t="str">
        <f>IF(Tbl_Hull_Structure[[#This Row],[Weight Fact]],Tbl_Hull_Structure[[#This Row],[Y]],"")</f>
        <v/>
      </c>
      <c r="Y9" s="109" t="str">
        <f>IF(Tbl_Hull_Structure[[#This Row],[Weight Fact]],Tbl_Hull_Structure[[#This Row],[Z]],"")</f>
        <v/>
      </c>
      <c r="Z9" s="117" t="str">
        <f>IF(Tbl_Hull_Structure[[#This Row],[Weight Fact]],Tbl_Hull_Structure[[#This Row],[X distrib]],"")</f>
        <v/>
      </c>
      <c r="AA9" s="120" t="str">
        <f>IF(Tbl_Hull_Structure[[#This Row],[Weight Fact]],Tbl_Hull_Structure[[#This Row],[COG x ]]-Tbl_Hull_Structure[[#This Row],[Distrib]]/2,"")</f>
        <v/>
      </c>
      <c r="AB9" s="123" t="str">
        <f>IF(Tbl_Hull_Structure[[#This Row],[Weight Fact]],Tbl_Hull_Structure[[#This Row],[COG x ]]+Tbl_Hull_Structure[[#This Row],[Distrib]]/2,"")</f>
        <v/>
      </c>
      <c r="AC9" s="111" t="str">
        <f>IF(Tbl_Hull_Structure[[#This Row],[Weight Fact]],ROUND(Tbl_Hull_Structure[[#This Row],[AP from]]/FE_size,0),"")</f>
        <v/>
      </c>
      <c r="AD9" s="113" t="str">
        <f>IF(Tbl_Hull_Structure[[#This Row],[Weight Fact]],ROUND(Tbl_Hull_Structure[[#This Row],[AP to]]/FE_size,0),"")</f>
        <v/>
      </c>
      <c r="AE9"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9" s="133" t="str">
        <f>IF(Tbl_Hull_Structure[[#This Row],[Weight Fact]],IF(Tbl_Hull_Structure[[#This Row],[Fr from]]*FE_size&lt;0,0,Tbl_Hull_Structure[[#This Row],[Fr from]]*FE_size),"")</f>
        <v/>
      </c>
      <c r="AG9" s="134" t="str">
        <f>IF(Tbl_Hull_Structure[[#This Row],[Weight Fact]],IF(Tbl_Hull_Structure[[#This Row],[Fr to]]*FE_size=Tbl_Hull_Structure[[#This Row],[L from]],Tbl_Hull_Structure[[#This Row],[L from]]+FE_size,IF(Tbl_Hull_Structure[[#This Row],[Fr to]]*FE_size&gt;Lpp,Lpp,Tbl_Hull_Structure[[#This Row],[Fr to]]*FE_size)),"")</f>
        <v/>
      </c>
      <c r="AH9" s="143" t="str">
        <f>IFERROR(Tbl_Hull_Structure[[#This Row],[Weight Fact]]/(Tbl_Hull_Structure[[#This Row],[L to]]-Tbl_Hull_Structure[[#This Row],[L from]]),"")</f>
        <v/>
      </c>
      <c r="AI9" s="145" t="str">
        <f>IF(Tbl_Hull_Structure[[#This Row],[Weight Fact]],Tbl_Hull_Structure[[#This Row],[Spread]]*(Tbl_Hull_Structure[[#This Row],[L to]]-Tbl_Hull_Structure[[#This Row],[L from]])-Tbl_Hull_Structure[[#This Row],[Weight Fact]],"")</f>
        <v/>
      </c>
      <c r="AJ9" s="141" t="str">
        <f>IF(AND(ISNUMBER(Tbl_Hull_Structure[[#This Row],[L from]]),ISNUMBER(Tbl_Hull_Structure[[#This Row],[L to]])),IF(AND(Tbl_Hull_Structure[[#This Row],[L from]]&gt;=0,Tbl_Hull_Structure[[#This Row],[L to]]&lt;=Lpp),"OK","KO"),"OK")</f>
        <v>OK</v>
      </c>
    </row>
    <row r="10" spans="1:37" x14ac:dyDescent="0.25">
      <c r="B10" s="94">
        <f t="shared" si="0"/>
        <v>1</v>
      </c>
      <c r="C10" s="215"/>
      <c r="D10" s="217" t="s">
        <v>78</v>
      </c>
      <c r="E10" s="214" t="str">
        <f>IF(NOT(ISBLANK(Tbl_Hull_Structure[[#This Row],[Num]])),TEXT(Tbl_Hull_Structure[[#This Row],[Group]],"00")&amp;"-"&amp;TEXT(Tbl_Hull_Structure[[#This Row],[Num]],"000"),"")</f>
        <v>00-13.c</v>
      </c>
      <c r="F10" s="218" t="s">
        <v>207</v>
      </c>
      <c r="G10" s="219">
        <v>0</v>
      </c>
      <c r="H10" s="220">
        <v>26</v>
      </c>
      <c r="I10" s="222">
        <f>Tbl_Hull_Structure[[#This Row],[Qty]]*Tbl_Hull_Structure[[#This Row],[Unitary ]]</f>
        <v>0</v>
      </c>
      <c r="J10" s="221">
        <v>1.01</v>
      </c>
      <c r="K10" s="223">
        <f>Tbl_Hull_Structure[[#This Row],[Contingency ]]*Tbl_Hull_Structure[[#This Row],[Total Op]]</f>
        <v>0</v>
      </c>
      <c r="L10" s="226">
        <v>35.75</v>
      </c>
      <c r="M10" s="228">
        <v>-4.8499999999999996</v>
      </c>
      <c r="N10" s="230">
        <v>5.35</v>
      </c>
      <c r="O10" s="231">
        <v>4.5</v>
      </c>
      <c r="P10" s="234"/>
      <c r="Q10" s="233" t="s">
        <v>190</v>
      </c>
      <c r="R10" s="240"/>
      <c r="S10" s="238" t="str">
        <f>IF(Tbl_Hull_Structure[[#This Row],[Weight Op]],Tbl_Hull_Structure[[#This Row],[Weight Op]]*Tbl_Hull_Structure[[#This Row],[X]],"")</f>
        <v/>
      </c>
      <c r="T10" s="101" t="str">
        <f>IF(Tbl_Hull_Structure[[#This Row],[Weight Op]],Tbl_Hull_Structure[[#This Row],[Weight Op]]*Tbl_Hull_Structure[[#This Row],[Y]],"")</f>
        <v/>
      </c>
      <c r="U10" s="99" t="str">
        <f>IF(Tbl_Hull_Structure[[#This Row],[Weight Op]],Tbl_Hull_Structure[[#This Row],[Weight Op]]*Tbl_Hull_Structure[[#This Row],[Z]],"")</f>
        <v/>
      </c>
      <c r="V10" s="103">
        <f>Tbl_Hull_Structure[[#This Row],[Weight Op]]</f>
        <v>0</v>
      </c>
      <c r="W10" s="105" t="str">
        <f>IF(Tbl_Hull_Structure[[#This Row],[Weight Fact]],Tbl_Hull_Structure[[#This Row],[X]],"")</f>
        <v/>
      </c>
      <c r="X10" s="107" t="str">
        <f>IF(Tbl_Hull_Structure[[#This Row],[Weight Fact]],Tbl_Hull_Structure[[#This Row],[Y]],"")</f>
        <v/>
      </c>
      <c r="Y10" s="109" t="str">
        <f>IF(Tbl_Hull_Structure[[#This Row],[Weight Fact]],Tbl_Hull_Structure[[#This Row],[Z]],"")</f>
        <v/>
      </c>
      <c r="Z10" s="117" t="str">
        <f>IF(Tbl_Hull_Structure[[#This Row],[Weight Fact]],Tbl_Hull_Structure[[#This Row],[X distrib]],"")</f>
        <v/>
      </c>
      <c r="AA10" s="120" t="str">
        <f>IF(Tbl_Hull_Structure[[#This Row],[Weight Fact]],Tbl_Hull_Structure[[#This Row],[COG x ]]-Tbl_Hull_Structure[[#This Row],[Distrib]]/2,"")</f>
        <v/>
      </c>
      <c r="AB10" s="123" t="str">
        <f>IF(Tbl_Hull_Structure[[#This Row],[Weight Fact]],Tbl_Hull_Structure[[#This Row],[COG x ]]+Tbl_Hull_Structure[[#This Row],[Distrib]]/2,"")</f>
        <v/>
      </c>
      <c r="AC10" s="111" t="str">
        <f>IF(Tbl_Hull_Structure[[#This Row],[Weight Fact]],ROUND(Tbl_Hull_Structure[[#This Row],[AP from]]/FE_size,0),"")</f>
        <v/>
      </c>
      <c r="AD10" s="113" t="str">
        <f>IF(Tbl_Hull_Structure[[#This Row],[Weight Fact]],ROUND(Tbl_Hull_Structure[[#This Row],[AP to]]/FE_size,0),"")</f>
        <v/>
      </c>
      <c r="AE10"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10" s="133" t="str">
        <f>IF(Tbl_Hull_Structure[[#This Row],[Weight Fact]],IF(Tbl_Hull_Structure[[#This Row],[Fr from]]*FE_size&lt;0,0,Tbl_Hull_Structure[[#This Row],[Fr from]]*FE_size),"")</f>
        <v/>
      </c>
      <c r="AG10" s="134" t="str">
        <f>IF(Tbl_Hull_Structure[[#This Row],[Weight Fact]],IF(Tbl_Hull_Structure[[#This Row],[Fr to]]*FE_size=Tbl_Hull_Structure[[#This Row],[L from]],Tbl_Hull_Structure[[#This Row],[L from]]+FE_size,IF(Tbl_Hull_Structure[[#This Row],[Fr to]]*FE_size&gt;Lpp,Lpp,Tbl_Hull_Structure[[#This Row],[Fr to]]*FE_size)),"")</f>
        <v/>
      </c>
      <c r="AH10" s="143" t="str">
        <f>IFERROR(Tbl_Hull_Structure[[#This Row],[Weight Fact]]/(Tbl_Hull_Structure[[#This Row],[L to]]-Tbl_Hull_Structure[[#This Row],[L from]]),"")</f>
        <v/>
      </c>
      <c r="AI10" s="145" t="str">
        <f>IF(Tbl_Hull_Structure[[#This Row],[Weight Fact]],Tbl_Hull_Structure[[#This Row],[Spread]]*(Tbl_Hull_Structure[[#This Row],[L to]]-Tbl_Hull_Structure[[#This Row],[L from]])-Tbl_Hull_Structure[[#This Row],[Weight Fact]],"")</f>
        <v/>
      </c>
      <c r="AJ10" s="141" t="str">
        <f>IF(AND(ISNUMBER(Tbl_Hull_Structure[[#This Row],[L from]]),ISNUMBER(Tbl_Hull_Structure[[#This Row],[L to]])),IF(AND(Tbl_Hull_Structure[[#This Row],[L from]]&gt;=0,Tbl_Hull_Structure[[#This Row],[L to]]&lt;=Lpp),"OK","KO"),"OK")</f>
        <v>OK</v>
      </c>
    </row>
    <row r="11" spans="1:37" x14ac:dyDescent="0.25">
      <c r="B11" s="94">
        <f t="shared" si="0"/>
        <v>1</v>
      </c>
      <c r="C11" s="215"/>
      <c r="D11" s="217" t="s">
        <v>79</v>
      </c>
      <c r="E11" s="214" t="str">
        <f>IF(NOT(ISBLANK(Tbl_Hull_Structure[[#This Row],[Num]])),TEXT(Tbl_Hull_Structure[[#This Row],[Group]],"00")&amp;"-"&amp;TEXT(Tbl_Hull_Structure[[#This Row],[Num]],"000"),"")</f>
        <v>00-14.a</v>
      </c>
      <c r="F11" s="218" t="s">
        <v>205</v>
      </c>
      <c r="G11" s="219">
        <v>0</v>
      </c>
      <c r="H11" s="220">
        <v>7.05</v>
      </c>
      <c r="I11" s="222">
        <f>Tbl_Hull_Structure[[#This Row],[Qty]]*Tbl_Hull_Structure[[#This Row],[Unitary ]]</f>
        <v>0</v>
      </c>
      <c r="J11" s="221">
        <v>1.01</v>
      </c>
      <c r="K11" s="223">
        <f>Tbl_Hull_Structure[[#This Row],[Contingency ]]*Tbl_Hull_Structure[[#This Row],[Total Op]]</f>
        <v>0</v>
      </c>
      <c r="L11" s="226">
        <v>53.097999999999999</v>
      </c>
      <c r="M11" s="228">
        <v>1.2749999999999999</v>
      </c>
      <c r="N11" s="230">
        <v>4.8</v>
      </c>
      <c r="O11" s="231">
        <v>2.2000000000000002</v>
      </c>
      <c r="P11" s="235" t="s">
        <v>81</v>
      </c>
      <c r="Q11" s="233" t="s">
        <v>190</v>
      </c>
      <c r="R11" s="240"/>
      <c r="S11" s="238" t="str">
        <f>IF(Tbl_Hull_Structure[[#This Row],[Weight Op]],Tbl_Hull_Structure[[#This Row],[Weight Op]]*Tbl_Hull_Structure[[#This Row],[X]],"")</f>
        <v/>
      </c>
      <c r="T11" s="101" t="str">
        <f>IF(Tbl_Hull_Structure[[#This Row],[Weight Op]],Tbl_Hull_Structure[[#This Row],[Weight Op]]*Tbl_Hull_Structure[[#This Row],[Y]],"")</f>
        <v/>
      </c>
      <c r="U11" s="99" t="str">
        <f>IF(Tbl_Hull_Structure[[#This Row],[Weight Op]],Tbl_Hull_Structure[[#This Row],[Weight Op]]*Tbl_Hull_Structure[[#This Row],[Z]],"")</f>
        <v/>
      </c>
      <c r="V11" s="103">
        <f>Tbl_Hull_Structure[[#This Row],[Weight Op]]</f>
        <v>0</v>
      </c>
      <c r="W11" s="105" t="str">
        <f>IF(Tbl_Hull_Structure[[#This Row],[Weight Fact]],Tbl_Hull_Structure[[#This Row],[X]],"")</f>
        <v/>
      </c>
      <c r="X11" s="107" t="str">
        <f>IF(Tbl_Hull_Structure[[#This Row],[Weight Fact]],Tbl_Hull_Structure[[#This Row],[Y]],"")</f>
        <v/>
      </c>
      <c r="Y11" s="109" t="str">
        <f>IF(Tbl_Hull_Structure[[#This Row],[Weight Fact]],Tbl_Hull_Structure[[#This Row],[Z]],"")</f>
        <v/>
      </c>
      <c r="Z11" s="117" t="str">
        <f>IF(Tbl_Hull_Structure[[#This Row],[Weight Fact]],Tbl_Hull_Structure[[#This Row],[X distrib]],"")</f>
        <v/>
      </c>
      <c r="AA11" s="120" t="str">
        <f>IF(Tbl_Hull_Structure[[#This Row],[Weight Fact]],Tbl_Hull_Structure[[#This Row],[COG x ]]-Tbl_Hull_Structure[[#This Row],[Distrib]]/2,"")</f>
        <v/>
      </c>
      <c r="AB11" s="123" t="str">
        <f>IF(Tbl_Hull_Structure[[#This Row],[Weight Fact]],Tbl_Hull_Structure[[#This Row],[COG x ]]+Tbl_Hull_Structure[[#This Row],[Distrib]]/2,"")</f>
        <v/>
      </c>
      <c r="AC11" s="111" t="str">
        <f>IF(Tbl_Hull_Structure[[#This Row],[Weight Fact]],ROUND(Tbl_Hull_Structure[[#This Row],[AP from]]/FE_size,0),"")</f>
        <v/>
      </c>
      <c r="AD11" s="113" t="str">
        <f>IF(Tbl_Hull_Structure[[#This Row],[Weight Fact]],ROUND(Tbl_Hull_Structure[[#This Row],[AP to]]/FE_size,0),"")</f>
        <v/>
      </c>
      <c r="AE11"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11" s="133" t="str">
        <f>IF(Tbl_Hull_Structure[[#This Row],[Weight Fact]],IF(Tbl_Hull_Structure[[#This Row],[Fr from]]*FE_size&lt;0,0,Tbl_Hull_Structure[[#This Row],[Fr from]]*FE_size),"")</f>
        <v/>
      </c>
      <c r="AG11" s="134" t="str">
        <f>IF(Tbl_Hull_Structure[[#This Row],[Weight Fact]],IF(Tbl_Hull_Structure[[#This Row],[Fr to]]*FE_size=Tbl_Hull_Structure[[#This Row],[L from]],Tbl_Hull_Structure[[#This Row],[L from]]+FE_size,IF(Tbl_Hull_Structure[[#This Row],[Fr to]]*FE_size&gt;Lpp,Lpp,Tbl_Hull_Structure[[#This Row],[Fr to]]*FE_size)),"")</f>
        <v/>
      </c>
      <c r="AH11" s="143" t="str">
        <f>IFERROR(Tbl_Hull_Structure[[#This Row],[Weight Fact]]/(Tbl_Hull_Structure[[#This Row],[L to]]-Tbl_Hull_Structure[[#This Row],[L from]]),"")</f>
        <v/>
      </c>
      <c r="AI11" s="145" t="str">
        <f>IF(Tbl_Hull_Structure[[#This Row],[Weight Fact]],Tbl_Hull_Structure[[#This Row],[Spread]]*(Tbl_Hull_Structure[[#This Row],[L to]]-Tbl_Hull_Structure[[#This Row],[L from]])-Tbl_Hull_Structure[[#This Row],[Weight Fact]],"")</f>
        <v/>
      </c>
      <c r="AJ11" s="141" t="str">
        <f>IF(AND(ISNUMBER(Tbl_Hull_Structure[[#This Row],[L from]]),ISNUMBER(Tbl_Hull_Structure[[#This Row],[L to]])),IF(AND(Tbl_Hull_Structure[[#This Row],[L from]]&gt;=0,Tbl_Hull_Structure[[#This Row],[L to]]&lt;=Lpp),"OK","KO"),"OK")</f>
        <v>OK</v>
      </c>
    </row>
    <row r="12" spans="1:37" x14ac:dyDescent="0.25">
      <c r="B12" s="94">
        <f t="shared" si="0"/>
        <v>1</v>
      </c>
      <c r="C12" s="215"/>
      <c r="D12" s="217" t="s">
        <v>80</v>
      </c>
      <c r="E12" s="214" t="str">
        <f>IF(NOT(ISBLANK(Tbl_Hull_Structure[[#This Row],[Num]])),TEXT(Tbl_Hull_Structure[[#This Row],[Group]],"00")&amp;"-"&amp;TEXT(Tbl_Hull_Structure[[#This Row],[Num]],"000"),"")</f>
        <v>00-14.b</v>
      </c>
      <c r="F12" s="218" t="s">
        <v>208</v>
      </c>
      <c r="G12" s="219">
        <v>0</v>
      </c>
      <c r="H12" s="220">
        <v>7.05</v>
      </c>
      <c r="I12" s="222">
        <f>Tbl_Hull_Structure[[#This Row],[Qty]]*Tbl_Hull_Structure[[#This Row],[Unitary ]]</f>
        <v>0</v>
      </c>
      <c r="J12" s="221">
        <v>1.01</v>
      </c>
      <c r="K12" s="223">
        <f>Tbl_Hull_Structure[[#This Row],[Contingency ]]*Tbl_Hull_Structure[[#This Row],[Total Op]]</f>
        <v>0</v>
      </c>
      <c r="L12" s="226">
        <v>53.097999999999999</v>
      </c>
      <c r="M12" s="228">
        <v>-1.2749999999999999</v>
      </c>
      <c r="N12" s="230">
        <v>4.8</v>
      </c>
      <c r="O12" s="231">
        <v>2.2000000000000002</v>
      </c>
      <c r="P12" s="235" t="s">
        <v>81</v>
      </c>
      <c r="Q12" s="233" t="s">
        <v>190</v>
      </c>
      <c r="R12" s="240"/>
      <c r="S12" s="238" t="str">
        <f>IF(Tbl_Hull_Structure[[#This Row],[Weight Op]],Tbl_Hull_Structure[[#This Row],[Weight Op]]*Tbl_Hull_Structure[[#This Row],[X]],"")</f>
        <v/>
      </c>
      <c r="T12" s="101" t="str">
        <f>IF(Tbl_Hull_Structure[[#This Row],[Weight Op]],Tbl_Hull_Structure[[#This Row],[Weight Op]]*Tbl_Hull_Structure[[#This Row],[Y]],"")</f>
        <v/>
      </c>
      <c r="U12" s="99" t="str">
        <f>IF(Tbl_Hull_Structure[[#This Row],[Weight Op]],Tbl_Hull_Structure[[#This Row],[Weight Op]]*Tbl_Hull_Structure[[#This Row],[Z]],"")</f>
        <v/>
      </c>
      <c r="V12" s="103">
        <f>Tbl_Hull_Structure[[#This Row],[Weight Op]]</f>
        <v>0</v>
      </c>
      <c r="W12" s="105" t="str">
        <f>IF(Tbl_Hull_Structure[[#This Row],[Weight Fact]],Tbl_Hull_Structure[[#This Row],[X]],"")</f>
        <v/>
      </c>
      <c r="X12" s="107" t="str">
        <f>IF(Tbl_Hull_Structure[[#This Row],[Weight Fact]],Tbl_Hull_Structure[[#This Row],[Y]],"")</f>
        <v/>
      </c>
      <c r="Y12" s="109" t="str">
        <f>IF(Tbl_Hull_Structure[[#This Row],[Weight Fact]],Tbl_Hull_Structure[[#This Row],[Z]],"")</f>
        <v/>
      </c>
      <c r="Z12" s="117" t="str">
        <f>IF(Tbl_Hull_Structure[[#This Row],[Weight Fact]],Tbl_Hull_Structure[[#This Row],[X distrib]],"")</f>
        <v/>
      </c>
      <c r="AA12" s="120" t="str">
        <f>IF(Tbl_Hull_Structure[[#This Row],[Weight Fact]],Tbl_Hull_Structure[[#This Row],[COG x ]]-Tbl_Hull_Structure[[#This Row],[Distrib]]/2,"")</f>
        <v/>
      </c>
      <c r="AB12" s="123" t="str">
        <f>IF(Tbl_Hull_Structure[[#This Row],[Weight Fact]],Tbl_Hull_Structure[[#This Row],[COG x ]]+Tbl_Hull_Structure[[#This Row],[Distrib]]/2,"")</f>
        <v/>
      </c>
      <c r="AC12" s="111" t="str">
        <f>IF(Tbl_Hull_Structure[[#This Row],[Weight Fact]],ROUND(Tbl_Hull_Structure[[#This Row],[AP from]]/FE_size,0),"")</f>
        <v/>
      </c>
      <c r="AD12" s="113" t="str">
        <f>IF(Tbl_Hull_Structure[[#This Row],[Weight Fact]],ROUND(Tbl_Hull_Structure[[#This Row],[AP to]]/FE_size,0),"")</f>
        <v/>
      </c>
      <c r="AE12"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12" s="133" t="str">
        <f>IF(Tbl_Hull_Structure[[#This Row],[Weight Fact]],IF(Tbl_Hull_Structure[[#This Row],[Fr from]]*FE_size&lt;0,0,Tbl_Hull_Structure[[#This Row],[Fr from]]*FE_size),"")</f>
        <v/>
      </c>
      <c r="AG12" s="134" t="str">
        <f>IF(Tbl_Hull_Structure[[#This Row],[Weight Fact]],IF(Tbl_Hull_Structure[[#This Row],[Fr to]]*FE_size=Tbl_Hull_Structure[[#This Row],[L from]],Tbl_Hull_Structure[[#This Row],[L from]]+FE_size,IF(Tbl_Hull_Structure[[#This Row],[Fr to]]*FE_size&gt;Lpp,Lpp,Tbl_Hull_Structure[[#This Row],[Fr to]]*FE_size)),"")</f>
        <v/>
      </c>
      <c r="AH12" s="143" t="str">
        <f>IFERROR(Tbl_Hull_Structure[[#This Row],[Weight Fact]]/(Tbl_Hull_Structure[[#This Row],[L to]]-Tbl_Hull_Structure[[#This Row],[L from]]),"")</f>
        <v/>
      </c>
      <c r="AI12" s="145" t="str">
        <f>IF(Tbl_Hull_Structure[[#This Row],[Weight Fact]],Tbl_Hull_Structure[[#This Row],[Spread]]*(Tbl_Hull_Structure[[#This Row],[L to]]-Tbl_Hull_Structure[[#This Row],[L from]])-Tbl_Hull_Structure[[#This Row],[Weight Fact]],"")</f>
        <v/>
      </c>
      <c r="AJ12" s="141" t="str">
        <f>IF(AND(ISNUMBER(Tbl_Hull_Structure[[#This Row],[L from]]),ISNUMBER(Tbl_Hull_Structure[[#This Row],[L to]])),IF(AND(Tbl_Hull_Structure[[#This Row],[L from]]&gt;=0,Tbl_Hull_Structure[[#This Row],[L to]]&lt;=Lpp),"OK","KO"),"OK")</f>
        <v>OK</v>
      </c>
    </row>
    <row r="13" spans="1:37" x14ac:dyDescent="0.25">
      <c r="B13" s="94">
        <f t="shared" si="0"/>
        <v>1</v>
      </c>
      <c r="C13" s="215"/>
      <c r="D13" s="217" t="s">
        <v>82</v>
      </c>
      <c r="E13" s="214" t="str">
        <f>IF(NOT(ISBLANK(Tbl_Hull_Structure[[#This Row],[Num]])),TEXT(Tbl_Hull_Structure[[#This Row],[Group]],"00")&amp;"-"&amp;TEXT(Tbl_Hull_Structure[[#This Row],[Num]],"000"),"")</f>
        <v>00-15.a</v>
      </c>
      <c r="F13" s="218" t="s">
        <v>210</v>
      </c>
      <c r="G13" s="219">
        <v>0</v>
      </c>
      <c r="H13" s="220">
        <v>0.05</v>
      </c>
      <c r="I13" s="222">
        <f>Tbl_Hull_Structure[[#This Row],[Qty]]*Tbl_Hull_Structure[[#This Row],[Unitary ]]</f>
        <v>0</v>
      </c>
      <c r="J13" s="221">
        <v>1.01</v>
      </c>
      <c r="K13" s="223">
        <f>Tbl_Hull_Structure[[#This Row],[Contingency ]]*Tbl_Hull_Structure[[#This Row],[Total Op]]</f>
        <v>0</v>
      </c>
      <c r="L13" s="226">
        <v>2</v>
      </c>
      <c r="M13" s="228">
        <v>8.4749999999999996</v>
      </c>
      <c r="N13" s="230">
        <v>5.1100000000000003</v>
      </c>
      <c r="O13" s="231">
        <v>5</v>
      </c>
      <c r="P13" s="235" t="s">
        <v>211</v>
      </c>
      <c r="Q13" s="236" t="s">
        <v>84</v>
      </c>
      <c r="R13" s="241"/>
      <c r="S13" s="238" t="str">
        <f>IF(Tbl_Hull_Structure[[#This Row],[Weight Op]],Tbl_Hull_Structure[[#This Row],[Weight Op]]*Tbl_Hull_Structure[[#This Row],[X]],"")</f>
        <v/>
      </c>
      <c r="T13" s="101" t="str">
        <f>IF(Tbl_Hull_Structure[[#This Row],[Weight Op]],Tbl_Hull_Structure[[#This Row],[Weight Op]]*Tbl_Hull_Structure[[#This Row],[Y]],"")</f>
        <v/>
      </c>
      <c r="U13" s="99" t="str">
        <f>IF(Tbl_Hull_Structure[[#This Row],[Weight Op]],Tbl_Hull_Structure[[#This Row],[Weight Op]]*Tbl_Hull_Structure[[#This Row],[Z]],"")</f>
        <v/>
      </c>
      <c r="V13" s="103">
        <f>Tbl_Hull_Structure[[#This Row],[Weight Op]]</f>
        <v>0</v>
      </c>
      <c r="W13" s="105" t="str">
        <f>IF(Tbl_Hull_Structure[[#This Row],[Weight Fact]],Tbl_Hull_Structure[[#This Row],[X]],"")</f>
        <v/>
      </c>
      <c r="X13" s="107" t="str">
        <f>IF(Tbl_Hull_Structure[[#This Row],[Weight Fact]],Tbl_Hull_Structure[[#This Row],[Y]],"")</f>
        <v/>
      </c>
      <c r="Y13" s="109" t="str">
        <f>IF(Tbl_Hull_Structure[[#This Row],[Weight Fact]],Tbl_Hull_Structure[[#This Row],[Z]],"")</f>
        <v/>
      </c>
      <c r="Z13" s="117" t="str">
        <f>IF(Tbl_Hull_Structure[[#This Row],[Weight Fact]],Tbl_Hull_Structure[[#This Row],[X distrib]],"")</f>
        <v/>
      </c>
      <c r="AA13" s="120" t="str">
        <f>IF(Tbl_Hull_Structure[[#This Row],[Weight Fact]],Tbl_Hull_Structure[[#This Row],[COG x ]]-Tbl_Hull_Structure[[#This Row],[Distrib]]/2,"")</f>
        <v/>
      </c>
      <c r="AB13" s="123" t="str">
        <f>IF(Tbl_Hull_Structure[[#This Row],[Weight Fact]],Tbl_Hull_Structure[[#This Row],[COG x ]]+Tbl_Hull_Structure[[#This Row],[Distrib]]/2,"")</f>
        <v/>
      </c>
      <c r="AC13" s="111" t="str">
        <f>IF(Tbl_Hull_Structure[[#This Row],[Weight Fact]],ROUND(Tbl_Hull_Structure[[#This Row],[AP from]]/FE_size,0),"")</f>
        <v/>
      </c>
      <c r="AD13" s="113" t="str">
        <f>IF(Tbl_Hull_Structure[[#This Row],[Weight Fact]],ROUND(Tbl_Hull_Structure[[#This Row],[AP to]]/FE_size,0),"")</f>
        <v/>
      </c>
      <c r="AE13"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13" s="133" t="str">
        <f>IF(Tbl_Hull_Structure[[#This Row],[Weight Fact]],IF(Tbl_Hull_Structure[[#This Row],[Fr from]]*FE_size&lt;0,0,Tbl_Hull_Structure[[#This Row],[Fr from]]*FE_size),"")</f>
        <v/>
      </c>
      <c r="AG13" s="134" t="str">
        <f>IF(Tbl_Hull_Structure[[#This Row],[Weight Fact]],IF(Tbl_Hull_Structure[[#This Row],[Fr to]]*FE_size=Tbl_Hull_Structure[[#This Row],[L from]],Tbl_Hull_Structure[[#This Row],[L from]]+FE_size,IF(Tbl_Hull_Structure[[#This Row],[Fr to]]*FE_size&gt;Lpp,Lpp,Tbl_Hull_Structure[[#This Row],[Fr to]]*FE_size)),"")</f>
        <v/>
      </c>
      <c r="AH13" s="143" t="str">
        <f>IFERROR(Tbl_Hull_Structure[[#This Row],[Weight Fact]]/(Tbl_Hull_Structure[[#This Row],[L to]]-Tbl_Hull_Structure[[#This Row],[L from]]),"")</f>
        <v/>
      </c>
      <c r="AI13" s="145" t="str">
        <f>IF(Tbl_Hull_Structure[[#This Row],[Weight Fact]],Tbl_Hull_Structure[[#This Row],[Spread]]*(Tbl_Hull_Structure[[#This Row],[L to]]-Tbl_Hull_Structure[[#This Row],[L from]])-Tbl_Hull_Structure[[#This Row],[Weight Fact]],"")</f>
        <v/>
      </c>
      <c r="AJ13" s="141" t="str">
        <f>IF(AND(ISNUMBER(Tbl_Hull_Structure[[#This Row],[L from]]),ISNUMBER(Tbl_Hull_Structure[[#This Row],[L to]])),IF(AND(Tbl_Hull_Structure[[#This Row],[L from]]&gt;=0,Tbl_Hull_Structure[[#This Row],[L to]]&lt;=Lpp),"OK","KO"),"OK")</f>
        <v>OK</v>
      </c>
    </row>
    <row r="14" spans="1:37" x14ac:dyDescent="0.25">
      <c r="B14" s="94">
        <f t="shared" si="0"/>
        <v>1</v>
      </c>
      <c r="C14" s="215"/>
      <c r="D14" s="217" t="s">
        <v>83</v>
      </c>
      <c r="E14" s="214" t="str">
        <f>IF(NOT(ISBLANK(Tbl_Hull_Structure[[#This Row],[Num]])),TEXT(Tbl_Hull_Structure[[#This Row],[Group]],"00")&amp;"-"&amp;TEXT(Tbl_Hull_Structure[[#This Row],[Num]],"000"),"")</f>
        <v>00-15.b</v>
      </c>
      <c r="F14" s="218" t="s">
        <v>209</v>
      </c>
      <c r="G14" s="219">
        <v>0</v>
      </c>
      <c r="H14" s="220">
        <v>0.05</v>
      </c>
      <c r="I14" s="222">
        <f>Tbl_Hull_Structure[[#This Row],[Qty]]*Tbl_Hull_Structure[[#This Row],[Unitary ]]</f>
        <v>0</v>
      </c>
      <c r="J14" s="221">
        <v>1.01</v>
      </c>
      <c r="K14" s="223">
        <f>Tbl_Hull_Structure[[#This Row],[Contingency ]]*Tbl_Hull_Structure[[#This Row],[Total Op]]</f>
        <v>0</v>
      </c>
      <c r="L14" s="226">
        <v>0.45</v>
      </c>
      <c r="M14" s="228">
        <v>8.4749999999999996</v>
      </c>
      <c r="N14" s="230">
        <v>5.1100000000000003</v>
      </c>
      <c r="O14" s="231">
        <v>1.5</v>
      </c>
      <c r="P14" s="235" t="s">
        <v>211</v>
      </c>
      <c r="Q14" s="236" t="s">
        <v>84</v>
      </c>
      <c r="R14" s="241"/>
      <c r="S14" s="238" t="str">
        <f>IF(Tbl_Hull_Structure[[#This Row],[Weight Op]],Tbl_Hull_Structure[[#This Row],[Weight Op]]*Tbl_Hull_Structure[[#This Row],[X]],"")</f>
        <v/>
      </c>
      <c r="T14" s="101" t="str">
        <f>IF(Tbl_Hull_Structure[[#This Row],[Weight Op]],Tbl_Hull_Structure[[#This Row],[Weight Op]]*Tbl_Hull_Structure[[#This Row],[Y]],"")</f>
        <v/>
      </c>
      <c r="U14" s="99" t="str">
        <f>IF(Tbl_Hull_Structure[[#This Row],[Weight Op]],Tbl_Hull_Structure[[#This Row],[Weight Op]]*Tbl_Hull_Structure[[#This Row],[Z]],"")</f>
        <v/>
      </c>
      <c r="V14" s="103">
        <f>Tbl_Hull_Structure[[#This Row],[Weight Op]]</f>
        <v>0</v>
      </c>
      <c r="W14" s="105" t="str">
        <f>IF(Tbl_Hull_Structure[[#This Row],[Weight Fact]],Tbl_Hull_Structure[[#This Row],[X]],"")</f>
        <v/>
      </c>
      <c r="X14" s="107" t="str">
        <f>IF(Tbl_Hull_Structure[[#This Row],[Weight Fact]],Tbl_Hull_Structure[[#This Row],[Y]],"")</f>
        <v/>
      </c>
      <c r="Y14" s="109" t="str">
        <f>IF(Tbl_Hull_Structure[[#This Row],[Weight Fact]],Tbl_Hull_Structure[[#This Row],[Z]],"")</f>
        <v/>
      </c>
      <c r="Z14" s="117" t="str">
        <f>IF(Tbl_Hull_Structure[[#This Row],[Weight Fact]],Tbl_Hull_Structure[[#This Row],[X distrib]],"")</f>
        <v/>
      </c>
      <c r="AA14" s="120" t="str">
        <f>IF(Tbl_Hull_Structure[[#This Row],[Weight Fact]],Tbl_Hull_Structure[[#This Row],[COG x ]]-Tbl_Hull_Structure[[#This Row],[Distrib]]/2,"")</f>
        <v/>
      </c>
      <c r="AB14" s="123" t="str">
        <f>IF(Tbl_Hull_Structure[[#This Row],[Weight Fact]],Tbl_Hull_Structure[[#This Row],[COG x ]]+Tbl_Hull_Structure[[#This Row],[Distrib]]/2,"")</f>
        <v/>
      </c>
      <c r="AC14" s="111" t="str">
        <f>IF(Tbl_Hull_Structure[[#This Row],[Weight Fact]],ROUND(Tbl_Hull_Structure[[#This Row],[AP from]]/FE_size,0),"")</f>
        <v/>
      </c>
      <c r="AD14" s="113" t="str">
        <f>IF(Tbl_Hull_Structure[[#This Row],[Weight Fact]],ROUND(Tbl_Hull_Structure[[#This Row],[AP to]]/FE_size,0),"")</f>
        <v/>
      </c>
      <c r="AE14"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14" s="133" t="str">
        <f>IF(Tbl_Hull_Structure[[#This Row],[Weight Fact]],IF(Tbl_Hull_Structure[[#This Row],[Fr from]]*FE_size&lt;0,0,Tbl_Hull_Structure[[#This Row],[Fr from]]*FE_size),"")</f>
        <v/>
      </c>
      <c r="AG14" s="134" t="str">
        <f>IF(Tbl_Hull_Structure[[#This Row],[Weight Fact]],IF(Tbl_Hull_Structure[[#This Row],[Fr to]]*FE_size=Tbl_Hull_Structure[[#This Row],[L from]],Tbl_Hull_Structure[[#This Row],[L from]]+FE_size,IF(Tbl_Hull_Structure[[#This Row],[Fr to]]*FE_size&gt;Lpp,Lpp,Tbl_Hull_Structure[[#This Row],[Fr to]]*FE_size)),"")</f>
        <v/>
      </c>
      <c r="AH14" s="143" t="str">
        <f>IFERROR(Tbl_Hull_Structure[[#This Row],[Weight Fact]]/(Tbl_Hull_Structure[[#This Row],[L to]]-Tbl_Hull_Structure[[#This Row],[L from]]),"")</f>
        <v/>
      </c>
      <c r="AI14" s="145" t="str">
        <f>IF(Tbl_Hull_Structure[[#This Row],[Weight Fact]],Tbl_Hull_Structure[[#This Row],[Spread]]*(Tbl_Hull_Structure[[#This Row],[L to]]-Tbl_Hull_Structure[[#This Row],[L from]])-Tbl_Hull_Structure[[#This Row],[Weight Fact]],"")</f>
        <v/>
      </c>
      <c r="AJ14" s="141" t="str">
        <f>IF(AND(ISNUMBER(Tbl_Hull_Structure[[#This Row],[L from]]),ISNUMBER(Tbl_Hull_Structure[[#This Row],[L to]])),IF(AND(Tbl_Hull_Structure[[#This Row],[L from]]&gt;=0,Tbl_Hull_Structure[[#This Row],[L to]]&lt;=Lpp),"OK","KO"),"OK")</f>
        <v>OK</v>
      </c>
    </row>
    <row r="15" spans="1:37" x14ac:dyDescent="0.25">
      <c r="B15" s="94">
        <f t="shared" si="0"/>
        <v>2</v>
      </c>
      <c r="C15" s="215">
        <v>2</v>
      </c>
      <c r="D15" s="217"/>
      <c r="E15" s="214" t="str">
        <f>IF(NOT(ISBLANK(Tbl_Hull_Structure[[#This Row],[Num]])),TEXT(Tbl_Hull_Structure[[#This Row],[Group]],"00")&amp;"-"&amp;TEXT(Tbl_Hull_Structure[[#This Row],[Num]],"000"),"")</f>
        <v/>
      </c>
      <c r="F15" s="218" t="s">
        <v>212</v>
      </c>
      <c r="G15" s="219"/>
      <c r="H15" s="220"/>
      <c r="I15" s="222">
        <f>Tbl_Hull_Structure[[#This Row],[Qty]]*Tbl_Hull_Structure[[#This Row],[Unitary ]]</f>
        <v>0</v>
      </c>
      <c r="J15" s="221"/>
      <c r="K15" s="223">
        <f>Tbl_Hull_Structure[[#This Row],[Contingency ]]*Tbl_Hull_Structure[[#This Row],[Total Op]]</f>
        <v>0</v>
      </c>
      <c r="L15" s="226"/>
      <c r="M15" s="228"/>
      <c r="N15" s="230"/>
      <c r="O15" s="231"/>
      <c r="P15" s="235"/>
      <c r="Q15" s="235"/>
      <c r="R15" s="241"/>
      <c r="S15" s="238" t="str">
        <f>IF(Tbl_Hull_Structure[[#This Row],[Weight Op]],Tbl_Hull_Structure[[#This Row],[Weight Op]]*Tbl_Hull_Structure[[#This Row],[X]],"")</f>
        <v/>
      </c>
      <c r="T15" s="101" t="str">
        <f>IF(Tbl_Hull_Structure[[#This Row],[Weight Op]],Tbl_Hull_Structure[[#This Row],[Weight Op]]*Tbl_Hull_Structure[[#This Row],[Y]],"")</f>
        <v/>
      </c>
      <c r="U15" s="99" t="str">
        <f>IF(Tbl_Hull_Structure[[#This Row],[Weight Op]],Tbl_Hull_Structure[[#This Row],[Weight Op]]*Tbl_Hull_Structure[[#This Row],[Z]],"")</f>
        <v/>
      </c>
      <c r="V15" s="103">
        <f>Tbl_Hull_Structure[[#This Row],[Weight Op]]</f>
        <v>0</v>
      </c>
      <c r="W15" s="105" t="str">
        <f>IF(Tbl_Hull_Structure[[#This Row],[Weight Fact]],Tbl_Hull_Structure[[#This Row],[X]],"")</f>
        <v/>
      </c>
      <c r="X15" s="107" t="str">
        <f>IF(Tbl_Hull_Structure[[#This Row],[Weight Fact]],Tbl_Hull_Structure[[#This Row],[Y]],"")</f>
        <v/>
      </c>
      <c r="Y15" s="109" t="str">
        <f>IF(Tbl_Hull_Structure[[#This Row],[Weight Fact]],Tbl_Hull_Structure[[#This Row],[Z]],"")</f>
        <v/>
      </c>
      <c r="Z15" s="117" t="str">
        <f>IF(Tbl_Hull_Structure[[#This Row],[Weight Fact]],Tbl_Hull_Structure[[#This Row],[X distrib]],"")</f>
        <v/>
      </c>
      <c r="AA15" s="120" t="str">
        <f>IF(Tbl_Hull_Structure[[#This Row],[Weight Fact]],Tbl_Hull_Structure[[#This Row],[COG x ]]-Tbl_Hull_Structure[[#This Row],[Distrib]]/2,"")</f>
        <v/>
      </c>
      <c r="AB15" s="123" t="str">
        <f>IF(Tbl_Hull_Structure[[#This Row],[Weight Fact]],Tbl_Hull_Structure[[#This Row],[COG x ]]+Tbl_Hull_Structure[[#This Row],[Distrib]]/2,"")</f>
        <v/>
      </c>
      <c r="AC15" s="111" t="str">
        <f>IF(Tbl_Hull_Structure[[#This Row],[Weight Fact]],ROUND(Tbl_Hull_Structure[[#This Row],[AP from]]/FE_size,0),"")</f>
        <v/>
      </c>
      <c r="AD15" s="113" t="str">
        <f>IF(Tbl_Hull_Structure[[#This Row],[Weight Fact]],ROUND(Tbl_Hull_Structure[[#This Row],[AP to]]/FE_size,0),"")</f>
        <v/>
      </c>
      <c r="AE15"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15" s="133" t="str">
        <f>IF(Tbl_Hull_Structure[[#This Row],[Weight Fact]],IF(Tbl_Hull_Structure[[#This Row],[Fr from]]*FE_size&lt;0,0,Tbl_Hull_Structure[[#This Row],[Fr from]]*FE_size),"")</f>
        <v/>
      </c>
      <c r="AG15" s="134" t="str">
        <f>IF(Tbl_Hull_Structure[[#This Row],[Weight Fact]],IF(Tbl_Hull_Structure[[#This Row],[Fr to]]*FE_size=Tbl_Hull_Structure[[#This Row],[L from]],Tbl_Hull_Structure[[#This Row],[L from]]+FE_size,IF(Tbl_Hull_Structure[[#This Row],[Fr to]]*FE_size&gt;Lpp,Lpp,Tbl_Hull_Structure[[#This Row],[Fr to]]*FE_size)),"")</f>
        <v/>
      </c>
      <c r="AH15" s="143" t="str">
        <f>IFERROR(Tbl_Hull_Structure[[#This Row],[Weight Fact]]/(Tbl_Hull_Structure[[#This Row],[L to]]-Tbl_Hull_Structure[[#This Row],[L from]]),"")</f>
        <v/>
      </c>
      <c r="AI15" s="145" t="str">
        <f>IF(Tbl_Hull_Structure[[#This Row],[Weight Fact]],Tbl_Hull_Structure[[#This Row],[Spread]]*(Tbl_Hull_Structure[[#This Row],[L to]]-Tbl_Hull_Structure[[#This Row],[L from]])-Tbl_Hull_Structure[[#This Row],[Weight Fact]],"")</f>
        <v/>
      </c>
      <c r="AJ15" s="141" t="str">
        <f>IF(AND(ISNUMBER(Tbl_Hull_Structure[[#This Row],[L from]]),ISNUMBER(Tbl_Hull_Structure[[#This Row],[L to]])),IF(AND(Tbl_Hull_Structure[[#This Row],[L from]]&gt;=0,Tbl_Hull_Structure[[#This Row],[L to]]&lt;=Lpp),"OK","KO"),"OK")</f>
        <v>OK</v>
      </c>
    </row>
    <row r="16" spans="1:37" x14ac:dyDescent="0.25">
      <c r="B16" s="94">
        <f t="shared" si="0"/>
        <v>2</v>
      </c>
      <c r="C16" s="215"/>
      <c r="D16" s="217">
        <v>1</v>
      </c>
      <c r="E16" s="214" t="str">
        <f>IF(NOT(ISBLANK(Tbl_Hull_Structure[[#This Row],[Num]])),TEXT(Tbl_Hull_Structure[[#This Row],[Group]],"00")&amp;"-"&amp;TEXT(Tbl_Hull_Structure[[#This Row],[Num]],"000"),"")</f>
        <v>00-001</v>
      </c>
      <c r="F16" s="218" t="s">
        <v>64</v>
      </c>
      <c r="G16" s="219">
        <v>0</v>
      </c>
      <c r="H16" s="220">
        <v>2.2999999999999998</v>
      </c>
      <c r="I16" s="222">
        <f>Tbl_Hull_Structure[[#This Row],[Qty]]*Tbl_Hull_Structure[[#This Row],[Unitary ]]</f>
        <v>0</v>
      </c>
      <c r="J16" s="221">
        <v>1.01</v>
      </c>
      <c r="K16" s="223">
        <f>Tbl_Hull_Structure[[#This Row],[Contingency ]]*Tbl_Hull_Structure[[#This Row],[Total Op]]</f>
        <v>0</v>
      </c>
      <c r="L16" s="226">
        <v>32.25</v>
      </c>
      <c r="M16" s="228">
        <v>7.4349999999999996</v>
      </c>
      <c r="N16" s="230">
        <v>8.25</v>
      </c>
      <c r="O16" s="231">
        <v>5.9999999999999964</v>
      </c>
      <c r="P16" s="234" t="s">
        <v>95</v>
      </c>
      <c r="Q16" s="235" t="s">
        <v>33</v>
      </c>
      <c r="R16" s="241" t="s">
        <v>86</v>
      </c>
      <c r="S16" s="238" t="str">
        <f>IF(Tbl_Hull_Structure[[#This Row],[Weight Op]],Tbl_Hull_Structure[[#This Row],[Weight Op]]*Tbl_Hull_Structure[[#This Row],[X]],"")</f>
        <v/>
      </c>
      <c r="T16" s="101" t="str">
        <f>IF(Tbl_Hull_Structure[[#This Row],[Weight Op]],Tbl_Hull_Structure[[#This Row],[Weight Op]]*Tbl_Hull_Structure[[#This Row],[Y]],"")</f>
        <v/>
      </c>
      <c r="U16" s="99" t="str">
        <f>IF(Tbl_Hull_Structure[[#This Row],[Weight Op]],Tbl_Hull_Structure[[#This Row],[Weight Op]]*Tbl_Hull_Structure[[#This Row],[Z]],"")</f>
        <v/>
      </c>
      <c r="V16" s="103">
        <f>Tbl_Hull_Structure[[#This Row],[Weight Op]]</f>
        <v>0</v>
      </c>
      <c r="W16" s="105" t="str">
        <f>IF(Tbl_Hull_Structure[[#This Row],[Weight Fact]],Tbl_Hull_Structure[[#This Row],[X]],"")</f>
        <v/>
      </c>
      <c r="X16" s="107" t="str">
        <f>IF(Tbl_Hull_Structure[[#This Row],[Weight Fact]],Tbl_Hull_Structure[[#This Row],[Y]],"")</f>
        <v/>
      </c>
      <c r="Y16" s="109" t="str">
        <f>IF(Tbl_Hull_Structure[[#This Row],[Weight Fact]],Tbl_Hull_Structure[[#This Row],[Z]],"")</f>
        <v/>
      </c>
      <c r="Z16" s="117" t="str">
        <f>IF(Tbl_Hull_Structure[[#This Row],[Weight Fact]],Tbl_Hull_Structure[[#This Row],[X distrib]],"")</f>
        <v/>
      </c>
      <c r="AA16" s="120" t="str">
        <f>IF(Tbl_Hull_Structure[[#This Row],[Weight Fact]],Tbl_Hull_Structure[[#This Row],[COG x ]]-Tbl_Hull_Structure[[#This Row],[Distrib]]/2,"")</f>
        <v/>
      </c>
      <c r="AB16" s="123" t="str">
        <f>IF(Tbl_Hull_Structure[[#This Row],[Weight Fact]],Tbl_Hull_Structure[[#This Row],[COG x ]]+Tbl_Hull_Structure[[#This Row],[Distrib]]/2,"")</f>
        <v/>
      </c>
      <c r="AC16" s="111" t="str">
        <f>IF(Tbl_Hull_Structure[[#This Row],[Weight Fact]],ROUND(Tbl_Hull_Structure[[#This Row],[AP from]]/FE_size,0),"")</f>
        <v/>
      </c>
      <c r="AD16" s="113" t="str">
        <f>IF(Tbl_Hull_Structure[[#This Row],[Weight Fact]],ROUND(Tbl_Hull_Structure[[#This Row],[AP to]]/FE_size,0),"")</f>
        <v/>
      </c>
      <c r="AE16"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16" s="133" t="str">
        <f>IF(Tbl_Hull_Structure[[#This Row],[Weight Fact]],IF(Tbl_Hull_Structure[[#This Row],[Fr from]]*FE_size&lt;0,0,Tbl_Hull_Structure[[#This Row],[Fr from]]*FE_size),"")</f>
        <v/>
      </c>
      <c r="AG16" s="134" t="str">
        <f>IF(Tbl_Hull_Structure[[#This Row],[Weight Fact]],IF(Tbl_Hull_Structure[[#This Row],[Fr to]]*FE_size=Tbl_Hull_Structure[[#This Row],[L from]],Tbl_Hull_Structure[[#This Row],[L from]]+FE_size,IF(Tbl_Hull_Structure[[#This Row],[Fr to]]*FE_size&gt;Lpp,Lpp,Tbl_Hull_Structure[[#This Row],[Fr to]]*FE_size)),"")</f>
        <v/>
      </c>
      <c r="AH16" s="143" t="str">
        <f>IFERROR(Tbl_Hull_Structure[[#This Row],[Weight Fact]]/(Tbl_Hull_Structure[[#This Row],[L to]]-Tbl_Hull_Structure[[#This Row],[L from]]),"")</f>
        <v/>
      </c>
      <c r="AI16" s="145" t="str">
        <f>IF(Tbl_Hull_Structure[[#This Row],[Weight Fact]],Tbl_Hull_Structure[[#This Row],[Spread]]*(Tbl_Hull_Structure[[#This Row],[L to]]-Tbl_Hull_Structure[[#This Row],[L from]])-Tbl_Hull_Structure[[#This Row],[Weight Fact]],"")</f>
        <v/>
      </c>
      <c r="AJ16" s="141" t="str">
        <f>IF(AND(ISNUMBER(Tbl_Hull_Structure[[#This Row],[L from]]),ISNUMBER(Tbl_Hull_Structure[[#This Row],[L to]])),IF(AND(Tbl_Hull_Structure[[#This Row],[L from]]&gt;=0,Tbl_Hull_Structure[[#This Row],[L to]]&lt;=Lpp),"OK","KO"),"OK")</f>
        <v>OK</v>
      </c>
    </row>
    <row r="17" spans="2:36" x14ac:dyDescent="0.25">
      <c r="B17" s="94">
        <f t="shared" si="0"/>
        <v>2</v>
      </c>
      <c r="C17" s="215"/>
      <c r="D17" s="217">
        <v>2</v>
      </c>
      <c r="E17" s="214" t="str">
        <f>IF(NOT(ISBLANK(Tbl_Hull_Structure[[#This Row],[Num]])),TEXT(Tbl_Hull_Structure[[#This Row],[Group]],"00")&amp;"-"&amp;TEXT(Tbl_Hull_Structure[[#This Row],[Num]],"000"),"")</f>
        <v>00-002</v>
      </c>
      <c r="F17" s="218" t="s">
        <v>87</v>
      </c>
      <c r="G17" s="219">
        <v>0</v>
      </c>
      <c r="H17" s="220">
        <v>2.2999999999999998</v>
      </c>
      <c r="I17" s="222">
        <f>Tbl_Hull_Structure[[#This Row],[Qty]]*Tbl_Hull_Structure[[#This Row],[Unitary ]]</f>
        <v>0</v>
      </c>
      <c r="J17" s="221">
        <v>1.01</v>
      </c>
      <c r="K17" s="223">
        <f>Tbl_Hull_Structure[[#This Row],[Contingency ]]*Tbl_Hull_Structure[[#This Row],[Total Op]]</f>
        <v>0</v>
      </c>
      <c r="L17" s="226">
        <v>32.25</v>
      </c>
      <c r="M17" s="228">
        <v>7.4349999999999996</v>
      </c>
      <c r="N17" s="230">
        <v>5.25</v>
      </c>
      <c r="O17" s="231">
        <v>5.9999999999999964</v>
      </c>
      <c r="P17" s="234" t="s">
        <v>95</v>
      </c>
      <c r="Q17" s="235" t="s">
        <v>33</v>
      </c>
      <c r="R17" s="241" t="s">
        <v>86</v>
      </c>
      <c r="S17" s="238" t="str">
        <f>IF(Tbl_Hull_Structure[[#This Row],[Weight Op]],Tbl_Hull_Structure[[#This Row],[Weight Op]]*Tbl_Hull_Structure[[#This Row],[X]],"")</f>
        <v/>
      </c>
      <c r="T17" s="101" t="str">
        <f>IF(Tbl_Hull_Structure[[#This Row],[Weight Op]],Tbl_Hull_Structure[[#This Row],[Weight Op]]*Tbl_Hull_Structure[[#This Row],[Y]],"")</f>
        <v/>
      </c>
      <c r="U17" s="99" t="str">
        <f>IF(Tbl_Hull_Structure[[#This Row],[Weight Op]],Tbl_Hull_Structure[[#This Row],[Weight Op]]*Tbl_Hull_Structure[[#This Row],[Z]],"")</f>
        <v/>
      </c>
      <c r="V17" s="103">
        <f>Tbl_Hull_Structure[[#This Row],[Weight Op]]</f>
        <v>0</v>
      </c>
      <c r="W17" s="105" t="str">
        <f>IF(Tbl_Hull_Structure[[#This Row],[Weight Fact]],Tbl_Hull_Structure[[#This Row],[X]],"")</f>
        <v/>
      </c>
      <c r="X17" s="107" t="str">
        <f>IF(Tbl_Hull_Structure[[#This Row],[Weight Fact]],Tbl_Hull_Structure[[#This Row],[Y]],"")</f>
        <v/>
      </c>
      <c r="Y17" s="109" t="str">
        <f>IF(Tbl_Hull_Structure[[#This Row],[Weight Fact]],Tbl_Hull_Structure[[#This Row],[Z]],"")</f>
        <v/>
      </c>
      <c r="Z17" s="117" t="str">
        <f>IF(Tbl_Hull_Structure[[#This Row],[Weight Fact]],Tbl_Hull_Structure[[#This Row],[X distrib]],"")</f>
        <v/>
      </c>
      <c r="AA17" s="120" t="str">
        <f>IF(Tbl_Hull_Structure[[#This Row],[Weight Fact]],Tbl_Hull_Structure[[#This Row],[COG x ]]-Tbl_Hull_Structure[[#This Row],[Distrib]]/2,"")</f>
        <v/>
      </c>
      <c r="AB17" s="123" t="str">
        <f>IF(Tbl_Hull_Structure[[#This Row],[Weight Fact]],Tbl_Hull_Structure[[#This Row],[COG x ]]+Tbl_Hull_Structure[[#This Row],[Distrib]]/2,"")</f>
        <v/>
      </c>
      <c r="AC17" s="111" t="str">
        <f>IF(Tbl_Hull_Structure[[#This Row],[Weight Fact]],ROUND(Tbl_Hull_Structure[[#This Row],[AP from]]/FE_size,0),"")</f>
        <v/>
      </c>
      <c r="AD17" s="113" t="str">
        <f>IF(Tbl_Hull_Structure[[#This Row],[Weight Fact]],ROUND(Tbl_Hull_Structure[[#This Row],[AP to]]/FE_size,0),"")</f>
        <v/>
      </c>
      <c r="AE17"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17" s="133" t="str">
        <f>IF(Tbl_Hull_Structure[[#This Row],[Weight Fact]],IF(Tbl_Hull_Structure[[#This Row],[Fr from]]*FE_size&lt;0,0,Tbl_Hull_Structure[[#This Row],[Fr from]]*FE_size),"")</f>
        <v/>
      </c>
      <c r="AG17" s="134" t="str">
        <f>IF(Tbl_Hull_Structure[[#This Row],[Weight Fact]],IF(Tbl_Hull_Structure[[#This Row],[Fr to]]*FE_size=Tbl_Hull_Structure[[#This Row],[L from]],Tbl_Hull_Structure[[#This Row],[L from]]+FE_size,IF(Tbl_Hull_Structure[[#This Row],[Fr to]]*FE_size&gt;Lpp,Lpp,Tbl_Hull_Structure[[#This Row],[Fr to]]*FE_size)),"")</f>
        <v/>
      </c>
      <c r="AH17" s="143" t="str">
        <f>IFERROR(Tbl_Hull_Structure[[#This Row],[Weight Fact]]/(Tbl_Hull_Structure[[#This Row],[L to]]-Tbl_Hull_Structure[[#This Row],[L from]]),"")</f>
        <v/>
      </c>
      <c r="AI17" s="145" t="str">
        <f>IF(Tbl_Hull_Structure[[#This Row],[Weight Fact]],Tbl_Hull_Structure[[#This Row],[Spread]]*(Tbl_Hull_Structure[[#This Row],[L to]]-Tbl_Hull_Structure[[#This Row],[L from]])-Tbl_Hull_Structure[[#This Row],[Weight Fact]],"")</f>
        <v/>
      </c>
      <c r="AJ17" s="141" t="str">
        <f>IF(AND(ISNUMBER(Tbl_Hull_Structure[[#This Row],[L from]]),ISNUMBER(Tbl_Hull_Structure[[#This Row],[L to]])),IF(AND(Tbl_Hull_Structure[[#This Row],[L from]]&gt;=0,Tbl_Hull_Structure[[#This Row],[L to]]&lt;=Lpp),"OK","KO"),"OK")</f>
        <v>OK</v>
      </c>
    </row>
    <row r="18" spans="2:36" x14ac:dyDescent="0.25">
      <c r="B18" s="94">
        <f t="shared" si="0"/>
        <v>2</v>
      </c>
      <c r="C18" s="215"/>
      <c r="D18" s="217">
        <v>3</v>
      </c>
      <c r="E18" s="214" t="str">
        <f>IF(NOT(ISBLANK(Tbl_Hull_Structure[[#This Row],[Num]])),TEXT(Tbl_Hull_Structure[[#This Row],[Group]],"00")&amp;"-"&amp;TEXT(Tbl_Hull_Structure[[#This Row],[Num]],"000"),"")</f>
        <v>00-003</v>
      </c>
      <c r="F18" s="218" t="s">
        <v>65</v>
      </c>
      <c r="G18" s="219">
        <v>0</v>
      </c>
      <c r="H18" s="220">
        <v>2.2999999999999998</v>
      </c>
      <c r="I18" s="222">
        <f>Tbl_Hull_Structure[[#This Row],[Qty]]*Tbl_Hull_Structure[[#This Row],[Unitary ]]</f>
        <v>0</v>
      </c>
      <c r="J18" s="221">
        <v>1.01</v>
      </c>
      <c r="K18" s="223">
        <f>Tbl_Hull_Structure[[#This Row],[Contingency ]]*Tbl_Hull_Structure[[#This Row],[Total Op]]</f>
        <v>0</v>
      </c>
      <c r="L18" s="226">
        <v>36.549999999999997</v>
      </c>
      <c r="M18" s="228">
        <v>5.57</v>
      </c>
      <c r="N18" s="230">
        <v>8.25</v>
      </c>
      <c r="O18" s="231">
        <v>2.2000000000000028</v>
      </c>
      <c r="P18" s="234" t="s">
        <v>95</v>
      </c>
      <c r="Q18" s="235" t="s">
        <v>33</v>
      </c>
      <c r="R18" s="241" t="s">
        <v>86</v>
      </c>
      <c r="S18" s="238" t="str">
        <f>IF(Tbl_Hull_Structure[[#This Row],[Weight Op]],Tbl_Hull_Structure[[#This Row],[Weight Op]]*Tbl_Hull_Structure[[#This Row],[X]],"")</f>
        <v/>
      </c>
      <c r="T18" s="101" t="str">
        <f>IF(Tbl_Hull_Structure[[#This Row],[Weight Op]],Tbl_Hull_Structure[[#This Row],[Weight Op]]*Tbl_Hull_Structure[[#This Row],[Y]],"")</f>
        <v/>
      </c>
      <c r="U18" s="99" t="str">
        <f>IF(Tbl_Hull_Structure[[#This Row],[Weight Op]],Tbl_Hull_Structure[[#This Row],[Weight Op]]*Tbl_Hull_Structure[[#This Row],[Z]],"")</f>
        <v/>
      </c>
      <c r="V18" s="103">
        <f>Tbl_Hull_Structure[[#This Row],[Weight Op]]</f>
        <v>0</v>
      </c>
      <c r="W18" s="105" t="str">
        <f>IF(Tbl_Hull_Structure[[#This Row],[Weight Fact]],Tbl_Hull_Structure[[#This Row],[X]],"")</f>
        <v/>
      </c>
      <c r="X18" s="107" t="str">
        <f>IF(Tbl_Hull_Structure[[#This Row],[Weight Fact]],Tbl_Hull_Structure[[#This Row],[Y]],"")</f>
        <v/>
      </c>
      <c r="Y18" s="109" t="str">
        <f>IF(Tbl_Hull_Structure[[#This Row],[Weight Fact]],Tbl_Hull_Structure[[#This Row],[Z]],"")</f>
        <v/>
      </c>
      <c r="Z18" s="117" t="str">
        <f>IF(Tbl_Hull_Structure[[#This Row],[Weight Fact]],Tbl_Hull_Structure[[#This Row],[X distrib]],"")</f>
        <v/>
      </c>
      <c r="AA18" s="120" t="str">
        <f>IF(Tbl_Hull_Structure[[#This Row],[Weight Fact]],Tbl_Hull_Structure[[#This Row],[COG x ]]-Tbl_Hull_Structure[[#This Row],[Distrib]]/2,"")</f>
        <v/>
      </c>
      <c r="AB18" s="123" t="str">
        <f>IF(Tbl_Hull_Structure[[#This Row],[Weight Fact]],Tbl_Hull_Structure[[#This Row],[COG x ]]+Tbl_Hull_Structure[[#This Row],[Distrib]]/2,"")</f>
        <v/>
      </c>
      <c r="AC18" s="111" t="str">
        <f>IF(Tbl_Hull_Structure[[#This Row],[Weight Fact]],ROUND(Tbl_Hull_Structure[[#This Row],[AP from]]/FE_size,0),"")</f>
        <v/>
      </c>
      <c r="AD18" s="113" t="str">
        <f>IF(Tbl_Hull_Structure[[#This Row],[Weight Fact]],ROUND(Tbl_Hull_Structure[[#This Row],[AP to]]/FE_size,0),"")</f>
        <v/>
      </c>
      <c r="AE18"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18" s="133" t="str">
        <f>IF(Tbl_Hull_Structure[[#This Row],[Weight Fact]],IF(Tbl_Hull_Structure[[#This Row],[Fr from]]*FE_size&lt;0,0,Tbl_Hull_Structure[[#This Row],[Fr from]]*FE_size),"")</f>
        <v/>
      </c>
      <c r="AG18" s="134" t="str">
        <f>IF(Tbl_Hull_Structure[[#This Row],[Weight Fact]],IF(Tbl_Hull_Structure[[#This Row],[Fr to]]*FE_size=Tbl_Hull_Structure[[#This Row],[L from]],Tbl_Hull_Structure[[#This Row],[L from]]+FE_size,IF(Tbl_Hull_Structure[[#This Row],[Fr to]]*FE_size&gt;Lpp,Lpp,Tbl_Hull_Structure[[#This Row],[Fr to]]*FE_size)),"")</f>
        <v/>
      </c>
      <c r="AH18" s="143" t="str">
        <f>IFERROR(Tbl_Hull_Structure[[#This Row],[Weight Fact]]/(Tbl_Hull_Structure[[#This Row],[L to]]-Tbl_Hull_Structure[[#This Row],[L from]]),"")</f>
        <v/>
      </c>
      <c r="AI18" s="145" t="str">
        <f>IF(Tbl_Hull_Structure[[#This Row],[Weight Fact]],Tbl_Hull_Structure[[#This Row],[Spread]]*(Tbl_Hull_Structure[[#This Row],[L to]]-Tbl_Hull_Structure[[#This Row],[L from]])-Tbl_Hull_Structure[[#This Row],[Weight Fact]],"")</f>
        <v/>
      </c>
      <c r="AJ18" s="141" t="str">
        <f>IF(AND(ISNUMBER(Tbl_Hull_Structure[[#This Row],[L from]]),ISNUMBER(Tbl_Hull_Structure[[#This Row],[L to]])),IF(AND(Tbl_Hull_Structure[[#This Row],[L from]]&gt;=0,Tbl_Hull_Structure[[#This Row],[L to]]&lt;=Lpp),"OK","KO"),"OK")</f>
        <v>OK</v>
      </c>
    </row>
    <row r="19" spans="2:36" x14ac:dyDescent="0.25">
      <c r="B19" s="94">
        <f t="shared" si="0"/>
        <v>2</v>
      </c>
      <c r="C19" s="215"/>
      <c r="D19" s="217">
        <v>4</v>
      </c>
      <c r="E19" s="214" t="str">
        <f>IF(NOT(ISBLANK(Tbl_Hull_Structure[[#This Row],[Num]])),TEXT(Tbl_Hull_Structure[[#This Row],[Group]],"00")&amp;"-"&amp;TEXT(Tbl_Hull_Structure[[#This Row],[Num]],"000"),"")</f>
        <v>00-004</v>
      </c>
      <c r="F19" s="218" t="s">
        <v>66</v>
      </c>
      <c r="G19" s="219">
        <v>0</v>
      </c>
      <c r="H19" s="220">
        <v>2.2999999999999998</v>
      </c>
      <c r="I19" s="222">
        <f>Tbl_Hull_Structure[[#This Row],[Qty]]*Tbl_Hull_Structure[[#This Row],[Unitary ]]</f>
        <v>0</v>
      </c>
      <c r="J19" s="221">
        <v>1.01</v>
      </c>
      <c r="K19" s="223">
        <f>Tbl_Hull_Structure[[#This Row],[Contingency ]]*Tbl_Hull_Structure[[#This Row],[Total Op]]</f>
        <v>0</v>
      </c>
      <c r="L19" s="226">
        <v>36.549999999999997</v>
      </c>
      <c r="M19" s="228">
        <v>5.57</v>
      </c>
      <c r="N19" s="230">
        <v>5.25</v>
      </c>
      <c r="O19" s="231">
        <v>2.2000000000000028</v>
      </c>
      <c r="P19" s="234" t="s">
        <v>95</v>
      </c>
      <c r="Q19" s="235" t="s">
        <v>33</v>
      </c>
      <c r="R19" s="241" t="s">
        <v>86</v>
      </c>
      <c r="S19" s="238" t="str">
        <f>IF(Tbl_Hull_Structure[[#This Row],[Weight Op]],Tbl_Hull_Structure[[#This Row],[Weight Op]]*Tbl_Hull_Structure[[#This Row],[X]],"")</f>
        <v/>
      </c>
      <c r="T19" s="101" t="str">
        <f>IF(Tbl_Hull_Structure[[#This Row],[Weight Op]],Tbl_Hull_Structure[[#This Row],[Weight Op]]*Tbl_Hull_Structure[[#This Row],[Y]],"")</f>
        <v/>
      </c>
      <c r="U19" s="99" t="str">
        <f>IF(Tbl_Hull_Structure[[#This Row],[Weight Op]],Tbl_Hull_Structure[[#This Row],[Weight Op]]*Tbl_Hull_Structure[[#This Row],[Z]],"")</f>
        <v/>
      </c>
      <c r="V19" s="103">
        <f>Tbl_Hull_Structure[[#This Row],[Weight Op]]</f>
        <v>0</v>
      </c>
      <c r="W19" s="105" t="str">
        <f>IF(Tbl_Hull_Structure[[#This Row],[Weight Fact]],Tbl_Hull_Structure[[#This Row],[X]],"")</f>
        <v/>
      </c>
      <c r="X19" s="107" t="str">
        <f>IF(Tbl_Hull_Structure[[#This Row],[Weight Fact]],Tbl_Hull_Structure[[#This Row],[Y]],"")</f>
        <v/>
      </c>
      <c r="Y19" s="109" t="str">
        <f>IF(Tbl_Hull_Structure[[#This Row],[Weight Fact]],Tbl_Hull_Structure[[#This Row],[Z]],"")</f>
        <v/>
      </c>
      <c r="Z19" s="117" t="str">
        <f>IF(Tbl_Hull_Structure[[#This Row],[Weight Fact]],Tbl_Hull_Structure[[#This Row],[X distrib]],"")</f>
        <v/>
      </c>
      <c r="AA19" s="120" t="str">
        <f>IF(Tbl_Hull_Structure[[#This Row],[Weight Fact]],Tbl_Hull_Structure[[#This Row],[COG x ]]-Tbl_Hull_Structure[[#This Row],[Distrib]]/2,"")</f>
        <v/>
      </c>
      <c r="AB19" s="123" t="str">
        <f>IF(Tbl_Hull_Structure[[#This Row],[Weight Fact]],Tbl_Hull_Structure[[#This Row],[COG x ]]+Tbl_Hull_Structure[[#This Row],[Distrib]]/2,"")</f>
        <v/>
      </c>
      <c r="AC19" s="111" t="str">
        <f>IF(Tbl_Hull_Structure[[#This Row],[Weight Fact]],ROUND(Tbl_Hull_Structure[[#This Row],[AP from]]/FE_size,0),"")</f>
        <v/>
      </c>
      <c r="AD19" s="113" t="str">
        <f>IF(Tbl_Hull_Structure[[#This Row],[Weight Fact]],ROUND(Tbl_Hull_Structure[[#This Row],[AP to]]/FE_size,0),"")</f>
        <v/>
      </c>
      <c r="AE19"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19" s="133" t="str">
        <f>IF(Tbl_Hull_Structure[[#This Row],[Weight Fact]],IF(Tbl_Hull_Structure[[#This Row],[Fr from]]*FE_size&lt;0,0,Tbl_Hull_Structure[[#This Row],[Fr from]]*FE_size),"")</f>
        <v/>
      </c>
      <c r="AG19" s="134" t="str">
        <f>IF(Tbl_Hull_Structure[[#This Row],[Weight Fact]],IF(Tbl_Hull_Structure[[#This Row],[Fr to]]*FE_size=Tbl_Hull_Structure[[#This Row],[L from]],Tbl_Hull_Structure[[#This Row],[L from]]+FE_size,IF(Tbl_Hull_Structure[[#This Row],[Fr to]]*FE_size&gt;Lpp,Lpp,Tbl_Hull_Structure[[#This Row],[Fr to]]*FE_size)),"")</f>
        <v/>
      </c>
      <c r="AH19" s="143" t="str">
        <f>IFERROR(Tbl_Hull_Structure[[#This Row],[Weight Fact]]/(Tbl_Hull_Structure[[#This Row],[L to]]-Tbl_Hull_Structure[[#This Row],[L from]]),"")</f>
        <v/>
      </c>
      <c r="AI19" s="145" t="str">
        <f>IF(Tbl_Hull_Structure[[#This Row],[Weight Fact]],Tbl_Hull_Structure[[#This Row],[Spread]]*(Tbl_Hull_Structure[[#This Row],[L to]]-Tbl_Hull_Structure[[#This Row],[L from]])-Tbl_Hull_Structure[[#This Row],[Weight Fact]],"")</f>
        <v/>
      </c>
      <c r="AJ19" s="141" t="str">
        <f>IF(AND(ISNUMBER(Tbl_Hull_Structure[[#This Row],[L from]]),ISNUMBER(Tbl_Hull_Structure[[#This Row],[L to]])),IF(AND(Tbl_Hull_Structure[[#This Row],[L from]]&gt;=0,Tbl_Hull_Structure[[#This Row],[L to]]&lt;=Lpp),"OK","KO"),"OK")</f>
        <v>OK</v>
      </c>
    </row>
    <row r="20" spans="2:36" x14ac:dyDescent="0.25">
      <c r="B20" s="94">
        <f t="shared" si="0"/>
        <v>2</v>
      </c>
      <c r="C20" s="215"/>
      <c r="D20" s="217" t="s">
        <v>90</v>
      </c>
      <c r="E20" s="214" t="str">
        <f>IF(NOT(ISBLANK(Tbl_Hull_Structure[[#This Row],[Num]])),TEXT(Tbl_Hull_Structure[[#This Row],[Group]],"00")&amp;"-"&amp;TEXT(Tbl_Hull_Structure[[#This Row],[Num]],"000"),"")</f>
        <v>00-5.a</v>
      </c>
      <c r="F20" s="218" t="s">
        <v>67</v>
      </c>
      <c r="G20" s="219">
        <v>0</v>
      </c>
      <c r="H20" s="220">
        <v>4</v>
      </c>
      <c r="I20" s="222">
        <f>Tbl_Hull_Structure[[#This Row],[Qty]]*Tbl_Hull_Structure[[#This Row],[Unitary ]]</f>
        <v>0</v>
      </c>
      <c r="J20" s="221">
        <v>1.01</v>
      </c>
      <c r="K20" s="223">
        <f>Tbl_Hull_Structure[[#This Row],[Contingency ]]*Tbl_Hull_Structure[[#This Row],[Total Op]]</f>
        <v>0</v>
      </c>
      <c r="L20" s="226">
        <v>38.99</v>
      </c>
      <c r="M20" s="228">
        <v>5.5</v>
      </c>
      <c r="N20" s="230">
        <v>5</v>
      </c>
      <c r="O20" s="231">
        <v>2.2999999999999972</v>
      </c>
      <c r="P20" s="234" t="s">
        <v>95</v>
      </c>
      <c r="Q20" s="235" t="s">
        <v>33</v>
      </c>
      <c r="R20" s="241" t="s">
        <v>96</v>
      </c>
      <c r="S20" s="238" t="str">
        <f>IF(Tbl_Hull_Structure[[#This Row],[Weight Op]],Tbl_Hull_Structure[[#This Row],[Weight Op]]*Tbl_Hull_Structure[[#This Row],[X]],"")</f>
        <v/>
      </c>
      <c r="T20" s="101" t="str">
        <f>IF(Tbl_Hull_Structure[[#This Row],[Weight Op]],Tbl_Hull_Structure[[#This Row],[Weight Op]]*Tbl_Hull_Structure[[#This Row],[Y]],"")</f>
        <v/>
      </c>
      <c r="U20" s="99" t="str">
        <f>IF(Tbl_Hull_Structure[[#This Row],[Weight Op]],Tbl_Hull_Structure[[#This Row],[Weight Op]]*Tbl_Hull_Structure[[#This Row],[Z]],"")</f>
        <v/>
      </c>
      <c r="V20" s="103">
        <f>Tbl_Hull_Structure[[#This Row],[Weight Op]]</f>
        <v>0</v>
      </c>
      <c r="W20" s="105" t="str">
        <f>IF(Tbl_Hull_Structure[[#This Row],[Weight Fact]],Tbl_Hull_Structure[[#This Row],[X]],"")</f>
        <v/>
      </c>
      <c r="X20" s="107" t="str">
        <f>IF(Tbl_Hull_Structure[[#This Row],[Weight Fact]],Tbl_Hull_Structure[[#This Row],[Y]],"")</f>
        <v/>
      </c>
      <c r="Y20" s="109" t="str">
        <f>IF(Tbl_Hull_Structure[[#This Row],[Weight Fact]],Tbl_Hull_Structure[[#This Row],[Z]],"")</f>
        <v/>
      </c>
      <c r="Z20" s="117" t="str">
        <f>IF(Tbl_Hull_Structure[[#This Row],[Weight Fact]],Tbl_Hull_Structure[[#This Row],[X distrib]],"")</f>
        <v/>
      </c>
      <c r="AA20" s="120" t="str">
        <f>IF(Tbl_Hull_Structure[[#This Row],[Weight Fact]],Tbl_Hull_Structure[[#This Row],[COG x ]]-Tbl_Hull_Structure[[#This Row],[Distrib]]/2,"")</f>
        <v/>
      </c>
      <c r="AB20" s="123" t="str">
        <f>IF(Tbl_Hull_Structure[[#This Row],[Weight Fact]],Tbl_Hull_Structure[[#This Row],[COG x ]]+Tbl_Hull_Structure[[#This Row],[Distrib]]/2,"")</f>
        <v/>
      </c>
      <c r="AC20" s="111" t="str">
        <f>IF(Tbl_Hull_Structure[[#This Row],[Weight Fact]],ROUND(Tbl_Hull_Structure[[#This Row],[AP from]]/FE_size,0),"")</f>
        <v/>
      </c>
      <c r="AD20" s="113" t="str">
        <f>IF(Tbl_Hull_Structure[[#This Row],[Weight Fact]],ROUND(Tbl_Hull_Structure[[#This Row],[AP to]]/FE_size,0),"")</f>
        <v/>
      </c>
      <c r="AE20"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20" s="133" t="str">
        <f>IF(Tbl_Hull_Structure[[#This Row],[Weight Fact]],IF(Tbl_Hull_Structure[[#This Row],[Fr from]]*FE_size&lt;0,0,Tbl_Hull_Structure[[#This Row],[Fr from]]*FE_size),"")</f>
        <v/>
      </c>
      <c r="AG20" s="134" t="str">
        <f>IF(Tbl_Hull_Structure[[#This Row],[Weight Fact]],IF(Tbl_Hull_Structure[[#This Row],[Fr to]]*FE_size=Tbl_Hull_Structure[[#This Row],[L from]],Tbl_Hull_Structure[[#This Row],[L from]]+FE_size,IF(Tbl_Hull_Structure[[#This Row],[Fr to]]*FE_size&gt;Lpp,Lpp,Tbl_Hull_Structure[[#This Row],[Fr to]]*FE_size)),"")</f>
        <v/>
      </c>
      <c r="AH20" s="143" t="str">
        <f>IFERROR(Tbl_Hull_Structure[[#This Row],[Weight Fact]]/(Tbl_Hull_Structure[[#This Row],[L to]]-Tbl_Hull_Structure[[#This Row],[L from]]),"")</f>
        <v/>
      </c>
      <c r="AI20" s="145" t="str">
        <f>IF(Tbl_Hull_Structure[[#This Row],[Weight Fact]],Tbl_Hull_Structure[[#This Row],[Spread]]*(Tbl_Hull_Structure[[#This Row],[L to]]-Tbl_Hull_Structure[[#This Row],[L from]])-Tbl_Hull_Structure[[#This Row],[Weight Fact]],"")</f>
        <v/>
      </c>
      <c r="AJ20" s="141" t="str">
        <f>IF(AND(ISNUMBER(Tbl_Hull_Structure[[#This Row],[L from]]),ISNUMBER(Tbl_Hull_Structure[[#This Row],[L to]])),IF(AND(Tbl_Hull_Structure[[#This Row],[L from]]&gt;=0,Tbl_Hull_Structure[[#This Row],[L to]]&lt;=Lpp),"OK","KO"),"OK")</f>
        <v>OK</v>
      </c>
    </row>
    <row r="21" spans="2:36" x14ac:dyDescent="0.25">
      <c r="B21" s="94">
        <f t="shared" si="0"/>
        <v>2</v>
      </c>
      <c r="C21" s="215"/>
      <c r="D21" s="217" t="s">
        <v>91</v>
      </c>
      <c r="E21" s="214" t="str">
        <f>IF(NOT(ISBLANK(Tbl_Hull_Structure[[#This Row],[Num]])),TEXT(Tbl_Hull_Structure[[#This Row],[Group]],"00")&amp;"-"&amp;TEXT(Tbl_Hull_Structure[[#This Row],[Num]],"000"),"")</f>
        <v>00-5.b</v>
      </c>
      <c r="F21" s="218" t="s">
        <v>67</v>
      </c>
      <c r="G21" s="219">
        <v>0</v>
      </c>
      <c r="H21" s="220">
        <v>4</v>
      </c>
      <c r="I21" s="222">
        <f>Tbl_Hull_Structure[[#This Row],[Qty]]*Tbl_Hull_Structure[[#This Row],[Unitary ]]</f>
        <v>0</v>
      </c>
      <c r="J21" s="221">
        <v>1.01</v>
      </c>
      <c r="K21" s="224">
        <f>Tbl_Hull_Structure[[#This Row],[Contingency ]]*Tbl_Hull_Structure[[#This Row],[Total Op]]</f>
        <v>0</v>
      </c>
      <c r="L21" s="226">
        <v>41.42</v>
      </c>
      <c r="M21" s="228">
        <v>5.5</v>
      </c>
      <c r="N21" s="230">
        <v>5</v>
      </c>
      <c r="O21" s="231">
        <v>1.5</v>
      </c>
      <c r="P21" s="234" t="s">
        <v>95</v>
      </c>
      <c r="Q21" s="235" t="s">
        <v>33</v>
      </c>
      <c r="R21" s="241" t="s">
        <v>96</v>
      </c>
      <c r="S21" s="238" t="str">
        <f>IF(Tbl_Hull_Structure[[#This Row],[Weight Op]],Tbl_Hull_Structure[[#This Row],[Weight Op]]*Tbl_Hull_Structure[[#This Row],[X]],"")</f>
        <v/>
      </c>
      <c r="T21" s="101" t="str">
        <f>IF(Tbl_Hull_Structure[[#This Row],[Weight Op]],Tbl_Hull_Structure[[#This Row],[Weight Op]]*Tbl_Hull_Structure[[#This Row],[Y]],"")</f>
        <v/>
      </c>
      <c r="U21" s="99" t="str">
        <f>IF(Tbl_Hull_Structure[[#This Row],[Weight Op]],Tbl_Hull_Structure[[#This Row],[Weight Op]]*Tbl_Hull_Structure[[#This Row],[Z]],"")</f>
        <v/>
      </c>
      <c r="V21" s="103">
        <f>Tbl_Hull_Structure[[#This Row],[Weight Op]]</f>
        <v>0</v>
      </c>
      <c r="W21" s="105" t="str">
        <f>IF(Tbl_Hull_Structure[[#This Row],[Weight Fact]],Tbl_Hull_Structure[[#This Row],[X]],"")</f>
        <v/>
      </c>
      <c r="X21" s="107" t="str">
        <f>IF(Tbl_Hull_Structure[[#This Row],[Weight Fact]],Tbl_Hull_Structure[[#This Row],[Y]],"")</f>
        <v/>
      </c>
      <c r="Y21" s="109" t="str">
        <f>IF(Tbl_Hull_Structure[[#This Row],[Weight Fact]],Tbl_Hull_Structure[[#This Row],[Z]],"")</f>
        <v/>
      </c>
      <c r="Z21" s="117" t="str">
        <f>IF(Tbl_Hull_Structure[[#This Row],[Weight Fact]],Tbl_Hull_Structure[[#This Row],[X distrib]],"")</f>
        <v/>
      </c>
      <c r="AA21" s="120" t="str">
        <f>IF(Tbl_Hull_Structure[[#This Row],[Weight Fact]],Tbl_Hull_Structure[[#This Row],[COG x ]]-Tbl_Hull_Structure[[#This Row],[Distrib]]/2,"")</f>
        <v/>
      </c>
      <c r="AB21" s="123" t="str">
        <f>IF(Tbl_Hull_Structure[[#This Row],[Weight Fact]],Tbl_Hull_Structure[[#This Row],[COG x ]]+Tbl_Hull_Structure[[#This Row],[Distrib]]/2,"")</f>
        <v/>
      </c>
      <c r="AC21" s="111" t="str">
        <f>IF(Tbl_Hull_Structure[[#This Row],[Weight Fact]],ROUND(Tbl_Hull_Structure[[#This Row],[AP from]]/FE_size,0),"")</f>
        <v/>
      </c>
      <c r="AD21" s="113" t="str">
        <f>IF(Tbl_Hull_Structure[[#This Row],[Weight Fact]],ROUND(Tbl_Hull_Structure[[#This Row],[AP to]]/FE_size,0),"")</f>
        <v/>
      </c>
      <c r="AE21"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21" s="133" t="str">
        <f>IF(Tbl_Hull_Structure[[#This Row],[Weight Fact]],IF(Tbl_Hull_Structure[[#This Row],[Fr from]]*FE_size&lt;0,0,Tbl_Hull_Structure[[#This Row],[Fr from]]*FE_size),"")</f>
        <v/>
      </c>
      <c r="AG21" s="134" t="str">
        <f>IF(Tbl_Hull_Structure[[#This Row],[Weight Fact]],IF(Tbl_Hull_Structure[[#This Row],[Fr to]]*FE_size=Tbl_Hull_Structure[[#This Row],[L from]],Tbl_Hull_Structure[[#This Row],[L from]]+FE_size,IF(Tbl_Hull_Structure[[#This Row],[Fr to]]*FE_size&gt;Lpp,Lpp,Tbl_Hull_Structure[[#This Row],[Fr to]]*FE_size)),"")</f>
        <v/>
      </c>
      <c r="AH21" s="143" t="str">
        <f>IFERROR(Tbl_Hull_Structure[[#This Row],[Weight Fact]]/(Tbl_Hull_Structure[[#This Row],[L to]]-Tbl_Hull_Structure[[#This Row],[L from]]),"")</f>
        <v/>
      </c>
      <c r="AI21" s="145" t="str">
        <f>IF(Tbl_Hull_Structure[[#This Row],[Weight Fact]],Tbl_Hull_Structure[[#This Row],[Spread]]*(Tbl_Hull_Structure[[#This Row],[L to]]-Tbl_Hull_Structure[[#This Row],[L from]])-Tbl_Hull_Structure[[#This Row],[Weight Fact]],"")</f>
        <v/>
      </c>
      <c r="AJ21" s="141" t="str">
        <f>IF(AND(ISNUMBER(Tbl_Hull_Structure[[#This Row],[L from]]),ISNUMBER(Tbl_Hull_Structure[[#This Row],[L to]])),IF(AND(Tbl_Hull_Structure[[#This Row],[L from]]&gt;=0,Tbl_Hull_Structure[[#This Row],[L to]]&lt;=Lpp),"OK","KO"),"OK")</f>
        <v>OK</v>
      </c>
    </row>
    <row r="22" spans="2:36" x14ac:dyDescent="0.25">
      <c r="B22" s="94">
        <f t="shared" si="0"/>
        <v>2</v>
      </c>
      <c r="C22" s="215"/>
      <c r="D22" s="217">
        <v>6</v>
      </c>
      <c r="E22" s="214" t="str">
        <f>IF(NOT(ISBLANK(Tbl_Hull_Structure[[#This Row],[Num]])),TEXT(Tbl_Hull_Structure[[#This Row],[Group]],"00")&amp;"-"&amp;TEXT(Tbl_Hull_Structure[[#This Row],[Num]],"000"),"")</f>
        <v>00-006</v>
      </c>
      <c r="F22" s="218" t="s">
        <v>68</v>
      </c>
      <c r="G22" s="219">
        <v>0</v>
      </c>
      <c r="H22" s="220">
        <v>3.5</v>
      </c>
      <c r="I22" s="222">
        <f>Tbl_Hull_Structure[[#This Row],[Qty]]*Tbl_Hull_Structure[[#This Row],[Unitary ]]</f>
        <v>0</v>
      </c>
      <c r="J22" s="221">
        <v>1.01</v>
      </c>
      <c r="K22" s="224">
        <f>Tbl_Hull_Structure[[#This Row],[Contingency ]]*Tbl_Hull_Structure[[#This Row],[Total Op]]</f>
        <v>0</v>
      </c>
      <c r="L22" s="226">
        <v>43.85</v>
      </c>
      <c r="M22" s="228">
        <v>5.5</v>
      </c>
      <c r="N22" s="230">
        <v>5</v>
      </c>
      <c r="O22" s="231">
        <v>2.2000000000000028</v>
      </c>
      <c r="P22" s="234" t="s">
        <v>95</v>
      </c>
      <c r="Q22" s="235" t="s">
        <v>33</v>
      </c>
      <c r="R22" s="241" t="s">
        <v>96</v>
      </c>
      <c r="S22" s="238" t="str">
        <f>IF(Tbl_Hull_Structure[[#This Row],[Weight Op]],Tbl_Hull_Structure[[#This Row],[Weight Op]]*Tbl_Hull_Structure[[#This Row],[X]],"")</f>
        <v/>
      </c>
      <c r="T22" s="101" t="str">
        <f>IF(Tbl_Hull_Structure[[#This Row],[Weight Op]],Tbl_Hull_Structure[[#This Row],[Weight Op]]*Tbl_Hull_Structure[[#This Row],[Y]],"")</f>
        <v/>
      </c>
      <c r="U22" s="99" t="str">
        <f>IF(Tbl_Hull_Structure[[#This Row],[Weight Op]],Tbl_Hull_Structure[[#This Row],[Weight Op]]*Tbl_Hull_Structure[[#This Row],[Z]],"")</f>
        <v/>
      </c>
      <c r="V22" s="103">
        <f>Tbl_Hull_Structure[[#This Row],[Weight Op]]</f>
        <v>0</v>
      </c>
      <c r="W22" s="105" t="str">
        <f>IF(Tbl_Hull_Structure[[#This Row],[Weight Fact]],Tbl_Hull_Structure[[#This Row],[X]],"")</f>
        <v/>
      </c>
      <c r="X22" s="107" t="str">
        <f>IF(Tbl_Hull_Structure[[#This Row],[Weight Fact]],Tbl_Hull_Structure[[#This Row],[Y]],"")</f>
        <v/>
      </c>
      <c r="Y22" s="109" t="str">
        <f>IF(Tbl_Hull_Structure[[#This Row],[Weight Fact]],Tbl_Hull_Structure[[#This Row],[Z]],"")</f>
        <v/>
      </c>
      <c r="Z22" s="117" t="str">
        <f>IF(Tbl_Hull_Structure[[#This Row],[Weight Fact]],Tbl_Hull_Structure[[#This Row],[X distrib]],"")</f>
        <v/>
      </c>
      <c r="AA22" s="120" t="str">
        <f>IF(Tbl_Hull_Structure[[#This Row],[Weight Fact]],Tbl_Hull_Structure[[#This Row],[COG x ]]-Tbl_Hull_Structure[[#This Row],[Distrib]]/2,"")</f>
        <v/>
      </c>
      <c r="AB22" s="123" t="str">
        <f>IF(Tbl_Hull_Structure[[#This Row],[Weight Fact]],Tbl_Hull_Structure[[#This Row],[COG x ]]+Tbl_Hull_Structure[[#This Row],[Distrib]]/2,"")</f>
        <v/>
      </c>
      <c r="AC22" s="111" t="str">
        <f>IF(Tbl_Hull_Structure[[#This Row],[Weight Fact]],ROUND(Tbl_Hull_Structure[[#This Row],[AP from]]/FE_size,0),"")</f>
        <v/>
      </c>
      <c r="AD22" s="113" t="str">
        <f>IF(Tbl_Hull_Structure[[#This Row],[Weight Fact]],ROUND(Tbl_Hull_Structure[[#This Row],[AP to]]/FE_size,0),"")</f>
        <v/>
      </c>
      <c r="AE22"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22" s="133" t="str">
        <f>IF(Tbl_Hull_Structure[[#This Row],[Weight Fact]],IF(Tbl_Hull_Structure[[#This Row],[Fr from]]*FE_size&lt;0,0,Tbl_Hull_Structure[[#This Row],[Fr from]]*FE_size),"")</f>
        <v/>
      </c>
      <c r="AG22" s="134" t="str">
        <f>IF(Tbl_Hull_Structure[[#This Row],[Weight Fact]],IF(Tbl_Hull_Structure[[#This Row],[Fr to]]*FE_size=Tbl_Hull_Structure[[#This Row],[L from]],Tbl_Hull_Structure[[#This Row],[L from]]+FE_size,IF(Tbl_Hull_Structure[[#This Row],[Fr to]]*FE_size&gt;Lpp,Lpp,Tbl_Hull_Structure[[#This Row],[Fr to]]*FE_size)),"")</f>
        <v/>
      </c>
      <c r="AH22" s="143" t="str">
        <f>IFERROR(Tbl_Hull_Structure[[#This Row],[Weight Fact]]/(Tbl_Hull_Structure[[#This Row],[L to]]-Tbl_Hull_Structure[[#This Row],[L from]]),"")</f>
        <v/>
      </c>
      <c r="AI22" s="145" t="str">
        <f>IF(Tbl_Hull_Structure[[#This Row],[Weight Fact]],Tbl_Hull_Structure[[#This Row],[Spread]]*(Tbl_Hull_Structure[[#This Row],[L to]]-Tbl_Hull_Structure[[#This Row],[L from]])-Tbl_Hull_Structure[[#This Row],[Weight Fact]],"")</f>
        <v/>
      </c>
      <c r="AJ22" s="141" t="str">
        <f>IF(AND(ISNUMBER(Tbl_Hull_Structure[[#This Row],[L from]]),ISNUMBER(Tbl_Hull_Structure[[#This Row],[L to]])),IF(AND(Tbl_Hull_Structure[[#This Row],[L from]]&gt;=0,Tbl_Hull_Structure[[#This Row],[L to]]&lt;=Lpp),"OK","KO"),"OK")</f>
        <v>OK</v>
      </c>
    </row>
    <row r="23" spans="2:36" x14ac:dyDescent="0.25">
      <c r="B23" s="94">
        <f t="shared" si="0"/>
        <v>2</v>
      </c>
      <c r="C23" s="215"/>
      <c r="D23" s="217">
        <v>18</v>
      </c>
      <c r="E23" s="214" t="str">
        <f>IF(NOT(ISBLANK(Tbl_Hull_Structure[[#This Row],[Num]])),TEXT(Tbl_Hull_Structure[[#This Row],[Group]],"00")&amp;"-"&amp;TEXT(Tbl_Hull_Structure[[#This Row],[Num]],"000"),"")</f>
        <v>00-018</v>
      </c>
      <c r="F23" s="218" t="s">
        <v>88</v>
      </c>
      <c r="G23" s="219">
        <v>0</v>
      </c>
      <c r="H23" s="220">
        <v>1.5</v>
      </c>
      <c r="I23" s="222">
        <f>Tbl_Hull_Structure[[#This Row],[Qty]]*Tbl_Hull_Structure[[#This Row],[Unitary ]]</f>
        <v>0</v>
      </c>
      <c r="J23" s="221">
        <v>1.01</v>
      </c>
      <c r="K23" s="224">
        <f>Tbl_Hull_Structure[[#This Row],[Contingency ]]*Tbl_Hull_Structure[[#This Row],[Total Op]]</f>
        <v>0</v>
      </c>
      <c r="L23" s="226">
        <v>45.55</v>
      </c>
      <c r="M23" s="228">
        <v>7.65</v>
      </c>
      <c r="N23" s="230">
        <v>5</v>
      </c>
      <c r="O23" s="231">
        <v>0.89999999999999858</v>
      </c>
      <c r="P23" s="234" t="s">
        <v>95</v>
      </c>
      <c r="Q23" s="235" t="s">
        <v>33</v>
      </c>
      <c r="R23" s="241" t="s">
        <v>97</v>
      </c>
      <c r="S23" s="238" t="str">
        <f>IF(Tbl_Hull_Structure[[#This Row],[Weight Op]],Tbl_Hull_Structure[[#This Row],[Weight Op]]*Tbl_Hull_Structure[[#This Row],[X]],"")</f>
        <v/>
      </c>
      <c r="T23" s="101" t="str">
        <f>IF(Tbl_Hull_Structure[[#This Row],[Weight Op]],Tbl_Hull_Structure[[#This Row],[Weight Op]]*Tbl_Hull_Structure[[#This Row],[Y]],"")</f>
        <v/>
      </c>
      <c r="U23" s="99" t="str">
        <f>IF(Tbl_Hull_Structure[[#This Row],[Weight Op]],Tbl_Hull_Structure[[#This Row],[Weight Op]]*Tbl_Hull_Structure[[#This Row],[Z]],"")</f>
        <v/>
      </c>
      <c r="V23" s="103">
        <f>Tbl_Hull_Structure[[#This Row],[Weight Op]]</f>
        <v>0</v>
      </c>
      <c r="W23" s="105" t="str">
        <f>IF(Tbl_Hull_Structure[[#This Row],[Weight Fact]],Tbl_Hull_Structure[[#This Row],[X]],"")</f>
        <v/>
      </c>
      <c r="X23" s="107" t="str">
        <f>IF(Tbl_Hull_Structure[[#This Row],[Weight Fact]],Tbl_Hull_Structure[[#This Row],[Y]],"")</f>
        <v/>
      </c>
      <c r="Y23" s="109" t="str">
        <f>IF(Tbl_Hull_Structure[[#This Row],[Weight Fact]],Tbl_Hull_Structure[[#This Row],[Z]],"")</f>
        <v/>
      </c>
      <c r="Z23" s="117" t="str">
        <f>IF(Tbl_Hull_Structure[[#This Row],[Weight Fact]],Tbl_Hull_Structure[[#This Row],[X distrib]],"")</f>
        <v/>
      </c>
      <c r="AA23" s="120" t="str">
        <f>IF(Tbl_Hull_Structure[[#This Row],[Weight Fact]],Tbl_Hull_Structure[[#This Row],[COG x ]]-Tbl_Hull_Structure[[#This Row],[Distrib]]/2,"")</f>
        <v/>
      </c>
      <c r="AB23" s="123" t="str">
        <f>IF(Tbl_Hull_Structure[[#This Row],[Weight Fact]],Tbl_Hull_Structure[[#This Row],[COG x ]]+Tbl_Hull_Structure[[#This Row],[Distrib]]/2,"")</f>
        <v/>
      </c>
      <c r="AC23" s="111" t="str">
        <f>IF(Tbl_Hull_Structure[[#This Row],[Weight Fact]],ROUND(Tbl_Hull_Structure[[#This Row],[AP from]]/FE_size,0),"")</f>
        <v/>
      </c>
      <c r="AD23" s="113" t="str">
        <f>IF(Tbl_Hull_Structure[[#This Row],[Weight Fact]],ROUND(Tbl_Hull_Structure[[#This Row],[AP to]]/FE_size,0),"")</f>
        <v/>
      </c>
      <c r="AE23"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23" s="133" t="str">
        <f>IF(Tbl_Hull_Structure[[#This Row],[Weight Fact]],IF(Tbl_Hull_Structure[[#This Row],[Fr from]]*FE_size&lt;0,0,Tbl_Hull_Structure[[#This Row],[Fr from]]*FE_size),"")</f>
        <v/>
      </c>
      <c r="AG23" s="134" t="str">
        <f>IF(Tbl_Hull_Structure[[#This Row],[Weight Fact]],IF(Tbl_Hull_Structure[[#This Row],[Fr to]]*FE_size=Tbl_Hull_Structure[[#This Row],[L from]],Tbl_Hull_Structure[[#This Row],[L from]]+FE_size,IF(Tbl_Hull_Structure[[#This Row],[Fr to]]*FE_size&gt;Lpp,Lpp,Tbl_Hull_Structure[[#This Row],[Fr to]]*FE_size)),"")</f>
        <v/>
      </c>
      <c r="AH23" s="143" t="str">
        <f>IFERROR(Tbl_Hull_Structure[[#This Row],[Weight Fact]]/(Tbl_Hull_Structure[[#This Row],[L to]]-Tbl_Hull_Structure[[#This Row],[L from]]),"")</f>
        <v/>
      </c>
      <c r="AI23" s="145" t="str">
        <f>IF(Tbl_Hull_Structure[[#This Row],[Weight Fact]],Tbl_Hull_Structure[[#This Row],[Spread]]*(Tbl_Hull_Structure[[#This Row],[L to]]-Tbl_Hull_Structure[[#This Row],[L from]])-Tbl_Hull_Structure[[#This Row],[Weight Fact]],"")</f>
        <v/>
      </c>
      <c r="AJ23" s="141" t="str">
        <f>IF(AND(ISNUMBER(Tbl_Hull_Structure[[#This Row],[L from]]),ISNUMBER(Tbl_Hull_Structure[[#This Row],[L to]])),IF(AND(Tbl_Hull_Structure[[#This Row],[L from]]&gt;=0,Tbl_Hull_Structure[[#This Row],[L to]]&lt;=Lpp),"OK","KO"),"OK")</f>
        <v>OK</v>
      </c>
    </row>
    <row r="24" spans="2:36" x14ac:dyDescent="0.25">
      <c r="B24" s="94">
        <f t="shared" si="0"/>
        <v>2</v>
      </c>
      <c r="C24" s="215"/>
      <c r="D24" s="217">
        <v>28</v>
      </c>
      <c r="E24" s="214" t="str">
        <f>IF(NOT(ISBLANK(Tbl_Hull_Structure[[#This Row],[Num]])),TEXT(Tbl_Hull_Structure[[#This Row],[Group]],"00")&amp;"-"&amp;TEXT(Tbl_Hull_Structure[[#This Row],[Num]],"000"),"")</f>
        <v>00-028</v>
      </c>
      <c r="F24" s="218" t="s">
        <v>89</v>
      </c>
      <c r="G24" s="219">
        <v>0</v>
      </c>
      <c r="H24" s="220">
        <v>1</v>
      </c>
      <c r="I24" s="222">
        <f>Tbl_Hull_Structure[[#This Row],[Qty]]*Tbl_Hull_Structure[[#This Row],[Unitary ]]</f>
        <v>0</v>
      </c>
      <c r="J24" s="221">
        <v>1.01</v>
      </c>
      <c r="K24" s="224">
        <f>Tbl_Hull_Structure[[#This Row],[Contingency ]]*Tbl_Hull_Structure[[#This Row],[Total Op]]</f>
        <v>0</v>
      </c>
      <c r="L24" s="226">
        <v>1</v>
      </c>
      <c r="M24" s="228">
        <v>9.1999999999999993</v>
      </c>
      <c r="N24" s="230">
        <v>5</v>
      </c>
      <c r="O24" s="231">
        <v>1.5</v>
      </c>
      <c r="P24" s="234" t="s">
        <v>95</v>
      </c>
      <c r="Q24" s="235" t="s">
        <v>33</v>
      </c>
      <c r="R24" s="241" t="s">
        <v>98</v>
      </c>
      <c r="S24" s="238" t="str">
        <f>IF(Tbl_Hull_Structure[[#This Row],[Weight Op]],Tbl_Hull_Structure[[#This Row],[Weight Op]]*Tbl_Hull_Structure[[#This Row],[X]],"")</f>
        <v/>
      </c>
      <c r="T24" s="101" t="str">
        <f>IF(Tbl_Hull_Structure[[#This Row],[Weight Op]],Tbl_Hull_Structure[[#This Row],[Weight Op]]*Tbl_Hull_Structure[[#This Row],[Y]],"")</f>
        <v/>
      </c>
      <c r="U24" s="99" t="str">
        <f>IF(Tbl_Hull_Structure[[#This Row],[Weight Op]],Tbl_Hull_Structure[[#This Row],[Weight Op]]*Tbl_Hull_Structure[[#This Row],[Z]],"")</f>
        <v/>
      </c>
      <c r="V24" s="103">
        <f>Tbl_Hull_Structure[[#This Row],[Weight Op]]</f>
        <v>0</v>
      </c>
      <c r="W24" s="105" t="str">
        <f>IF(Tbl_Hull_Structure[[#This Row],[Weight Fact]],Tbl_Hull_Structure[[#This Row],[X]],"")</f>
        <v/>
      </c>
      <c r="X24" s="107" t="str">
        <f>IF(Tbl_Hull_Structure[[#This Row],[Weight Fact]],Tbl_Hull_Structure[[#This Row],[Y]],"")</f>
        <v/>
      </c>
      <c r="Y24" s="109" t="str">
        <f>IF(Tbl_Hull_Structure[[#This Row],[Weight Fact]],Tbl_Hull_Structure[[#This Row],[Z]],"")</f>
        <v/>
      </c>
      <c r="Z24" s="117" t="str">
        <f>IF(Tbl_Hull_Structure[[#This Row],[Weight Fact]],Tbl_Hull_Structure[[#This Row],[X distrib]],"")</f>
        <v/>
      </c>
      <c r="AA24" s="120" t="str">
        <f>IF(Tbl_Hull_Structure[[#This Row],[Weight Fact]],Tbl_Hull_Structure[[#This Row],[COG x ]]-Tbl_Hull_Structure[[#This Row],[Distrib]]/2,"")</f>
        <v/>
      </c>
      <c r="AB24" s="123" t="str">
        <f>IF(Tbl_Hull_Structure[[#This Row],[Weight Fact]],Tbl_Hull_Structure[[#This Row],[COG x ]]+Tbl_Hull_Structure[[#This Row],[Distrib]]/2,"")</f>
        <v/>
      </c>
      <c r="AC24" s="111" t="str">
        <f>IF(Tbl_Hull_Structure[[#This Row],[Weight Fact]],ROUND(Tbl_Hull_Structure[[#This Row],[AP from]]/FE_size,0),"")</f>
        <v/>
      </c>
      <c r="AD24" s="113" t="str">
        <f>IF(Tbl_Hull_Structure[[#This Row],[Weight Fact]],ROUND(Tbl_Hull_Structure[[#This Row],[AP to]]/FE_size,0),"")</f>
        <v/>
      </c>
      <c r="AE24"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24" s="133" t="str">
        <f>IF(Tbl_Hull_Structure[[#This Row],[Weight Fact]],IF(Tbl_Hull_Structure[[#This Row],[Fr from]]*FE_size&lt;0,0,Tbl_Hull_Structure[[#This Row],[Fr from]]*FE_size),"")</f>
        <v/>
      </c>
      <c r="AG24" s="134" t="str">
        <f>IF(Tbl_Hull_Structure[[#This Row],[Weight Fact]],IF(Tbl_Hull_Structure[[#This Row],[Fr to]]*FE_size=Tbl_Hull_Structure[[#This Row],[L from]],Tbl_Hull_Structure[[#This Row],[L from]]+FE_size,IF(Tbl_Hull_Structure[[#This Row],[Fr to]]*FE_size&gt;Lpp,Lpp,Tbl_Hull_Structure[[#This Row],[Fr to]]*FE_size)),"")</f>
        <v/>
      </c>
      <c r="AH24" s="143" t="str">
        <f>IFERROR(Tbl_Hull_Structure[[#This Row],[Weight Fact]]/(Tbl_Hull_Structure[[#This Row],[L to]]-Tbl_Hull_Structure[[#This Row],[L from]]),"")</f>
        <v/>
      </c>
      <c r="AI24" s="145" t="str">
        <f>IF(Tbl_Hull_Structure[[#This Row],[Weight Fact]],Tbl_Hull_Structure[[#This Row],[Spread]]*(Tbl_Hull_Structure[[#This Row],[L to]]-Tbl_Hull_Structure[[#This Row],[L from]])-Tbl_Hull_Structure[[#This Row],[Weight Fact]],"")</f>
        <v/>
      </c>
      <c r="AJ24" s="141" t="str">
        <f>IF(AND(ISNUMBER(Tbl_Hull_Structure[[#This Row],[L from]]),ISNUMBER(Tbl_Hull_Structure[[#This Row],[L to]])),IF(AND(Tbl_Hull_Structure[[#This Row],[L from]]&gt;=0,Tbl_Hull_Structure[[#This Row],[L to]]&lt;=Lpp),"OK","KO"),"OK")</f>
        <v>OK</v>
      </c>
    </row>
    <row r="25" spans="2:36" x14ac:dyDescent="0.25">
      <c r="B25" s="94">
        <f t="shared" si="0"/>
        <v>2</v>
      </c>
      <c r="C25" s="215"/>
      <c r="D25" s="217">
        <v>29</v>
      </c>
      <c r="E25" s="214" t="str">
        <f>IF(NOT(ISBLANK(Tbl_Hull_Structure[[#This Row],[Num]])),TEXT(Tbl_Hull_Structure[[#This Row],[Group]],"00")&amp;"-"&amp;TEXT(Tbl_Hull_Structure[[#This Row],[Num]],"000"),"")</f>
        <v>00-029</v>
      </c>
      <c r="F25" s="218" t="s">
        <v>94</v>
      </c>
      <c r="G25" s="219">
        <v>0</v>
      </c>
      <c r="H25" s="220">
        <v>1.5</v>
      </c>
      <c r="I25" s="222">
        <f>Tbl_Hull_Structure[[#This Row],[Qty]]*Tbl_Hull_Structure[[#This Row],[Unitary ]]</f>
        <v>0</v>
      </c>
      <c r="J25" s="221">
        <v>1.01</v>
      </c>
      <c r="K25" s="224">
        <f>Tbl_Hull_Structure[[#This Row],[Contingency ]]*Tbl_Hull_Structure[[#This Row],[Total Op]]</f>
        <v>0</v>
      </c>
      <c r="L25" s="226">
        <v>32.119999999999997</v>
      </c>
      <c r="M25" s="228">
        <v>-7</v>
      </c>
      <c r="N25" s="230">
        <v>8.25</v>
      </c>
      <c r="O25" s="231">
        <v>2.1999999999999993</v>
      </c>
      <c r="P25" s="234" t="s">
        <v>95</v>
      </c>
      <c r="Q25" s="235" t="s">
        <v>33</v>
      </c>
      <c r="R25" s="241" t="s">
        <v>98</v>
      </c>
      <c r="S25" s="238" t="str">
        <f>IF(Tbl_Hull_Structure[[#This Row],[Weight Op]],Tbl_Hull_Structure[[#This Row],[Weight Op]]*Tbl_Hull_Structure[[#This Row],[X]],"")</f>
        <v/>
      </c>
      <c r="T25" s="101" t="str">
        <f>IF(Tbl_Hull_Structure[[#This Row],[Weight Op]],Tbl_Hull_Structure[[#This Row],[Weight Op]]*Tbl_Hull_Structure[[#This Row],[Y]],"")</f>
        <v/>
      </c>
      <c r="U25" s="99" t="str">
        <f>IF(Tbl_Hull_Structure[[#This Row],[Weight Op]],Tbl_Hull_Structure[[#This Row],[Weight Op]]*Tbl_Hull_Structure[[#This Row],[Z]],"")</f>
        <v/>
      </c>
      <c r="V25" s="103">
        <f>Tbl_Hull_Structure[[#This Row],[Weight Op]]</f>
        <v>0</v>
      </c>
      <c r="W25" s="105" t="str">
        <f>IF(Tbl_Hull_Structure[[#This Row],[Weight Fact]],Tbl_Hull_Structure[[#This Row],[X]],"")</f>
        <v/>
      </c>
      <c r="X25" s="107" t="str">
        <f>IF(Tbl_Hull_Structure[[#This Row],[Weight Fact]],Tbl_Hull_Structure[[#This Row],[Y]],"")</f>
        <v/>
      </c>
      <c r="Y25" s="109" t="str">
        <f>IF(Tbl_Hull_Structure[[#This Row],[Weight Fact]],Tbl_Hull_Structure[[#This Row],[Z]],"")</f>
        <v/>
      </c>
      <c r="Z25" s="117" t="str">
        <f>IF(Tbl_Hull_Structure[[#This Row],[Weight Fact]],Tbl_Hull_Structure[[#This Row],[X distrib]],"")</f>
        <v/>
      </c>
      <c r="AA25" s="120" t="str">
        <f>IF(Tbl_Hull_Structure[[#This Row],[Weight Fact]],Tbl_Hull_Structure[[#This Row],[COG x ]]-Tbl_Hull_Structure[[#This Row],[Distrib]]/2,"")</f>
        <v/>
      </c>
      <c r="AB25" s="123" t="str">
        <f>IF(Tbl_Hull_Structure[[#This Row],[Weight Fact]],Tbl_Hull_Structure[[#This Row],[COG x ]]+Tbl_Hull_Structure[[#This Row],[Distrib]]/2,"")</f>
        <v/>
      </c>
      <c r="AC25" s="111" t="str">
        <f>IF(Tbl_Hull_Structure[[#This Row],[Weight Fact]],ROUND(Tbl_Hull_Structure[[#This Row],[AP from]]/FE_size,0),"")</f>
        <v/>
      </c>
      <c r="AD25" s="113" t="str">
        <f>IF(Tbl_Hull_Structure[[#This Row],[Weight Fact]],ROUND(Tbl_Hull_Structure[[#This Row],[AP to]]/FE_size,0),"")</f>
        <v/>
      </c>
      <c r="AE25"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25" s="133" t="str">
        <f>IF(Tbl_Hull_Structure[[#This Row],[Weight Fact]],IF(Tbl_Hull_Structure[[#This Row],[Fr from]]*FE_size&lt;0,0,Tbl_Hull_Structure[[#This Row],[Fr from]]*FE_size),"")</f>
        <v/>
      </c>
      <c r="AG25" s="134" t="str">
        <f>IF(Tbl_Hull_Structure[[#This Row],[Weight Fact]],IF(Tbl_Hull_Structure[[#This Row],[Fr to]]*FE_size=Tbl_Hull_Structure[[#This Row],[L from]],Tbl_Hull_Structure[[#This Row],[L from]]+FE_size,IF(Tbl_Hull_Structure[[#This Row],[Fr to]]*FE_size&gt;Lpp,Lpp,Tbl_Hull_Structure[[#This Row],[Fr to]]*FE_size)),"")</f>
        <v/>
      </c>
      <c r="AH25" s="143" t="str">
        <f>IFERROR(Tbl_Hull_Structure[[#This Row],[Weight Fact]]/(Tbl_Hull_Structure[[#This Row],[L to]]-Tbl_Hull_Structure[[#This Row],[L from]]),"")</f>
        <v/>
      </c>
      <c r="AI25" s="145" t="str">
        <f>IF(Tbl_Hull_Structure[[#This Row],[Weight Fact]],Tbl_Hull_Structure[[#This Row],[Spread]]*(Tbl_Hull_Structure[[#This Row],[L to]]-Tbl_Hull_Structure[[#This Row],[L from]])-Tbl_Hull_Structure[[#This Row],[Weight Fact]],"")</f>
        <v/>
      </c>
      <c r="AJ25" s="141" t="str">
        <f>IF(AND(ISNUMBER(Tbl_Hull_Structure[[#This Row],[L from]]),ISNUMBER(Tbl_Hull_Structure[[#This Row],[L to]])),IF(AND(Tbl_Hull_Structure[[#This Row],[L from]]&gt;=0,Tbl_Hull_Structure[[#This Row],[L to]]&lt;=Lpp),"OK","KO"),"OK")</f>
        <v>OK</v>
      </c>
    </row>
    <row r="26" spans="2:36" x14ac:dyDescent="0.25">
      <c r="B26" s="94">
        <f t="shared" si="0"/>
        <v>2</v>
      </c>
      <c r="C26" s="215"/>
      <c r="D26" s="217">
        <v>41</v>
      </c>
      <c r="E26" s="214" t="str">
        <f>IF(NOT(ISBLANK(Tbl_Hull_Structure[[#This Row],[Num]])),TEXT(Tbl_Hull_Structure[[#This Row],[Group]],"00")&amp;"-"&amp;TEXT(Tbl_Hull_Structure[[#This Row],[Num]],"000"),"")</f>
        <v>00-041</v>
      </c>
      <c r="F26" s="218" t="s">
        <v>92</v>
      </c>
      <c r="G26" s="219">
        <v>0</v>
      </c>
      <c r="H26" s="220">
        <v>1.2</v>
      </c>
      <c r="I26" s="222">
        <f>Tbl_Hull_Structure[[#This Row],[Qty]]*Tbl_Hull_Structure[[#This Row],[Unitary ]]</f>
        <v>0</v>
      </c>
      <c r="J26" s="221">
        <v>1.01</v>
      </c>
      <c r="K26" s="224">
        <f>Tbl_Hull_Structure[[#This Row],[Contingency ]]*Tbl_Hull_Structure[[#This Row],[Total Op]]</f>
        <v>0</v>
      </c>
      <c r="L26" s="226">
        <v>14.28</v>
      </c>
      <c r="M26" s="228">
        <v>8.8800000000000008</v>
      </c>
      <c r="N26" s="230">
        <v>5</v>
      </c>
      <c r="O26" s="231">
        <v>2.3000000000000007</v>
      </c>
      <c r="P26" s="234" t="s">
        <v>95</v>
      </c>
      <c r="Q26" s="235" t="s">
        <v>33</v>
      </c>
      <c r="R26" s="241" t="s">
        <v>99</v>
      </c>
      <c r="S26" s="238" t="str">
        <f>IF(Tbl_Hull_Structure[[#This Row],[Weight Op]],Tbl_Hull_Structure[[#This Row],[Weight Op]]*Tbl_Hull_Structure[[#This Row],[X]],"")</f>
        <v/>
      </c>
      <c r="T26" s="101" t="str">
        <f>IF(Tbl_Hull_Structure[[#This Row],[Weight Op]],Tbl_Hull_Structure[[#This Row],[Weight Op]]*Tbl_Hull_Structure[[#This Row],[Y]],"")</f>
        <v/>
      </c>
      <c r="U26" s="99" t="str">
        <f>IF(Tbl_Hull_Structure[[#This Row],[Weight Op]],Tbl_Hull_Structure[[#This Row],[Weight Op]]*Tbl_Hull_Structure[[#This Row],[Z]],"")</f>
        <v/>
      </c>
      <c r="V26" s="103">
        <f>Tbl_Hull_Structure[[#This Row],[Weight Op]]</f>
        <v>0</v>
      </c>
      <c r="W26" s="105" t="str">
        <f>IF(Tbl_Hull_Structure[[#This Row],[Weight Fact]],Tbl_Hull_Structure[[#This Row],[X]],"")</f>
        <v/>
      </c>
      <c r="X26" s="107" t="str">
        <f>IF(Tbl_Hull_Structure[[#This Row],[Weight Fact]],Tbl_Hull_Structure[[#This Row],[Y]],"")</f>
        <v/>
      </c>
      <c r="Y26" s="109" t="str">
        <f>IF(Tbl_Hull_Structure[[#This Row],[Weight Fact]],Tbl_Hull_Structure[[#This Row],[Z]],"")</f>
        <v/>
      </c>
      <c r="Z26" s="117" t="str">
        <f>IF(Tbl_Hull_Structure[[#This Row],[Weight Fact]],Tbl_Hull_Structure[[#This Row],[X distrib]],"")</f>
        <v/>
      </c>
      <c r="AA26" s="120" t="str">
        <f>IF(Tbl_Hull_Structure[[#This Row],[Weight Fact]],Tbl_Hull_Structure[[#This Row],[COG x ]]-Tbl_Hull_Structure[[#This Row],[Distrib]]/2,"")</f>
        <v/>
      </c>
      <c r="AB26" s="123" t="str">
        <f>IF(Tbl_Hull_Structure[[#This Row],[Weight Fact]],Tbl_Hull_Structure[[#This Row],[COG x ]]+Tbl_Hull_Structure[[#This Row],[Distrib]]/2,"")</f>
        <v/>
      </c>
      <c r="AC26" s="111" t="str">
        <f>IF(Tbl_Hull_Structure[[#This Row],[Weight Fact]],ROUND(Tbl_Hull_Structure[[#This Row],[AP from]]/FE_size,0),"")</f>
        <v/>
      </c>
      <c r="AD26" s="113" t="str">
        <f>IF(Tbl_Hull_Structure[[#This Row],[Weight Fact]],ROUND(Tbl_Hull_Structure[[#This Row],[AP to]]/FE_size,0),"")</f>
        <v/>
      </c>
      <c r="AE26"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26" s="133" t="str">
        <f>IF(Tbl_Hull_Structure[[#This Row],[Weight Fact]],IF(Tbl_Hull_Structure[[#This Row],[Fr from]]*FE_size&lt;0,0,Tbl_Hull_Structure[[#This Row],[Fr from]]*FE_size),"")</f>
        <v/>
      </c>
      <c r="AG26" s="134" t="str">
        <f>IF(Tbl_Hull_Structure[[#This Row],[Weight Fact]],IF(Tbl_Hull_Structure[[#This Row],[Fr to]]*FE_size=Tbl_Hull_Structure[[#This Row],[L from]],Tbl_Hull_Structure[[#This Row],[L from]]+FE_size,IF(Tbl_Hull_Structure[[#This Row],[Fr to]]*FE_size&gt;Lpp,Lpp,Tbl_Hull_Structure[[#This Row],[Fr to]]*FE_size)),"")</f>
        <v/>
      </c>
      <c r="AH26" s="143" t="str">
        <f>IFERROR(Tbl_Hull_Structure[[#This Row],[Weight Fact]]/(Tbl_Hull_Structure[[#This Row],[L to]]-Tbl_Hull_Structure[[#This Row],[L from]]),"")</f>
        <v/>
      </c>
      <c r="AI26" s="145" t="str">
        <f>IF(Tbl_Hull_Structure[[#This Row],[Weight Fact]],Tbl_Hull_Structure[[#This Row],[Spread]]*(Tbl_Hull_Structure[[#This Row],[L to]]-Tbl_Hull_Structure[[#This Row],[L from]])-Tbl_Hull_Structure[[#This Row],[Weight Fact]],"")</f>
        <v/>
      </c>
      <c r="AJ26" s="141" t="str">
        <f>IF(AND(ISNUMBER(Tbl_Hull_Structure[[#This Row],[L from]]),ISNUMBER(Tbl_Hull_Structure[[#This Row],[L to]])),IF(AND(Tbl_Hull_Structure[[#This Row],[L from]]&gt;=0,Tbl_Hull_Structure[[#This Row],[L to]]&lt;=Lpp),"OK","KO"),"OK")</f>
        <v>OK</v>
      </c>
    </row>
    <row r="27" spans="2:36" x14ac:dyDescent="0.25">
      <c r="B27" s="94">
        <f t="shared" si="0"/>
        <v>2</v>
      </c>
      <c r="C27" s="215"/>
      <c r="D27" s="217">
        <v>42</v>
      </c>
      <c r="E27" s="214" t="str">
        <f>IF(NOT(ISBLANK(Tbl_Hull_Structure[[#This Row],[Num]])),TEXT(Tbl_Hull_Structure[[#This Row],[Group]],"00")&amp;"-"&amp;TEXT(Tbl_Hull_Structure[[#This Row],[Num]],"000"),"")</f>
        <v>00-042</v>
      </c>
      <c r="F27" s="218" t="s">
        <v>93</v>
      </c>
      <c r="G27" s="219">
        <v>0</v>
      </c>
      <c r="H27" s="220">
        <v>2</v>
      </c>
      <c r="I27" s="222">
        <f>Tbl_Hull_Structure[[#This Row],[Qty]]*Tbl_Hull_Structure[[#This Row],[Unitary ]]</f>
        <v>0</v>
      </c>
      <c r="J27" s="221">
        <v>1.01</v>
      </c>
      <c r="K27" s="224">
        <f>Tbl_Hull_Structure[[#This Row],[Contingency ]]*Tbl_Hull_Structure[[#This Row],[Total Op]]</f>
        <v>0</v>
      </c>
      <c r="L27" s="226">
        <v>32.42</v>
      </c>
      <c r="M27" s="228">
        <v>3.53</v>
      </c>
      <c r="N27" s="230">
        <v>5</v>
      </c>
      <c r="O27" s="231">
        <v>2.9999999999999964</v>
      </c>
      <c r="P27" s="234" t="s">
        <v>95</v>
      </c>
      <c r="Q27" s="235" t="s">
        <v>33</v>
      </c>
      <c r="R27" s="241" t="s">
        <v>99</v>
      </c>
      <c r="S27" s="238" t="str">
        <f>IF(Tbl_Hull_Structure[[#This Row],[Weight Op]],Tbl_Hull_Structure[[#This Row],[Weight Op]]*Tbl_Hull_Structure[[#This Row],[X]],"")</f>
        <v/>
      </c>
      <c r="T27" s="101" t="str">
        <f>IF(Tbl_Hull_Structure[[#This Row],[Weight Op]],Tbl_Hull_Structure[[#This Row],[Weight Op]]*Tbl_Hull_Structure[[#This Row],[Y]],"")</f>
        <v/>
      </c>
      <c r="U27" s="99" t="str">
        <f>IF(Tbl_Hull_Structure[[#This Row],[Weight Op]],Tbl_Hull_Structure[[#This Row],[Weight Op]]*Tbl_Hull_Structure[[#This Row],[Z]],"")</f>
        <v/>
      </c>
      <c r="V27" s="103">
        <f>Tbl_Hull_Structure[[#This Row],[Weight Op]]</f>
        <v>0</v>
      </c>
      <c r="W27" s="105" t="str">
        <f>IF(Tbl_Hull_Structure[[#This Row],[Weight Fact]],Tbl_Hull_Structure[[#This Row],[X]],"")</f>
        <v/>
      </c>
      <c r="X27" s="107" t="str">
        <f>IF(Tbl_Hull_Structure[[#This Row],[Weight Fact]],Tbl_Hull_Structure[[#This Row],[Y]],"")</f>
        <v/>
      </c>
      <c r="Y27" s="109" t="str">
        <f>IF(Tbl_Hull_Structure[[#This Row],[Weight Fact]],Tbl_Hull_Structure[[#This Row],[Z]],"")</f>
        <v/>
      </c>
      <c r="Z27" s="117" t="str">
        <f>IF(Tbl_Hull_Structure[[#This Row],[Weight Fact]],Tbl_Hull_Structure[[#This Row],[X distrib]],"")</f>
        <v/>
      </c>
      <c r="AA27" s="120" t="str">
        <f>IF(Tbl_Hull_Structure[[#This Row],[Weight Fact]],Tbl_Hull_Structure[[#This Row],[COG x ]]-Tbl_Hull_Structure[[#This Row],[Distrib]]/2,"")</f>
        <v/>
      </c>
      <c r="AB27" s="123" t="str">
        <f>IF(Tbl_Hull_Structure[[#This Row],[Weight Fact]],Tbl_Hull_Structure[[#This Row],[COG x ]]+Tbl_Hull_Structure[[#This Row],[Distrib]]/2,"")</f>
        <v/>
      </c>
      <c r="AC27" s="111" t="str">
        <f>IF(Tbl_Hull_Structure[[#This Row],[Weight Fact]],ROUND(Tbl_Hull_Structure[[#This Row],[AP from]]/FE_size,0),"")</f>
        <v/>
      </c>
      <c r="AD27" s="113" t="str">
        <f>IF(Tbl_Hull_Structure[[#This Row],[Weight Fact]],ROUND(Tbl_Hull_Structure[[#This Row],[AP to]]/FE_size,0),"")</f>
        <v/>
      </c>
      <c r="AE27"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27" s="133" t="str">
        <f>IF(Tbl_Hull_Structure[[#This Row],[Weight Fact]],IF(Tbl_Hull_Structure[[#This Row],[Fr from]]*FE_size&lt;0,0,Tbl_Hull_Structure[[#This Row],[Fr from]]*FE_size),"")</f>
        <v/>
      </c>
      <c r="AG27" s="134" t="str">
        <f>IF(Tbl_Hull_Structure[[#This Row],[Weight Fact]],IF(Tbl_Hull_Structure[[#This Row],[Fr to]]*FE_size=Tbl_Hull_Structure[[#This Row],[L from]],Tbl_Hull_Structure[[#This Row],[L from]]+FE_size,IF(Tbl_Hull_Structure[[#This Row],[Fr to]]*FE_size&gt;Lpp,Lpp,Tbl_Hull_Structure[[#This Row],[Fr to]]*FE_size)),"")</f>
        <v/>
      </c>
      <c r="AH27" s="143" t="str">
        <f>IFERROR(Tbl_Hull_Structure[[#This Row],[Weight Fact]]/(Tbl_Hull_Structure[[#This Row],[L to]]-Tbl_Hull_Structure[[#This Row],[L from]]),"")</f>
        <v/>
      </c>
      <c r="AI27" s="145" t="str">
        <f>IF(Tbl_Hull_Structure[[#This Row],[Weight Fact]],Tbl_Hull_Structure[[#This Row],[Spread]]*(Tbl_Hull_Structure[[#This Row],[L to]]-Tbl_Hull_Structure[[#This Row],[L from]])-Tbl_Hull_Structure[[#This Row],[Weight Fact]],"")</f>
        <v/>
      </c>
      <c r="AJ27" s="141" t="str">
        <f>IF(AND(ISNUMBER(Tbl_Hull_Structure[[#This Row],[L from]]),ISNUMBER(Tbl_Hull_Structure[[#This Row],[L to]])),IF(AND(Tbl_Hull_Structure[[#This Row],[L from]]&gt;=0,Tbl_Hull_Structure[[#This Row],[L to]]&lt;=Lpp),"OK","KO"),"OK")</f>
        <v>OK</v>
      </c>
    </row>
    <row r="28" spans="2:36" x14ac:dyDescent="0.25">
      <c r="B28" s="94">
        <f t="shared" si="0"/>
        <v>3</v>
      </c>
      <c r="C28" s="215">
        <v>3</v>
      </c>
      <c r="D28" s="217"/>
      <c r="E28" s="214" t="str">
        <f>IF(NOT(ISBLANK(Tbl_Hull_Structure[[#This Row],[Num]])),TEXT(Tbl_Hull_Structure[[#This Row],[Group]],"00")&amp;"-"&amp;TEXT(Tbl_Hull_Structure[[#This Row],[Num]],"000"),"")</f>
        <v/>
      </c>
      <c r="F28" s="218" t="s">
        <v>214</v>
      </c>
      <c r="G28" s="219"/>
      <c r="H28" s="220"/>
      <c r="I28" s="222">
        <f>Tbl_Hull_Structure[[#This Row],[Qty]]*Tbl_Hull_Structure[[#This Row],[Unitary ]]</f>
        <v>0</v>
      </c>
      <c r="J28" s="221"/>
      <c r="K28" s="224">
        <f>Tbl_Hull_Structure[[#This Row],[Contingency ]]*Tbl_Hull_Structure[[#This Row],[Total Op]]</f>
        <v>0</v>
      </c>
      <c r="L28" s="226"/>
      <c r="M28" s="228"/>
      <c r="N28" s="230"/>
      <c r="O28" s="231"/>
      <c r="P28" s="235"/>
      <c r="Q28" s="235"/>
      <c r="R28" s="241"/>
      <c r="S28" s="238" t="str">
        <f>IF(Tbl_Hull_Structure[[#This Row],[Weight Op]],Tbl_Hull_Structure[[#This Row],[Weight Op]]*Tbl_Hull_Structure[[#This Row],[X]],"")</f>
        <v/>
      </c>
      <c r="T28" s="101" t="str">
        <f>IF(Tbl_Hull_Structure[[#This Row],[Weight Op]],Tbl_Hull_Structure[[#This Row],[Weight Op]]*Tbl_Hull_Structure[[#This Row],[Y]],"")</f>
        <v/>
      </c>
      <c r="U28" s="99" t="str">
        <f>IF(Tbl_Hull_Structure[[#This Row],[Weight Op]],Tbl_Hull_Structure[[#This Row],[Weight Op]]*Tbl_Hull_Structure[[#This Row],[Z]],"")</f>
        <v/>
      </c>
      <c r="V28" s="103">
        <f>Tbl_Hull_Structure[[#This Row],[Weight Op]]</f>
        <v>0</v>
      </c>
      <c r="W28" s="105" t="str">
        <f>IF(Tbl_Hull_Structure[[#This Row],[Weight Fact]],Tbl_Hull_Structure[[#This Row],[X]],"")</f>
        <v/>
      </c>
      <c r="X28" s="107" t="str">
        <f>IF(Tbl_Hull_Structure[[#This Row],[Weight Fact]],Tbl_Hull_Structure[[#This Row],[Y]],"")</f>
        <v/>
      </c>
      <c r="Y28" s="109" t="str">
        <f>IF(Tbl_Hull_Structure[[#This Row],[Weight Fact]],Tbl_Hull_Structure[[#This Row],[Z]],"")</f>
        <v/>
      </c>
      <c r="Z28" s="117" t="str">
        <f>IF(Tbl_Hull_Structure[[#This Row],[Weight Fact]],Tbl_Hull_Structure[[#This Row],[X distrib]],"")</f>
        <v/>
      </c>
      <c r="AA28" s="120" t="str">
        <f>IF(Tbl_Hull_Structure[[#This Row],[Weight Fact]],Tbl_Hull_Structure[[#This Row],[COG x ]]-Tbl_Hull_Structure[[#This Row],[Distrib]]/2,"")</f>
        <v/>
      </c>
      <c r="AB28" s="123" t="str">
        <f>IF(Tbl_Hull_Structure[[#This Row],[Weight Fact]],Tbl_Hull_Structure[[#This Row],[COG x ]]+Tbl_Hull_Structure[[#This Row],[Distrib]]/2,"")</f>
        <v/>
      </c>
      <c r="AC28" s="111" t="str">
        <f>IF(Tbl_Hull_Structure[[#This Row],[Weight Fact]],ROUND(Tbl_Hull_Structure[[#This Row],[AP from]]/FE_size,0),"")</f>
        <v/>
      </c>
      <c r="AD28" s="113" t="str">
        <f>IF(Tbl_Hull_Structure[[#This Row],[Weight Fact]],ROUND(Tbl_Hull_Structure[[#This Row],[AP to]]/FE_size,0),"")</f>
        <v/>
      </c>
      <c r="AE28"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28" s="133" t="str">
        <f>IF(Tbl_Hull_Structure[[#This Row],[Weight Fact]],IF(Tbl_Hull_Structure[[#This Row],[Fr from]]*FE_size&lt;0,0,Tbl_Hull_Structure[[#This Row],[Fr from]]*FE_size),"")</f>
        <v/>
      </c>
      <c r="AG28" s="134" t="str">
        <f>IF(Tbl_Hull_Structure[[#This Row],[Weight Fact]],IF(Tbl_Hull_Structure[[#This Row],[Fr to]]*FE_size=Tbl_Hull_Structure[[#This Row],[L from]],Tbl_Hull_Structure[[#This Row],[L from]]+FE_size,IF(Tbl_Hull_Structure[[#This Row],[Fr to]]*FE_size&gt;Lpp,Lpp,Tbl_Hull_Structure[[#This Row],[Fr to]]*FE_size)),"")</f>
        <v/>
      </c>
      <c r="AH28" s="143" t="str">
        <f>IFERROR(Tbl_Hull_Structure[[#This Row],[Weight Fact]]/(Tbl_Hull_Structure[[#This Row],[L to]]-Tbl_Hull_Structure[[#This Row],[L from]]),"")</f>
        <v/>
      </c>
      <c r="AI28" s="145" t="str">
        <f>IF(Tbl_Hull_Structure[[#This Row],[Weight Fact]],Tbl_Hull_Structure[[#This Row],[Spread]]*(Tbl_Hull_Structure[[#This Row],[L to]]-Tbl_Hull_Structure[[#This Row],[L from]])-Tbl_Hull_Structure[[#This Row],[Weight Fact]],"")</f>
        <v/>
      </c>
      <c r="AJ28" s="141" t="str">
        <f>IF(AND(ISNUMBER(Tbl_Hull_Structure[[#This Row],[L from]]),ISNUMBER(Tbl_Hull_Structure[[#This Row],[L to]])),IF(AND(Tbl_Hull_Structure[[#This Row],[L from]]&gt;=0,Tbl_Hull_Structure[[#This Row],[L to]]&lt;=Lpp),"OK","KO"),"OK")</f>
        <v>OK</v>
      </c>
    </row>
    <row r="29" spans="2:36" x14ac:dyDescent="0.25">
      <c r="B29" s="94">
        <f t="shared" si="0"/>
        <v>3</v>
      </c>
      <c r="C29" s="215"/>
      <c r="D29" s="217">
        <v>9</v>
      </c>
      <c r="E29" s="214" t="str">
        <f>IF(NOT(ISBLANK(Tbl_Hull_Structure[[#This Row],[Num]])),TEXT(Tbl_Hull_Structure[[#This Row],[Group]],"00")&amp;"-"&amp;TEXT(Tbl_Hull_Structure[[#This Row],[Num]],"000"),"")</f>
        <v>00-009</v>
      </c>
      <c r="F29" s="218" t="s">
        <v>144</v>
      </c>
      <c r="G29" s="219">
        <v>0</v>
      </c>
      <c r="H29" s="220">
        <v>0.5</v>
      </c>
      <c r="I29" s="222">
        <f>Tbl_Hull_Structure[[#This Row],[Qty]]*Tbl_Hull_Structure[[#This Row],[Unitary ]]</f>
        <v>0</v>
      </c>
      <c r="J29" s="221">
        <v>1.02</v>
      </c>
      <c r="K29" s="224">
        <f>Tbl_Hull_Structure[[#This Row],[Contingency ]]*Tbl_Hull_Structure[[#This Row],[Total Op]]</f>
        <v>0</v>
      </c>
      <c r="L29" s="226">
        <v>35.75</v>
      </c>
      <c r="M29" s="228">
        <v>-2.96</v>
      </c>
      <c r="N29" s="230">
        <v>4.5</v>
      </c>
      <c r="O29" s="231">
        <v>1.5</v>
      </c>
      <c r="P29" s="234" t="s">
        <v>95</v>
      </c>
      <c r="Q29" s="235" t="s">
        <v>33</v>
      </c>
      <c r="R29" s="241"/>
      <c r="S29" s="238" t="str">
        <f>IF(Tbl_Hull_Structure[[#This Row],[Weight Op]],Tbl_Hull_Structure[[#This Row],[Weight Op]]*Tbl_Hull_Structure[[#This Row],[X]],"")</f>
        <v/>
      </c>
      <c r="T29" s="101" t="str">
        <f>IF(Tbl_Hull_Structure[[#This Row],[Weight Op]],Tbl_Hull_Structure[[#This Row],[Weight Op]]*Tbl_Hull_Structure[[#This Row],[Y]],"")</f>
        <v/>
      </c>
      <c r="U29" s="99" t="str">
        <f>IF(Tbl_Hull_Structure[[#This Row],[Weight Op]],Tbl_Hull_Structure[[#This Row],[Weight Op]]*Tbl_Hull_Structure[[#This Row],[Z]],"")</f>
        <v/>
      </c>
      <c r="V29" s="103">
        <f>Tbl_Hull_Structure[[#This Row],[Weight Op]]</f>
        <v>0</v>
      </c>
      <c r="W29" s="105" t="str">
        <f>IF(Tbl_Hull_Structure[[#This Row],[Weight Fact]],Tbl_Hull_Structure[[#This Row],[X]],"")</f>
        <v/>
      </c>
      <c r="X29" s="107" t="str">
        <f>IF(Tbl_Hull_Structure[[#This Row],[Weight Fact]],Tbl_Hull_Structure[[#This Row],[Y]],"")</f>
        <v/>
      </c>
      <c r="Y29" s="109" t="str">
        <f>IF(Tbl_Hull_Structure[[#This Row],[Weight Fact]],Tbl_Hull_Structure[[#This Row],[Z]],"")</f>
        <v/>
      </c>
      <c r="Z29" s="117" t="str">
        <f>IF(Tbl_Hull_Structure[[#This Row],[Weight Fact]],Tbl_Hull_Structure[[#This Row],[X distrib]],"")</f>
        <v/>
      </c>
      <c r="AA29" s="120" t="str">
        <f>IF(Tbl_Hull_Structure[[#This Row],[Weight Fact]],Tbl_Hull_Structure[[#This Row],[COG x ]]-Tbl_Hull_Structure[[#This Row],[Distrib]]/2,"")</f>
        <v/>
      </c>
      <c r="AB29" s="123" t="str">
        <f>IF(Tbl_Hull_Structure[[#This Row],[Weight Fact]],Tbl_Hull_Structure[[#This Row],[COG x ]]+Tbl_Hull_Structure[[#This Row],[Distrib]]/2,"")</f>
        <v/>
      </c>
      <c r="AC29" s="111" t="str">
        <f>IF(Tbl_Hull_Structure[[#This Row],[Weight Fact]],ROUND(Tbl_Hull_Structure[[#This Row],[AP from]]/FE_size,0),"")</f>
        <v/>
      </c>
      <c r="AD29" s="113" t="str">
        <f>IF(Tbl_Hull_Structure[[#This Row],[Weight Fact]],ROUND(Tbl_Hull_Structure[[#This Row],[AP to]]/FE_size,0),"")</f>
        <v/>
      </c>
      <c r="AE29"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29" s="133" t="str">
        <f>IF(Tbl_Hull_Structure[[#This Row],[Weight Fact]],IF(Tbl_Hull_Structure[[#This Row],[Fr from]]*FE_size&lt;0,0,Tbl_Hull_Structure[[#This Row],[Fr from]]*FE_size),"")</f>
        <v/>
      </c>
      <c r="AG29" s="134" t="str">
        <f>IF(Tbl_Hull_Structure[[#This Row],[Weight Fact]],IF(Tbl_Hull_Structure[[#This Row],[Fr to]]*FE_size=Tbl_Hull_Structure[[#This Row],[L from]],Tbl_Hull_Structure[[#This Row],[L from]]+FE_size,IF(Tbl_Hull_Structure[[#This Row],[Fr to]]*FE_size&gt;Lpp,Lpp,Tbl_Hull_Structure[[#This Row],[Fr to]]*FE_size)),"")</f>
        <v/>
      </c>
      <c r="AH29" s="143" t="str">
        <f>IFERROR(Tbl_Hull_Structure[[#This Row],[Weight Fact]]/(Tbl_Hull_Structure[[#This Row],[L to]]-Tbl_Hull_Structure[[#This Row],[L from]]),"")</f>
        <v/>
      </c>
      <c r="AI29" s="145" t="str">
        <f>IF(Tbl_Hull_Structure[[#This Row],[Weight Fact]],Tbl_Hull_Structure[[#This Row],[Spread]]*(Tbl_Hull_Structure[[#This Row],[L to]]-Tbl_Hull_Structure[[#This Row],[L from]])-Tbl_Hull_Structure[[#This Row],[Weight Fact]],"")</f>
        <v/>
      </c>
      <c r="AJ29" s="141" t="str">
        <f>IF(AND(ISNUMBER(Tbl_Hull_Structure[[#This Row],[L from]]),ISNUMBER(Tbl_Hull_Structure[[#This Row],[L to]])),IF(AND(Tbl_Hull_Structure[[#This Row],[L from]]&gt;=0,Tbl_Hull_Structure[[#This Row],[L to]]&lt;=Lpp),"OK","KO"),"OK")</f>
        <v>OK</v>
      </c>
    </row>
    <row r="30" spans="2:36" x14ac:dyDescent="0.25">
      <c r="B30" s="94">
        <f t="shared" si="0"/>
        <v>3</v>
      </c>
      <c r="C30" s="215"/>
      <c r="D30" s="217">
        <v>10</v>
      </c>
      <c r="E30" s="214" t="str">
        <f>IF(NOT(ISBLANK(Tbl_Hull_Structure[[#This Row],[Num]])),TEXT(Tbl_Hull_Structure[[#This Row],[Group]],"00")&amp;"-"&amp;TEXT(Tbl_Hull_Structure[[#This Row],[Num]],"000"),"")</f>
        <v>00-010</v>
      </c>
      <c r="F30" s="218" t="s">
        <v>145</v>
      </c>
      <c r="G30" s="219">
        <v>0</v>
      </c>
      <c r="H30" s="220">
        <v>4</v>
      </c>
      <c r="I30" s="222">
        <f>Tbl_Hull_Structure[[#This Row],[Qty]]*Tbl_Hull_Structure[[#This Row],[Unitary ]]</f>
        <v>0</v>
      </c>
      <c r="J30" s="221">
        <v>1.02</v>
      </c>
      <c r="K30" s="224">
        <f>Tbl_Hull_Structure[[#This Row],[Contingency ]]*Tbl_Hull_Structure[[#This Row],[Total Op]]</f>
        <v>0</v>
      </c>
      <c r="L30" s="226">
        <v>55.2</v>
      </c>
      <c r="M30" s="228">
        <v>8.0500000000000007</v>
      </c>
      <c r="N30" s="230">
        <v>5</v>
      </c>
      <c r="O30" s="231">
        <v>2.2999999999999972</v>
      </c>
      <c r="P30" s="234" t="s">
        <v>95</v>
      </c>
      <c r="Q30" s="235" t="s">
        <v>33</v>
      </c>
      <c r="R30" s="241"/>
      <c r="S30" s="238" t="str">
        <f>IF(Tbl_Hull_Structure[[#This Row],[Weight Op]],Tbl_Hull_Structure[[#This Row],[Weight Op]]*Tbl_Hull_Structure[[#This Row],[X]],"")</f>
        <v/>
      </c>
      <c r="T30" s="101" t="str">
        <f>IF(Tbl_Hull_Structure[[#This Row],[Weight Op]],Tbl_Hull_Structure[[#This Row],[Weight Op]]*Tbl_Hull_Structure[[#This Row],[Y]],"")</f>
        <v/>
      </c>
      <c r="U30" s="99" t="str">
        <f>IF(Tbl_Hull_Structure[[#This Row],[Weight Op]],Tbl_Hull_Structure[[#This Row],[Weight Op]]*Tbl_Hull_Structure[[#This Row],[Z]],"")</f>
        <v/>
      </c>
      <c r="V30" s="103">
        <f>Tbl_Hull_Structure[[#This Row],[Weight Op]]</f>
        <v>0</v>
      </c>
      <c r="W30" s="105" t="str">
        <f>IF(Tbl_Hull_Structure[[#This Row],[Weight Fact]],Tbl_Hull_Structure[[#This Row],[X]],"")</f>
        <v/>
      </c>
      <c r="X30" s="107" t="str">
        <f>IF(Tbl_Hull_Structure[[#This Row],[Weight Fact]],Tbl_Hull_Structure[[#This Row],[Y]],"")</f>
        <v/>
      </c>
      <c r="Y30" s="109" t="str">
        <f>IF(Tbl_Hull_Structure[[#This Row],[Weight Fact]],Tbl_Hull_Structure[[#This Row],[Z]],"")</f>
        <v/>
      </c>
      <c r="Z30" s="117" t="str">
        <f>IF(Tbl_Hull_Structure[[#This Row],[Weight Fact]],Tbl_Hull_Structure[[#This Row],[X distrib]],"")</f>
        <v/>
      </c>
      <c r="AA30" s="120" t="str">
        <f>IF(Tbl_Hull_Structure[[#This Row],[Weight Fact]],Tbl_Hull_Structure[[#This Row],[COG x ]]-Tbl_Hull_Structure[[#This Row],[Distrib]]/2,"")</f>
        <v/>
      </c>
      <c r="AB30" s="123" t="str">
        <f>IF(Tbl_Hull_Structure[[#This Row],[Weight Fact]],Tbl_Hull_Structure[[#This Row],[COG x ]]+Tbl_Hull_Structure[[#This Row],[Distrib]]/2,"")</f>
        <v/>
      </c>
      <c r="AC30" s="111" t="str">
        <f>IF(Tbl_Hull_Structure[[#This Row],[Weight Fact]],ROUND(Tbl_Hull_Structure[[#This Row],[AP from]]/FE_size,0),"")</f>
        <v/>
      </c>
      <c r="AD30" s="113" t="str">
        <f>IF(Tbl_Hull_Structure[[#This Row],[Weight Fact]],ROUND(Tbl_Hull_Structure[[#This Row],[AP to]]/FE_size,0),"")</f>
        <v/>
      </c>
      <c r="AE30"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30" s="133" t="str">
        <f>IF(Tbl_Hull_Structure[[#This Row],[Weight Fact]],IF(Tbl_Hull_Structure[[#This Row],[Fr from]]*FE_size&lt;0,0,Tbl_Hull_Structure[[#This Row],[Fr from]]*FE_size),"")</f>
        <v/>
      </c>
      <c r="AG30" s="134" t="str">
        <f>IF(Tbl_Hull_Structure[[#This Row],[Weight Fact]],IF(Tbl_Hull_Structure[[#This Row],[Fr to]]*FE_size=Tbl_Hull_Structure[[#This Row],[L from]],Tbl_Hull_Structure[[#This Row],[L from]]+FE_size,IF(Tbl_Hull_Structure[[#This Row],[Fr to]]*FE_size&gt;Lpp,Lpp,Tbl_Hull_Structure[[#This Row],[Fr to]]*FE_size)),"")</f>
        <v/>
      </c>
      <c r="AH30" s="143" t="str">
        <f>IFERROR(Tbl_Hull_Structure[[#This Row],[Weight Fact]]/(Tbl_Hull_Structure[[#This Row],[L to]]-Tbl_Hull_Structure[[#This Row],[L from]]),"")</f>
        <v/>
      </c>
      <c r="AI30" s="145" t="str">
        <f>IF(Tbl_Hull_Structure[[#This Row],[Weight Fact]],Tbl_Hull_Structure[[#This Row],[Spread]]*(Tbl_Hull_Structure[[#This Row],[L to]]-Tbl_Hull_Structure[[#This Row],[L from]])-Tbl_Hull_Structure[[#This Row],[Weight Fact]],"")</f>
        <v/>
      </c>
      <c r="AJ30" s="141" t="str">
        <f>IF(AND(ISNUMBER(Tbl_Hull_Structure[[#This Row],[L from]]),ISNUMBER(Tbl_Hull_Structure[[#This Row],[L to]])),IF(AND(Tbl_Hull_Structure[[#This Row],[L from]]&gt;=0,Tbl_Hull_Structure[[#This Row],[L to]]&lt;=Lpp),"OK","KO"),"OK")</f>
        <v>OK</v>
      </c>
    </row>
    <row r="31" spans="2:36" x14ac:dyDescent="0.25">
      <c r="B31" s="94">
        <f t="shared" si="0"/>
        <v>3</v>
      </c>
      <c r="C31" s="215"/>
      <c r="D31" s="217">
        <v>11</v>
      </c>
      <c r="E31" s="214" t="str">
        <f>IF(NOT(ISBLANK(Tbl_Hull_Structure[[#This Row],[Num]])),TEXT(Tbl_Hull_Structure[[#This Row],[Group]],"00")&amp;"-"&amp;TEXT(Tbl_Hull_Structure[[#This Row],[Num]],"000"),"")</f>
        <v>00-011</v>
      </c>
      <c r="F31" s="218" t="s">
        <v>100</v>
      </c>
      <c r="G31" s="219">
        <v>0</v>
      </c>
      <c r="H31" s="220">
        <v>1</v>
      </c>
      <c r="I31" s="222">
        <f>Tbl_Hull_Structure[[#This Row],[Qty]]*Tbl_Hull_Structure[[#This Row],[Unitary ]]</f>
        <v>0</v>
      </c>
      <c r="J31" s="221">
        <v>1.02</v>
      </c>
      <c r="K31" s="224">
        <f>Tbl_Hull_Structure[[#This Row],[Contingency ]]*Tbl_Hull_Structure[[#This Row],[Total Op]]</f>
        <v>0</v>
      </c>
      <c r="L31" s="226">
        <v>49.95</v>
      </c>
      <c r="M31" s="228">
        <v>6.18</v>
      </c>
      <c r="N31" s="230">
        <v>5</v>
      </c>
      <c r="O31" s="231">
        <v>1.7999999999999972</v>
      </c>
      <c r="P31" s="234" t="s">
        <v>95</v>
      </c>
      <c r="Q31" s="235" t="s">
        <v>33</v>
      </c>
      <c r="R31" s="241"/>
      <c r="S31" s="238" t="str">
        <f>IF(Tbl_Hull_Structure[[#This Row],[Weight Op]],Tbl_Hull_Structure[[#This Row],[Weight Op]]*Tbl_Hull_Structure[[#This Row],[X]],"")</f>
        <v/>
      </c>
      <c r="T31" s="101" t="str">
        <f>IF(Tbl_Hull_Structure[[#This Row],[Weight Op]],Tbl_Hull_Structure[[#This Row],[Weight Op]]*Tbl_Hull_Structure[[#This Row],[Y]],"")</f>
        <v/>
      </c>
      <c r="U31" s="99" t="str">
        <f>IF(Tbl_Hull_Structure[[#This Row],[Weight Op]],Tbl_Hull_Structure[[#This Row],[Weight Op]]*Tbl_Hull_Structure[[#This Row],[Z]],"")</f>
        <v/>
      </c>
      <c r="V31" s="103">
        <f>Tbl_Hull_Structure[[#This Row],[Weight Op]]</f>
        <v>0</v>
      </c>
      <c r="W31" s="105" t="str">
        <f>IF(Tbl_Hull_Structure[[#This Row],[Weight Fact]],Tbl_Hull_Structure[[#This Row],[X]],"")</f>
        <v/>
      </c>
      <c r="X31" s="107" t="str">
        <f>IF(Tbl_Hull_Structure[[#This Row],[Weight Fact]],Tbl_Hull_Structure[[#This Row],[Y]],"")</f>
        <v/>
      </c>
      <c r="Y31" s="109" t="str">
        <f>IF(Tbl_Hull_Structure[[#This Row],[Weight Fact]],Tbl_Hull_Structure[[#This Row],[Z]],"")</f>
        <v/>
      </c>
      <c r="Z31" s="117" t="str">
        <f>IF(Tbl_Hull_Structure[[#This Row],[Weight Fact]],Tbl_Hull_Structure[[#This Row],[X distrib]],"")</f>
        <v/>
      </c>
      <c r="AA31" s="120" t="str">
        <f>IF(Tbl_Hull_Structure[[#This Row],[Weight Fact]],Tbl_Hull_Structure[[#This Row],[COG x ]]-Tbl_Hull_Structure[[#This Row],[Distrib]]/2,"")</f>
        <v/>
      </c>
      <c r="AB31" s="123" t="str">
        <f>IF(Tbl_Hull_Structure[[#This Row],[Weight Fact]],Tbl_Hull_Structure[[#This Row],[COG x ]]+Tbl_Hull_Structure[[#This Row],[Distrib]]/2,"")</f>
        <v/>
      </c>
      <c r="AC31" s="111" t="str">
        <f>IF(Tbl_Hull_Structure[[#This Row],[Weight Fact]],ROUND(Tbl_Hull_Structure[[#This Row],[AP from]]/FE_size,0),"")</f>
        <v/>
      </c>
      <c r="AD31" s="113" t="str">
        <f>IF(Tbl_Hull_Structure[[#This Row],[Weight Fact]],ROUND(Tbl_Hull_Structure[[#This Row],[AP to]]/FE_size,0),"")</f>
        <v/>
      </c>
      <c r="AE31"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31" s="133" t="str">
        <f>IF(Tbl_Hull_Structure[[#This Row],[Weight Fact]],IF(Tbl_Hull_Structure[[#This Row],[Fr from]]*FE_size&lt;0,0,Tbl_Hull_Structure[[#This Row],[Fr from]]*FE_size),"")</f>
        <v/>
      </c>
      <c r="AG31" s="134" t="str">
        <f>IF(Tbl_Hull_Structure[[#This Row],[Weight Fact]],IF(Tbl_Hull_Structure[[#This Row],[Fr to]]*FE_size=Tbl_Hull_Structure[[#This Row],[L from]],Tbl_Hull_Structure[[#This Row],[L from]]+FE_size,IF(Tbl_Hull_Structure[[#This Row],[Fr to]]*FE_size&gt;Lpp,Lpp,Tbl_Hull_Structure[[#This Row],[Fr to]]*FE_size)),"")</f>
        <v/>
      </c>
      <c r="AH31" s="143" t="str">
        <f>IFERROR(Tbl_Hull_Structure[[#This Row],[Weight Fact]]/(Tbl_Hull_Structure[[#This Row],[L to]]-Tbl_Hull_Structure[[#This Row],[L from]]),"")</f>
        <v/>
      </c>
      <c r="AI31" s="145" t="str">
        <f>IF(Tbl_Hull_Structure[[#This Row],[Weight Fact]],Tbl_Hull_Structure[[#This Row],[Spread]]*(Tbl_Hull_Structure[[#This Row],[L to]]-Tbl_Hull_Structure[[#This Row],[L from]])-Tbl_Hull_Structure[[#This Row],[Weight Fact]],"")</f>
        <v/>
      </c>
      <c r="AJ31" s="141" t="str">
        <f>IF(AND(ISNUMBER(Tbl_Hull_Structure[[#This Row],[L from]]),ISNUMBER(Tbl_Hull_Structure[[#This Row],[L to]])),IF(AND(Tbl_Hull_Structure[[#This Row],[L from]]&gt;=0,Tbl_Hull_Structure[[#This Row],[L to]]&lt;=Lpp),"OK","KO"),"OK")</f>
        <v>OK</v>
      </c>
    </row>
    <row r="32" spans="2:36" x14ac:dyDescent="0.25">
      <c r="B32" s="94">
        <f t="shared" si="0"/>
        <v>3</v>
      </c>
      <c r="C32" s="215"/>
      <c r="D32" s="217">
        <v>12</v>
      </c>
      <c r="E32" s="214" t="str">
        <f>IF(NOT(ISBLANK(Tbl_Hull_Structure[[#This Row],[Num]])),TEXT(Tbl_Hull_Structure[[#This Row],[Group]],"00")&amp;"-"&amp;TEXT(Tbl_Hull_Structure[[#This Row],[Num]],"000"),"")</f>
        <v>00-012</v>
      </c>
      <c r="F32" s="218" t="s">
        <v>101</v>
      </c>
      <c r="G32" s="219">
        <v>0</v>
      </c>
      <c r="H32" s="220">
        <v>5</v>
      </c>
      <c r="I32" s="222">
        <f>Tbl_Hull_Structure[[#This Row],[Qty]]*Tbl_Hull_Structure[[#This Row],[Unitary ]]</f>
        <v>0</v>
      </c>
      <c r="J32" s="221">
        <v>1.02</v>
      </c>
      <c r="K32" s="224">
        <f>Tbl_Hull_Structure[[#This Row],[Contingency ]]*Tbl_Hull_Structure[[#This Row],[Total Op]]</f>
        <v>0</v>
      </c>
      <c r="L32" s="226">
        <v>47.83</v>
      </c>
      <c r="M32" s="228">
        <v>-6.91</v>
      </c>
      <c r="N32" s="230">
        <v>7</v>
      </c>
      <c r="O32" s="231">
        <v>2.2999999999999972</v>
      </c>
      <c r="P32" s="234" t="s">
        <v>95</v>
      </c>
      <c r="Q32" s="235" t="s">
        <v>33</v>
      </c>
      <c r="R32" s="241"/>
      <c r="S32" s="238" t="str">
        <f>IF(Tbl_Hull_Structure[[#This Row],[Weight Op]],Tbl_Hull_Structure[[#This Row],[Weight Op]]*Tbl_Hull_Structure[[#This Row],[X]],"")</f>
        <v/>
      </c>
      <c r="T32" s="101" t="str">
        <f>IF(Tbl_Hull_Structure[[#This Row],[Weight Op]],Tbl_Hull_Structure[[#This Row],[Weight Op]]*Tbl_Hull_Structure[[#This Row],[Y]],"")</f>
        <v/>
      </c>
      <c r="U32" s="99" t="str">
        <f>IF(Tbl_Hull_Structure[[#This Row],[Weight Op]],Tbl_Hull_Structure[[#This Row],[Weight Op]]*Tbl_Hull_Structure[[#This Row],[Z]],"")</f>
        <v/>
      </c>
      <c r="V32" s="103">
        <f>Tbl_Hull_Structure[[#This Row],[Weight Op]]</f>
        <v>0</v>
      </c>
      <c r="W32" s="105" t="str">
        <f>IF(Tbl_Hull_Structure[[#This Row],[Weight Fact]],Tbl_Hull_Structure[[#This Row],[X]],"")</f>
        <v/>
      </c>
      <c r="X32" s="107" t="str">
        <f>IF(Tbl_Hull_Structure[[#This Row],[Weight Fact]],Tbl_Hull_Structure[[#This Row],[Y]],"")</f>
        <v/>
      </c>
      <c r="Y32" s="109" t="str">
        <f>IF(Tbl_Hull_Structure[[#This Row],[Weight Fact]],Tbl_Hull_Structure[[#This Row],[Z]],"")</f>
        <v/>
      </c>
      <c r="Z32" s="117" t="str">
        <f>IF(Tbl_Hull_Structure[[#This Row],[Weight Fact]],Tbl_Hull_Structure[[#This Row],[X distrib]],"")</f>
        <v/>
      </c>
      <c r="AA32" s="120" t="str">
        <f>IF(Tbl_Hull_Structure[[#This Row],[Weight Fact]],Tbl_Hull_Structure[[#This Row],[COG x ]]-Tbl_Hull_Structure[[#This Row],[Distrib]]/2,"")</f>
        <v/>
      </c>
      <c r="AB32" s="123" t="str">
        <f>IF(Tbl_Hull_Structure[[#This Row],[Weight Fact]],Tbl_Hull_Structure[[#This Row],[COG x ]]+Tbl_Hull_Structure[[#This Row],[Distrib]]/2,"")</f>
        <v/>
      </c>
      <c r="AC32" s="111" t="str">
        <f>IF(Tbl_Hull_Structure[[#This Row],[Weight Fact]],ROUND(Tbl_Hull_Structure[[#This Row],[AP from]]/FE_size,0),"")</f>
        <v/>
      </c>
      <c r="AD32" s="113" t="str">
        <f>IF(Tbl_Hull_Structure[[#This Row],[Weight Fact]],ROUND(Tbl_Hull_Structure[[#This Row],[AP to]]/FE_size,0),"")</f>
        <v/>
      </c>
      <c r="AE32"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32" s="133" t="str">
        <f>IF(Tbl_Hull_Structure[[#This Row],[Weight Fact]],IF(Tbl_Hull_Structure[[#This Row],[Fr from]]*FE_size&lt;0,0,Tbl_Hull_Structure[[#This Row],[Fr from]]*FE_size),"")</f>
        <v/>
      </c>
      <c r="AG32" s="134" t="str">
        <f>IF(Tbl_Hull_Structure[[#This Row],[Weight Fact]],IF(Tbl_Hull_Structure[[#This Row],[Fr to]]*FE_size=Tbl_Hull_Structure[[#This Row],[L from]],Tbl_Hull_Structure[[#This Row],[L from]]+FE_size,IF(Tbl_Hull_Structure[[#This Row],[Fr to]]*FE_size&gt;Lpp,Lpp,Tbl_Hull_Structure[[#This Row],[Fr to]]*FE_size)),"")</f>
        <v/>
      </c>
      <c r="AH32" s="143" t="str">
        <f>IFERROR(Tbl_Hull_Structure[[#This Row],[Weight Fact]]/(Tbl_Hull_Structure[[#This Row],[L to]]-Tbl_Hull_Structure[[#This Row],[L from]]),"")</f>
        <v/>
      </c>
      <c r="AI32" s="145" t="str">
        <f>IF(Tbl_Hull_Structure[[#This Row],[Weight Fact]],Tbl_Hull_Structure[[#This Row],[Spread]]*(Tbl_Hull_Structure[[#This Row],[L to]]-Tbl_Hull_Structure[[#This Row],[L from]])-Tbl_Hull_Structure[[#This Row],[Weight Fact]],"")</f>
        <v/>
      </c>
      <c r="AJ32" s="141" t="str">
        <f>IF(AND(ISNUMBER(Tbl_Hull_Structure[[#This Row],[L from]]),ISNUMBER(Tbl_Hull_Structure[[#This Row],[L to]])),IF(AND(Tbl_Hull_Structure[[#This Row],[L from]]&gt;=0,Tbl_Hull_Structure[[#This Row],[L to]]&lt;=Lpp),"OK","KO"),"OK")</f>
        <v>OK</v>
      </c>
    </row>
    <row r="33" spans="2:36" x14ac:dyDescent="0.25">
      <c r="B33" s="94">
        <f t="shared" si="0"/>
        <v>3</v>
      </c>
      <c r="C33" s="215"/>
      <c r="D33" s="217">
        <v>16</v>
      </c>
      <c r="E33" s="214" t="str">
        <f>IF(NOT(ISBLANK(Tbl_Hull_Structure[[#This Row],[Num]])),TEXT(Tbl_Hull_Structure[[#This Row],[Group]],"00")&amp;"-"&amp;TEXT(Tbl_Hull_Structure[[#This Row],[Num]],"000"),"")</f>
        <v>00-016</v>
      </c>
      <c r="F33" s="218" t="s">
        <v>102</v>
      </c>
      <c r="G33" s="219">
        <v>0</v>
      </c>
      <c r="H33" s="220">
        <v>3.5</v>
      </c>
      <c r="I33" s="222">
        <f>Tbl_Hull_Structure[[#This Row],[Qty]]*Tbl_Hull_Structure[[#This Row],[Unitary ]]</f>
        <v>0</v>
      </c>
      <c r="J33" s="221">
        <v>1.02</v>
      </c>
      <c r="K33" s="224">
        <f>Tbl_Hull_Structure[[#This Row],[Contingency ]]*Tbl_Hull_Structure[[#This Row],[Total Op]]</f>
        <v>0</v>
      </c>
      <c r="L33" s="226">
        <v>11.135</v>
      </c>
      <c r="M33" s="228">
        <v>11.36</v>
      </c>
      <c r="N33" s="230">
        <v>3</v>
      </c>
      <c r="O33" s="231">
        <v>1.5</v>
      </c>
      <c r="P33" s="234" t="s">
        <v>95</v>
      </c>
      <c r="Q33" s="235" t="s">
        <v>33</v>
      </c>
      <c r="R33" s="241"/>
      <c r="S33" s="238" t="str">
        <f>IF(Tbl_Hull_Structure[[#This Row],[Weight Op]],Tbl_Hull_Structure[[#This Row],[Weight Op]]*Tbl_Hull_Structure[[#This Row],[X]],"")</f>
        <v/>
      </c>
      <c r="T33" s="101" t="str">
        <f>IF(Tbl_Hull_Structure[[#This Row],[Weight Op]],Tbl_Hull_Structure[[#This Row],[Weight Op]]*Tbl_Hull_Structure[[#This Row],[Y]],"")</f>
        <v/>
      </c>
      <c r="U33" s="99" t="str">
        <f>IF(Tbl_Hull_Structure[[#This Row],[Weight Op]],Tbl_Hull_Structure[[#This Row],[Weight Op]]*Tbl_Hull_Structure[[#This Row],[Z]],"")</f>
        <v/>
      </c>
      <c r="V33" s="103">
        <f>Tbl_Hull_Structure[[#This Row],[Weight Op]]</f>
        <v>0</v>
      </c>
      <c r="W33" s="105" t="str">
        <f>IF(Tbl_Hull_Structure[[#This Row],[Weight Fact]],Tbl_Hull_Structure[[#This Row],[X]],"")</f>
        <v/>
      </c>
      <c r="X33" s="107" t="str">
        <f>IF(Tbl_Hull_Structure[[#This Row],[Weight Fact]],Tbl_Hull_Structure[[#This Row],[Y]],"")</f>
        <v/>
      </c>
      <c r="Y33" s="109" t="str">
        <f>IF(Tbl_Hull_Structure[[#This Row],[Weight Fact]],Tbl_Hull_Structure[[#This Row],[Z]],"")</f>
        <v/>
      </c>
      <c r="Z33" s="117" t="str">
        <f>IF(Tbl_Hull_Structure[[#This Row],[Weight Fact]],Tbl_Hull_Structure[[#This Row],[X distrib]],"")</f>
        <v/>
      </c>
      <c r="AA33" s="120" t="str">
        <f>IF(Tbl_Hull_Structure[[#This Row],[Weight Fact]],Tbl_Hull_Structure[[#This Row],[COG x ]]-Tbl_Hull_Structure[[#This Row],[Distrib]]/2,"")</f>
        <v/>
      </c>
      <c r="AB33" s="123" t="str">
        <f>IF(Tbl_Hull_Structure[[#This Row],[Weight Fact]],Tbl_Hull_Structure[[#This Row],[COG x ]]+Tbl_Hull_Structure[[#This Row],[Distrib]]/2,"")</f>
        <v/>
      </c>
      <c r="AC33" s="111" t="str">
        <f>IF(Tbl_Hull_Structure[[#This Row],[Weight Fact]],ROUND(Tbl_Hull_Structure[[#This Row],[AP from]]/FE_size,0),"")</f>
        <v/>
      </c>
      <c r="AD33" s="113" t="str">
        <f>IF(Tbl_Hull_Structure[[#This Row],[Weight Fact]],ROUND(Tbl_Hull_Structure[[#This Row],[AP to]]/FE_size,0),"")</f>
        <v/>
      </c>
      <c r="AE33"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33" s="133" t="str">
        <f>IF(Tbl_Hull_Structure[[#This Row],[Weight Fact]],IF(Tbl_Hull_Structure[[#This Row],[Fr from]]*FE_size&lt;0,0,Tbl_Hull_Structure[[#This Row],[Fr from]]*FE_size),"")</f>
        <v/>
      </c>
      <c r="AG33" s="134" t="str">
        <f>IF(Tbl_Hull_Structure[[#This Row],[Weight Fact]],IF(Tbl_Hull_Structure[[#This Row],[Fr to]]*FE_size=Tbl_Hull_Structure[[#This Row],[L from]],Tbl_Hull_Structure[[#This Row],[L from]]+FE_size,IF(Tbl_Hull_Structure[[#This Row],[Fr to]]*FE_size&gt;Lpp,Lpp,Tbl_Hull_Structure[[#This Row],[Fr to]]*FE_size)),"")</f>
        <v/>
      </c>
      <c r="AH33" s="144" t="str">
        <f>IFERROR(Tbl_Hull_Structure[[#This Row],[Weight Fact]]/(Tbl_Hull_Structure[[#This Row],[L to]]-Tbl_Hull_Structure[[#This Row],[L from]]),"")</f>
        <v/>
      </c>
      <c r="AI33" s="145" t="str">
        <f>IF(Tbl_Hull_Structure[[#This Row],[Weight Fact]],Tbl_Hull_Structure[[#This Row],[Spread]]*(Tbl_Hull_Structure[[#This Row],[L to]]-Tbl_Hull_Structure[[#This Row],[L from]])-Tbl_Hull_Structure[[#This Row],[Weight Fact]],"")</f>
        <v/>
      </c>
      <c r="AJ33" s="141" t="str">
        <f>IF(AND(ISNUMBER(Tbl_Hull_Structure[[#This Row],[L from]]),ISNUMBER(Tbl_Hull_Structure[[#This Row],[L to]])),IF(AND(Tbl_Hull_Structure[[#This Row],[L from]]&gt;=0,Tbl_Hull_Structure[[#This Row],[L to]]&lt;=Lpp),"OK","KO"),"OK")</f>
        <v>OK</v>
      </c>
    </row>
    <row r="34" spans="2:36" x14ac:dyDescent="0.25">
      <c r="B34" s="94">
        <f t="shared" ref="B34:B65" si="1">IF(NOT(ISBLANK(C34)),C34,B33)</f>
        <v>3</v>
      </c>
      <c r="C34" s="215"/>
      <c r="D34" s="217">
        <v>17</v>
      </c>
      <c r="E34" s="214" t="str">
        <f>IF(NOT(ISBLANK(Tbl_Hull_Structure[[#This Row],[Num]])),TEXT(Tbl_Hull_Structure[[#This Row],[Group]],"00")&amp;"-"&amp;TEXT(Tbl_Hull_Structure[[#This Row],[Num]],"000"),"")</f>
        <v>00-017</v>
      </c>
      <c r="F34" s="218" t="s">
        <v>69</v>
      </c>
      <c r="G34" s="219">
        <v>0</v>
      </c>
      <c r="H34" s="220">
        <v>1.5</v>
      </c>
      <c r="I34" s="222">
        <f>Tbl_Hull_Structure[[#This Row],[Qty]]*Tbl_Hull_Structure[[#This Row],[Unitary ]]</f>
        <v>0</v>
      </c>
      <c r="J34" s="221">
        <v>1.02</v>
      </c>
      <c r="K34" s="224">
        <f>Tbl_Hull_Structure[[#This Row],[Contingency ]]*Tbl_Hull_Structure[[#This Row],[Total Op]]</f>
        <v>0</v>
      </c>
      <c r="L34" s="226">
        <v>27.17</v>
      </c>
      <c r="M34" s="228">
        <v>11.53</v>
      </c>
      <c r="N34" s="230">
        <v>3</v>
      </c>
      <c r="O34" s="231">
        <v>1.5</v>
      </c>
      <c r="P34" s="234" t="s">
        <v>95</v>
      </c>
      <c r="Q34" s="235" t="s">
        <v>33</v>
      </c>
      <c r="R34" s="241"/>
      <c r="S34" s="238" t="str">
        <f>IF(Tbl_Hull_Structure[[#This Row],[Weight Op]],Tbl_Hull_Structure[[#This Row],[Weight Op]]*Tbl_Hull_Structure[[#This Row],[X]],"")</f>
        <v/>
      </c>
      <c r="T34" s="101" t="str">
        <f>IF(Tbl_Hull_Structure[[#This Row],[Weight Op]],Tbl_Hull_Structure[[#This Row],[Weight Op]]*Tbl_Hull_Structure[[#This Row],[Y]],"")</f>
        <v/>
      </c>
      <c r="U34" s="99" t="str">
        <f>IF(Tbl_Hull_Structure[[#This Row],[Weight Op]],Tbl_Hull_Structure[[#This Row],[Weight Op]]*Tbl_Hull_Structure[[#This Row],[Z]],"")</f>
        <v/>
      </c>
      <c r="V34" s="103">
        <f>Tbl_Hull_Structure[[#This Row],[Weight Op]]</f>
        <v>0</v>
      </c>
      <c r="W34" s="105" t="str">
        <f>IF(Tbl_Hull_Structure[[#This Row],[Weight Fact]],Tbl_Hull_Structure[[#This Row],[X]],"")</f>
        <v/>
      </c>
      <c r="X34" s="107" t="str">
        <f>IF(Tbl_Hull_Structure[[#This Row],[Weight Fact]],Tbl_Hull_Structure[[#This Row],[Y]],"")</f>
        <v/>
      </c>
      <c r="Y34" s="109" t="str">
        <f>IF(Tbl_Hull_Structure[[#This Row],[Weight Fact]],Tbl_Hull_Structure[[#This Row],[Z]],"")</f>
        <v/>
      </c>
      <c r="Z34" s="117" t="str">
        <f>IF(Tbl_Hull_Structure[[#This Row],[Weight Fact]],Tbl_Hull_Structure[[#This Row],[X distrib]],"")</f>
        <v/>
      </c>
      <c r="AA34" s="120" t="str">
        <f>IF(Tbl_Hull_Structure[[#This Row],[Weight Fact]],Tbl_Hull_Structure[[#This Row],[COG x ]]-Tbl_Hull_Structure[[#This Row],[Distrib]]/2,"")</f>
        <v/>
      </c>
      <c r="AB34" s="123" t="str">
        <f>IF(Tbl_Hull_Structure[[#This Row],[Weight Fact]],Tbl_Hull_Structure[[#This Row],[COG x ]]+Tbl_Hull_Structure[[#This Row],[Distrib]]/2,"")</f>
        <v/>
      </c>
      <c r="AC34" s="111" t="str">
        <f>IF(Tbl_Hull_Structure[[#This Row],[Weight Fact]],ROUND(Tbl_Hull_Structure[[#This Row],[AP from]]/FE_size,0),"")</f>
        <v/>
      </c>
      <c r="AD34" s="113" t="str">
        <f>IF(Tbl_Hull_Structure[[#This Row],[Weight Fact]],ROUND(Tbl_Hull_Structure[[#This Row],[AP to]]/FE_size,0),"")</f>
        <v/>
      </c>
      <c r="AE34"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34" s="133" t="str">
        <f>IF(Tbl_Hull_Structure[[#This Row],[Weight Fact]],IF(Tbl_Hull_Structure[[#This Row],[Fr from]]*FE_size&lt;0,0,Tbl_Hull_Structure[[#This Row],[Fr from]]*FE_size),"")</f>
        <v/>
      </c>
      <c r="AG34" s="134" t="str">
        <f>IF(Tbl_Hull_Structure[[#This Row],[Weight Fact]],IF(Tbl_Hull_Structure[[#This Row],[Fr to]]*FE_size=Tbl_Hull_Structure[[#This Row],[L from]],Tbl_Hull_Structure[[#This Row],[L from]]+FE_size,IF(Tbl_Hull_Structure[[#This Row],[Fr to]]*FE_size&gt;Lpp,Lpp,Tbl_Hull_Structure[[#This Row],[Fr to]]*FE_size)),"")</f>
        <v/>
      </c>
      <c r="AH34" s="144" t="str">
        <f>IFERROR(Tbl_Hull_Structure[[#This Row],[Weight Fact]]/(Tbl_Hull_Structure[[#This Row],[L to]]-Tbl_Hull_Structure[[#This Row],[L from]]),"")</f>
        <v/>
      </c>
      <c r="AI34" s="145" t="str">
        <f>IF(Tbl_Hull_Structure[[#This Row],[Weight Fact]],Tbl_Hull_Structure[[#This Row],[Spread]]*(Tbl_Hull_Structure[[#This Row],[L to]]-Tbl_Hull_Structure[[#This Row],[L from]])-Tbl_Hull_Structure[[#This Row],[Weight Fact]],"")</f>
        <v/>
      </c>
      <c r="AJ34" s="141" t="str">
        <f>IF(AND(ISNUMBER(Tbl_Hull_Structure[[#This Row],[L from]]),ISNUMBER(Tbl_Hull_Structure[[#This Row],[L to]])),IF(AND(Tbl_Hull_Structure[[#This Row],[L from]]&gt;=0,Tbl_Hull_Structure[[#This Row],[L to]]&lt;=Lpp),"OK","KO"),"OK")</f>
        <v>OK</v>
      </c>
    </row>
    <row r="35" spans="2:36" x14ac:dyDescent="0.25">
      <c r="B35" s="94">
        <f t="shared" si="1"/>
        <v>3</v>
      </c>
      <c r="C35" s="215"/>
      <c r="D35" s="217">
        <v>19</v>
      </c>
      <c r="E35" s="214" t="str">
        <f>IF(NOT(ISBLANK(Tbl_Hull_Structure[[#This Row],[Num]])),TEXT(Tbl_Hull_Structure[[#This Row],[Group]],"00")&amp;"-"&amp;TEXT(Tbl_Hull_Structure[[#This Row],[Num]],"000"),"")</f>
        <v>00-019</v>
      </c>
      <c r="F35" s="218" t="s">
        <v>146</v>
      </c>
      <c r="G35" s="219">
        <v>0</v>
      </c>
      <c r="H35" s="220">
        <v>1</v>
      </c>
      <c r="I35" s="222">
        <f>Tbl_Hull_Structure[[#This Row],[Qty]]*Tbl_Hull_Structure[[#This Row],[Unitary ]]</f>
        <v>0</v>
      </c>
      <c r="J35" s="221">
        <v>1.02</v>
      </c>
      <c r="K35" s="224">
        <f>Tbl_Hull_Structure[[#This Row],[Contingency ]]*Tbl_Hull_Structure[[#This Row],[Total Op]]</f>
        <v>0</v>
      </c>
      <c r="L35" s="226">
        <v>47.83</v>
      </c>
      <c r="M35" s="228">
        <v>-3.72</v>
      </c>
      <c r="N35" s="230">
        <v>4.5</v>
      </c>
      <c r="O35" s="231">
        <v>0.69999999999999574</v>
      </c>
      <c r="P35" s="234" t="s">
        <v>95</v>
      </c>
      <c r="Q35" s="235" t="s">
        <v>33</v>
      </c>
      <c r="R35" s="241"/>
      <c r="S35" s="238" t="str">
        <f>IF(Tbl_Hull_Structure[[#This Row],[Weight Op]],Tbl_Hull_Structure[[#This Row],[Weight Op]]*Tbl_Hull_Structure[[#This Row],[X]],"")</f>
        <v/>
      </c>
      <c r="T35" s="101" t="str">
        <f>IF(Tbl_Hull_Structure[[#This Row],[Weight Op]],Tbl_Hull_Structure[[#This Row],[Weight Op]]*Tbl_Hull_Structure[[#This Row],[Y]],"")</f>
        <v/>
      </c>
      <c r="U35" s="99" t="str">
        <f>IF(Tbl_Hull_Structure[[#This Row],[Weight Op]],Tbl_Hull_Structure[[#This Row],[Weight Op]]*Tbl_Hull_Structure[[#This Row],[Z]],"")</f>
        <v/>
      </c>
      <c r="V35" s="103">
        <f>Tbl_Hull_Structure[[#This Row],[Weight Op]]</f>
        <v>0</v>
      </c>
      <c r="W35" s="105" t="str">
        <f>IF(Tbl_Hull_Structure[[#This Row],[Weight Fact]],Tbl_Hull_Structure[[#This Row],[X]],"")</f>
        <v/>
      </c>
      <c r="X35" s="107" t="str">
        <f>IF(Tbl_Hull_Structure[[#This Row],[Weight Fact]],Tbl_Hull_Structure[[#This Row],[Y]],"")</f>
        <v/>
      </c>
      <c r="Y35" s="109" t="str">
        <f>IF(Tbl_Hull_Structure[[#This Row],[Weight Fact]],Tbl_Hull_Structure[[#This Row],[Z]],"")</f>
        <v/>
      </c>
      <c r="Z35" s="117" t="str">
        <f>IF(Tbl_Hull_Structure[[#This Row],[Weight Fact]],Tbl_Hull_Structure[[#This Row],[X distrib]],"")</f>
        <v/>
      </c>
      <c r="AA35" s="120" t="str">
        <f>IF(Tbl_Hull_Structure[[#This Row],[Weight Fact]],Tbl_Hull_Structure[[#This Row],[COG x ]]-Tbl_Hull_Structure[[#This Row],[Distrib]]/2,"")</f>
        <v/>
      </c>
      <c r="AB35" s="123" t="str">
        <f>IF(Tbl_Hull_Structure[[#This Row],[Weight Fact]],Tbl_Hull_Structure[[#This Row],[COG x ]]+Tbl_Hull_Structure[[#This Row],[Distrib]]/2,"")</f>
        <v/>
      </c>
      <c r="AC35" s="111" t="str">
        <f>IF(Tbl_Hull_Structure[[#This Row],[Weight Fact]],ROUND(Tbl_Hull_Structure[[#This Row],[AP from]]/FE_size,0),"")</f>
        <v/>
      </c>
      <c r="AD35" s="113" t="str">
        <f>IF(Tbl_Hull_Structure[[#This Row],[Weight Fact]],ROUND(Tbl_Hull_Structure[[#This Row],[AP to]]/FE_size,0),"")</f>
        <v/>
      </c>
      <c r="AE35"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35" s="133" t="str">
        <f>IF(Tbl_Hull_Structure[[#This Row],[Weight Fact]],IF(Tbl_Hull_Structure[[#This Row],[Fr from]]*FE_size&lt;0,0,Tbl_Hull_Structure[[#This Row],[Fr from]]*FE_size),"")</f>
        <v/>
      </c>
      <c r="AG35" s="134" t="str">
        <f>IF(Tbl_Hull_Structure[[#This Row],[Weight Fact]],IF(Tbl_Hull_Structure[[#This Row],[Fr to]]*FE_size=Tbl_Hull_Structure[[#This Row],[L from]],Tbl_Hull_Structure[[#This Row],[L from]]+FE_size,IF(Tbl_Hull_Structure[[#This Row],[Fr to]]*FE_size&gt;Lpp,Lpp,Tbl_Hull_Structure[[#This Row],[Fr to]]*FE_size)),"")</f>
        <v/>
      </c>
      <c r="AH35" s="144" t="str">
        <f>IFERROR(Tbl_Hull_Structure[[#This Row],[Weight Fact]]/(Tbl_Hull_Structure[[#This Row],[L to]]-Tbl_Hull_Structure[[#This Row],[L from]]),"")</f>
        <v/>
      </c>
      <c r="AI35" s="145" t="str">
        <f>IF(Tbl_Hull_Structure[[#This Row],[Weight Fact]],Tbl_Hull_Structure[[#This Row],[Spread]]*(Tbl_Hull_Structure[[#This Row],[L to]]-Tbl_Hull_Structure[[#This Row],[L from]])-Tbl_Hull_Structure[[#This Row],[Weight Fact]],"")</f>
        <v/>
      </c>
      <c r="AJ35" s="141" t="str">
        <f>IF(AND(ISNUMBER(Tbl_Hull_Structure[[#This Row],[L from]]),ISNUMBER(Tbl_Hull_Structure[[#This Row],[L to]])),IF(AND(Tbl_Hull_Structure[[#This Row],[L from]]&gt;=0,Tbl_Hull_Structure[[#This Row],[L to]]&lt;=Lpp),"OK","KO"),"OK")</f>
        <v>OK</v>
      </c>
    </row>
    <row r="36" spans="2:36" x14ac:dyDescent="0.25">
      <c r="B36" s="94">
        <f t="shared" si="1"/>
        <v>3</v>
      </c>
      <c r="C36" s="215"/>
      <c r="D36" s="217" t="s">
        <v>103</v>
      </c>
      <c r="E36" s="214" t="str">
        <f>IF(NOT(ISBLANK(Tbl_Hull_Structure[[#This Row],[Num]])),TEXT(Tbl_Hull_Structure[[#This Row],[Group]],"00")&amp;"-"&amp;TEXT(Tbl_Hull_Structure[[#This Row],[Num]],"000"),"")</f>
        <v>00-21.a</v>
      </c>
      <c r="F36" s="218" t="s">
        <v>147</v>
      </c>
      <c r="G36" s="219">
        <v>0</v>
      </c>
      <c r="H36" s="220">
        <v>0.15</v>
      </c>
      <c r="I36" s="222">
        <f>Tbl_Hull_Structure[[#This Row],[Qty]]*Tbl_Hull_Structure[[#This Row],[Unitary ]]</f>
        <v>0</v>
      </c>
      <c r="J36" s="221">
        <v>1.02</v>
      </c>
      <c r="K36" s="224">
        <f>Tbl_Hull_Structure[[#This Row],[Contingency ]]*Tbl_Hull_Structure[[#This Row],[Total Op]]</f>
        <v>0</v>
      </c>
      <c r="L36" s="226">
        <v>4.26</v>
      </c>
      <c r="M36" s="228">
        <v>-4.57</v>
      </c>
      <c r="N36" s="230">
        <v>4.3</v>
      </c>
      <c r="O36" s="231">
        <v>0.80000000000000027</v>
      </c>
      <c r="P36" s="234" t="s">
        <v>95</v>
      </c>
      <c r="Q36" s="235" t="s">
        <v>33</v>
      </c>
      <c r="R36" s="241"/>
      <c r="S36" s="238" t="str">
        <f>IF(Tbl_Hull_Structure[[#This Row],[Weight Op]],Tbl_Hull_Structure[[#This Row],[Weight Op]]*Tbl_Hull_Structure[[#This Row],[X]],"")</f>
        <v/>
      </c>
      <c r="T36" s="101" t="str">
        <f>IF(Tbl_Hull_Structure[[#This Row],[Weight Op]],Tbl_Hull_Structure[[#This Row],[Weight Op]]*Tbl_Hull_Structure[[#This Row],[Y]],"")</f>
        <v/>
      </c>
      <c r="U36" s="99" t="str">
        <f>IF(Tbl_Hull_Structure[[#This Row],[Weight Op]],Tbl_Hull_Structure[[#This Row],[Weight Op]]*Tbl_Hull_Structure[[#This Row],[Z]],"")</f>
        <v/>
      </c>
      <c r="V36" s="103">
        <f>Tbl_Hull_Structure[[#This Row],[Weight Op]]</f>
        <v>0</v>
      </c>
      <c r="W36" s="105" t="str">
        <f>IF(Tbl_Hull_Structure[[#This Row],[Weight Fact]],Tbl_Hull_Structure[[#This Row],[X]],"")</f>
        <v/>
      </c>
      <c r="X36" s="107" t="str">
        <f>IF(Tbl_Hull_Structure[[#This Row],[Weight Fact]],Tbl_Hull_Structure[[#This Row],[Y]],"")</f>
        <v/>
      </c>
      <c r="Y36" s="109" t="str">
        <f>IF(Tbl_Hull_Structure[[#This Row],[Weight Fact]],Tbl_Hull_Structure[[#This Row],[Z]],"")</f>
        <v/>
      </c>
      <c r="Z36" s="117" t="str">
        <f>IF(Tbl_Hull_Structure[[#This Row],[Weight Fact]],Tbl_Hull_Structure[[#This Row],[X distrib]],"")</f>
        <v/>
      </c>
      <c r="AA36" s="120" t="str">
        <f>IF(Tbl_Hull_Structure[[#This Row],[Weight Fact]],Tbl_Hull_Structure[[#This Row],[COG x ]]-Tbl_Hull_Structure[[#This Row],[Distrib]]/2,"")</f>
        <v/>
      </c>
      <c r="AB36" s="123" t="str">
        <f>IF(Tbl_Hull_Structure[[#This Row],[Weight Fact]],Tbl_Hull_Structure[[#This Row],[COG x ]]+Tbl_Hull_Structure[[#This Row],[Distrib]]/2,"")</f>
        <v/>
      </c>
      <c r="AC36" s="111" t="str">
        <f>IF(Tbl_Hull_Structure[[#This Row],[Weight Fact]],ROUND(Tbl_Hull_Structure[[#This Row],[AP from]]/FE_size,0),"")</f>
        <v/>
      </c>
      <c r="AD36" s="113" t="str">
        <f>IF(Tbl_Hull_Structure[[#This Row],[Weight Fact]],ROUND(Tbl_Hull_Structure[[#This Row],[AP to]]/FE_size,0),"")</f>
        <v/>
      </c>
      <c r="AE36"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36" s="133" t="str">
        <f>IF(Tbl_Hull_Structure[[#This Row],[Weight Fact]],IF(Tbl_Hull_Structure[[#This Row],[Fr from]]*FE_size&lt;0,0,Tbl_Hull_Structure[[#This Row],[Fr from]]*FE_size),"")</f>
        <v/>
      </c>
      <c r="AG36" s="134" t="str">
        <f>IF(Tbl_Hull_Structure[[#This Row],[Weight Fact]],IF(Tbl_Hull_Structure[[#This Row],[Fr to]]*FE_size=Tbl_Hull_Structure[[#This Row],[L from]],Tbl_Hull_Structure[[#This Row],[L from]]+FE_size,IF(Tbl_Hull_Structure[[#This Row],[Fr to]]*FE_size&gt;Lpp,Lpp,Tbl_Hull_Structure[[#This Row],[Fr to]]*FE_size)),"")</f>
        <v/>
      </c>
      <c r="AH36" s="144" t="str">
        <f>IFERROR(Tbl_Hull_Structure[[#This Row],[Weight Fact]]/(Tbl_Hull_Structure[[#This Row],[L to]]-Tbl_Hull_Structure[[#This Row],[L from]]),"")</f>
        <v/>
      </c>
      <c r="AI36" s="145" t="str">
        <f>IF(Tbl_Hull_Structure[[#This Row],[Weight Fact]],Tbl_Hull_Structure[[#This Row],[Spread]]*(Tbl_Hull_Structure[[#This Row],[L to]]-Tbl_Hull_Structure[[#This Row],[L from]])-Tbl_Hull_Structure[[#This Row],[Weight Fact]],"")</f>
        <v/>
      </c>
      <c r="AJ36" s="141" t="str">
        <f>IF(AND(ISNUMBER(Tbl_Hull_Structure[[#This Row],[L from]]),ISNUMBER(Tbl_Hull_Structure[[#This Row],[L to]])),IF(AND(Tbl_Hull_Structure[[#This Row],[L from]]&gt;=0,Tbl_Hull_Structure[[#This Row],[L to]]&lt;=Lpp),"OK","KO"),"OK")</f>
        <v>OK</v>
      </c>
    </row>
    <row r="37" spans="2:36" x14ac:dyDescent="0.25">
      <c r="B37" s="94">
        <f t="shared" si="1"/>
        <v>3</v>
      </c>
      <c r="C37" s="215"/>
      <c r="D37" s="217" t="s">
        <v>104</v>
      </c>
      <c r="E37" s="214" t="str">
        <f>IF(NOT(ISBLANK(Tbl_Hull_Structure[[#This Row],[Num]])),TEXT(Tbl_Hull_Structure[[#This Row],[Group]],"00")&amp;"-"&amp;TEXT(Tbl_Hull_Structure[[#This Row],[Num]],"000"),"")</f>
        <v>00-21.b</v>
      </c>
      <c r="F37" s="218" t="s">
        <v>147</v>
      </c>
      <c r="G37" s="219">
        <v>0</v>
      </c>
      <c r="H37" s="220">
        <v>0.15</v>
      </c>
      <c r="I37" s="222">
        <f>Tbl_Hull_Structure[[#This Row],[Qty]]*Tbl_Hull_Structure[[#This Row],[Unitary ]]</f>
        <v>0</v>
      </c>
      <c r="J37" s="221">
        <v>1.02</v>
      </c>
      <c r="K37" s="224">
        <f>Tbl_Hull_Structure[[#This Row],[Contingency ]]*Tbl_Hull_Structure[[#This Row],[Total Op]]</f>
        <v>0</v>
      </c>
      <c r="L37" s="226">
        <v>4.26</v>
      </c>
      <c r="M37" s="228">
        <v>-9.33</v>
      </c>
      <c r="N37" s="230">
        <v>4.3</v>
      </c>
      <c r="O37" s="231">
        <v>0.80000000000000027</v>
      </c>
      <c r="P37" s="234" t="s">
        <v>95</v>
      </c>
      <c r="Q37" s="235" t="s">
        <v>33</v>
      </c>
      <c r="R37" s="241"/>
      <c r="S37" s="238" t="str">
        <f>IF(Tbl_Hull_Structure[[#This Row],[Weight Op]],Tbl_Hull_Structure[[#This Row],[Weight Op]]*Tbl_Hull_Structure[[#This Row],[X]],"")</f>
        <v/>
      </c>
      <c r="T37" s="101" t="str">
        <f>IF(Tbl_Hull_Structure[[#This Row],[Weight Op]],Tbl_Hull_Structure[[#This Row],[Weight Op]]*Tbl_Hull_Structure[[#This Row],[Y]],"")</f>
        <v/>
      </c>
      <c r="U37" s="99" t="str">
        <f>IF(Tbl_Hull_Structure[[#This Row],[Weight Op]],Tbl_Hull_Structure[[#This Row],[Weight Op]]*Tbl_Hull_Structure[[#This Row],[Z]],"")</f>
        <v/>
      </c>
      <c r="V37" s="103">
        <f>Tbl_Hull_Structure[[#This Row],[Weight Op]]</f>
        <v>0</v>
      </c>
      <c r="W37" s="105" t="str">
        <f>IF(Tbl_Hull_Structure[[#This Row],[Weight Fact]],Tbl_Hull_Structure[[#This Row],[X]],"")</f>
        <v/>
      </c>
      <c r="X37" s="107" t="str">
        <f>IF(Tbl_Hull_Structure[[#This Row],[Weight Fact]],Tbl_Hull_Structure[[#This Row],[Y]],"")</f>
        <v/>
      </c>
      <c r="Y37" s="109" t="str">
        <f>IF(Tbl_Hull_Structure[[#This Row],[Weight Fact]],Tbl_Hull_Structure[[#This Row],[Z]],"")</f>
        <v/>
      </c>
      <c r="Z37" s="117" t="str">
        <f>IF(Tbl_Hull_Structure[[#This Row],[Weight Fact]],Tbl_Hull_Structure[[#This Row],[X distrib]],"")</f>
        <v/>
      </c>
      <c r="AA37" s="120" t="str">
        <f>IF(Tbl_Hull_Structure[[#This Row],[Weight Fact]],Tbl_Hull_Structure[[#This Row],[COG x ]]-Tbl_Hull_Structure[[#This Row],[Distrib]]/2,"")</f>
        <v/>
      </c>
      <c r="AB37" s="123" t="str">
        <f>IF(Tbl_Hull_Structure[[#This Row],[Weight Fact]],Tbl_Hull_Structure[[#This Row],[COG x ]]+Tbl_Hull_Structure[[#This Row],[Distrib]]/2,"")</f>
        <v/>
      </c>
      <c r="AC37" s="111" t="str">
        <f>IF(Tbl_Hull_Structure[[#This Row],[Weight Fact]],ROUND(Tbl_Hull_Structure[[#This Row],[AP from]]/FE_size,0),"")</f>
        <v/>
      </c>
      <c r="AD37" s="113" t="str">
        <f>IF(Tbl_Hull_Structure[[#This Row],[Weight Fact]],ROUND(Tbl_Hull_Structure[[#This Row],[AP to]]/FE_size,0),"")</f>
        <v/>
      </c>
      <c r="AE37"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37" s="133" t="str">
        <f>IF(Tbl_Hull_Structure[[#This Row],[Weight Fact]],IF(Tbl_Hull_Structure[[#This Row],[Fr from]]*FE_size&lt;0,0,Tbl_Hull_Structure[[#This Row],[Fr from]]*FE_size),"")</f>
        <v/>
      </c>
      <c r="AG37" s="134" t="str">
        <f>IF(Tbl_Hull_Structure[[#This Row],[Weight Fact]],IF(Tbl_Hull_Structure[[#This Row],[Fr to]]*FE_size=Tbl_Hull_Structure[[#This Row],[L from]],Tbl_Hull_Structure[[#This Row],[L from]]+FE_size,IF(Tbl_Hull_Structure[[#This Row],[Fr to]]*FE_size&gt;Lpp,Lpp,Tbl_Hull_Structure[[#This Row],[Fr to]]*FE_size)),"")</f>
        <v/>
      </c>
      <c r="AH37" s="144" t="str">
        <f>IFERROR(Tbl_Hull_Structure[[#This Row],[Weight Fact]]/(Tbl_Hull_Structure[[#This Row],[L to]]-Tbl_Hull_Structure[[#This Row],[L from]]),"")</f>
        <v/>
      </c>
      <c r="AI37" s="145" t="str">
        <f>IF(Tbl_Hull_Structure[[#This Row],[Weight Fact]],Tbl_Hull_Structure[[#This Row],[Spread]]*(Tbl_Hull_Structure[[#This Row],[L to]]-Tbl_Hull_Structure[[#This Row],[L from]])-Tbl_Hull_Structure[[#This Row],[Weight Fact]],"")</f>
        <v/>
      </c>
      <c r="AJ37" s="141" t="str">
        <f>IF(AND(ISNUMBER(Tbl_Hull_Structure[[#This Row],[L from]]),ISNUMBER(Tbl_Hull_Structure[[#This Row],[L to]])),IF(AND(Tbl_Hull_Structure[[#This Row],[L from]]&gt;=0,Tbl_Hull_Structure[[#This Row],[L to]]&lt;=Lpp),"OK","KO"),"OK")</f>
        <v>OK</v>
      </c>
    </row>
    <row r="38" spans="2:36" x14ac:dyDescent="0.25">
      <c r="B38" s="94">
        <f t="shared" si="1"/>
        <v>3</v>
      </c>
      <c r="C38" s="215"/>
      <c r="D38" s="217" t="s">
        <v>105</v>
      </c>
      <c r="E38" s="214" t="str">
        <f>IF(NOT(ISBLANK(Tbl_Hull_Structure[[#This Row],[Num]])),TEXT(Tbl_Hull_Structure[[#This Row],[Group]],"00")&amp;"-"&amp;TEXT(Tbl_Hull_Structure[[#This Row],[Num]],"000"),"")</f>
        <v>00-21.c</v>
      </c>
      <c r="F38" s="218" t="s">
        <v>147</v>
      </c>
      <c r="G38" s="219">
        <v>0</v>
      </c>
      <c r="H38" s="220">
        <v>0.15</v>
      </c>
      <c r="I38" s="222">
        <f>Tbl_Hull_Structure[[#This Row],[Qty]]*Tbl_Hull_Structure[[#This Row],[Unitary ]]</f>
        <v>0</v>
      </c>
      <c r="J38" s="221">
        <v>1.02</v>
      </c>
      <c r="K38" s="224">
        <f>Tbl_Hull_Structure[[#This Row],[Contingency ]]*Tbl_Hull_Structure[[#This Row],[Total Op]]</f>
        <v>0</v>
      </c>
      <c r="L38" s="226">
        <v>4</v>
      </c>
      <c r="M38" s="228">
        <v>-7.28</v>
      </c>
      <c r="N38" s="230">
        <v>4.3</v>
      </c>
      <c r="O38" s="231">
        <v>0.70000000000000018</v>
      </c>
      <c r="P38" s="234" t="s">
        <v>95</v>
      </c>
      <c r="Q38" s="235" t="s">
        <v>33</v>
      </c>
      <c r="R38" s="241"/>
      <c r="S38" s="238" t="str">
        <f>IF(Tbl_Hull_Structure[[#This Row],[Weight Op]],Tbl_Hull_Structure[[#This Row],[Weight Op]]*Tbl_Hull_Structure[[#This Row],[X]],"")</f>
        <v/>
      </c>
      <c r="T38" s="101" t="str">
        <f>IF(Tbl_Hull_Structure[[#This Row],[Weight Op]],Tbl_Hull_Structure[[#This Row],[Weight Op]]*Tbl_Hull_Structure[[#This Row],[Y]],"")</f>
        <v/>
      </c>
      <c r="U38" s="99" t="str">
        <f>IF(Tbl_Hull_Structure[[#This Row],[Weight Op]],Tbl_Hull_Structure[[#This Row],[Weight Op]]*Tbl_Hull_Structure[[#This Row],[Z]],"")</f>
        <v/>
      </c>
      <c r="V38" s="103">
        <f>Tbl_Hull_Structure[[#This Row],[Weight Op]]</f>
        <v>0</v>
      </c>
      <c r="W38" s="105" t="str">
        <f>IF(Tbl_Hull_Structure[[#This Row],[Weight Fact]],Tbl_Hull_Structure[[#This Row],[X]],"")</f>
        <v/>
      </c>
      <c r="X38" s="107" t="str">
        <f>IF(Tbl_Hull_Structure[[#This Row],[Weight Fact]],Tbl_Hull_Structure[[#This Row],[Y]],"")</f>
        <v/>
      </c>
      <c r="Y38" s="109" t="str">
        <f>IF(Tbl_Hull_Structure[[#This Row],[Weight Fact]],Tbl_Hull_Structure[[#This Row],[Z]],"")</f>
        <v/>
      </c>
      <c r="Z38" s="117" t="str">
        <f>IF(Tbl_Hull_Structure[[#This Row],[Weight Fact]],Tbl_Hull_Structure[[#This Row],[X distrib]],"")</f>
        <v/>
      </c>
      <c r="AA38" s="120" t="str">
        <f>IF(Tbl_Hull_Structure[[#This Row],[Weight Fact]],Tbl_Hull_Structure[[#This Row],[COG x ]]-Tbl_Hull_Structure[[#This Row],[Distrib]]/2,"")</f>
        <v/>
      </c>
      <c r="AB38" s="123" t="str">
        <f>IF(Tbl_Hull_Structure[[#This Row],[Weight Fact]],Tbl_Hull_Structure[[#This Row],[COG x ]]+Tbl_Hull_Structure[[#This Row],[Distrib]]/2,"")</f>
        <v/>
      </c>
      <c r="AC38" s="111" t="str">
        <f>IF(Tbl_Hull_Structure[[#This Row],[Weight Fact]],ROUND(Tbl_Hull_Structure[[#This Row],[AP from]]/FE_size,0),"")</f>
        <v/>
      </c>
      <c r="AD38" s="113" t="str">
        <f>IF(Tbl_Hull_Structure[[#This Row],[Weight Fact]],ROUND(Tbl_Hull_Structure[[#This Row],[AP to]]/FE_size,0),"")</f>
        <v/>
      </c>
      <c r="AE38"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38" s="133" t="str">
        <f>IF(Tbl_Hull_Structure[[#This Row],[Weight Fact]],IF(Tbl_Hull_Structure[[#This Row],[Fr from]]*FE_size&lt;0,0,Tbl_Hull_Structure[[#This Row],[Fr from]]*FE_size),"")</f>
        <v/>
      </c>
      <c r="AG38" s="134" t="str">
        <f>IF(Tbl_Hull_Structure[[#This Row],[Weight Fact]],IF(Tbl_Hull_Structure[[#This Row],[Fr to]]*FE_size=Tbl_Hull_Structure[[#This Row],[L from]],Tbl_Hull_Structure[[#This Row],[L from]]+FE_size,IF(Tbl_Hull_Structure[[#This Row],[Fr to]]*FE_size&gt;Lpp,Lpp,Tbl_Hull_Structure[[#This Row],[Fr to]]*FE_size)),"")</f>
        <v/>
      </c>
      <c r="AH38" s="144" t="str">
        <f>IFERROR(Tbl_Hull_Structure[[#This Row],[Weight Fact]]/(Tbl_Hull_Structure[[#This Row],[L to]]-Tbl_Hull_Structure[[#This Row],[L from]]),"")</f>
        <v/>
      </c>
      <c r="AI38" s="145" t="str">
        <f>IF(Tbl_Hull_Structure[[#This Row],[Weight Fact]],Tbl_Hull_Structure[[#This Row],[Spread]]*(Tbl_Hull_Structure[[#This Row],[L to]]-Tbl_Hull_Structure[[#This Row],[L from]])-Tbl_Hull_Structure[[#This Row],[Weight Fact]],"")</f>
        <v/>
      </c>
      <c r="AJ38" s="141" t="str">
        <f>IF(AND(ISNUMBER(Tbl_Hull_Structure[[#This Row],[L from]]),ISNUMBER(Tbl_Hull_Structure[[#This Row],[L to]])),IF(AND(Tbl_Hull_Structure[[#This Row],[L from]]&gt;=0,Tbl_Hull_Structure[[#This Row],[L to]]&lt;=Lpp),"OK","KO"),"OK")</f>
        <v>OK</v>
      </c>
    </row>
    <row r="39" spans="2:36" x14ac:dyDescent="0.25">
      <c r="B39" s="94">
        <f t="shared" si="1"/>
        <v>3</v>
      </c>
      <c r="C39" s="215"/>
      <c r="D39" s="217" t="s">
        <v>106</v>
      </c>
      <c r="E39" s="214" t="str">
        <f>IF(NOT(ISBLANK(Tbl_Hull_Structure[[#This Row],[Num]])),TEXT(Tbl_Hull_Structure[[#This Row],[Group]],"00")&amp;"-"&amp;TEXT(Tbl_Hull_Structure[[#This Row],[Num]],"000"),"")</f>
        <v>00-21.d</v>
      </c>
      <c r="F39" s="218" t="s">
        <v>147</v>
      </c>
      <c r="G39" s="219">
        <v>0</v>
      </c>
      <c r="H39" s="220">
        <v>0.15</v>
      </c>
      <c r="I39" s="222">
        <f>Tbl_Hull_Structure[[#This Row],[Qty]]*Tbl_Hull_Structure[[#This Row],[Unitary ]]</f>
        <v>0</v>
      </c>
      <c r="J39" s="221">
        <v>1.02</v>
      </c>
      <c r="K39" s="224">
        <f>Tbl_Hull_Structure[[#This Row],[Contingency ]]*Tbl_Hull_Structure[[#This Row],[Total Op]]</f>
        <v>0</v>
      </c>
      <c r="L39" s="226">
        <v>58.58</v>
      </c>
      <c r="M39" s="228">
        <v>-0.26</v>
      </c>
      <c r="N39" s="230">
        <v>4.3</v>
      </c>
      <c r="O39" s="231">
        <v>0.79999999999999716</v>
      </c>
      <c r="P39" s="234" t="s">
        <v>95</v>
      </c>
      <c r="Q39" s="235" t="s">
        <v>33</v>
      </c>
      <c r="R39" s="241"/>
      <c r="S39" s="238" t="str">
        <f>IF(Tbl_Hull_Structure[[#This Row],[Weight Op]],Tbl_Hull_Structure[[#This Row],[Weight Op]]*Tbl_Hull_Structure[[#This Row],[X]],"")</f>
        <v/>
      </c>
      <c r="T39" s="101" t="str">
        <f>IF(Tbl_Hull_Structure[[#This Row],[Weight Op]],Tbl_Hull_Structure[[#This Row],[Weight Op]]*Tbl_Hull_Structure[[#This Row],[Y]],"")</f>
        <v/>
      </c>
      <c r="U39" s="99" t="str">
        <f>IF(Tbl_Hull_Structure[[#This Row],[Weight Op]],Tbl_Hull_Structure[[#This Row],[Weight Op]]*Tbl_Hull_Structure[[#This Row],[Z]],"")</f>
        <v/>
      </c>
      <c r="V39" s="103">
        <f>Tbl_Hull_Structure[[#This Row],[Weight Op]]</f>
        <v>0</v>
      </c>
      <c r="W39" s="105" t="str">
        <f>IF(Tbl_Hull_Structure[[#This Row],[Weight Fact]],Tbl_Hull_Structure[[#This Row],[X]],"")</f>
        <v/>
      </c>
      <c r="X39" s="107" t="str">
        <f>IF(Tbl_Hull_Structure[[#This Row],[Weight Fact]],Tbl_Hull_Structure[[#This Row],[Y]],"")</f>
        <v/>
      </c>
      <c r="Y39" s="109" t="str">
        <f>IF(Tbl_Hull_Structure[[#This Row],[Weight Fact]],Tbl_Hull_Structure[[#This Row],[Z]],"")</f>
        <v/>
      </c>
      <c r="Z39" s="117" t="str">
        <f>IF(Tbl_Hull_Structure[[#This Row],[Weight Fact]],Tbl_Hull_Structure[[#This Row],[X distrib]],"")</f>
        <v/>
      </c>
      <c r="AA39" s="120" t="str">
        <f>IF(Tbl_Hull_Structure[[#This Row],[Weight Fact]],Tbl_Hull_Structure[[#This Row],[COG x ]]-Tbl_Hull_Structure[[#This Row],[Distrib]]/2,"")</f>
        <v/>
      </c>
      <c r="AB39" s="123" t="str">
        <f>IF(Tbl_Hull_Structure[[#This Row],[Weight Fact]],Tbl_Hull_Structure[[#This Row],[COG x ]]+Tbl_Hull_Structure[[#This Row],[Distrib]]/2,"")</f>
        <v/>
      </c>
      <c r="AC39" s="111" t="str">
        <f>IF(Tbl_Hull_Structure[[#This Row],[Weight Fact]],ROUND(Tbl_Hull_Structure[[#This Row],[AP from]]/FE_size,0),"")</f>
        <v/>
      </c>
      <c r="AD39" s="113" t="str">
        <f>IF(Tbl_Hull_Structure[[#This Row],[Weight Fact]],ROUND(Tbl_Hull_Structure[[#This Row],[AP to]]/FE_size,0),"")</f>
        <v/>
      </c>
      <c r="AE39"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39" s="133" t="str">
        <f>IF(Tbl_Hull_Structure[[#This Row],[Weight Fact]],IF(Tbl_Hull_Structure[[#This Row],[Fr from]]*FE_size&lt;0,0,Tbl_Hull_Structure[[#This Row],[Fr from]]*FE_size),"")</f>
        <v/>
      </c>
      <c r="AG39" s="134" t="str">
        <f>IF(Tbl_Hull_Structure[[#This Row],[Weight Fact]],IF(Tbl_Hull_Structure[[#This Row],[Fr to]]*FE_size=Tbl_Hull_Structure[[#This Row],[L from]],Tbl_Hull_Structure[[#This Row],[L from]]+FE_size,IF(Tbl_Hull_Structure[[#This Row],[Fr to]]*FE_size&gt;Lpp,Lpp,Tbl_Hull_Structure[[#This Row],[Fr to]]*FE_size)),"")</f>
        <v/>
      </c>
      <c r="AH39" s="144" t="str">
        <f>IFERROR(Tbl_Hull_Structure[[#This Row],[Weight Fact]]/(Tbl_Hull_Structure[[#This Row],[L to]]-Tbl_Hull_Structure[[#This Row],[L from]]),"")</f>
        <v/>
      </c>
      <c r="AI39" s="145" t="str">
        <f>IF(Tbl_Hull_Structure[[#This Row],[Weight Fact]],Tbl_Hull_Structure[[#This Row],[Spread]]*(Tbl_Hull_Structure[[#This Row],[L to]]-Tbl_Hull_Structure[[#This Row],[L from]])-Tbl_Hull_Structure[[#This Row],[Weight Fact]],"")</f>
        <v/>
      </c>
      <c r="AJ39" s="141" t="str">
        <f>IF(AND(ISNUMBER(Tbl_Hull_Structure[[#This Row],[L from]]),ISNUMBER(Tbl_Hull_Structure[[#This Row],[L to]])),IF(AND(Tbl_Hull_Structure[[#This Row],[L from]]&gt;=0,Tbl_Hull_Structure[[#This Row],[L to]]&lt;=Lpp),"OK","KO"),"OK")</f>
        <v>OK</v>
      </c>
    </row>
    <row r="40" spans="2:36" x14ac:dyDescent="0.25">
      <c r="B40" s="94">
        <f t="shared" si="1"/>
        <v>3</v>
      </c>
      <c r="C40" s="215"/>
      <c r="D40" s="217" t="s">
        <v>107</v>
      </c>
      <c r="E40" s="214" t="str">
        <f>IF(NOT(ISBLANK(Tbl_Hull_Structure[[#This Row],[Num]])),TEXT(Tbl_Hull_Structure[[#This Row],[Group]],"00")&amp;"-"&amp;TEXT(Tbl_Hull_Structure[[#This Row],[Num]],"000"),"")</f>
        <v>00-21.e</v>
      </c>
      <c r="F40" s="218" t="s">
        <v>147</v>
      </c>
      <c r="G40" s="219">
        <v>0</v>
      </c>
      <c r="H40" s="220">
        <v>0.15</v>
      </c>
      <c r="I40" s="222">
        <f>Tbl_Hull_Structure[[#This Row],[Qty]]*Tbl_Hull_Structure[[#This Row],[Unitary ]]</f>
        <v>0</v>
      </c>
      <c r="J40" s="221">
        <v>1.02</v>
      </c>
      <c r="K40" s="224">
        <f>Tbl_Hull_Structure[[#This Row],[Contingency ]]*Tbl_Hull_Structure[[#This Row],[Total Op]]</f>
        <v>0</v>
      </c>
      <c r="L40" s="226">
        <v>57.69</v>
      </c>
      <c r="M40" s="228">
        <v>4.57</v>
      </c>
      <c r="N40" s="230">
        <v>4.3</v>
      </c>
      <c r="O40" s="231">
        <v>0.80000000000000426</v>
      </c>
      <c r="P40" s="234" t="s">
        <v>95</v>
      </c>
      <c r="Q40" s="235" t="s">
        <v>33</v>
      </c>
      <c r="R40" s="241"/>
      <c r="S40" s="238" t="str">
        <f>IF(Tbl_Hull_Structure[[#This Row],[Weight Op]],Tbl_Hull_Structure[[#This Row],[Weight Op]]*Tbl_Hull_Structure[[#This Row],[X]],"")</f>
        <v/>
      </c>
      <c r="T40" s="101" t="str">
        <f>IF(Tbl_Hull_Structure[[#This Row],[Weight Op]],Tbl_Hull_Structure[[#This Row],[Weight Op]]*Tbl_Hull_Structure[[#This Row],[Y]],"")</f>
        <v/>
      </c>
      <c r="U40" s="99" t="str">
        <f>IF(Tbl_Hull_Structure[[#This Row],[Weight Op]],Tbl_Hull_Structure[[#This Row],[Weight Op]]*Tbl_Hull_Structure[[#This Row],[Z]],"")</f>
        <v/>
      </c>
      <c r="V40" s="103">
        <f>Tbl_Hull_Structure[[#This Row],[Weight Op]]</f>
        <v>0</v>
      </c>
      <c r="W40" s="105" t="str">
        <f>IF(Tbl_Hull_Structure[[#This Row],[Weight Fact]],Tbl_Hull_Structure[[#This Row],[X]],"")</f>
        <v/>
      </c>
      <c r="X40" s="107" t="str">
        <f>IF(Tbl_Hull_Structure[[#This Row],[Weight Fact]],Tbl_Hull_Structure[[#This Row],[Y]],"")</f>
        <v/>
      </c>
      <c r="Y40" s="109" t="str">
        <f>IF(Tbl_Hull_Structure[[#This Row],[Weight Fact]],Tbl_Hull_Structure[[#This Row],[Z]],"")</f>
        <v/>
      </c>
      <c r="Z40" s="117" t="str">
        <f>IF(Tbl_Hull_Structure[[#This Row],[Weight Fact]],Tbl_Hull_Structure[[#This Row],[X distrib]],"")</f>
        <v/>
      </c>
      <c r="AA40" s="120" t="str">
        <f>IF(Tbl_Hull_Structure[[#This Row],[Weight Fact]],Tbl_Hull_Structure[[#This Row],[COG x ]]-Tbl_Hull_Structure[[#This Row],[Distrib]]/2,"")</f>
        <v/>
      </c>
      <c r="AB40" s="123" t="str">
        <f>IF(Tbl_Hull_Structure[[#This Row],[Weight Fact]],Tbl_Hull_Structure[[#This Row],[COG x ]]+Tbl_Hull_Structure[[#This Row],[Distrib]]/2,"")</f>
        <v/>
      </c>
      <c r="AC40" s="111" t="str">
        <f>IF(Tbl_Hull_Structure[[#This Row],[Weight Fact]],ROUND(Tbl_Hull_Structure[[#This Row],[AP from]]/FE_size,0),"")</f>
        <v/>
      </c>
      <c r="AD40" s="113" t="str">
        <f>IF(Tbl_Hull_Structure[[#This Row],[Weight Fact]],ROUND(Tbl_Hull_Structure[[#This Row],[AP to]]/FE_size,0),"")</f>
        <v/>
      </c>
      <c r="AE40"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40" s="133" t="str">
        <f>IF(Tbl_Hull_Structure[[#This Row],[Weight Fact]],IF(Tbl_Hull_Structure[[#This Row],[Fr from]]*FE_size&lt;0,0,Tbl_Hull_Structure[[#This Row],[Fr from]]*FE_size),"")</f>
        <v/>
      </c>
      <c r="AG40" s="134" t="str">
        <f>IF(Tbl_Hull_Structure[[#This Row],[Weight Fact]],IF(Tbl_Hull_Structure[[#This Row],[Fr to]]*FE_size=Tbl_Hull_Structure[[#This Row],[L from]],Tbl_Hull_Structure[[#This Row],[L from]]+FE_size,IF(Tbl_Hull_Structure[[#This Row],[Fr to]]*FE_size&gt;Lpp,Lpp,Tbl_Hull_Structure[[#This Row],[Fr to]]*FE_size)),"")</f>
        <v/>
      </c>
      <c r="AH40" s="144" t="str">
        <f>IFERROR(Tbl_Hull_Structure[[#This Row],[Weight Fact]]/(Tbl_Hull_Structure[[#This Row],[L to]]-Tbl_Hull_Structure[[#This Row],[L from]]),"")</f>
        <v/>
      </c>
      <c r="AI40" s="145" t="str">
        <f>IF(Tbl_Hull_Structure[[#This Row],[Weight Fact]],Tbl_Hull_Structure[[#This Row],[Spread]]*(Tbl_Hull_Structure[[#This Row],[L to]]-Tbl_Hull_Structure[[#This Row],[L from]])-Tbl_Hull_Structure[[#This Row],[Weight Fact]],"")</f>
        <v/>
      </c>
      <c r="AJ40" s="141" t="str">
        <f>IF(AND(ISNUMBER(Tbl_Hull_Structure[[#This Row],[L from]]),ISNUMBER(Tbl_Hull_Structure[[#This Row],[L to]])),IF(AND(Tbl_Hull_Structure[[#This Row],[L from]]&gt;=0,Tbl_Hull_Structure[[#This Row],[L to]]&lt;=Lpp),"OK","KO"),"OK")</f>
        <v>OK</v>
      </c>
    </row>
    <row r="41" spans="2:36" x14ac:dyDescent="0.25">
      <c r="B41" s="94">
        <f t="shared" si="1"/>
        <v>3</v>
      </c>
      <c r="C41" s="215"/>
      <c r="D41" s="217" t="s">
        <v>108</v>
      </c>
      <c r="E41" s="214" t="str">
        <f>IF(NOT(ISBLANK(Tbl_Hull_Structure[[#This Row],[Num]])),TEXT(Tbl_Hull_Structure[[#This Row],[Group]],"00")&amp;"-"&amp;TEXT(Tbl_Hull_Structure[[#This Row],[Num]],"000"),"")</f>
        <v>00-21.f</v>
      </c>
      <c r="F41" s="218" t="s">
        <v>147</v>
      </c>
      <c r="G41" s="219">
        <v>0</v>
      </c>
      <c r="H41" s="220">
        <v>0.15</v>
      </c>
      <c r="I41" s="222">
        <f>Tbl_Hull_Structure[[#This Row],[Qty]]*Tbl_Hull_Structure[[#This Row],[Unitary ]]</f>
        <v>0</v>
      </c>
      <c r="J41" s="221">
        <v>1.02</v>
      </c>
      <c r="K41" s="224">
        <f>Tbl_Hull_Structure[[#This Row],[Contingency ]]*Tbl_Hull_Structure[[#This Row],[Total Op]]</f>
        <v>0</v>
      </c>
      <c r="L41" s="226">
        <v>58.08</v>
      </c>
      <c r="M41" s="228">
        <v>-6.76</v>
      </c>
      <c r="N41" s="230">
        <v>4.3</v>
      </c>
      <c r="O41" s="231">
        <v>0.70000000000000284</v>
      </c>
      <c r="P41" s="234" t="s">
        <v>95</v>
      </c>
      <c r="Q41" s="235" t="s">
        <v>33</v>
      </c>
      <c r="R41" s="241"/>
      <c r="S41" s="238" t="str">
        <f>IF(Tbl_Hull_Structure[[#This Row],[Weight Op]],Tbl_Hull_Structure[[#This Row],[Weight Op]]*Tbl_Hull_Structure[[#This Row],[X]],"")</f>
        <v/>
      </c>
      <c r="T41" s="101" t="str">
        <f>IF(Tbl_Hull_Structure[[#This Row],[Weight Op]],Tbl_Hull_Structure[[#This Row],[Weight Op]]*Tbl_Hull_Structure[[#This Row],[Y]],"")</f>
        <v/>
      </c>
      <c r="U41" s="99" t="str">
        <f>IF(Tbl_Hull_Structure[[#This Row],[Weight Op]],Tbl_Hull_Structure[[#This Row],[Weight Op]]*Tbl_Hull_Structure[[#This Row],[Z]],"")</f>
        <v/>
      </c>
      <c r="V41" s="103">
        <f>Tbl_Hull_Structure[[#This Row],[Weight Op]]</f>
        <v>0</v>
      </c>
      <c r="W41" s="105" t="str">
        <f>IF(Tbl_Hull_Structure[[#This Row],[Weight Fact]],Tbl_Hull_Structure[[#This Row],[X]],"")</f>
        <v/>
      </c>
      <c r="X41" s="107" t="str">
        <f>IF(Tbl_Hull_Structure[[#This Row],[Weight Fact]],Tbl_Hull_Structure[[#This Row],[Y]],"")</f>
        <v/>
      </c>
      <c r="Y41" s="109" t="str">
        <f>IF(Tbl_Hull_Structure[[#This Row],[Weight Fact]],Tbl_Hull_Structure[[#This Row],[Z]],"")</f>
        <v/>
      </c>
      <c r="Z41" s="117" t="str">
        <f>IF(Tbl_Hull_Structure[[#This Row],[Weight Fact]],Tbl_Hull_Structure[[#This Row],[X distrib]],"")</f>
        <v/>
      </c>
      <c r="AA41" s="120" t="str">
        <f>IF(Tbl_Hull_Structure[[#This Row],[Weight Fact]],Tbl_Hull_Structure[[#This Row],[COG x ]]-Tbl_Hull_Structure[[#This Row],[Distrib]]/2,"")</f>
        <v/>
      </c>
      <c r="AB41" s="123" t="str">
        <f>IF(Tbl_Hull_Structure[[#This Row],[Weight Fact]],Tbl_Hull_Structure[[#This Row],[COG x ]]+Tbl_Hull_Structure[[#This Row],[Distrib]]/2,"")</f>
        <v/>
      </c>
      <c r="AC41" s="111" t="str">
        <f>IF(Tbl_Hull_Structure[[#This Row],[Weight Fact]],ROUND(Tbl_Hull_Structure[[#This Row],[AP from]]/FE_size,0),"")</f>
        <v/>
      </c>
      <c r="AD41" s="113" t="str">
        <f>IF(Tbl_Hull_Structure[[#This Row],[Weight Fact]],ROUND(Tbl_Hull_Structure[[#This Row],[AP to]]/FE_size,0),"")</f>
        <v/>
      </c>
      <c r="AE41"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41" s="133" t="str">
        <f>IF(Tbl_Hull_Structure[[#This Row],[Weight Fact]],IF(Tbl_Hull_Structure[[#This Row],[Fr from]]*FE_size&lt;0,0,Tbl_Hull_Structure[[#This Row],[Fr from]]*FE_size),"")</f>
        <v/>
      </c>
      <c r="AG41" s="134" t="str">
        <f>IF(Tbl_Hull_Structure[[#This Row],[Weight Fact]],IF(Tbl_Hull_Structure[[#This Row],[Fr to]]*FE_size=Tbl_Hull_Structure[[#This Row],[L from]],Tbl_Hull_Structure[[#This Row],[L from]]+FE_size,IF(Tbl_Hull_Structure[[#This Row],[Fr to]]*FE_size&gt;Lpp,Lpp,Tbl_Hull_Structure[[#This Row],[Fr to]]*FE_size)),"")</f>
        <v/>
      </c>
      <c r="AH41" s="144" t="str">
        <f>IFERROR(Tbl_Hull_Structure[[#This Row],[Weight Fact]]/(Tbl_Hull_Structure[[#This Row],[L to]]-Tbl_Hull_Structure[[#This Row],[L from]]),"")</f>
        <v/>
      </c>
      <c r="AI41" s="145" t="str">
        <f>IF(Tbl_Hull_Structure[[#This Row],[Weight Fact]],Tbl_Hull_Structure[[#This Row],[Spread]]*(Tbl_Hull_Structure[[#This Row],[L to]]-Tbl_Hull_Structure[[#This Row],[L from]])-Tbl_Hull_Structure[[#This Row],[Weight Fact]],"")</f>
        <v/>
      </c>
      <c r="AJ41" s="141" t="str">
        <f>IF(AND(ISNUMBER(Tbl_Hull_Structure[[#This Row],[L from]]),ISNUMBER(Tbl_Hull_Structure[[#This Row],[L to]])),IF(AND(Tbl_Hull_Structure[[#This Row],[L from]]&gt;=0,Tbl_Hull_Structure[[#This Row],[L to]]&lt;=Lpp),"OK","KO"),"OK")</f>
        <v>OK</v>
      </c>
    </row>
    <row r="42" spans="2:36" x14ac:dyDescent="0.25">
      <c r="B42" s="94">
        <f t="shared" si="1"/>
        <v>3</v>
      </c>
      <c r="C42" s="215"/>
      <c r="D42" s="217" t="s">
        <v>120</v>
      </c>
      <c r="E42" s="214" t="str">
        <f>IF(NOT(ISBLANK(Tbl_Hull_Structure[[#This Row],[Num]])),TEXT(Tbl_Hull_Structure[[#This Row],[Group]],"00")&amp;"-"&amp;TEXT(Tbl_Hull_Structure[[#This Row],[Num]],"000"),"")</f>
        <v>00-22.a</v>
      </c>
      <c r="F42" s="218" t="s">
        <v>148</v>
      </c>
      <c r="G42" s="219">
        <v>0</v>
      </c>
      <c r="H42" s="220">
        <v>0.15</v>
      </c>
      <c r="I42" s="222">
        <f>Tbl_Hull_Structure[[#This Row],[Qty]]*Tbl_Hull_Structure[[#This Row],[Unitary ]]</f>
        <v>0</v>
      </c>
      <c r="J42" s="221">
        <v>1.02</v>
      </c>
      <c r="K42" s="224">
        <f>Tbl_Hull_Structure[[#This Row],[Contingency ]]*Tbl_Hull_Structure[[#This Row],[Total Op]]</f>
        <v>0</v>
      </c>
      <c r="L42" s="226">
        <v>52.84</v>
      </c>
      <c r="M42" s="228">
        <v>9.41</v>
      </c>
      <c r="N42" s="230">
        <v>4.3</v>
      </c>
      <c r="O42" s="231">
        <v>0.79999999999999716</v>
      </c>
      <c r="P42" s="234" t="s">
        <v>95</v>
      </c>
      <c r="Q42" s="235" t="s">
        <v>33</v>
      </c>
      <c r="R42" s="241"/>
      <c r="S42" s="238" t="str">
        <f>IF(Tbl_Hull_Structure[[#This Row],[Weight Op]],Tbl_Hull_Structure[[#This Row],[Weight Op]]*Tbl_Hull_Structure[[#This Row],[X]],"")</f>
        <v/>
      </c>
      <c r="T42" s="101" t="str">
        <f>IF(Tbl_Hull_Structure[[#This Row],[Weight Op]],Tbl_Hull_Structure[[#This Row],[Weight Op]]*Tbl_Hull_Structure[[#This Row],[Y]],"")</f>
        <v/>
      </c>
      <c r="U42" s="99" t="str">
        <f>IF(Tbl_Hull_Structure[[#This Row],[Weight Op]],Tbl_Hull_Structure[[#This Row],[Weight Op]]*Tbl_Hull_Structure[[#This Row],[Z]],"")</f>
        <v/>
      </c>
      <c r="V42" s="103">
        <f>Tbl_Hull_Structure[[#This Row],[Weight Op]]</f>
        <v>0</v>
      </c>
      <c r="W42" s="105" t="str">
        <f>IF(Tbl_Hull_Structure[[#This Row],[Weight Fact]],Tbl_Hull_Structure[[#This Row],[X]],"")</f>
        <v/>
      </c>
      <c r="X42" s="107" t="str">
        <f>IF(Tbl_Hull_Structure[[#This Row],[Weight Fact]],Tbl_Hull_Structure[[#This Row],[Y]],"")</f>
        <v/>
      </c>
      <c r="Y42" s="109" t="str">
        <f>IF(Tbl_Hull_Structure[[#This Row],[Weight Fact]],Tbl_Hull_Structure[[#This Row],[Z]],"")</f>
        <v/>
      </c>
      <c r="Z42" s="117" t="str">
        <f>IF(Tbl_Hull_Structure[[#This Row],[Weight Fact]],Tbl_Hull_Structure[[#This Row],[X distrib]],"")</f>
        <v/>
      </c>
      <c r="AA42" s="120" t="str">
        <f>IF(Tbl_Hull_Structure[[#This Row],[Weight Fact]],Tbl_Hull_Structure[[#This Row],[COG x ]]-Tbl_Hull_Structure[[#This Row],[Distrib]]/2,"")</f>
        <v/>
      </c>
      <c r="AB42" s="123" t="str">
        <f>IF(Tbl_Hull_Structure[[#This Row],[Weight Fact]],Tbl_Hull_Structure[[#This Row],[COG x ]]+Tbl_Hull_Structure[[#This Row],[Distrib]]/2,"")</f>
        <v/>
      </c>
      <c r="AC42" s="111" t="str">
        <f>IF(Tbl_Hull_Structure[[#This Row],[Weight Fact]],ROUND(Tbl_Hull_Structure[[#This Row],[AP from]]/FE_size,0),"")</f>
        <v/>
      </c>
      <c r="AD42" s="113" t="str">
        <f>IF(Tbl_Hull_Structure[[#This Row],[Weight Fact]],ROUND(Tbl_Hull_Structure[[#This Row],[AP to]]/FE_size,0),"")</f>
        <v/>
      </c>
      <c r="AE42"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42" s="133" t="str">
        <f>IF(Tbl_Hull_Structure[[#This Row],[Weight Fact]],IF(Tbl_Hull_Structure[[#This Row],[Fr from]]*FE_size&lt;0,0,Tbl_Hull_Structure[[#This Row],[Fr from]]*FE_size),"")</f>
        <v/>
      </c>
      <c r="AG42" s="134" t="str">
        <f>IF(Tbl_Hull_Structure[[#This Row],[Weight Fact]],IF(Tbl_Hull_Structure[[#This Row],[Fr to]]*FE_size=Tbl_Hull_Structure[[#This Row],[L from]],Tbl_Hull_Structure[[#This Row],[L from]]+FE_size,IF(Tbl_Hull_Structure[[#This Row],[Fr to]]*FE_size&gt;Lpp,Lpp,Tbl_Hull_Structure[[#This Row],[Fr to]]*FE_size)),"")</f>
        <v/>
      </c>
      <c r="AH42" s="144" t="str">
        <f>IFERROR(Tbl_Hull_Structure[[#This Row],[Weight Fact]]/(Tbl_Hull_Structure[[#This Row],[L to]]-Tbl_Hull_Structure[[#This Row],[L from]]),"")</f>
        <v/>
      </c>
      <c r="AI42" s="145" t="str">
        <f>IF(Tbl_Hull_Structure[[#This Row],[Weight Fact]],Tbl_Hull_Structure[[#This Row],[Spread]]*(Tbl_Hull_Structure[[#This Row],[L to]]-Tbl_Hull_Structure[[#This Row],[L from]])-Tbl_Hull_Structure[[#This Row],[Weight Fact]],"")</f>
        <v/>
      </c>
      <c r="AJ42" s="141" t="str">
        <f>IF(AND(ISNUMBER(Tbl_Hull_Structure[[#This Row],[L from]]),ISNUMBER(Tbl_Hull_Structure[[#This Row],[L to]])),IF(AND(Tbl_Hull_Structure[[#This Row],[L from]]&gt;=0,Tbl_Hull_Structure[[#This Row],[L to]]&lt;=Lpp),"OK","KO"),"OK")</f>
        <v>OK</v>
      </c>
    </row>
    <row r="43" spans="2:36" x14ac:dyDescent="0.25">
      <c r="B43" s="94">
        <f t="shared" si="1"/>
        <v>3</v>
      </c>
      <c r="C43" s="215"/>
      <c r="D43" s="217" t="s">
        <v>121</v>
      </c>
      <c r="E43" s="214" t="str">
        <f>IF(NOT(ISBLANK(Tbl_Hull_Structure[[#This Row],[Num]])),TEXT(Tbl_Hull_Structure[[#This Row],[Group]],"00")&amp;"-"&amp;TEXT(Tbl_Hull_Structure[[#This Row],[Num]],"000"),"")</f>
        <v>00-22.b</v>
      </c>
      <c r="F43" s="218" t="s">
        <v>148</v>
      </c>
      <c r="G43" s="219">
        <v>0</v>
      </c>
      <c r="H43" s="220">
        <v>0.15</v>
      </c>
      <c r="I43" s="222">
        <f>Tbl_Hull_Structure[[#This Row],[Qty]]*Tbl_Hull_Structure[[#This Row],[Unitary ]]</f>
        <v>0</v>
      </c>
      <c r="J43" s="221">
        <v>1.02</v>
      </c>
      <c r="K43" s="224">
        <f>Tbl_Hull_Structure[[#This Row],[Contingency ]]*Tbl_Hull_Structure[[#This Row],[Total Op]]</f>
        <v>0</v>
      </c>
      <c r="L43" s="226">
        <v>52.24</v>
      </c>
      <c r="M43" s="228">
        <v>8.57</v>
      </c>
      <c r="N43" s="230">
        <v>4.3</v>
      </c>
      <c r="O43" s="231">
        <v>0.80000000000000426</v>
      </c>
      <c r="P43" s="234" t="s">
        <v>95</v>
      </c>
      <c r="Q43" s="235" t="s">
        <v>33</v>
      </c>
      <c r="R43" s="241"/>
      <c r="S43" s="238" t="str">
        <f>IF(Tbl_Hull_Structure[[#This Row],[Weight Op]],Tbl_Hull_Structure[[#This Row],[Weight Op]]*Tbl_Hull_Structure[[#This Row],[X]],"")</f>
        <v/>
      </c>
      <c r="T43" s="101" t="str">
        <f>IF(Tbl_Hull_Structure[[#This Row],[Weight Op]],Tbl_Hull_Structure[[#This Row],[Weight Op]]*Tbl_Hull_Structure[[#This Row],[Y]],"")</f>
        <v/>
      </c>
      <c r="U43" s="99" t="str">
        <f>IF(Tbl_Hull_Structure[[#This Row],[Weight Op]],Tbl_Hull_Structure[[#This Row],[Weight Op]]*Tbl_Hull_Structure[[#This Row],[Z]],"")</f>
        <v/>
      </c>
      <c r="V43" s="103">
        <f>Tbl_Hull_Structure[[#This Row],[Weight Op]]</f>
        <v>0</v>
      </c>
      <c r="W43" s="105" t="str">
        <f>IF(Tbl_Hull_Structure[[#This Row],[Weight Fact]],Tbl_Hull_Structure[[#This Row],[X]],"")</f>
        <v/>
      </c>
      <c r="X43" s="107" t="str">
        <f>IF(Tbl_Hull_Structure[[#This Row],[Weight Fact]],Tbl_Hull_Structure[[#This Row],[Y]],"")</f>
        <v/>
      </c>
      <c r="Y43" s="109" t="str">
        <f>IF(Tbl_Hull_Structure[[#This Row],[Weight Fact]],Tbl_Hull_Structure[[#This Row],[Z]],"")</f>
        <v/>
      </c>
      <c r="Z43" s="117" t="str">
        <f>IF(Tbl_Hull_Structure[[#This Row],[Weight Fact]],Tbl_Hull_Structure[[#This Row],[X distrib]],"")</f>
        <v/>
      </c>
      <c r="AA43" s="120" t="str">
        <f>IF(Tbl_Hull_Structure[[#This Row],[Weight Fact]],Tbl_Hull_Structure[[#This Row],[COG x ]]-Tbl_Hull_Structure[[#This Row],[Distrib]]/2,"")</f>
        <v/>
      </c>
      <c r="AB43" s="123" t="str">
        <f>IF(Tbl_Hull_Structure[[#This Row],[Weight Fact]],Tbl_Hull_Structure[[#This Row],[COG x ]]+Tbl_Hull_Structure[[#This Row],[Distrib]]/2,"")</f>
        <v/>
      </c>
      <c r="AC43" s="111" t="str">
        <f>IF(Tbl_Hull_Structure[[#This Row],[Weight Fact]],ROUND(Tbl_Hull_Structure[[#This Row],[AP from]]/FE_size,0),"")</f>
        <v/>
      </c>
      <c r="AD43" s="113" t="str">
        <f>IF(Tbl_Hull_Structure[[#This Row],[Weight Fact]],ROUND(Tbl_Hull_Structure[[#This Row],[AP to]]/FE_size,0),"")</f>
        <v/>
      </c>
      <c r="AE43"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43" s="133" t="str">
        <f>IF(Tbl_Hull_Structure[[#This Row],[Weight Fact]],IF(Tbl_Hull_Structure[[#This Row],[Fr from]]*FE_size&lt;0,0,Tbl_Hull_Structure[[#This Row],[Fr from]]*FE_size),"")</f>
        <v/>
      </c>
      <c r="AG43" s="134" t="str">
        <f>IF(Tbl_Hull_Structure[[#This Row],[Weight Fact]],IF(Tbl_Hull_Structure[[#This Row],[Fr to]]*FE_size=Tbl_Hull_Structure[[#This Row],[L from]],Tbl_Hull_Structure[[#This Row],[L from]]+FE_size,IF(Tbl_Hull_Structure[[#This Row],[Fr to]]*FE_size&gt;Lpp,Lpp,Tbl_Hull_Structure[[#This Row],[Fr to]]*FE_size)),"")</f>
        <v/>
      </c>
      <c r="AH43" s="144" t="str">
        <f>IFERROR(Tbl_Hull_Structure[[#This Row],[Weight Fact]]/(Tbl_Hull_Structure[[#This Row],[L to]]-Tbl_Hull_Structure[[#This Row],[L from]]),"")</f>
        <v/>
      </c>
      <c r="AI43" s="145" t="str">
        <f>IF(Tbl_Hull_Structure[[#This Row],[Weight Fact]],Tbl_Hull_Structure[[#This Row],[Spread]]*(Tbl_Hull_Structure[[#This Row],[L to]]-Tbl_Hull_Structure[[#This Row],[L from]])-Tbl_Hull_Structure[[#This Row],[Weight Fact]],"")</f>
        <v/>
      </c>
      <c r="AJ43" s="141" t="str">
        <f>IF(AND(ISNUMBER(Tbl_Hull_Structure[[#This Row],[L from]]),ISNUMBER(Tbl_Hull_Structure[[#This Row],[L to]])),IF(AND(Tbl_Hull_Structure[[#This Row],[L from]]&gt;=0,Tbl_Hull_Structure[[#This Row],[L to]]&lt;=Lpp),"OK","KO"),"OK")</f>
        <v>OK</v>
      </c>
    </row>
    <row r="44" spans="2:36" x14ac:dyDescent="0.25">
      <c r="B44" s="94">
        <f t="shared" si="1"/>
        <v>3</v>
      </c>
      <c r="C44" s="215"/>
      <c r="D44" s="217" t="s">
        <v>122</v>
      </c>
      <c r="E44" s="214" t="str">
        <f>IF(NOT(ISBLANK(Tbl_Hull_Structure[[#This Row],[Num]])),TEXT(Tbl_Hull_Structure[[#This Row],[Group]],"00")&amp;"-"&amp;TEXT(Tbl_Hull_Structure[[#This Row],[Num]],"000"),"")</f>
        <v>00-22.c</v>
      </c>
      <c r="F44" s="218" t="s">
        <v>148</v>
      </c>
      <c r="G44" s="219">
        <v>0</v>
      </c>
      <c r="H44" s="220">
        <v>0.15</v>
      </c>
      <c r="I44" s="222">
        <f>Tbl_Hull_Structure[[#This Row],[Qty]]*Tbl_Hull_Structure[[#This Row],[Unitary ]]</f>
        <v>0</v>
      </c>
      <c r="J44" s="221">
        <v>1.02</v>
      </c>
      <c r="K44" s="224">
        <f>Tbl_Hull_Structure[[#This Row],[Contingency ]]*Tbl_Hull_Structure[[#This Row],[Total Op]]</f>
        <v>0</v>
      </c>
      <c r="L44" s="226">
        <v>52.25</v>
      </c>
      <c r="M44" s="228">
        <v>-8.64</v>
      </c>
      <c r="N44" s="230">
        <v>4.3</v>
      </c>
      <c r="O44" s="231">
        <v>0.80000000000000426</v>
      </c>
      <c r="P44" s="234" t="s">
        <v>95</v>
      </c>
      <c r="Q44" s="235" t="s">
        <v>33</v>
      </c>
      <c r="R44" s="241"/>
      <c r="S44" s="238" t="str">
        <f>IF(Tbl_Hull_Structure[[#This Row],[Weight Op]],Tbl_Hull_Structure[[#This Row],[Weight Op]]*Tbl_Hull_Structure[[#This Row],[X]],"")</f>
        <v/>
      </c>
      <c r="T44" s="101" t="str">
        <f>IF(Tbl_Hull_Structure[[#This Row],[Weight Op]],Tbl_Hull_Structure[[#This Row],[Weight Op]]*Tbl_Hull_Structure[[#This Row],[Y]],"")</f>
        <v/>
      </c>
      <c r="U44" s="99" t="str">
        <f>IF(Tbl_Hull_Structure[[#This Row],[Weight Op]],Tbl_Hull_Structure[[#This Row],[Weight Op]]*Tbl_Hull_Structure[[#This Row],[Z]],"")</f>
        <v/>
      </c>
      <c r="V44" s="103">
        <f>Tbl_Hull_Structure[[#This Row],[Weight Op]]</f>
        <v>0</v>
      </c>
      <c r="W44" s="105" t="str">
        <f>IF(Tbl_Hull_Structure[[#This Row],[Weight Fact]],Tbl_Hull_Structure[[#This Row],[X]],"")</f>
        <v/>
      </c>
      <c r="X44" s="107" t="str">
        <f>IF(Tbl_Hull_Structure[[#This Row],[Weight Fact]],Tbl_Hull_Structure[[#This Row],[Y]],"")</f>
        <v/>
      </c>
      <c r="Y44" s="109" t="str">
        <f>IF(Tbl_Hull_Structure[[#This Row],[Weight Fact]],Tbl_Hull_Structure[[#This Row],[Z]],"")</f>
        <v/>
      </c>
      <c r="Z44" s="117" t="str">
        <f>IF(Tbl_Hull_Structure[[#This Row],[Weight Fact]],Tbl_Hull_Structure[[#This Row],[X distrib]],"")</f>
        <v/>
      </c>
      <c r="AA44" s="120" t="str">
        <f>IF(Tbl_Hull_Structure[[#This Row],[Weight Fact]],Tbl_Hull_Structure[[#This Row],[COG x ]]-Tbl_Hull_Structure[[#This Row],[Distrib]]/2,"")</f>
        <v/>
      </c>
      <c r="AB44" s="123" t="str">
        <f>IF(Tbl_Hull_Structure[[#This Row],[Weight Fact]],Tbl_Hull_Structure[[#This Row],[COG x ]]+Tbl_Hull_Structure[[#This Row],[Distrib]]/2,"")</f>
        <v/>
      </c>
      <c r="AC44" s="111" t="str">
        <f>IF(Tbl_Hull_Structure[[#This Row],[Weight Fact]],ROUND(Tbl_Hull_Structure[[#This Row],[AP from]]/FE_size,0),"")</f>
        <v/>
      </c>
      <c r="AD44" s="113" t="str">
        <f>IF(Tbl_Hull_Structure[[#This Row],[Weight Fact]],ROUND(Tbl_Hull_Structure[[#This Row],[AP to]]/FE_size,0),"")</f>
        <v/>
      </c>
      <c r="AE44"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44" s="133" t="str">
        <f>IF(Tbl_Hull_Structure[[#This Row],[Weight Fact]],IF(Tbl_Hull_Structure[[#This Row],[Fr from]]*FE_size&lt;0,0,Tbl_Hull_Structure[[#This Row],[Fr from]]*FE_size),"")</f>
        <v/>
      </c>
      <c r="AG44" s="134" t="str">
        <f>IF(Tbl_Hull_Structure[[#This Row],[Weight Fact]],IF(Tbl_Hull_Structure[[#This Row],[Fr to]]*FE_size=Tbl_Hull_Structure[[#This Row],[L from]],Tbl_Hull_Structure[[#This Row],[L from]]+FE_size,IF(Tbl_Hull_Structure[[#This Row],[Fr to]]*FE_size&gt;Lpp,Lpp,Tbl_Hull_Structure[[#This Row],[Fr to]]*FE_size)),"")</f>
        <v/>
      </c>
      <c r="AH44" s="144" t="str">
        <f>IFERROR(Tbl_Hull_Structure[[#This Row],[Weight Fact]]/(Tbl_Hull_Structure[[#This Row],[L to]]-Tbl_Hull_Structure[[#This Row],[L from]]),"")</f>
        <v/>
      </c>
      <c r="AI44" s="145" t="str">
        <f>IF(Tbl_Hull_Structure[[#This Row],[Weight Fact]],Tbl_Hull_Structure[[#This Row],[Spread]]*(Tbl_Hull_Structure[[#This Row],[L to]]-Tbl_Hull_Structure[[#This Row],[L from]])-Tbl_Hull_Structure[[#This Row],[Weight Fact]],"")</f>
        <v/>
      </c>
      <c r="AJ44" s="141" t="str">
        <f>IF(AND(ISNUMBER(Tbl_Hull_Structure[[#This Row],[L from]]),ISNUMBER(Tbl_Hull_Structure[[#This Row],[L to]])),IF(AND(Tbl_Hull_Structure[[#This Row],[L from]]&gt;=0,Tbl_Hull_Structure[[#This Row],[L to]]&lt;=Lpp),"OK","KO"),"OK")</f>
        <v>OK</v>
      </c>
    </row>
    <row r="45" spans="2:36" x14ac:dyDescent="0.25">
      <c r="B45" s="94">
        <f t="shared" si="1"/>
        <v>3</v>
      </c>
      <c r="C45" s="215"/>
      <c r="D45" s="217" t="s">
        <v>124</v>
      </c>
      <c r="E45" s="214" t="str">
        <f>IF(NOT(ISBLANK(Tbl_Hull_Structure[[#This Row],[Num]])),TEXT(Tbl_Hull_Structure[[#This Row],[Group]],"00")&amp;"-"&amp;TEXT(Tbl_Hull_Structure[[#This Row],[Num]],"000"),"")</f>
        <v>00-22.d</v>
      </c>
      <c r="F45" s="218" t="s">
        <v>148</v>
      </c>
      <c r="G45" s="219">
        <v>0</v>
      </c>
      <c r="H45" s="220">
        <v>0.15</v>
      </c>
      <c r="I45" s="222">
        <f>Tbl_Hull_Structure[[#This Row],[Qty]]*Tbl_Hull_Structure[[#This Row],[Unitary ]]</f>
        <v>0</v>
      </c>
      <c r="J45" s="221">
        <v>1.02</v>
      </c>
      <c r="K45" s="224">
        <f>Tbl_Hull_Structure[[#This Row],[Contingency ]]*Tbl_Hull_Structure[[#This Row],[Total Op]]</f>
        <v>0</v>
      </c>
      <c r="L45" s="226">
        <v>52.85</v>
      </c>
      <c r="M45" s="228">
        <v>-10</v>
      </c>
      <c r="N45" s="230">
        <v>4.3</v>
      </c>
      <c r="O45" s="231">
        <v>0.70000000000000284</v>
      </c>
      <c r="P45" s="234" t="s">
        <v>95</v>
      </c>
      <c r="Q45" s="235" t="s">
        <v>33</v>
      </c>
      <c r="R45" s="241"/>
      <c r="S45" s="238" t="str">
        <f>IF(Tbl_Hull_Structure[[#This Row],[Weight Op]],Tbl_Hull_Structure[[#This Row],[Weight Op]]*Tbl_Hull_Structure[[#This Row],[X]],"")</f>
        <v/>
      </c>
      <c r="T45" s="101" t="str">
        <f>IF(Tbl_Hull_Structure[[#This Row],[Weight Op]],Tbl_Hull_Structure[[#This Row],[Weight Op]]*Tbl_Hull_Structure[[#This Row],[Y]],"")</f>
        <v/>
      </c>
      <c r="U45" s="99" t="str">
        <f>IF(Tbl_Hull_Structure[[#This Row],[Weight Op]],Tbl_Hull_Structure[[#This Row],[Weight Op]]*Tbl_Hull_Structure[[#This Row],[Z]],"")</f>
        <v/>
      </c>
      <c r="V45" s="103">
        <f>Tbl_Hull_Structure[[#This Row],[Weight Op]]</f>
        <v>0</v>
      </c>
      <c r="W45" s="105" t="str">
        <f>IF(Tbl_Hull_Structure[[#This Row],[Weight Fact]],Tbl_Hull_Structure[[#This Row],[X]],"")</f>
        <v/>
      </c>
      <c r="X45" s="107" t="str">
        <f>IF(Tbl_Hull_Structure[[#This Row],[Weight Fact]],Tbl_Hull_Structure[[#This Row],[Y]],"")</f>
        <v/>
      </c>
      <c r="Y45" s="109" t="str">
        <f>IF(Tbl_Hull_Structure[[#This Row],[Weight Fact]],Tbl_Hull_Structure[[#This Row],[Z]],"")</f>
        <v/>
      </c>
      <c r="Z45" s="117" t="str">
        <f>IF(Tbl_Hull_Structure[[#This Row],[Weight Fact]],Tbl_Hull_Structure[[#This Row],[X distrib]],"")</f>
        <v/>
      </c>
      <c r="AA45" s="120" t="str">
        <f>IF(Tbl_Hull_Structure[[#This Row],[Weight Fact]],Tbl_Hull_Structure[[#This Row],[COG x ]]-Tbl_Hull_Structure[[#This Row],[Distrib]]/2,"")</f>
        <v/>
      </c>
      <c r="AB45" s="123" t="str">
        <f>IF(Tbl_Hull_Structure[[#This Row],[Weight Fact]],Tbl_Hull_Structure[[#This Row],[COG x ]]+Tbl_Hull_Structure[[#This Row],[Distrib]]/2,"")</f>
        <v/>
      </c>
      <c r="AC45" s="111" t="str">
        <f>IF(Tbl_Hull_Structure[[#This Row],[Weight Fact]],ROUND(Tbl_Hull_Structure[[#This Row],[AP from]]/FE_size,0),"")</f>
        <v/>
      </c>
      <c r="AD45" s="113" t="str">
        <f>IF(Tbl_Hull_Structure[[#This Row],[Weight Fact]],ROUND(Tbl_Hull_Structure[[#This Row],[AP to]]/FE_size,0),"")</f>
        <v/>
      </c>
      <c r="AE45"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45" s="133" t="str">
        <f>IF(Tbl_Hull_Structure[[#This Row],[Weight Fact]],IF(Tbl_Hull_Structure[[#This Row],[Fr from]]*FE_size&lt;0,0,Tbl_Hull_Structure[[#This Row],[Fr from]]*FE_size),"")</f>
        <v/>
      </c>
      <c r="AG45" s="134" t="str">
        <f>IF(Tbl_Hull_Structure[[#This Row],[Weight Fact]],IF(Tbl_Hull_Structure[[#This Row],[Fr to]]*FE_size=Tbl_Hull_Structure[[#This Row],[L from]],Tbl_Hull_Structure[[#This Row],[L from]]+FE_size,IF(Tbl_Hull_Structure[[#This Row],[Fr to]]*FE_size&gt;Lpp,Lpp,Tbl_Hull_Structure[[#This Row],[Fr to]]*FE_size)),"")</f>
        <v/>
      </c>
      <c r="AH45" s="144" t="str">
        <f>IFERROR(Tbl_Hull_Structure[[#This Row],[Weight Fact]]/(Tbl_Hull_Structure[[#This Row],[L to]]-Tbl_Hull_Structure[[#This Row],[L from]]),"")</f>
        <v/>
      </c>
      <c r="AI45" s="145" t="str">
        <f>IF(Tbl_Hull_Structure[[#This Row],[Weight Fact]],Tbl_Hull_Structure[[#This Row],[Spread]]*(Tbl_Hull_Structure[[#This Row],[L to]]-Tbl_Hull_Structure[[#This Row],[L from]])-Tbl_Hull_Structure[[#This Row],[Weight Fact]],"")</f>
        <v/>
      </c>
      <c r="AJ45" s="141" t="str">
        <f>IF(AND(ISNUMBER(Tbl_Hull_Structure[[#This Row],[L from]]),ISNUMBER(Tbl_Hull_Structure[[#This Row],[L to]])),IF(AND(Tbl_Hull_Structure[[#This Row],[L from]]&gt;=0,Tbl_Hull_Structure[[#This Row],[L to]]&lt;=Lpp),"OK","KO"),"OK")</f>
        <v>OK</v>
      </c>
    </row>
    <row r="46" spans="2:36" x14ac:dyDescent="0.25">
      <c r="B46" s="94">
        <f t="shared" si="1"/>
        <v>3</v>
      </c>
      <c r="C46" s="215"/>
      <c r="D46" s="217" t="s">
        <v>123</v>
      </c>
      <c r="E46" s="214" t="str">
        <f>IF(NOT(ISBLANK(Tbl_Hull_Structure[[#This Row],[Num]])),TEXT(Tbl_Hull_Structure[[#This Row],[Group]],"00")&amp;"-"&amp;TEXT(Tbl_Hull_Structure[[#This Row],[Num]],"000"),"")</f>
        <v>00-22.e</v>
      </c>
      <c r="F46" s="218" t="s">
        <v>148</v>
      </c>
      <c r="G46" s="219">
        <v>0</v>
      </c>
      <c r="H46" s="220">
        <v>0.15</v>
      </c>
      <c r="I46" s="222">
        <f>Tbl_Hull_Structure[[#This Row],[Qty]]*Tbl_Hull_Structure[[#This Row],[Unitary ]]</f>
        <v>0</v>
      </c>
      <c r="J46" s="221">
        <v>1.02</v>
      </c>
      <c r="K46" s="224">
        <f>Tbl_Hull_Structure[[#This Row],[Contingency ]]*Tbl_Hull_Structure[[#This Row],[Total Op]]</f>
        <v>0</v>
      </c>
      <c r="L46" s="226">
        <v>38.450000000000003</v>
      </c>
      <c r="M46" s="228">
        <v>-9.23</v>
      </c>
      <c r="N46" s="230">
        <v>4.3</v>
      </c>
      <c r="O46" s="231">
        <v>0.79999999999999716</v>
      </c>
      <c r="P46" s="234" t="s">
        <v>95</v>
      </c>
      <c r="Q46" s="235" t="s">
        <v>33</v>
      </c>
      <c r="R46" s="241"/>
      <c r="S46" s="238" t="str">
        <f>IF(Tbl_Hull_Structure[[#This Row],[Weight Op]],Tbl_Hull_Structure[[#This Row],[Weight Op]]*Tbl_Hull_Structure[[#This Row],[X]],"")</f>
        <v/>
      </c>
      <c r="T46" s="101" t="str">
        <f>IF(Tbl_Hull_Structure[[#This Row],[Weight Op]],Tbl_Hull_Structure[[#This Row],[Weight Op]]*Tbl_Hull_Structure[[#This Row],[Y]],"")</f>
        <v/>
      </c>
      <c r="U46" s="99" t="str">
        <f>IF(Tbl_Hull_Structure[[#This Row],[Weight Op]],Tbl_Hull_Structure[[#This Row],[Weight Op]]*Tbl_Hull_Structure[[#This Row],[Z]],"")</f>
        <v/>
      </c>
      <c r="V46" s="103">
        <f>Tbl_Hull_Structure[[#This Row],[Weight Op]]</f>
        <v>0</v>
      </c>
      <c r="W46" s="105" t="str">
        <f>IF(Tbl_Hull_Structure[[#This Row],[Weight Fact]],Tbl_Hull_Structure[[#This Row],[X]],"")</f>
        <v/>
      </c>
      <c r="X46" s="107" t="str">
        <f>IF(Tbl_Hull_Structure[[#This Row],[Weight Fact]],Tbl_Hull_Structure[[#This Row],[Y]],"")</f>
        <v/>
      </c>
      <c r="Y46" s="109" t="str">
        <f>IF(Tbl_Hull_Structure[[#This Row],[Weight Fact]],Tbl_Hull_Structure[[#This Row],[Z]],"")</f>
        <v/>
      </c>
      <c r="Z46" s="117" t="str">
        <f>IF(Tbl_Hull_Structure[[#This Row],[Weight Fact]],Tbl_Hull_Structure[[#This Row],[X distrib]],"")</f>
        <v/>
      </c>
      <c r="AA46" s="120" t="str">
        <f>IF(Tbl_Hull_Structure[[#This Row],[Weight Fact]],Tbl_Hull_Structure[[#This Row],[COG x ]]-Tbl_Hull_Structure[[#This Row],[Distrib]]/2,"")</f>
        <v/>
      </c>
      <c r="AB46" s="123" t="str">
        <f>IF(Tbl_Hull_Structure[[#This Row],[Weight Fact]],Tbl_Hull_Structure[[#This Row],[COG x ]]+Tbl_Hull_Structure[[#This Row],[Distrib]]/2,"")</f>
        <v/>
      </c>
      <c r="AC46" s="111" t="str">
        <f>IF(Tbl_Hull_Structure[[#This Row],[Weight Fact]],ROUND(Tbl_Hull_Structure[[#This Row],[AP from]]/FE_size,0),"")</f>
        <v/>
      </c>
      <c r="AD46" s="113" t="str">
        <f>IF(Tbl_Hull_Structure[[#This Row],[Weight Fact]],ROUND(Tbl_Hull_Structure[[#This Row],[AP to]]/FE_size,0),"")</f>
        <v/>
      </c>
      <c r="AE46"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46" s="133" t="str">
        <f>IF(Tbl_Hull_Structure[[#This Row],[Weight Fact]],IF(Tbl_Hull_Structure[[#This Row],[Fr from]]*FE_size&lt;0,0,Tbl_Hull_Structure[[#This Row],[Fr from]]*FE_size),"")</f>
        <v/>
      </c>
      <c r="AG46" s="134" t="str">
        <f>IF(Tbl_Hull_Structure[[#This Row],[Weight Fact]],IF(Tbl_Hull_Structure[[#This Row],[Fr to]]*FE_size=Tbl_Hull_Structure[[#This Row],[L from]],Tbl_Hull_Structure[[#This Row],[L from]]+FE_size,IF(Tbl_Hull_Structure[[#This Row],[Fr to]]*FE_size&gt;Lpp,Lpp,Tbl_Hull_Structure[[#This Row],[Fr to]]*FE_size)),"")</f>
        <v/>
      </c>
      <c r="AH46" s="144" t="str">
        <f>IFERROR(Tbl_Hull_Structure[[#This Row],[Weight Fact]]/(Tbl_Hull_Structure[[#This Row],[L to]]-Tbl_Hull_Structure[[#This Row],[L from]]),"")</f>
        <v/>
      </c>
      <c r="AI46" s="145" t="str">
        <f>IF(Tbl_Hull_Structure[[#This Row],[Weight Fact]],Tbl_Hull_Structure[[#This Row],[Spread]]*(Tbl_Hull_Structure[[#This Row],[L to]]-Tbl_Hull_Structure[[#This Row],[L from]])-Tbl_Hull_Structure[[#This Row],[Weight Fact]],"")</f>
        <v/>
      </c>
      <c r="AJ46" s="141" t="str">
        <f>IF(AND(ISNUMBER(Tbl_Hull_Structure[[#This Row],[L from]]),ISNUMBER(Tbl_Hull_Structure[[#This Row],[L to]])),IF(AND(Tbl_Hull_Structure[[#This Row],[L from]]&gt;=0,Tbl_Hull_Structure[[#This Row],[L to]]&lt;=Lpp),"OK","KO"),"OK")</f>
        <v>OK</v>
      </c>
    </row>
    <row r="47" spans="2:36" x14ac:dyDescent="0.25">
      <c r="B47" s="94">
        <f t="shared" si="1"/>
        <v>3</v>
      </c>
      <c r="C47" s="215"/>
      <c r="D47" s="217" t="s">
        <v>125</v>
      </c>
      <c r="E47" s="214" t="str">
        <f>IF(NOT(ISBLANK(Tbl_Hull_Structure[[#This Row],[Num]])),TEXT(Tbl_Hull_Structure[[#This Row],[Group]],"00")&amp;"-"&amp;TEXT(Tbl_Hull_Structure[[#This Row],[Num]],"000"),"")</f>
        <v>00-22.f</v>
      </c>
      <c r="F47" s="218" t="s">
        <v>148</v>
      </c>
      <c r="G47" s="219">
        <v>0</v>
      </c>
      <c r="H47" s="220">
        <v>0.15</v>
      </c>
      <c r="I47" s="222">
        <f>Tbl_Hull_Structure[[#This Row],[Qty]]*Tbl_Hull_Structure[[#This Row],[Unitary ]]</f>
        <v>0</v>
      </c>
      <c r="J47" s="221">
        <v>1.02</v>
      </c>
      <c r="K47" s="224">
        <f>Tbl_Hull_Structure[[#This Row],[Contingency ]]*Tbl_Hull_Structure[[#This Row],[Total Op]]</f>
        <v>0</v>
      </c>
      <c r="L47" s="226">
        <v>27</v>
      </c>
      <c r="M47" s="228">
        <v>-10.15</v>
      </c>
      <c r="N47" s="230">
        <v>4.3</v>
      </c>
      <c r="O47" s="231">
        <v>0.80000000000000071</v>
      </c>
      <c r="P47" s="234" t="s">
        <v>95</v>
      </c>
      <c r="Q47" s="235" t="s">
        <v>33</v>
      </c>
      <c r="R47" s="241"/>
      <c r="S47" s="238" t="str">
        <f>IF(Tbl_Hull_Structure[[#This Row],[Weight Op]],Tbl_Hull_Structure[[#This Row],[Weight Op]]*Tbl_Hull_Structure[[#This Row],[X]],"")</f>
        <v/>
      </c>
      <c r="T47" s="101" t="str">
        <f>IF(Tbl_Hull_Structure[[#This Row],[Weight Op]],Tbl_Hull_Structure[[#This Row],[Weight Op]]*Tbl_Hull_Structure[[#This Row],[Y]],"")</f>
        <v/>
      </c>
      <c r="U47" s="99" t="str">
        <f>IF(Tbl_Hull_Structure[[#This Row],[Weight Op]],Tbl_Hull_Structure[[#This Row],[Weight Op]]*Tbl_Hull_Structure[[#This Row],[Z]],"")</f>
        <v/>
      </c>
      <c r="V47" s="103">
        <f>Tbl_Hull_Structure[[#This Row],[Weight Op]]</f>
        <v>0</v>
      </c>
      <c r="W47" s="105" t="str">
        <f>IF(Tbl_Hull_Structure[[#This Row],[Weight Fact]],Tbl_Hull_Structure[[#This Row],[X]],"")</f>
        <v/>
      </c>
      <c r="X47" s="107" t="str">
        <f>IF(Tbl_Hull_Structure[[#This Row],[Weight Fact]],Tbl_Hull_Structure[[#This Row],[Y]],"")</f>
        <v/>
      </c>
      <c r="Y47" s="109" t="str">
        <f>IF(Tbl_Hull_Structure[[#This Row],[Weight Fact]],Tbl_Hull_Structure[[#This Row],[Z]],"")</f>
        <v/>
      </c>
      <c r="Z47" s="117" t="str">
        <f>IF(Tbl_Hull_Structure[[#This Row],[Weight Fact]],Tbl_Hull_Structure[[#This Row],[X distrib]],"")</f>
        <v/>
      </c>
      <c r="AA47" s="120" t="str">
        <f>IF(Tbl_Hull_Structure[[#This Row],[Weight Fact]],Tbl_Hull_Structure[[#This Row],[COG x ]]-Tbl_Hull_Structure[[#This Row],[Distrib]]/2,"")</f>
        <v/>
      </c>
      <c r="AB47" s="123" t="str">
        <f>IF(Tbl_Hull_Structure[[#This Row],[Weight Fact]],Tbl_Hull_Structure[[#This Row],[COG x ]]+Tbl_Hull_Structure[[#This Row],[Distrib]]/2,"")</f>
        <v/>
      </c>
      <c r="AC47" s="111" t="str">
        <f>IF(Tbl_Hull_Structure[[#This Row],[Weight Fact]],ROUND(Tbl_Hull_Structure[[#This Row],[AP from]]/FE_size,0),"")</f>
        <v/>
      </c>
      <c r="AD47" s="113" t="str">
        <f>IF(Tbl_Hull_Structure[[#This Row],[Weight Fact]],ROUND(Tbl_Hull_Structure[[#This Row],[AP to]]/FE_size,0),"")</f>
        <v/>
      </c>
      <c r="AE47"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47" s="133" t="str">
        <f>IF(Tbl_Hull_Structure[[#This Row],[Weight Fact]],IF(Tbl_Hull_Structure[[#This Row],[Fr from]]*FE_size&lt;0,0,Tbl_Hull_Structure[[#This Row],[Fr from]]*FE_size),"")</f>
        <v/>
      </c>
      <c r="AG47" s="134" t="str">
        <f>IF(Tbl_Hull_Structure[[#This Row],[Weight Fact]],IF(Tbl_Hull_Structure[[#This Row],[Fr to]]*FE_size=Tbl_Hull_Structure[[#This Row],[L from]],Tbl_Hull_Structure[[#This Row],[L from]]+FE_size,IF(Tbl_Hull_Structure[[#This Row],[Fr to]]*FE_size&gt;Lpp,Lpp,Tbl_Hull_Structure[[#This Row],[Fr to]]*FE_size)),"")</f>
        <v/>
      </c>
      <c r="AH47" s="144" t="str">
        <f>IFERROR(Tbl_Hull_Structure[[#This Row],[Weight Fact]]/(Tbl_Hull_Structure[[#This Row],[L to]]-Tbl_Hull_Structure[[#This Row],[L from]]),"")</f>
        <v/>
      </c>
      <c r="AI47" s="145" t="str">
        <f>IF(Tbl_Hull_Structure[[#This Row],[Weight Fact]],Tbl_Hull_Structure[[#This Row],[Spread]]*(Tbl_Hull_Structure[[#This Row],[L to]]-Tbl_Hull_Structure[[#This Row],[L from]])-Tbl_Hull_Structure[[#This Row],[Weight Fact]],"")</f>
        <v/>
      </c>
      <c r="AJ47" s="141" t="str">
        <f>IF(AND(ISNUMBER(Tbl_Hull_Structure[[#This Row],[L from]]),ISNUMBER(Tbl_Hull_Structure[[#This Row],[L to]])),IF(AND(Tbl_Hull_Structure[[#This Row],[L from]]&gt;=0,Tbl_Hull_Structure[[#This Row],[L to]]&lt;=Lpp),"OK","KO"),"OK")</f>
        <v>OK</v>
      </c>
    </row>
    <row r="48" spans="2:36" x14ac:dyDescent="0.25">
      <c r="B48" s="94">
        <f t="shared" si="1"/>
        <v>3</v>
      </c>
      <c r="C48" s="215"/>
      <c r="D48" s="217" t="s">
        <v>126</v>
      </c>
      <c r="E48" s="214" t="str">
        <f>IF(NOT(ISBLANK(Tbl_Hull_Structure[[#This Row],[Num]])),TEXT(Tbl_Hull_Structure[[#This Row],[Group]],"00")&amp;"-"&amp;TEXT(Tbl_Hull_Structure[[#This Row],[Num]],"000"),"")</f>
        <v>00-22.g</v>
      </c>
      <c r="F48" s="218" t="s">
        <v>148</v>
      </c>
      <c r="G48" s="219">
        <v>0</v>
      </c>
      <c r="H48" s="220">
        <v>0.15</v>
      </c>
      <c r="I48" s="222">
        <f>Tbl_Hull_Structure[[#This Row],[Qty]]*Tbl_Hull_Structure[[#This Row],[Unitary ]]</f>
        <v>0</v>
      </c>
      <c r="J48" s="221">
        <v>1.02</v>
      </c>
      <c r="K48" s="224">
        <f>Tbl_Hull_Structure[[#This Row],[Contingency ]]*Tbl_Hull_Structure[[#This Row],[Total Op]]</f>
        <v>0</v>
      </c>
      <c r="L48" s="226">
        <v>19.52</v>
      </c>
      <c r="M48" s="228">
        <v>-10.050000000000001</v>
      </c>
      <c r="N48" s="230">
        <v>4.3</v>
      </c>
      <c r="O48" s="231">
        <v>0.80000000000000071</v>
      </c>
      <c r="P48" s="234" t="s">
        <v>95</v>
      </c>
      <c r="Q48" s="235" t="s">
        <v>33</v>
      </c>
      <c r="R48" s="241"/>
      <c r="S48" s="238" t="str">
        <f>IF(Tbl_Hull_Structure[[#This Row],[Weight Op]],Tbl_Hull_Structure[[#This Row],[Weight Op]]*Tbl_Hull_Structure[[#This Row],[X]],"")</f>
        <v/>
      </c>
      <c r="T48" s="101" t="str">
        <f>IF(Tbl_Hull_Structure[[#This Row],[Weight Op]],Tbl_Hull_Structure[[#This Row],[Weight Op]]*Tbl_Hull_Structure[[#This Row],[Y]],"")</f>
        <v/>
      </c>
      <c r="U48" s="99" t="str">
        <f>IF(Tbl_Hull_Structure[[#This Row],[Weight Op]],Tbl_Hull_Structure[[#This Row],[Weight Op]]*Tbl_Hull_Structure[[#This Row],[Z]],"")</f>
        <v/>
      </c>
      <c r="V48" s="103">
        <f>Tbl_Hull_Structure[[#This Row],[Weight Op]]</f>
        <v>0</v>
      </c>
      <c r="W48" s="105" t="str">
        <f>IF(Tbl_Hull_Structure[[#This Row],[Weight Fact]],Tbl_Hull_Structure[[#This Row],[X]],"")</f>
        <v/>
      </c>
      <c r="X48" s="107" t="str">
        <f>IF(Tbl_Hull_Structure[[#This Row],[Weight Fact]],Tbl_Hull_Structure[[#This Row],[Y]],"")</f>
        <v/>
      </c>
      <c r="Y48" s="109" t="str">
        <f>IF(Tbl_Hull_Structure[[#This Row],[Weight Fact]],Tbl_Hull_Structure[[#This Row],[Z]],"")</f>
        <v/>
      </c>
      <c r="Z48" s="117" t="str">
        <f>IF(Tbl_Hull_Structure[[#This Row],[Weight Fact]],Tbl_Hull_Structure[[#This Row],[X distrib]],"")</f>
        <v/>
      </c>
      <c r="AA48" s="120" t="str">
        <f>IF(Tbl_Hull_Structure[[#This Row],[Weight Fact]],Tbl_Hull_Structure[[#This Row],[COG x ]]-Tbl_Hull_Structure[[#This Row],[Distrib]]/2,"")</f>
        <v/>
      </c>
      <c r="AB48" s="123" t="str">
        <f>IF(Tbl_Hull_Structure[[#This Row],[Weight Fact]],Tbl_Hull_Structure[[#This Row],[COG x ]]+Tbl_Hull_Structure[[#This Row],[Distrib]]/2,"")</f>
        <v/>
      </c>
      <c r="AC48" s="111" t="str">
        <f>IF(Tbl_Hull_Structure[[#This Row],[Weight Fact]],ROUND(Tbl_Hull_Structure[[#This Row],[AP from]]/FE_size,0),"")</f>
        <v/>
      </c>
      <c r="AD48" s="113" t="str">
        <f>IF(Tbl_Hull_Structure[[#This Row],[Weight Fact]],ROUND(Tbl_Hull_Structure[[#This Row],[AP to]]/FE_size,0),"")</f>
        <v/>
      </c>
      <c r="AE48"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48" s="133" t="str">
        <f>IF(Tbl_Hull_Structure[[#This Row],[Weight Fact]],IF(Tbl_Hull_Structure[[#This Row],[Fr from]]*FE_size&lt;0,0,Tbl_Hull_Structure[[#This Row],[Fr from]]*FE_size),"")</f>
        <v/>
      </c>
      <c r="AG48" s="134" t="str">
        <f>IF(Tbl_Hull_Structure[[#This Row],[Weight Fact]],IF(Tbl_Hull_Structure[[#This Row],[Fr to]]*FE_size=Tbl_Hull_Structure[[#This Row],[L from]],Tbl_Hull_Structure[[#This Row],[L from]]+FE_size,IF(Tbl_Hull_Structure[[#This Row],[Fr to]]*FE_size&gt;Lpp,Lpp,Tbl_Hull_Structure[[#This Row],[Fr to]]*FE_size)),"")</f>
        <v/>
      </c>
      <c r="AH48" s="144" t="str">
        <f>IFERROR(Tbl_Hull_Structure[[#This Row],[Weight Fact]]/(Tbl_Hull_Structure[[#This Row],[L to]]-Tbl_Hull_Structure[[#This Row],[L from]]),"")</f>
        <v/>
      </c>
      <c r="AI48" s="145" t="str">
        <f>IF(Tbl_Hull_Structure[[#This Row],[Weight Fact]],Tbl_Hull_Structure[[#This Row],[Spread]]*(Tbl_Hull_Structure[[#This Row],[L to]]-Tbl_Hull_Structure[[#This Row],[L from]])-Tbl_Hull_Structure[[#This Row],[Weight Fact]],"")</f>
        <v/>
      </c>
      <c r="AJ48" s="141" t="str">
        <f>IF(AND(ISNUMBER(Tbl_Hull_Structure[[#This Row],[L from]]),ISNUMBER(Tbl_Hull_Structure[[#This Row],[L to]])),IF(AND(Tbl_Hull_Structure[[#This Row],[L from]]&gt;=0,Tbl_Hull_Structure[[#This Row],[L to]]&lt;=Lpp),"OK","KO"),"OK")</f>
        <v>OK</v>
      </c>
    </row>
    <row r="49" spans="2:36" x14ac:dyDescent="0.25">
      <c r="B49" s="94">
        <f t="shared" si="1"/>
        <v>3</v>
      </c>
      <c r="C49" s="215"/>
      <c r="D49" s="217" t="s">
        <v>127</v>
      </c>
      <c r="E49" s="214" t="str">
        <f>IF(NOT(ISBLANK(Tbl_Hull_Structure[[#This Row],[Num]])),TEXT(Tbl_Hull_Structure[[#This Row],[Group]],"00")&amp;"-"&amp;TEXT(Tbl_Hull_Structure[[#This Row],[Num]],"000"),"")</f>
        <v>00-22.h</v>
      </c>
      <c r="F49" s="218" t="s">
        <v>148</v>
      </c>
      <c r="G49" s="219">
        <v>0</v>
      </c>
      <c r="H49" s="220">
        <v>0.15</v>
      </c>
      <c r="I49" s="222">
        <f>Tbl_Hull_Structure[[#This Row],[Qty]]*Tbl_Hull_Structure[[#This Row],[Unitary ]]</f>
        <v>0</v>
      </c>
      <c r="J49" s="221">
        <v>1.02</v>
      </c>
      <c r="K49" s="224">
        <f>Tbl_Hull_Structure[[#This Row],[Contingency ]]*Tbl_Hull_Structure[[#This Row],[Total Op]]</f>
        <v>0</v>
      </c>
      <c r="L49" s="226">
        <v>38.32</v>
      </c>
      <c r="M49" s="228">
        <v>10</v>
      </c>
      <c r="N49" s="230">
        <v>4.3</v>
      </c>
      <c r="O49" s="231">
        <v>0.70000000000000284</v>
      </c>
      <c r="P49" s="234" t="s">
        <v>95</v>
      </c>
      <c r="Q49" s="235" t="s">
        <v>33</v>
      </c>
      <c r="R49" s="241"/>
      <c r="S49" s="238" t="str">
        <f>IF(Tbl_Hull_Structure[[#This Row],[Weight Op]],Tbl_Hull_Structure[[#This Row],[Weight Op]]*Tbl_Hull_Structure[[#This Row],[X]],"")</f>
        <v/>
      </c>
      <c r="T49" s="101" t="str">
        <f>IF(Tbl_Hull_Structure[[#This Row],[Weight Op]],Tbl_Hull_Structure[[#This Row],[Weight Op]]*Tbl_Hull_Structure[[#This Row],[Y]],"")</f>
        <v/>
      </c>
      <c r="U49" s="99" t="str">
        <f>IF(Tbl_Hull_Structure[[#This Row],[Weight Op]],Tbl_Hull_Structure[[#This Row],[Weight Op]]*Tbl_Hull_Structure[[#This Row],[Z]],"")</f>
        <v/>
      </c>
      <c r="V49" s="103">
        <f>Tbl_Hull_Structure[[#This Row],[Weight Op]]</f>
        <v>0</v>
      </c>
      <c r="W49" s="105" t="str">
        <f>IF(Tbl_Hull_Structure[[#This Row],[Weight Fact]],Tbl_Hull_Structure[[#This Row],[X]],"")</f>
        <v/>
      </c>
      <c r="X49" s="107" t="str">
        <f>IF(Tbl_Hull_Structure[[#This Row],[Weight Fact]],Tbl_Hull_Structure[[#This Row],[Y]],"")</f>
        <v/>
      </c>
      <c r="Y49" s="109" t="str">
        <f>IF(Tbl_Hull_Structure[[#This Row],[Weight Fact]],Tbl_Hull_Structure[[#This Row],[Z]],"")</f>
        <v/>
      </c>
      <c r="Z49" s="117" t="str">
        <f>IF(Tbl_Hull_Structure[[#This Row],[Weight Fact]],Tbl_Hull_Structure[[#This Row],[X distrib]],"")</f>
        <v/>
      </c>
      <c r="AA49" s="120" t="str">
        <f>IF(Tbl_Hull_Structure[[#This Row],[Weight Fact]],Tbl_Hull_Structure[[#This Row],[COG x ]]-Tbl_Hull_Structure[[#This Row],[Distrib]]/2,"")</f>
        <v/>
      </c>
      <c r="AB49" s="123" t="str">
        <f>IF(Tbl_Hull_Structure[[#This Row],[Weight Fact]],Tbl_Hull_Structure[[#This Row],[COG x ]]+Tbl_Hull_Structure[[#This Row],[Distrib]]/2,"")</f>
        <v/>
      </c>
      <c r="AC49" s="111" t="str">
        <f>IF(Tbl_Hull_Structure[[#This Row],[Weight Fact]],ROUND(Tbl_Hull_Structure[[#This Row],[AP from]]/FE_size,0),"")</f>
        <v/>
      </c>
      <c r="AD49" s="113" t="str">
        <f>IF(Tbl_Hull_Structure[[#This Row],[Weight Fact]],ROUND(Tbl_Hull_Structure[[#This Row],[AP to]]/FE_size,0),"")</f>
        <v/>
      </c>
      <c r="AE49"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49" s="133" t="str">
        <f>IF(Tbl_Hull_Structure[[#This Row],[Weight Fact]],IF(Tbl_Hull_Structure[[#This Row],[Fr from]]*FE_size&lt;0,0,Tbl_Hull_Structure[[#This Row],[Fr from]]*FE_size),"")</f>
        <v/>
      </c>
      <c r="AG49" s="134" t="str">
        <f>IF(Tbl_Hull_Structure[[#This Row],[Weight Fact]],IF(Tbl_Hull_Structure[[#This Row],[Fr to]]*FE_size=Tbl_Hull_Structure[[#This Row],[L from]],Tbl_Hull_Structure[[#This Row],[L from]]+FE_size,IF(Tbl_Hull_Structure[[#This Row],[Fr to]]*FE_size&gt;Lpp,Lpp,Tbl_Hull_Structure[[#This Row],[Fr to]]*FE_size)),"")</f>
        <v/>
      </c>
      <c r="AH49" s="144" t="str">
        <f>IFERROR(Tbl_Hull_Structure[[#This Row],[Weight Fact]]/(Tbl_Hull_Structure[[#This Row],[L to]]-Tbl_Hull_Structure[[#This Row],[L from]]),"")</f>
        <v/>
      </c>
      <c r="AI49" s="145" t="str">
        <f>IF(Tbl_Hull_Structure[[#This Row],[Weight Fact]],Tbl_Hull_Structure[[#This Row],[Spread]]*(Tbl_Hull_Structure[[#This Row],[L to]]-Tbl_Hull_Structure[[#This Row],[L from]])-Tbl_Hull_Structure[[#This Row],[Weight Fact]],"")</f>
        <v/>
      </c>
      <c r="AJ49" s="141" t="str">
        <f>IF(AND(ISNUMBER(Tbl_Hull_Structure[[#This Row],[L from]]),ISNUMBER(Tbl_Hull_Structure[[#This Row],[L to]])),IF(AND(Tbl_Hull_Structure[[#This Row],[L from]]&gt;=0,Tbl_Hull_Structure[[#This Row],[L to]]&lt;=Lpp),"OK","KO"),"OK")</f>
        <v>OK</v>
      </c>
    </row>
    <row r="50" spans="2:36" x14ac:dyDescent="0.25">
      <c r="B50" s="94">
        <f t="shared" si="1"/>
        <v>3</v>
      </c>
      <c r="C50" s="215"/>
      <c r="D50" s="217" t="s">
        <v>109</v>
      </c>
      <c r="E50" s="214" t="str">
        <f>IF(NOT(ISBLANK(Tbl_Hull_Structure[[#This Row],[Num]])),TEXT(Tbl_Hull_Structure[[#This Row],[Group]],"00")&amp;"-"&amp;TEXT(Tbl_Hull_Structure[[#This Row],[Num]],"000"),"")</f>
        <v>00-23.a</v>
      </c>
      <c r="F50" s="218" t="s">
        <v>154</v>
      </c>
      <c r="G50" s="219">
        <v>0</v>
      </c>
      <c r="H50" s="220">
        <v>0.15</v>
      </c>
      <c r="I50" s="222">
        <f>Tbl_Hull_Structure[[#This Row],[Qty]]*Tbl_Hull_Structure[[#This Row],[Unitary ]]</f>
        <v>0</v>
      </c>
      <c r="J50" s="221">
        <v>1.02</v>
      </c>
      <c r="K50" s="224">
        <f>Tbl_Hull_Structure[[#This Row],[Contingency ]]*Tbl_Hull_Structure[[#This Row],[Total Op]]</f>
        <v>0</v>
      </c>
      <c r="L50" s="226">
        <v>57.93</v>
      </c>
      <c r="M50" s="228">
        <v>10.85</v>
      </c>
      <c r="N50" s="230">
        <v>4.3</v>
      </c>
      <c r="O50" s="231">
        <v>0.70000000000000284</v>
      </c>
      <c r="P50" s="234" t="s">
        <v>95</v>
      </c>
      <c r="Q50" s="235" t="s">
        <v>33</v>
      </c>
      <c r="R50" s="241"/>
      <c r="S50" s="238" t="str">
        <f>IF(Tbl_Hull_Structure[[#This Row],[Weight Op]],Tbl_Hull_Structure[[#This Row],[Weight Op]]*Tbl_Hull_Structure[[#This Row],[X]],"")</f>
        <v/>
      </c>
      <c r="T50" s="101" t="str">
        <f>IF(Tbl_Hull_Structure[[#This Row],[Weight Op]],Tbl_Hull_Structure[[#This Row],[Weight Op]]*Tbl_Hull_Structure[[#This Row],[Y]],"")</f>
        <v/>
      </c>
      <c r="U50" s="99" t="str">
        <f>IF(Tbl_Hull_Structure[[#This Row],[Weight Op]],Tbl_Hull_Structure[[#This Row],[Weight Op]]*Tbl_Hull_Structure[[#This Row],[Z]],"")</f>
        <v/>
      </c>
      <c r="V50" s="103">
        <f>Tbl_Hull_Structure[[#This Row],[Weight Op]]</f>
        <v>0</v>
      </c>
      <c r="W50" s="105" t="str">
        <f>IF(Tbl_Hull_Structure[[#This Row],[Weight Fact]],Tbl_Hull_Structure[[#This Row],[X]],"")</f>
        <v/>
      </c>
      <c r="X50" s="107" t="str">
        <f>IF(Tbl_Hull_Structure[[#This Row],[Weight Fact]],Tbl_Hull_Structure[[#This Row],[Y]],"")</f>
        <v/>
      </c>
      <c r="Y50" s="109" t="str">
        <f>IF(Tbl_Hull_Structure[[#This Row],[Weight Fact]],Tbl_Hull_Structure[[#This Row],[Z]],"")</f>
        <v/>
      </c>
      <c r="Z50" s="117" t="str">
        <f>IF(Tbl_Hull_Structure[[#This Row],[Weight Fact]],Tbl_Hull_Structure[[#This Row],[X distrib]],"")</f>
        <v/>
      </c>
      <c r="AA50" s="120" t="str">
        <f>IF(Tbl_Hull_Structure[[#This Row],[Weight Fact]],Tbl_Hull_Structure[[#This Row],[COG x ]]-Tbl_Hull_Structure[[#This Row],[Distrib]]/2,"")</f>
        <v/>
      </c>
      <c r="AB50" s="123" t="str">
        <f>IF(Tbl_Hull_Structure[[#This Row],[Weight Fact]],Tbl_Hull_Structure[[#This Row],[COG x ]]+Tbl_Hull_Structure[[#This Row],[Distrib]]/2,"")</f>
        <v/>
      </c>
      <c r="AC50" s="111" t="str">
        <f>IF(Tbl_Hull_Structure[[#This Row],[Weight Fact]],ROUND(Tbl_Hull_Structure[[#This Row],[AP from]]/FE_size,0),"")</f>
        <v/>
      </c>
      <c r="AD50" s="113" t="str">
        <f>IF(Tbl_Hull_Structure[[#This Row],[Weight Fact]],ROUND(Tbl_Hull_Structure[[#This Row],[AP to]]/FE_size,0),"")</f>
        <v/>
      </c>
      <c r="AE50"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50" s="133" t="str">
        <f>IF(Tbl_Hull_Structure[[#This Row],[Weight Fact]],IF(Tbl_Hull_Structure[[#This Row],[Fr from]]*FE_size&lt;0,0,Tbl_Hull_Structure[[#This Row],[Fr from]]*FE_size),"")</f>
        <v/>
      </c>
      <c r="AG50" s="134" t="str">
        <f>IF(Tbl_Hull_Structure[[#This Row],[Weight Fact]],IF(Tbl_Hull_Structure[[#This Row],[Fr to]]*FE_size=Tbl_Hull_Structure[[#This Row],[L from]],Tbl_Hull_Structure[[#This Row],[L from]]+FE_size,IF(Tbl_Hull_Structure[[#This Row],[Fr to]]*FE_size&gt;Lpp,Lpp,Tbl_Hull_Structure[[#This Row],[Fr to]]*FE_size)),"")</f>
        <v/>
      </c>
      <c r="AH50" s="144" t="str">
        <f>IFERROR(Tbl_Hull_Structure[[#This Row],[Weight Fact]]/(Tbl_Hull_Structure[[#This Row],[L to]]-Tbl_Hull_Structure[[#This Row],[L from]]),"")</f>
        <v/>
      </c>
      <c r="AI50" s="145" t="str">
        <f>IF(Tbl_Hull_Structure[[#This Row],[Weight Fact]],Tbl_Hull_Structure[[#This Row],[Spread]]*(Tbl_Hull_Structure[[#This Row],[L to]]-Tbl_Hull_Structure[[#This Row],[L from]])-Tbl_Hull_Structure[[#This Row],[Weight Fact]],"")</f>
        <v/>
      </c>
      <c r="AJ50" s="141" t="str">
        <f>IF(AND(ISNUMBER(Tbl_Hull_Structure[[#This Row],[L from]]),ISNUMBER(Tbl_Hull_Structure[[#This Row],[L to]])),IF(AND(Tbl_Hull_Structure[[#This Row],[L from]]&gt;=0,Tbl_Hull_Structure[[#This Row],[L to]]&lt;=Lpp),"OK","KO"),"OK")</f>
        <v>OK</v>
      </c>
    </row>
    <row r="51" spans="2:36" x14ac:dyDescent="0.25">
      <c r="B51" s="94">
        <f t="shared" si="1"/>
        <v>3</v>
      </c>
      <c r="C51" s="215"/>
      <c r="D51" s="217" t="s">
        <v>110</v>
      </c>
      <c r="E51" s="214" t="str">
        <f>IF(NOT(ISBLANK(Tbl_Hull_Structure[[#This Row],[Num]])),TEXT(Tbl_Hull_Structure[[#This Row],[Group]],"00")&amp;"-"&amp;TEXT(Tbl_Hull_Structure[[#This Row],[Num]],"000"),"")</f>
        <v>00-23.b</v>
      </c>
      <c r="F51" s="218" t="s">
        <v>154</v>
      </c>
      <c r="G51" s="219">
        <v>0</v>
      </c>
      <c r="H51" s="220">
        <v>0.15</v>
      </c>
      <c r="I51" s="222">
        <f>Tbl_Hull_Structure[[#This Row],[Qty]]*Tbl_Hull_Structure[[#This Row],[Unitary ]]</f>
        <v>0</v>
      </c>
      <c r="J51" s="221">
        <v>1.02</v>
      </c>
      <c r="K51" s="224">
        <f>Tbl_Hull_Structure[[#This Row],[Contingency ]]*Tbl_Hull_Structure[[#This Row],[Total Op]]</f>
        <v>0</v>
      </c>
      <c r="L51" s="226">
        <v>59.88</v>
      </c>
      <c r="M51" s="228">
        <v>0</v>
      </c>
      <c r="N51" s="230">
        <v>4.3</v>
      </c>
      <c r="O51" s="231">
        <v>0.39999999999999858</v>
      </c>
      <c r="P51" s="234" t="s">
        <v>95</v>
      </c>
      <c r="Q51" s="235" t="s">
        <v>33</v>
      </c>
      <c r="R51" s="241"/>
      <c r="S51" s="238" t="str">
        <f>IF(Tbl_Hull_Structure[[#This Row],[Weight Op]],Tbl_Hull_Structure[[#This Row],[Weight Op]]*Tbl_Hull_Structure[[#This Row],[X]],"")</f>
        <v/>
      </c>
      <c r="T51" s="101" t="str">
        <f>IF(Tbl_Hull_Structure[[#This Row],[Weight Op]],Tbl_Hull_Structure[[#This Row],[Weight Op]]*Tbl_Hull_Structure[[#This Row],[Y]],"")</f>
        <v/>
      </c>
      <c r="U51" s="99" t="str">
        <f>IF(Tbl_Hull_Structure[[#This Row],[Weight Op]],Tbl_Hull_Structure[[#This Row],[Weight Op]]*Tbl_Hull_Structure[[#This Row],[Z]],"")</f>
        <v/>
      </c>
      <c r="V51" s="103">
        <f>Tbl_Hull_Structure[[#This Row],[Weight Op]]</f>
        <v>0</v>
      </c>
      <c r="W51" s="105" t="str">
        <f>IF(Tbl_Hull_Structure[[#This Row],[Weight Fact]],Tbl_Hull_Structure[[#This Row],[X]],"")</f>
        <v/>
      </c>
      <c r="X51" s="107" t="str">
        <f>IF(Tbl_Hull_Structure[[#This Row],[Weight Fact]],Tbl_Hull_Structure[[#This Row],[Y]],"")</f>
        <v/>
      </c>
      <c r="Y51" s="109" t="str">
        <f>IF(Tbl_Hull_Structure[[#This Row],[Weight Fact]],Tbl_Hull_Structure[[#This Row],[Z]],"")</f>
        <v/>
      </c>
      <c r="Z51" s="117" t="str">
        <f>IF(Tbl_Hull_Structure[[#This Row],[Weight Fact]],Tbl_Hull_Structure[[#This Row],[X distrib]],"")</f>
        <v/>
      </c>
      <c r="AA51" s="120" t="str">
        <f>IF(Tbl_Hull_Structure[[#This Row],[Weight Fact]],Tbl_Hull_Structure[[#This Row],[COG x ]]-Tbl_Hull_Structure[[#This Row],[Distrib]]/2,"")</f>
        <v/>
      </c>
      <c r="AB51" s="123" t="str">
        <f>IF(Tbl_Hull_Structure[[#This Row],[Weight Fact]],Tbl_Hull_Structure[[#This Row],[COG x ]]+Tbl_Hull_Structure[[#This Row],[Distrib]]/2,"")</f>
        <v/>
      </c>
      <c r="AC51" s="111" t="str">
        <f>IF(Tbl_Hull_Structure[[#This Row],[Weight Fact]],ROUND(Tbl_Hull_Structure[[#This Row],[AP from]]/FE_size,0),"")</f>
        <v/>
      </c>
      <c r="AD51" s="113" t="str">
        <f>IF(Tbl_Hull_Structure[[#This Row],[Weight Fact]],ROUND(Tbl_Hull_Structure[[#This Row],[AP to]]/FE_size,0),"")</f>
        <v/>
      </c>
      <c r="AE51"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51" s="133" t="str">
        <f>IF(Tbl_Hull_Structure[[#This Row],[Weight Fact]],IF(Tbl_Hull_Structure[[#This Row],[Fr from]]*FE_size&lt;0,0,Tbl_Hull_Structure[[#This Row],[Fr from]]*FE_size),"")</f>
        <v/>
      </c>
      <c r="AG51" s="134" t="str">
        <f>IF(Tbl_Hull_Structure[[#This Row],[Weight Fact]],IF(Tbl_Hull_Structure[[#This Row],[Fr to]]*FE_size=Tbl_Hull_Structure[[#This Row],[L from]],Tbl_Hull_Structure[[#This Row],[L from]]+FE_size,IF(Tbl_Hull_Structure[[#This Row],[Fr to]]*FE_size&gt;Lpp,Lpp,Tbl_Hull_Structure[[#This Row],[Fr to]]*FE_size)),"")</f>
        <v/>
      </c>
      <c r="AH51" s="144" t="str">
        <f>IFERROR(Tbl_Hull_Structure[[#This Row],[Weight Fact]]/(Tbl_Hull_Structure[[#This Row],[L to]]-Tbl_Hull_Structure[[#This Row],[L from]]),"")</f>
        <v/>
      </c>
      <c r="AI51" s="145" t="str">
        <f>IF(Tbl_Hull_Structure[[#This Row],[Weight Fact]],Tbl_Hull_Structure[[#This Row],[Spread]]*(Tbl_Hull_Structure[[#This Row],[L to]]-Tbl_Hull_Structure[[#This Row],[L from]])-Tbl_Hull_Structure[[#This Row],[Weight Fact]],"")</f>
        <v/>
      </c>
      <c r="AJ51" s="141" t="str">
        <f>IF(AND(ISNUMBER(Tbl_Hull_Structure[[#This Row],[L from]]),ISNUMBER(Tbl_Hull_Structure[[#This Row],[L to]])),IF(AND(Tbl_Hull_Structure[[#This Row],[L from]]&gt;=0,Tbl_Hull_Structure[[#This Row],[L to]]&lt;=Lpp),"OK","KO"),"OK")</f>
        <v>OK</v>
      </c>
    </row>
    <row r="52" spans="2:36" x14ac:dyDescent="0.25">
      <c r="B52" s="94">
        <f t="shared" si="1"/>
        <v>3</v>
      </c>
      <c r="C52" s="215"/>
      <c r="D52" s="217" t="s">
        <v>111</v>
      </c>
      <c r="E52" s="214" t="str">
        <f>IF(NOT(ISBLANK(Tbl_Hull_Structure[[#This Row],[Num]])),TEXT(Tbl_Hull_Structure[[#This Row],[Group]],"00")&amp;"-"&amp;TEXT(Tbl_Hull_Structure[[#This Row],[Num]],"000"),"")</f>
        <v>00-23.c</v>
      </c>
      <c r="F52" s="218" t="s">
        <v>154</v>
      </c>
      <c r="G52" s="219">
        <v>0</v>
      </c>
      <c r="H52" s="220">
        <v>0.15</v>
      </c>
      <c r="I52" s="222">
        <f>Tbl_Hull_Structure[[#This Row],[Qty]]*Tbl_Hull_Structure[[#This Row],[Unitary ]]</f>
        <v>0</v>
      </c>
      <c r="J52" s="221">
        <v>1.02</v>
      </c>
      <c r="K52" s="224">
        <f>Tbl_Hull_Structure[[#This Row],[Contingency ]]*Tbl_Hull_Structure[[#This Row],[Total Op]]</f>
        <v>0</v>
      </c>
      <c r="L52" s="226">
        <v>59.88</v>
      </c>
      <c r="M52" s="228">
        <v>-9.1</v>
      </c>
      <c r="N52" s="230">
        <v>4.3</v>
      </c>
      <c r="O52" s="231">
        <v>0.39999999999999858</v>
      </c>
      <c r="P52" s="234" t="s">
        <v>95</v>
      </c>
      <c r="Q52" s="235" t="s">
        <v>33</v>
      </c>
      <c r="R52" s="241"/>
      <c r="S52" s="238" t="str">
        <f>IF(Tbl_Hull_Structure[[#This Row],[Weight Op]],Tbl_Hull_Structure[[#This Row],[Weight Op]]*Tbl_Hull_Structure[[#This Row],[X]],"")</f>
        <v/>
      </c>
      <c r="T52" s="101" t="str">
        <f>IF(Tbl_Hull_Structure[[#This Row],[Weight Op]],Tbl_Hull_Structure[[#This Row],[Weight Op]]*Tbl_Hull_Structure[[#This Row],[Y]],"")</f>
        <v/>
      </c>
      <c r="U52" s="99" t="str">
        <f>IF(Tbl_Hull_Structure[[#This Row],[Weight Op]],Tbl_Hull_Structure[[#This Row],[Weight Op]]*Tbl_Hull_Structure[[#This Row],[Z]],"")</f>
        <v/>
      </c>
      <c r="V52" s="103">
        <f>Tbl_Hull_Structure[[#This Row],[Weight Op]]</f>
        <v>0</v>
      </c>
      <c r="W52" s="105" t="str">
        <f>IF(Tbl_Hull_Structure[[#This Row],[Weight Fact]],Tbl_Hull_Structure[[#This Row],[X]],"")</f>
        <v/>
      </c>
      <c r="X52" s="107" t="str">
        <f>IF(Tbl_Hull_Structure[[#This Row],[Weight Fact]],Tbl_Hull_Structure[[#This Row],[Y]],"")</f>
        <v/>
      </c>
      <c r="Y52" s="109" t="str">
        <f>IF(Tbl_Hull_Structure[[#This Row],[Weight Fact]],Tbl_Hull_Structure[[#This Row],[Z]],"")</f>
        <v/>
      </c>
      <c r="Z52" s="117" t="str">
        <f>IF(Tbl_Hull_Structure[[#This Row],[Weight Fact]],Tbl_Hull_Structure[[#This Row],[X distrib]],"")</f>
        <v/>
      </c>
      <c r="AA52" s="120" t="str">
        <f>IF(Tbl_Hull_Structure[[#This Row],[Weight Fact]],Tbl_Hull_Structure[[#This Row],[COG x ]]-Tbl_Hull_Structure[[#This Row],[Distrib]]/2,"")</f>
        <v/>
      </c>
      <c r="AB52" s="123" t="str">
        <f>IF(Tbl_Hull_Structure[[#This Row],[Weight Fact]],Tbl_Hull_Structure[[#This Row],[COG x ]]+Tbl_Hull_Structure[[#This Row],[Distrib]]/2,"")</f>
        <v/>
      </c>
      <c r="AC52" s="111" t="str">
        <f>IF(Tbl_Hull_Structure[[#This Row],[Weight Fact]],ROUND(Tbl_Hull_Structure[[#This Row],[AP from]]/FE_size,0),"")</f>
        <v/>
      </c>
      <c r="AD52" s="113" t="str">
        <f>IF(Tbl_Hull_Structure[[#This Row],[Weight Fact]],ROUND(Tbl_Hull_Structure[[#This Row],[AP to]]/FE_size,0),"")</f>
        <v/>
      </c>
      <c r="AE52"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52" s="133" t="str">
        <f>IF(Tbl_Hull_Structure[[#This Row],[Weight Fact]],IF(Tbl_Hull_Structure[[#This Row],[Fr from]]*FE_size&lt;0,0,Tbl_Hull_Structure[[#This Row],[Fr from]]*FE_size),"")</f>
        <v/>
      </c>
      <c r="AG52" s="134" t="str">
        <f>IF(Tbl_Hull_Structure[[#This Row],[Weight Fact]],IF(Tbl_Hull_Structure[[#This Row],[Fr to]]*FE_size=Tbl_Hull_Structure[[#This Row],[L from]],Tbl_Hull_Structure[[#This Row],[L from]]+FE_size,IF(Tbl_Hull_Structure[[#This Row],[Fr to]]*FE_size&gt;Lpp,Lpp,Tbl_Hull_Structure[[#This Row],[Fr to]]*FE_size)),"")</f>
        <v/>
      </c>
      <c r="AH52" s="144" t="str">
        <f>IFERROR(Tbl_Hull_Structure[[#This Row],[Weight Fact]]/(Tbl_Hull_Structure[[#This Row],[L to]]-Tbl_Hull_Structure[[#This Row],[L from]]),"")</f>
        <v/>
      </c>
      <c r="AI52" s="145" t="str">
        <f>IF(Tbl_Hull_Structure[[#This Row],[Weight Fact]],Tbl_Hull_Structure[[#This Row],[Spread]]*(Tbl_Hull_Structure[[#This Row],[L to]]-Tbl_Hull_Structure[[#This Row],[L from]])-Tbl_Hull_Structure[[#This Row],[Weight Fact]],"")</f>
        <v/>
      </c>
      <c r="AJ52" s="141" t="str">
        <f>IF(AND(ISNUMBER(Tbl_Hull_Structure[[#This Row],[L from]]),ISNUMBER(Tbl_Hull_Structure[[#This Row],[L to]])),IF(AND(Tbl_Hull_Structure[[#This Row],[L from]]&gt;=0,Tbl_Hull_Structure[[#This Row],[L to]]&lt;=Lpp),"OK","KO"),"OK")</f>
        <v>OK</v>
      </c>
    </row>
    <row r="53" spans="2:36" x14ac:dyDescent="0.25">
      <c r="B53" s="94">
        <f t="shared" si="1"/>
        <v>3</v>
      </c>
      <c r="C53" s="215"/>
      <c r="D53" s="217" t="s">
        <v>112</v>
      </c>
      <c r="E53" s="214" t="str">
        <f>IF(NOT(ISBLANK(Tbl_Hull_Structure[[#This Row],[Num]])),TEXT(Tbl_Hull_Structure[[#This Row],[Group]],"00")&amp;"-"&amp;TEXT(Tbl_Hull_Structure[[#This Row],[Num]],"000"),"")</f>
        <v>00-23.d</v>
      </c>
      <c r="F53" s="218" t="s">
        <v>154</v>
      </c>
      <c r="G53" s="219">
        <v>0</v>
      </c>
      <c r="H53" s="220">
        <v>0.15</v>
      </c>
      <c r="I53" s="222">
        <f>Tbl_Hull_Structure[[#This Row],[Qty]]*Tbl_Hull_Structure[[#This Row],[Unitary ]]</f>
        <v>0</v>
      </c>
      <c r="J53" s="221">
        <v>1.02</v>
      </c>
      <c r="K53" s="224">
        <f>Tbl_Hull_Structure[[#This Row],[Contingency ]]*Tbl_Hull_Structure[[#This Row],[Total Op]]</f>
        <v>0</v>
      </c>
      <c r="L53" s="226">
        <v>0.42499999999999999</v>
      </c>
      <c r="M53" s="228">
        <v>-10.51</v>
      </c>
      <c r="N53" s="230">
        <v>4.3</v>
      </c>
      <c r="O53" s="231">
        <v>0.8</v>
      </c>
      <c r="P53" s="234" t="s">
        <v>95</v>
      </c>
      <c r="Q53" s="235" t="s">
        <v>33</v>
      </c>
      <c r="R53" s="241"/>
      <c r="S53" s="238" t="str">
        <f>IF(Tbl_Hull_Structure[[#This Row],[Weight Op]],Tbl_Hull_Structure[[#This Row],[Weight Op]]*Tbl_Hull_Structure[[#This Row],[X]],"")</f>
        <v/>
      </c>
      <c r="T53" s="101" t="str">
        <f>IF(Tbl_Hull_Structure[[#This Row],[Weight Op]],Tbl_Hull_Structure[[#This Row],[Weight Op]]*Tbl_Hull_Structure[[#This Row],[Y]],"")</f>
        <v/>
      </c>
      <c r="U53" s="99" t="str">
        <f>IF(Tbl_Hull_Structure[[#This Row],[Weight Op]],Tbl_Hull_Structure[[#This Row],[Weight Op]]*Tbl_Hull_Structure[[#This Row],[Z]],"")</f>
        <v/>
      </c>
      <c r="V53" s="103">
        <f>Tbl_Hull_Structure[[#This Row],[Weight Op]]</f>
        <v>0</v>
      </c>
      <c r="W53" s="105" t="str">
        <f>IF(Tbl_Hull_Structure[[#This Row],[Weight Fact]],Tbl_Hull_Structure[[#This Row],[X]],"")</f>
        <v/>
      </c>
      <c r="X53" s="107" t="str">
        <f>IF(Tbl_Hull_Structure[[#This Row],[Weight Fact]],Tbl_Hull_Structure[[#This Row],[Y]],"")</f>
        <v/>
      </c>
      <c r="Y53" s="109" t="str">
        <f>IF(Tbl_Hull_Structure[[#This Row],[Weight Fact]],Tbl_Hull_Structure[[#This Row],[Z]],"")</f>
        <v/>
      </c>
      <c r="Z53" s="117" t="str">
        <f>IF(Tbl_Hull_Structure[[#This Row],[Weight Fact]],Tbl_Hull_Structure[[#This Row],[X distrib]],"")</f>
        <v/>
      </c>
      <c r="AA53" s="120" t="str">
        <f>IF(Tbl_Hull_Structure[[#This Row],[Weight Fact]],Tbl_Hull_Structure[[#This Row],[COG x ]]-Tbl_Hull_Structure[[#This Row],[Distrib]]/2,"")</f>
        <v/>
      </c>
      <c r="AB53" s="123" t="str">
        <f>IF(Tbl_Hull_Structure[[#This Row],[Weight Fact]],Tbl_Hull_Structure[[#This Row],[COG x ]]+Tbl_Hull_Structure[[#This Row],[Distrib]]/2,"")</f>
        <v/>
      </c>
      <c r="AC53" s="111" t="str">
        <f>IF(Tbl_Hull_Structure[[#This Row],[Weight Fact]],ROUND(Tbl_Hull_Structure[[#This Row],[AP from]]/FE_size,0),"")</f>
        <v/>
      </c>
      <c r="AD53" s="113" t="str">
        <f>IF(Tbl_Hull_Structure[[#This Row],[Weight Fact]],ROUND(Tbl_Hull_Structure[[#This Row],[AP to]]/FE_size,0),"")</f>
        <v/>
      </c>
      <c r="AE53"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53" s="133" t="str">
        <f>IF(Tbl_Hull_Structure[[#This Row],[Weight Fact]],IF(Tbl_Hull_Structure[[#This Row],[Fr from]]*FE_size&lt;0,0,Tbl_Hull_Structure[[#This Row],[Fr from]]*FE_size),"")</f>
        <v/>
      </c>
      <c r="AG53" s="134" t="str">
        <f>IF(Tbl_Hull_Structure[[#This Row],[Weight Fact]],IF(Tbl_Hull_Structure[[#This Row],[Fr to]]*FE_size=Tbl_Hull_Structure[[#This Row],[L from]],Tbl_Hull_Structure[[#This Row],[L from]]+FE_size,IF(Tbl_Hull_Structure[[#This Row],[Fr to]]*FE_size&gt;Lpp,Lpp,Tbl_Hull_Structure[[#This Row],[Fr to]]*FE_size)),"")</f>
        <v/>
      </c>
      <c r="AH53" s="144" t="str">
        <f>IFERROR(Tbl_Hull_Structure[[#This Row],[Weight Fact]]/(Tbl_Hull_Structure[[#This Row],[L to]]-Tbl_Hull_Structure[[#This Row],[L from]]),"")</f>
        <v/>
      </c>
      <c r="AI53" s="145" t="str">
        <f>IF(Tbl_Hull_Structure[[#This Row],[Weight Fact]],Tbl_Hull_Structure[[#This Row],[Spread]]*(Tbl_Hull_Structure[[#This Row],[L to]]-Tbl_Hull_Structure[[#This Row],[L from]])-Tbl_Hull_Structure[[#This Row],[Weight Fact]],"")</f>
        <v/>
      </c>
      <c r="AJ53" s="141" t="str">
        <f>IF(AND(ISNUMBER(Tbl_Hull_Structure[[#This Row],[L from]]),ISNUMBER(Tbl_Hull_Structure[[#This Row],[L to]])),IF(AND(Tbl_Hull_Structure[[#This Row],[L from]]&gt;=0,Tbl_Hull_Structure[[#This Row],[L to]]&lt;=Lpp),"OK","KO"),"OK")</f>
        <v>OK</v>
      </c>
    </row>
    <row r="54" spans="2:36" x14ac:dyDescent="0.25">
      <c r="B54" s="94">
        <f t="shared" si="1"/>
        <v>3</v>
      </c>
      <c r="C54" s="215"/>
      <c r="D54" s="217" t="s">
        <v>113</v>
      </c>
      <c r="E54" s="214" t="str">
        <f>IF(NOT(ISBLANK(Tbl_Hull_Structure[[#This Row],[Num]])),TEXT(Tbl_Hull_Structure[[#This Row],[Group]],"00")&amp;"-"&amp;TEXT(Tbl_Hull_Structure[[#This Row],[Num]],"000"),"")</f>
        <v>00-23.e</v>
      </c>
      <c r="F54" s="218" t="s">
        <v>154</v>
      </c>
      <c r="G54" s="219">
        <v>0</v>
      </c>
      <c r="H54" s="220">
        <v>0.15</v>
      </c>
      <c r="I54" s="222">
        <f>Tbl_Hull_Structure[[#This Row],[Qty]]*Tbl_Hull_Structure[[#This Row],[Unitary ]]</f>
        <v>0</v>
      </c>
      <c r="J54" s="221">
        <v>1.02</v>
      </c>
      <c r="K54" s="224">
        <f>Tbl_Hull_Structure[[#This Row],[Contingency ]]*Tbl_Hull_Structure[[#This Row],[Total Op]]</f>
        <v>0</v>
      </c>
      <c r="L54" s="226">
        <v>4</v>
      </c>
      <c r="M54" s="228">
        <v>-10.86</v>
      </c>
      <c r="N54" s="230">
        <v>4.3</v>
      </c>
      <c r="O54" s="231">
        <v>0.70000000000000018</v>
      </c>
      <c r="P54" s="234" t="s">
        <v>95</v>
      </c>
      <c r="Q54" s="235" t="s">
        <v>33</v>
      </c>
      <c r="R54" s="241"/>
      <c r="S54" s="238" t="str">
        <f>IF(Tbl_Hull_Structure[[#This Row],[Weight Op]],Tbl_Hull_Structure[[#This Row],[Weight Op]]*Tbl_Hull_Structure[[#This Row],[X]],"")</f>
        <v/>
      </c>
      <c r="T54" s="101" t="str">
        <f>IF(Tbl_Hull_Structure[[#This Row],[Weight Op]],Tbl_Hull_Structure[[#This Row],[Weight Op]]*Tbl_Hull_Structure[[#This Row],[Y]],"")</f>
        <v/>
      </c>
      <c r="U54" s="99" t="str">
        <f>IF(Tbl_Hull_Structure[[#This Row],[Weight Op]],Tbl_Hull_Structure[[#This Row],[Weight Op]]*Tbl_Hull_Structure[[#This Row],[Z]],"")</f>
        <v/>
      </c>
      <c r="V54" s="103">
        <f>Tbl_Hull_Structure[[#This Row],[Weight Op]]</f>
        <v>0</v>
      </c>
      <c r="W54" s="105" t="str">
        <f>IF(Tbl_Hull_Structure[[#This Row],[Weight Fact]],Tbl_Hull_Structure[[#This Row],[X]],"")</f>
        <v/>
      </c>
      <c r="X54" s="107" t="str">
        <f>IF(Tbl_Hull_Structure[[#This Row],[Weight Fact]],Tbl_Hull_Structure[[#This Row],[Y]],"")</f>
        <v/>
      </c>
      <c r="Y54" s="109" t="str">
        <f>IF(Tbl_Hull_Structure[[#This Row],[Weight Fact]],Tbl_Hull_Structure[[#This Row],[Z]],"")</f>
        <v/>
      </c>
      <c r="Z54" s="117" t="str">
        <f>IF(Tbl_Hull_Structure[[#This Row],[Weight Fact]],Tbl_Hull_Structure[[#This Row],[X distrib]],"")</f>
        <v/>
      </c>
      <c r="AA54" s="120" t="str">
        <f>IF(Tbl_Hull_Structure[[#This Row],[Weight Fact]],Tbl_Hull_Structure[[#This Row],[COG x ]]-Tbl_Hull_Structure[[#This Row],[Distrib]]/2,"")</f>
        <v/>
      </c>
      <c r="AB54" s="123" t="str">
        <f>IF(Tbl_Hull_Structure[[#This Row],[Weight Fact]],Tbl_Hull_Structure[[#This Row],[COG x ]]+Tbl_Hull_Structure[[#This Row],[Distrib]]/2,"")</f>
        <v/>
      </c>
      <c r="AC54" s="111" t="str">
        <f>IF(Tbl_Hull_Structure[[#This Row],[Weight Fact]],ROUND(Tbl_Hull_Structure[[#This Row],[AP from]]/FE_size,0),"")</f>
        <v/>
      </c>
      <c r="AD54" s="113" t="str">
        <f>IF(Tbl_Hull_Structure[[#This Row],[Weight Fact]],ROUND(Tbl_Hull_Structure[[#This Row],[AP to]]/FE_size,0),"")</f>
        <v/>
      </c>
      <c r="AE54"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54" s="133" t="str">
        <f>IF(Tbl_Hull_Structure[[#This Row],[Weight Fact]],IF(Tbl_Hull_Structure[[#This Row],[Fr from]]*FE_size&lt;0,0,Tbl_Hull_Structure[[#This Row],[Fr from]]*FE_size),"")</f>
        <v/>
      </c>
      <c r="AG54" s="134" t="str">
        <f>IF(Tbl_Hull_Structure[[#This Row],[Weight Fact]],IF(Tbl_Hull_Structure[[#This Row],[Fr to]]*FE_size=Tbl_Hull_Structure[[#This Row],[L from]],Tbl_Hull_Structure[[#This Row],[L from]]+FE_size,IF(Tbl_Hull_Structure[[#This Row],[Fr to]]*FE_size&gt;Lpp,Lpp,Tbl_Hull_Structure[[#This Row],[Fr to]]*FE_size)),"")</f>
        <v/>
      </c>
      <c r="AH54" s="144" t="str">
        <f>IFERROR(Tbl_Hull_Structure[[#This Row],[Weight Fact]]/(Tbl_Hull_Structure[[#This Row],[L to]]-Tbl_Hull_Structure[[#This Row],[L from]]),"")</f>
        <v/>
      </c>
      <c r="AI54" s="145" t="str">
        <f>IF(Tbl_Hull_Structure[[#This Row],[Weight Fact]],Tbl_Hull_Structure[[#This Row],[Spread]]*(Tbl_Hull_Structure[[#This Row],[L to]]-Tbl_Hull_Structure[[#This Row],[L from]])-Tbl_Hull_Structure[[#This Row],[Weight Fact]],"")</f>
        <v/>
      </c>
      <c r="AJ54" s="141" t="str">
        <f>IF(AND(ISNUMBER(Tbl_Hull_Structure[[#This Row],[L from]]),ISNUMBER(Tbl_Hull_Structure[[#This Row],[L to]])),IF(AND(Tbl_Hull_Structure[[#This Row],[L from]]&gt;=0,Tbl_Hull_Structure[[#This Row],[L to]]&lt;=Lpp),"OK","KO"),"OK")</f>
        <v>OK</v>
      </c>
    </row>
    <row r="55" spans="2:36" x14ac:dyDescent="0.25">
      <c r="B55" s="94">
        <f t="shared" si="1"/>
        <v>3</v>
      </c>
      <c r="C55" s="215"/>
      <c r="D55" s="217" t="s">
        <v>114</v>
      </c>
      <c r="E55" s="214" t="str">
        <f>IF(NOT(ISBLANK(Tbl_Hull_Structure[[#This Row],[Num]])),TEXT(Tbl_Hull_Structure[[#This Row],[Group]],"00")&amp;"-"&amp;TEXT(Tbl_Hull_Structure[[#This Row],[Num]],"000"),"")</f>
        <v>00-23.f</v>
      </c>
      <c r="F55" s="218" t="s">
        <v>154</v>
      </c>
      <c r="G55" s="219">
        <v>0</v>
      </c>
      <c r="H55" s="220">
        <v>0.15</v>
      </c>
      <c r="I55" s="222">
        <f>Tbl_Hull_Structure[[#This Row],[Qty]]*Tbl_Hull_Structure[[#This Row],[Unitary ]]</f>
        <v>0</v>
      </c>
      <c r="J55" s="221">
        <v>1.02</v>
      </c>
      <c r="K55" s="224">
        <f>Tbl_Hull_Structure[[#This Row],[Contingency ]]*Tbl_Hull_Structure[[#This Row],[Total Op]]</f>
        <v>0</v>
      </c>
      <c r="L55" s="226">
        <v>4</v>
      </c>
      <c r="M55" s="228">
        <v>10.86</v>
      </c>
      <c r="N55" s="230">
        <v>4.3</v>
      </c>
      <c r="O55" s="231">
        <v>0.70000000000000018</v>
      </c>
      <c r="P55" s="234" t="s">
        <v>95</v>
      </c>
      <c r="Q55" s="235" t="s">
        <v>33</v>
      </c>
      <c r="R55" s="241"/>
      <c r="S55" s="238" t="str">
        <f>IF(Tbl_Hull_Structure[[#This Row],[Weight Op]],Tbl_Hull_Structure[[#This Row],[Weight Op]]*Tbl_Hull_Structure[[#This Row],[X]],"")</f>
        <v/>
      </c>
      <c r="T55" s="101" t="str">
        <f>IF(Tbl_Hull_Structure[[#This Row],[Weight Op]],Tbl_Hull_Structure[[#This Row],[Weight Op]]*Tbl_Hull_Structure[[#This Row],[Y]],"")</f>
        <v/>
      </c>
      <c r="U55" s="99" t="str">
        <f>IF(Tbl_Hull_Structure[[#This Row],[Weight Op]],Tbl_Hull_Structure[[#This Row],[Weight Op]]*Tbl_Hull_Structure[[#This Row],[Z]],"")</f>
        <v/>
      </c>
      <c r="V55" s="103">
        <f>Tbl_Hull_Structure[[#This Row],[Weight Op]]</f>
        <v>0</v>
      </c>
      <c r="W55" s="105" t="str">
        <f>IF(Tbl_Hull_Structure[[#This Row],[Weight Fact]],Tbl_Hull_Structure[[#This Row],[X]],"")</f>
        <v/>
      </c>
      <c r="X55" s="107" t="str">
        <f>IF(Tbl_Hull_Structure[[#This Row],[Weight Fact]],Tbl_Hull_Structure[[#This Row],[Y]],"")</f>
        <v/>
      </c>
      <c r="Y55" s="109" t="str">
        <f>IF(Tbl_Hull_Structure[[#This Row],[Weight Fact]],Tbl_Hull_Structure[[#This Row],[Z]],"")</f>
        <v/>
      </c>
      <c r="Z55" s="117" t="str">
        <f>IF(Tbl_Hull_Structure[[#This Row],[Weight Fact]],Tbl_Hull_Structure[[#This Row],[X distrib]],"")</f>
        <v/>
      </c>
      <c r="AA55" s="120" t="str">
        <f>IF(Tbl_Hull_Structure[[#This Row],[Weight Fact]],Tbl_Hull_Structure[[#This Row],[COG x ]]-Tbl_Hull_Structure[[#This Row],[Distrib]]/2,"")</f>
        <v/>
      </c>
      <c r="AB55" s="123" t="str">
        <f>IF(Tbl_Hull_Structure[[#This Row],[Weight Fact]],Tbl_Hull_Structure[[#This Row],[COG x ]]+Tbl_Hull_Structure[[#This Row],[Distrib]]/2,"")</f>
        <v/>
      </c>
      <c r="AC55" s="111" t="str">
        <f>IF(Tbl_Hull_Structure[[#This Row],[Weight Fact]],ROUND(Tbl_Hull_Structure[[#This Row],[AP from]]/FE_size,0),"")</f>
        <v/>
      </c>
      <c r="AD55" s="113" t="str">
        <f>IF(Tbl_Hull_Structure[[#This Row],[Weight Fact]],ROUND(Tbl_Hull_Structure[[#This Row],[AP to]]/FE_size,0),"")</f>
        <v/>
      </c>
      <c r="AE55"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55" s="133" t="str">
        <f>IF(Tbl_Hull_Structure[[#This Row],[Weight Fact]],IF(Tbl_Hull_Structure[[#This Row],[Fr from]]*FE_size&lt;0,0,Tbl_Hull_Structure[[#This Row],[Fr from]]*FE_size),"")</f>
        <v/>
      </c>
      <c r="AG55" s="134" t="str">
        <f>IF(Tbl_Hull_Structure[[#This Row],[Weight Fact]],IF(Tbl_Hull_Structure[[#This Row],[Fr to]]*FE_size=Tbl_Hull_Structure[[#This Row],[L from]],Tbl_Hull_Structure[[#This Row],[L from]]+FE_size,IF(Tbl_Hull_Structure[[#This Row],[Fr to]]*FE_size&gt;Lpp,Lpp,Tbl_Hull_Structure[[#This Row],[Fr to]]*FE_size)),"")</f>
        <v/>
      </c>
      <c r="AH55" s="144" t="str">
        <f>IFERROR(Tbl_Hull_Structure[[#This Row],[Weight Fact]]/(Tbl_Hull_Structure[[#This Row],[L to]]-Tbl_Hull_Structure[[#This Row],[L from]]),"")</f>
        <v/>
      </c>
      <c r="AI55" s="145" t="str">
        <f>IF(Tbl_Hull_Structure[[#This Row],[Weight Fact]],Tbl_Hull_Structure[[#This Row],[Spread]]*(Tbl_Hull_Structure[[#This Row],[L to]]-Tbl_Hull_Structure[[#This Row],[L from]])-Tbl_Hull_Structure[[#This Row],[Weight Fact]],"")</f>
        <v/>
      </c>
      <c r="AJ55" s="141" t="str">
        <f>IF(AND(ISNUMBER(Tbl_Hull_Structure[[#This Row],[L from]]),ISNUMBER(Tbl_Hull_Structure[[#This Row],[L to]])),IF(AND(Tbl_Hull_Structure[[#This Row],[L from]]&gt;=0,Tbl_Hull_Structure[[#This Row],[L to]]&lt;=Lpp),"OK","KO"),"OK")</f>
        <v>OK</v>
      </c>
    </row>
    <row r="56" spans="2:36" x14ac:dyDescent="0.25">
      <c r="B56" s="94">
        <f t="shared" si="1"/>
        <v>3</v>
      </c>
      <c r="C56" s="215"/>
      <c r="D56" s="217" t="s">
        <v>115</v>
      </c>
      <c r="E56" s="214" t="str">
        <f>IF(NOT(ISBLANK(Tbl_Hull_Structure[[#This Row],[Num]])),TEXT(Tbl_Hull_Structure[[#This Row],[Group]],"00")&amp;"-"&amp;TEXT(Tbl_Hull_Structure[[#This Row],[Num]],"000"),"")</f>
        <v>00-24.a</v>
      </c>
      <c r="F56" s="218" t="s">
        <v>70</v>
      </c>
      <c r="G56" s="219">
        <v>0</v>
      </c>
      <c r="H56" s="220">
        <v>0.2</v>
      </c>
      <c r="I56" s="222">
        <f>Tbl_Hull_Structure[[#This Row],[Qty]]*Tbl_Hull_Structure[[#This Row],[Unitary ]]</f>
        <v>0</v>
      </c>
      <c r="J56" s="221">
        <v>1.02</v>
      </c>
      <c r="K56" s="224">
        <f>Tbl_Hull_Structure[[#This Row],[Contingency ]]*Tbl_Hull_Structure[[#This Row],[Total Op]]</f>
        <v>0</v>
      </c>
      <c r="L56" s="226">
        <v>2.78</v>
      </c>
      <c r="M56" s="228">
        <v>10.51</v>
      </c>
      <c r="N56" s="230">
        <v>4.2</v>
      </c>
      <c r="O56" s="231">
        <v>1.2000000000000002</v>
      </c>
      <c r="P56" s="234" t="s">
        <v>95</v>
      </c>
      <c r="Q56" s="235" t="s">
        <v>33</v>
      </c>
      <c r="R56" s="241"/>
      <c r="S56" s="238" t="str">
        <f>IF(Tbl_Hull_Structure[[#This Row],[Weight Op]],Tbl_Hull_Structure[[#This Row],[Weight Op]]*Tbl_Hull_Structure[[#This Row],[X]],"")</f>
        <v/>
      </c>
      <c r="T56" s="101" t="str">
        <f>IF(Tbl_Hull_Structure[[#This Row],[Weight Op]],Tbl_Hull_Structure[[#This Row],[Weight Op]]*Tbl_Hull_Structure[[#This Row],[Y]],"")</f>
        <v/>
      </c>
      <c r="U56" s="99" t="str">
        <f>IF(Tbl_Hull_Structure[[#This Row],[Weight Op]],Tbl_Hull_Structure[[#This Row],[Weight Op]]*Tbl_Hull_Structure[[#This Row],[Z]],"")</f>
        <v/>
      </c>
      <c r="V56" s="103">
        <f>Tbl_Hull_Structure[[#This Row],[Weight Op]]</f>
        <v>0</v>
      </c>
      <c r="W56" s="105" t="str">
        <f>IF(Tbl_Hull_Structure[[#This Row],[Weight Fact]],Tbl_Hull_Structure[[#This Row],[X]],"")</f>
        <v/>
      </c>
      <c r="X56" s="107" t="str">
        <f>IF(Tbl_Hull_Structure[[#This Row],[Weight Fact]],Tbl_Hull_Structure[[#This Row],[Y]],"")</f>
        <v/>
      </c>
      <c r="Y56" s="109" t="str">
        <f>IF(Tbl_Hull_Structure[[#This Row],[Weight Fact]],Tbl_Hull_Structure[[#This Row],[Z]],"")</f>
        <v/>
      </c>
      <c r="Z56" s="117" t="str">
        <f>IF(Tbl_Hull_Structure[[#This Row],[Weight Fact]],Tbl_Hull_Structure[[#This Row],[X distrib]],"")</f>
        <v/>
      </c>
      <c r="AA56" s="120" t="str">
        <f>IF(Tbl_Hull_Structure[[#This Row],[Weight Fact]],Tbl_Hull_Structure[[#This Row],[COG x ]]-Tbl_Hull_Structure[[#This Row],[Distrib]]/2,"")</f>
        <v/>
      </c>
      <c r="AB56" s="123" t="str">
        <f>IF(Tbl_Hull_Structure[[#This Row],[Weight Fact]],Tbl_Hull_Structure[[#This Row],[COG x ]]+Tbl_Hull_Structure[[#This Row],[Distrib]]/2,"")</f>
        <v/>
      </c>
      <c r="AC56" s="111" t="str">
        <f>IF(Tbl_Hull_Structure[[#This Row],[Weight Fact]],ROUND(Tbl_Hull_Structure[[#This Row],[AP from]]/FE_size,0),"")</f>
        <v/>
      </c>
      <c r="AD56" s="113" t="str">
        <f>IF(Tbl_Hull_Structure[[#This Row],[Weight Fact]],ROUND(Tbl_Hull_Structure[[#This Row],[AP to]]/FE_size,0),"")</f>
        <v/>
      </c>
      <c r="AE56"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56" s="133" t="str">
        <f>IF(Tbl_Hull_Structure[[#This Row],[Weight Fact]],IF(Tbl_Hull_Structure[[#This Row],[Fr from]]*FE_size&lt;0,0,Tbl_Hull_Structure[[#This Row],[Fr from]]*FE_size),"")</f>
        <v/>
      </c>
      <c r="AG56" s="134" t="str">
        <f>IF(Tbl_Hull_Structure[[#This Row],[Weight Fact]],IF(Tbl_Hull_Structure[[#This Row],[Fr to]]*FE_size=Tbl_Hull_Structure[[#This Row],[L from]],Tbl_Hull_Structure[[#This Row],[L from]]+FE_size,IF(Tbl_Hull_Structure[[#This Row],[Fr to]]*FE_size&gt;Lpp,Lpp,Tbl_Hull_Structure[[#This Row],[Fr to]]*FE_size)),"")</f>
        <v/>
      </c>
      <c r="AH56" s="144" t="str">
        <f>IFERROR(Tbl_Hull_Structure[[#This Row],[Weight Fact]]/(Tbl_Hull_Structure[[#This Row],[L to]]-Tbl_Hull_Structure[[#This Row],[L from]]),"")</f>
        <v/>
      </c>
      <c r="AI56" s="145" t="str">
        <f>IF(Tbl_Hull_Structure[[#This Row],[Weight Fact]],Tbl_Hull_Structure[[#This Row],[Spread]]*(Tbl_Hull_Structure[[#This Row],[L to]]-Tbl_Hull_Structure[[#This Row],[L from]])-Tbl_Hull_Structure[[#This Row],[Weight Fact]],"")</f>
        <v/>
      </c>
      <c r="AJ56" s="141" t="str">
        <f>IF(AND(ISNUMBER(Tbl_Hull_Structure[[#This Row],[L from]]),ISNUMBER(Tbl_Hull_Structure[[#This Row],[L to]])),IF(AND(Tbl_Hull_Structure[[#This Row],[L from]]&gt;=0,Tbl_Hull_Structure[[#This Row],[L to]]&lt;=Lpp),"OK","KO"),"OK")</f>
        <v>OK</v>
      </c>
    </row>
    <row r="57" spans="2:36" x14ac:dyDescent="0.25">
      <c r="B57" s="94">
        <f t="shared" si="1"/>
        <v>3</v>
      </c>
      <c r="C57" s="215"/>
      <c r="D57" s="217" t="s">
        <v>116</v>
      </c>
      <c r="E57" s="214" t="str">
        <f>IF(NOT(ISBLANK(Tbl_Hull_Structure[[#This Row],[Num]])),TEXT(Tbl_Hull_Structure[[#This Row],[Group]],"00")&amp;"-"&amp;TEXT(Tbl_Hull_Structure[[#This Row],[Num]],"000"),"")</f>
        <v>00-24.b</v>
      </c>
      <c r="F57" s="218" t="s">
        <v>70</v>
      </c>
      <c r="G57" s="219">
        <v>0</v>
      </c>
      <c r="H57" s="220">
        <v>0.2</v>
      </c>
      <c r="I57" s="222">
        <f>Tbl_Hull_Structure[[#This Row],[Qty]]*Tbl_Hull_Structure[[#This Row],[Unitary ]]</f>
        <v>0</v>
      </c>
      <c r="J57" s="221">
        <v>1.02</v>
      </c>
      <c r="K57" s="224">
        <f>Tbl_Hull_Structure[[#This Row],[Contingency ]]*Tbl_Hull_Structure[[#This Row],[Total Op]]</f>
        <v>0</v>
      </c>
      <c r="L57" s="226">
        <v>59.11</v>
      </c>
      <c r="M57" s="228">
        <v>8.0299999999999994</v>
      </c>
      <c r="N57" s="230">
        <v>4.2</v>
      </c>
      <c r="O57" s="231">
        <v>1.1999999999999957</v>
      </c>
      <c r="P57" s="234" t="s">
        <v>95</v>
      </c>
      <c r="Q57" s="235" t="s">
        <v>33</v>
      </c>
      <c r="R57" s="241"/>
      <c r="S57" s="238" t="str">
        <f>IF(Tbl_Hull_Structure[[#This Row],[Weight Op]],Tbl_Hull_Structure[[#This Row],[Weight Op]]*Tbl_Hull_Structure[[#This Row],[X]],"")</f>
        <v/>
      </c>
      <c r="T57" s="101" t="str">
        <f>IF(Tbl_Hull_Structure[[#This Row],[Weight Op]],Tbl_Hull_Structure[[#This Row],[Weight Op]]*Tbl_Hull_Structure[[#This Row],[Y]],"")</f>
        <v/>
      </c>
      <c r="U57" s="99" t="str">
        <f>IF(Tbl_Hull_Structure[[#This Row],[Weight Op]],Tbl_Hull_Structure[[#This Row],[Weight Op]]*Tbl_Hull_Structure[[#This Row],[Z]],"")</f>
        <v/>
      </c>
      <c r="V57" s="103">
        <f>Tbl_Hull_Structure[[#This Row],[Weight Op]]</f>
        <v>0</v>
      </c>
      <c r="W57" s="105" t="str">
        <f>IF(Tbl_Hull_Structure[[#This Row],[Weight Fact]],Tbl_Hull_Structure[[#This Row],[X]],"")</f>
        <v/>
      </c>
      <c r="X57" s="107" t="str">
        <f>IF(Tbl_Hull_Structure[[#This Row],[Weight Fact]],Tbl_Hull_Structure[[#This Row],[Y]],"")</f>
        <v/>
      </c>
      <c r="Y57" s="109" t="str">
        <f>IF(Tbl_Hull_Structure[[#This Row],[Weight Fact]],Tbl_Hull_Structure[[#This Row],[Z]],"")</f>
        <v/>
      </c>
      <c r="Z57" s="117" t="str">
        <f>IF(Tbl_Hull_Structure[[#This Row],[Weight Fact]],Tbl_Hull_Structure[[#This Row],[X distrib]],"")</f>
        <v/>
      </c>
      <c r="AA57" s="120" t="str">
        <f>IF(Tbl_Hull_Structure[[#This Row],[Weight Fact]],Tbl_Hull_Structure[[#This Row],[COG x ]]-Tbl_Hull_Structure[[#This Row],[Distrib]]/2,"")</f>
        <v/>
      </c>
      <c r="AB57" s="123" t="str">
        <f>IF(Tbl_Hull_Structure[[#This Row],[Weight Fact]],Tbl_Hull_Structure[[#This Row],[COG x ]]+Tbl_Hull_Structure[[#This Row],[Distrib]]/2,"")</f>
        <v/>
      </c>
      <c r="AC57" s="111" t="str">
        <f>IF(Tbl_Hull_Structure[[#This Row],[Weight Fact]],ROUND(Tbl_Hull_Structure[[#This Row],[AP from]]/FE_size,0),"")</f>
        <v/>
      </c>
      <c r="AD57" s="113" t="str">
        <f>IF(Tbl_Hull_Structure[[#This Row],[Weight Fact]],ROUND(Tbl_Hull_Structure[[#This Row],[AP to]]/FE_size,0),"")</f>
        <v/>
      </c>
      <c r="AE57"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57" s="133" t="str">
        <f>IF(Tbl_Hull_Structure[[#This Row],[Weight Fact]],IF(Tbl_Hull_Structure[[#This Row],[Fr from]]*FE_size&lt;0,0,Tbl_Hull_Structure[[#This Row],[Fr from]]*FE_size),"")</f>
        <v/>
      </c>
      <c r="AG57" s="134" t="str">
        <f>IF(Tbl_Hull_Structure[[#This Row],[Weight Fact]],IF(Tbl_Hull_Structure[[#This Row],[Fr to]]*FE_size=Tbl_Hull_Structure[[#This Row],[L from]],Tbl_Hull_Structure[[#This Row],[L from]]+FE_size,IF(Tbl_Hull_Structure[[#This Row],[Fr to]]*FE_size&gt;Lpp,Lpp,Tbl_Hull_Structure[[#This Row],[Fr to]]*FE_size)),"")</f>
        <v/>
      </c>
      <c r="AH57" s="144" t="str">
        <f>IFERROR(Tbl_Hull_Structure[[#This Row],[Weight Fact]]/(Tbl_Hull_Structure[[#This Row],[L to]]-Tbl_Hull_Structure[[#This Row],[L from]]),"")</f>
        <v/>
      </c>
      <c r="AI57" s="145" t="str">
        <f>IF(Tbl_Hull_Structure[[#This Row],[Weight Fact]],Tbl_Hull_Structure[[#This Row],[Spread]]*(Tbl_Hull_Structure[[#This Row],[L to]]-Tbl_Hull_Structure[[#This Row],[L from]])-Tbl_Hull_Structure[[#This Row],[Weight Fact]],"")</f>
        <v/>
      </c>
      <c r="AJ57" s="141" t="str">
        <f>IF(AND(ISNUMBER(Tbl_Hull_Structure[[#This Row],[L from]]),ISNUMBER(Tbl_Hull_Structure[[#This Row],[L to]])),IF(AND(Tbl_Hull_Structure[[#This Row],[L from]]&gt;=0,Tbl_Hull_Structure[[#This Row],[L to]]&lt;=Lpp),"OK","KO"),"OK")</f>
        <v>OK</v>
      </c>
    </row>
    <row r="58" spans="2:36" x14ac:dyDescent="0.25">
      <c r="B58" s="94">
        <f t="shared" si="1"/>
        <v>3</v>
      </c>
      <c r="C58" s="215"/>
      <c r="D58" s="217" t="s">
        <v>117</v>
      </c>
      <c r="E58" s="214" t="str">
        <f>IF(NOT(ISBLANK(Tbl_Hull_Structure[[#This Row],[Num]])),TEXT(Tbl_Hull_Structure[[#This Row],[Group]],"00")&amp;"-"&amp;TEXT(Tbl_Hull_Structure[[#This Row],[Num]],"000"),"")</f>
        <v>00-24.c</v>
      </c>
      <c r="F58" s="218" t="s">
        <v>70</v>
      </c>
      <c r="G58" s="219">
        <v>0</v>
      </c>
      <c r="H58" s="220">
        <v>0.2</v>
      </c>
      <c r="I58" s="222">
        <f>Tbl_Hull_Structure[[#This Row],[Qty]]*Tbl_Hull_Structure[[#This Row],[Unitary ]]</f>
        <v>0</v>
      </c>
      <c r="J58" s="221">
        <v>1.02</v>
      </c>
      <c r="K58" s="224">
        <f>Tbl_Hull_Structure[[#This Row],[Contingency ]]*Tbl_Hull_Structure[[#This Row],[Total Op]]</f>
        <v>0</v>
      </c>
      <c r="L58" s="226">
        <v>2.78</v>
      </c>
      <c r="M58" s="228">
        <v>-10.51</v>
      </c>
      <c r="N58" s="230">
        <v>4.2</v>
      </c>
      <c r="O58" s="231">
        <v>1.2000000000000002</v>
      </c>
      <c r="P58" s="234" t="s">
        <v>95</v>
      </c>
      <c r="Q58" s="235" t="s">
        <v>33</v>
      </c>
      <c r="R58" s="241"/>
      <c r="S58" s="238" t="str">
        <f>IF(Tbl_Hull_Structure[[#This Row],[Weight Op]],Tbl_Hull_Structure[[#This Row],[Weight Op]]*Tbl_Hull_Structure[[#This Row],[X]],"")</f>
        <v/>
      </c>
      <c r="T58" s="101" t="str">
        <f>IF(Tbl_Hull_Structure[[#This Row],[Weight Op]],Tbl_Hull_Structure[[#This Row],[Weight Op]]*Tbl_Hull_Structure[[#This Row],[Y]],"")</f>
        <v/>
      </c>
      <c r="U58" s="99" t="str">
        <f>IF(Tbl_Hull_Structure[[#This Row],[Weight Op]],Tbl_Hull_Structure[[#This Row],[Weight Op]]*Tbl_Hull_Structure[[#This Row],[Z]],"")</f>
        <v/>
      </c>
      <c r="V58" s="103">
        <f>Tbl_Hull_Structure[[#This Row],[Weight Op]]</f>
        <v>0</v>
      </c>
      <c r="W58" s="105" t="str">
        <f>IF(Tbl_Hull_Structure[[#This Row],[Weight Fact]],Tbl_Hull_Structure[[#This Row],[X]],"")</f>
        <v/>
      </c>
      <c r="X58" s="107" t="str">
        <f>IF(Tbl_Hull_Structure[[#This Row],[Weight Fact]],Tbl_Hull_Structure[[#This Row],[Y]],"")</f>
        <v/>
      </c>
      <c r="Y58" s="109" t="str">
        <f>IF(Tbl_Hull_Structure[[#This Row],[Weight Fact]],Tbl_Hull_Structure[[#This Row],[Z]],"")</f>
        <v/>
      </c>
      <c r="Z58" s="117" t="str">
        <f>IF(Tbl_Hull_Structure[[#This Row],[Weight Fact]],Tbl_Hull_Structure[[#This Row],[X distrib]],"")</f>
        <v/>
      </c>
      <c r="AA58" s="120" t="str">
        <f>IF(Tbl_Hull_Structure[[#This Row],[Weight Fact]],Tbl_Hull_Structure[[#This Row],[COG x ]]-Tbl_Hull_Structure[[#This Row],[Distrib]]/2,"")</f>
        <v/>
      </c>
      <c r="AB58" s="123" t="str">
        <f>IF(Tbl_Hull_Structure[[#This Row],[Weight Fact]],Tbl_Hull_Structure[[#This Row],[COG x ]]+Tbl_Hull_Structure[[#This Row],[Distrib]]/2,"")</f>
        <v/>
      </c>
      <c r="AC58" s="111" t="str">
        <f>IF(Tbl_Hull_Structure[[#This Row],[Weight Fact]],ROUND(Tbl_Hull_Structure[[#This Row],[AP from]]/FE_size,0),"")</f>
        <v/>
      </c>
      <c r="AD58" s="113" t="str">
        <f>IF(Tbl_Hull_Structure[[#This Row],[Weight Fact]],ROUND(Tbl_Hull_Structure[[#This Row],[AP to]]/FE_size,0),"")</f>
        <v/>
      </c>
      <c r="AE58"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58" s="133" t="str">
        <f>IF(Tbl_Hull_Structure[[#This Row],[Weight Fact]],IF(Tbl_Hull_Structure[[#This Row],[Fr from]]*FE_size&lt;0,0,Tbl_Hull_Structure[[#This Row],[Fr from]]*FE_size),"")</f>
        <v/>
      </c>
      <c r="AG58" s="134" t="str">
        <f>IF(Tbl_Hull_Structure[[#This Row],[Weight Fact]],IF(Tbl_Hull_Structure[[#This Row],[Fr to]]*FE_size=Tbl_Hull_Structure[[#This Row],[L from]],Tbl_Hull_Structure[[#This Row],[L from]]+FE_size,IF(Tbl_Hull_Structure[[#This Row],[Fr to]]*FE_size&gt;Lpp,Lpp,Tbl_Hull_Structure[[#This Row],[Fr to]]*FE_size)),"")</f>
        <v/>
      </c>
      <c r="AH58" s="144" t="str">
        <f>IFERROR(Tbl_Hull_Structure[[#This Row],[Weight Fact]]/(Tbl_Hull_Structure[[#This Row],[L to]]-Tbl_Hull_Structure[[#This Row],[L from]]),"")</f>
        <v/>
      </c>
      <c r="AI58" s="145" t="str">
        <f>IF(Tbl_Hull_Structure[[#This Row],[Weight Fact]],Tbl_Hull_Structure[[#This Row],[Spread]]*(Tbl_Hull_Structure[[#This Row],[L to]]-Tbl_Hull_Structure[[#This Row],[L from]])-Tbl_Hull_Structure[[#This Row],[Weight Fact]],"")</f>
        <v/>
      </c>
      <c r="AJ58" s="141" t="str">
        <f>IF(AND(ISNUMBER(Tbl_Hull_Structure[[#This Row],[L from]]),ISNUMBER(Tbl_Hull_Structure[[#This Row],[L to]])),IF(AND(Tbl_Hull_Structure[[#This Row],[L from]]&gt;=0,Tbl_Hull_Structure[[#This Row],[L to]]&lt;=Lpp),"OK","KO"),"OK")</f>
        <v>OK</v>
      </c>
    </row>
    <row r="59" spans="2:36" x14ac:dyDescent="0.25">
      <c r="B59" s="94">
        <f t="shared" si="1"/>
        <v>3</v>
      </c>
      <c r="C59" s="215"/>
      <c r="D59" s="217" t="s">
        <v>118</v>
      </c>
      <c r="E59" s="214" t="str">
        <f>IF(NOT(ISBLANK(Tbl_Hull_Structure[[#This Row],[Num]])),TEXT(Tbl_Hull_Structure[[#This Row],[Group]],"00")&amp;"-"&amp;TEXT(Tbl_Hull_Structure[[#This Row],[Num]],"000"),"")</f>
        <v>00-24.d</v>
      </c>
      <c r="F59" s="218" t="s">
        <v>70</v>
      </c>
      <c r="G59" s="219">
        <v>0</v>
      </c>
      <c r="H59" s="220">
        <v>0.2</v>
      </c>
      <c r="I59" s="222">
        <f>Tbl_Hull_Structure[[#This Row],[Qty]]*Tbl_Hull_Structure[[#This Row],[Unitary ]]</f>
        <v>0</v>
      </c>
      <c r="J59" s="221">
        <v>1.02</v>
      </c>
      <c r="K59" s="224">
        <f>Tbl_Hull_Structure[[#This Row],[Contingency ]]*Tbl_Hull_Structure[[#This Row],[Total Op]]</f>
        <v>0</v>
      </c>
      <c r="L59" s="226">
        <v>59.11</v>
      </c>
      <c r="M59" s="228">
        <v>-8.0299999999999994</v>
      </c>
      <c r="N59" s="230">
        <v>4.2</v>
      </c>
      <c r="O59" s="231">
        <v>1.1999999999999957</v>
      </c>
      <c r="P59" s="234" t="s">
        <v>95</v>
      </c>
      <c r="Q59" s="235" t="s">
        <v>33</v>
      </c>
      <c r="R59" s="241"/>
      <c r="S59" s="238" t="str">
        <f>IF(Tbl_Hull_Structure[[#This Row],[Weight Op]],Tbl_Hull_Structure[[#This Row],[Weight Op]]*Tbl_Hull_Structure[[#This Row],[X]],"")</f>
        <v/>
      </c>
      <c r="T59" s="101" t="str">
        <f>IF(Tbl_Hull_Structure[[#This Row],[Weight Op]],Tbl_Hull_Structure[[#This Row],[Weight Op]]*Tbl_Hull_Structure[[#This Row],[Y]],"")</f>
        <v/>
      </c>
      <c r="U59" s="99" t="str">
        <f>IF(Tbl_Hull_Structure[[#This Row],[Weight Op]],Tbl_Hull_Structure[[#This Row],[Weight Op]]*Tbl_Hull_Structure[[#This Row],[Z]],"")</f>
        <v/>
      </c>
      <c r="V59" s="103">
        <f>Tbl_Hull_Structure[[#This Row],[Weight Op]]</f>
        <v>0</v>
      </c>
      <c r="W59" s="105" t="str">
        <f>IF(Tbl_Hull_Structure[[#This Row],[Weight Fact]],Tbl_Hull_Structure[[#This Row],[X]],"")</f>
        <v/>
      </c>
      <c r="X59" s="107" t="str">
        <f>IF(Tbl_Hull_Structure[[#This Row],[Weight Fact]],Tbl_Hull_Structure[[#This Row],[Y]],"")</f>
        <v/>
      </c>
      <c r="Y59" s="109" t="str">
        <f>IF(Tbl_Hull_Structure[[#This Row],[Weight Fact]],Tbl_Hull_Structure[[#This Row],[Z]],"")</f>
        <v/>
      </c>
      <c r="Z59" s="117" t="str">
        <f>IF(Tbl_Hull_Structure[[#This Row],[Weight Fact]],Tbl_Hull_Structure[[#This Row],[X distrib]],"")</f>
        <v/>
      </c>
      <c r="AA59" s="120" t="str">
        <f>IF(Tbl_Hull_Structure[[#This Row],[Weight Fact]],Tbl_Hull_Structure[[#This Row],[COG x ]]-Tbl_Hull_Structure[[#This Row],[Distrib]]/2,"")</f>
        <v/>
      </c>
      <c r="AB59" s="123" t="str">
        <f>IF(Tbl_Hull_Structure[[#This Row],[Weight Fact]],Tbl_Hull_Structure[[#This Row],[COG x ]]+Tbl_Hull_Structure[[#This Row],[Distrib]]/2,"")</f>
        <v/>
      </c>
      <c r="AC59" s="111" t="str">
        <f>IF(Tbl_Hull_Structure[[#This Row],[Weight Fact]],ROUND(Tbl_Hull_Structure[[#This Row],[AP from]]/FE_size,0),"")</f>
        <v/>
      </c>
      <c r="AD59" s="113" t="str">
        <f>IF(Tbl_Hull_Structure[[#This Row],[Weight Fact]],ROUND(Tbl_Hull_Structure[[#This Row],[AP to]]/FE_size,0),"")</f>
        <v/>
      </c>
      <c r="AE59"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59" s="133" t="str">
        <f>IF(Tbl_Hull_Structure[[#This Row],[Weight Fact]],IF(Tbl_Hull_Structure[[#This Row],[Fr from]]*FE_size&lt;0,0,Tbl_Hull_Structure[[#This Row],[Fr from]]*FE_size),"")</f>
        <v/>
      </c>
      <c r="AG59" s="134" t="str">
        <f>IF(Tbl_Hull_Structure[[#This Row],[Weight Fact]],IF(Tbl_Hull_Structure[[#This Row],[Fr to]]*FE_size=Tbl_Hull_Structure[[#This Row],[L from]],Tbl_Hull_Structure[[#This Row],[L from]]+FE_size,IF(Tbl_Hull_Structure[[#This Row],[Fr to]]*FE_size&gt;Lpp,Lpp,Tbl_Hull_Structure[[#This Row],[Fr to]]*FE_size)),"")</f>
        <v/>
      </c>
      <c r="AH59" s="144" t="str">
        <f>IFERROR(Tbl_Hull_Structure[[#This Row],[Weight Fact]]/(Tbl_Hull_Structure[[#This Row],[L to]]-Tbl_Hull_Structure[[#This Row],[L from]]),"")</f>
        <v/>
      </c>
      <c r="AI59" s="145" t="str">
        <f>IF(Tbl_Hull_Structure[[#This Row],[Weight Fact]],Tbl_Hull_Structure[[#This Row],[Spread]]*(Tbl_Hull_Structure[[#This Row],[L to]]-Tbl_Hull_Structure[[#This Row],[L from]])-Tbl_Hull_Structure[[#This Row],[Weight Fact]],"")</f>
        <v/>
      </c>
      <c r="AJ59" s="141" t="str">
        <f>IF(AND(ISNUMBER(Tbl_Hull_Structure[[#This Row],[L from]]),ISNUMBER(Tbl_Hull_Structure[[#This Row],[L to]])),IF(AND(Tbl_Hull_Structure[[#This Row],[L from]]&gt;=0,Tbl_Hull_Structure[[#This Row],[L to]]&lt;=Lpp),"OK","KO"),"OK")</f>
        <v>OK</v>
      </c>
    </row>
    <row r="60" spans="2:36" x14ac:dyDescent="0.25">
      <c r="B60" s="94">
        <f t="shared" si="1"/>
        <v>3</v>
      </c>
      <c r="C60" s="215"/>
      <c r="D60" s="217">
        <v>25</v>
      </c>
      <c r="E60" s="214" t="str">
        <f>IF(NOT(ISBLANK(Tbl_Hull_Structure[[#This Row],[Num]])),TEXT(Tbl_Hull_Structure[[#This Row],[Group]],"00")&amp;"-"&amp;TEXT(Tbl_Hull_Structure[[#This Row],[Num]],"000"),"")</f>
        <v>00-025</v>
      </c>
      <c r="F60" s="218" t="s">
        <v>119</v>
      </c>
      <c r="G60" s="219">
        <v>0</v>
      </c>
      <c r="H60" s="220">
        <v>2</v>
      </c>
      <c r="I60" s="222">
        <f>Tbl_Hull_Structure[[#This Row],[Qty]]*Tbl_Hull_Structure[[#This Row],[Unitary ]]</f>
        <v>0</v>
      </c>
      <c r="J60" s="221">
        <v>1.02</v>
      </c>
      <c r="K60" s="224">
        <f>Tbl_Hull_Structure[[#This Row],[Contingency ]]*Tbl_Hull_Structure[[#This Row],[Total Op]]</f>
        <v>0</v>
      </c>
      <c r="L60" s="226">
        <v>49.83</v>
      </c>
      <c r="M60" s="228">
        <v>0.48499999999999999</v>
      </c>
      <c r="N60" s="230">
        <v>6.8</v>
      </c>
      <c r="O60" s="231">
        <v>2.2000000000000028</v>
      </c>
      <c r="P60" s="234" t="s">
        <v>95</v>
      </c>
      <c r="Q60" s="235" t="s">
        <v>33</v>
      </c>
      <c r="R60" s="241"/>
      <c r="S60" s="238" t="str">
        <f>IF(Tbl_Hull_Structure[[#This Row],[Weight Op]],Tbl_Hull_Structure[[#This Row],[Weight Op]]*Tbl_Hull_Structure[[#This Row],[X]],"")</f>
        <v/>
      </c>
      <c r="T60" s="101" t="str">
        <f>IF(Tbl_Hull_Structure[[#This Row],[Weight Op]],Tbl_Hull_Structure[[#This Row],[Weight Op]]*Tbl_Hull_Structure[[#This Row],[Y]],"")</f>
        <v/>
      </c>
      <c r="U60" s="99" t="str">
        <f>IF(Tbl_Hull_Structure[[#This Row],[Weight Op]],Tbl_Hull_Structure[[#This Row],[Weight Op]]*Tbl_Hull_Structure[[#This Row],[Z]],"")</f>
        <v/>
      </c>
      <c r="V60" s="103">
        <f>Tbl_Hull_Structure[[#This Row],[Weight Op]]</f>
        <v>0</v>
      </c>
      <c r="W60" s="105" t="str">
        <f>IF(Tbl_Hull_Structure[[#This Row],[Weight Fact]],Tbl_Hull_Structure[[#This Row],[X]],"")</f>
        <v/>
      </c>
      <c r="X60" s="107" t="str">
        <f>IF(Tbl_Hull_Structure[[#This Row],[Weight Fact]],Tbl_Hull_Structure[[#This Row],[Y]],"")</f>
        <v/>
      </c>
      <c r="Y60" s="109" t="str">
        <f>IF(Tbl_Hull_Structure[[#This Row],[Weight Fact]],Tbl_Hull_Structure[[#This Row],[Z]],"")</f>
        <v/>
      </c>
      <c r="Z60" s="117" t="str">
        <f>IF(Tbl_Hull_Structure[[#This Row],[Weight Fact]],Tbl_Hull_Structure[[#This Row],[X distrib]],"")</f>
        <v/>
      </c>
      <c r="AA60" s="120" t="str">
        <f>IF(Tbl_Hull_Structure[[#This Row],[Weight Fact]],Tbl_Hull_Structure[[#This Row],[COG x ]]-Tbl_Hull_Structure[[#This Row],[Distrib]]/2,"")</f>
        <v/>
      </c>
      <c r="AB60" s="123" t="str">
        <f>IF(Tbl_Hull_Structure[[#This Row],[Weight Fact]],Tbl_Hull_Structure[[#This Row],[COG x ]]+Tbl_Hull_Structure[[#This Row],[Distrib]]/2,"")</f>
        <v/>
      </c>
      <c r="AC60" s="111" t="str">
        <f>IF(Tbl_Hull_Structure[[#This Row],[Weight Fact]],ROUND(Tbl_Hull_Structure[[#This Row],[AP from]]/FE_size,0),"")</f>
        <v/>
      </c>
      <c r="AD60" s="113" t="str">
        <f>IF(Tbl_Hull_Structure[[#This Row],[Weight Fact]],ROUND(Tbl_Hull_Structure[[#This Row],[AP to]]/FE_size,0),"")</f>
        <v/>
      </c>
      <c r="AE60"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60" s="133" t="str">
        <f>IF(Tbl_Hull_Structure[[#This Row],[Weight Fact]],IF(Tbl_Hull_Structure[[#This Row],[Fr from]]*FE_size&lt;0,0,Tbl_Hull_Structure[[#This Row],[Fr from]]*FE_size),"")</f>
        <v/>
      </c>
      <c r="AG60" s="134" t="str">
        <f>IF(Tbl_Hull_Structure[[#This Row],[Weight Fact]],IF(Tbl_Hull_Structure[[#This Row],[Fr to]]*FE_size=Tbl_Hull_Structure[[#This Row],[L from]],Tbl_Hull_Structure[[#This Row],[L from]]+FE_size,IF(Tbl_Hull_Structure[[#This Row],[Fr to]]*FE_size&gt;Lpp,Lpp,Tbl_Hull_Structure[[#This Row],[Fr to]]*FE_size)),"")</f>
        <v/>
      </c>
      <c r="AH60" s="144" t="str">
        <f>IFERROR(Tbl_Hull_Structure[[#This Row],[Weight Fact]]/(Tbl_Hull_Structure[[#This Row],[L to]]-Tbl_Hull_Structure[[#This Row],[L from]]),"")</f>
        <v/>
      </c>
      <c r="AI60" s="145" t="str">
        <f>IF(Tbl_Hull_Structure[[#This Row],[Weight Fact]],Tbl_Hull_Structure[[#This Row],[Spread]]*(Tbl_Hull_Structure[[#This Row],[L to]]-Tbl_Hull_Structure[[#This Row],[L from]])-Tbl_Hull_Structure[[#This Row],[Weight Fact]],"")</f>
        <v/>
      </c>
      <c r="AJ60" s="141" t="str">
        <f>IF(AND(ISNUMBER(Tbl_Hull_Structure[[#This Row],[L from]]),ISNUMBER(Tbl_Hull_Structure[[#This Row],[L to]])),IF(AND(Tbl_Hull_Structure[[#This Row],[L from]]&gt;=0,Tbl_Hull_Structure[[#This Row],[L to]]&lt;=Lpp),"OK","KO"),"OK")</f>
        <v>OK</v>
      </c>
    </row>
    <row r="61" spans="2:36" x14ac:dyDescent="0.25">
      <c r="B61" s="94">
        <f t="shared" si="1"/>
        <v>3</v>
      </c>
      <c r="C61" s="215"/>
      <c r="D61" s="217">
        <v>26</v>
      </c>
      <c r="E61" s="214" t="str">
        <f>IF(NOT(ISBLANK(Tbl_Hull_Structure[[#This Row],[Num]])),TEXT(Tbl_Hull_Structure[[#This Row],[Group]],"00")&amp;"-"&amp;TEXT(Tbl_Hull_Structure[[#This Row],[Num]],"000"),"")</f>
        <v>00-026</v>
      </c>
      <c r="F61" s="218" t="s">
        <v>136</v>
      </c>
      <c r="G61" s="219">
        <v>0</v>
      </c>
      <c r="H61" s="220">
        <v>0.75</v>
      </c>
      <c r="I61" s="222">
        <f>Tbl_Hull_Structure[[#This Row],[Qty]]*Tbl_Hull_Structure[[#This Row],[Unitary ]]</f>
        <v>0</v>
      </c>
      <c r="J61" s="221">
        <v>1.02</v>
      </c>
      <c r="K61" s="224">
        <f>Tbl_Hull_Structure[[#This Row],[Contingency ]]*Tbl_Hull_Structure[[#This Row],[Total Op]]</f>
        <v>0</v>
      </c>
      <c r="L61" s="226">
        <v>46.86</v>
      </c>
      <c r="M61" s="228">
        <v>3.78</v>
      </c>
      <c r="N61" s="230">
        <v>6.5</v>
      </c>
      <c r="O61" s="231">
        <v>1.8000000000000043</v>
      </c>
      <c r="P61" s="234" t="s">
        <v>95</v>
      </c>
      <c r="Q61" s="235" t="s">
        <v>33</v>
      </c>
      <c r="R61" s="241"/>
      <c r="S61" s="238" t="str">
        <f>IF(Tbl_Hull_Structure[[#This Row],[Weight Op]],Tbl_Hull_Structure[[#This Row],[Weight Op]]*Tbl_Hull_Structure[[#This Row],[X]],"")</f>
        <v/>
      </c>
      <c r="T61" s="101" t="str">
        <f>IF(Tbl_Hull_Structure[[#This Row],[Weight Op]],Tbl_Hull_Structure[[#This Row],[Weight Op]]*Tbl_Hull_Structure[[#This Row],[Y]],"")</f>
        <v/>
      </c>
      <c r="U61" s="99" t="str">
        <f>IF(Tbl_Hull_Structure[[#This Row],[Weight Op]],Tbl_Hull_Structure[[#This Row],[Weight Op]]*Tbl_Hull_Structure[[#This Row],[Z]],"")</f>
        <v/>
      </c>
      <c r="V61" s="103">
        <f>Tbl_Hull_Structure[[#This Row],[Weight Op]]</f>
        <v>0</v>
      </c>
      <c r="W61" s="105" t="str">
        <f>IF(Tbl_Hull_Structure[[#This Row],[Weight Fact]],Tbl_Hull_Structure[[#This Row],[X]],"")</f>
        <v/>
      </c>
      <c r="X61" s="107" t="str">
        <f>IF(Tbl_Hull_Structure[[#This Row],[Weight Fact]],Tbl_Hull_Structure[[#This Row],[Y]],"")</f>
        <v/>
      </c>
      <c r="Y61" s="109" t="str">
        <f>IF(Tbl_Hull_Structure[[#This Row],[Weight Fact]],Tbl_Hull_Structure[[#This Row],[Z]],"")</f>
        <v/>
      </c>
      <c r="Z61" s="117" t="str">
        <f>IF(Tbl_Hull_Structure[[#This Row],[Weight Fact]],Tbl_Hull_Structure[[#This Row],[X distrib]],"")</f>
        <v/>
      </c>
      <c r="AA61" s="120" t="str">
        <f>IF(Tbl_Hull_Structure[[#This Row],[Weight Fact]],Tbl_Hull_Structure[[#This Row],[COG x ]]-Tbl_Hull_Structure[[#This Row],[Distrib]]/2,"")</f>
        <v/>
      </c>
      <c r="AB61" s="123" t="str">
        <f>IF(Tbl_Hull_Structure[[#This Row],[Weight Fact]],Tbl_Hull_Structure[[#This Row],[COG x ]]+Tbl_Hull_Structure[[#This Row],[Distrib]]/2,"")</f>
        <v/>
      </c>
      <c r="AC61" s="111" t="str">
        <f>IF(Tbl_Hull_Structure[[#This Row],[Weight Fact]],ROUND(Tbl_Hull_Structure[[#This Row],[AP from]]/FE_size,0),"")</f>
        <v/>
      </c>
      <c r="AD61" s="113" t="str">
        <f>IF(Tbl_Hull_Structure[[#This Row],[Weight Fact]],ROUND(Tbl_Hull_Structure[[#This Row],[AP to]]/FE_size,0),"")</f>
        <v/>
      </c>
      <c r="AE61"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61" s="133" t="str">
        <f>IF(Tbl_Hull_Structure[[#This Row],[Weight Fact]],IF(Tbl_Hull_Structure[[#This Row],[Fr from]]*FE_size&lt;0,0,Tbl_Hull_Structure[[#This Row],[Fr from]]*FE_size),"")</f>
        <v/>
      </c>
      <c r="AG61" s="134" t="str">
        <f>IF(Tbl_Hull_Structure[[#This Row],[Weight Fact]],IF(Tbl_Hull_Structure[[#This Row],[Fr to]]*FE_size=Tbl_Hull_Structure[[#This Row],[L from]],Tbl_Hull_Structure[[#This Row],[L from]]+FE_size,IF(Tbl_Hull_Structure[[#This Row],[Fr to]]*FE_size&gt;Lpp,Lpp,Tbl_Hull_Structure[[#This Row],[Fr to]]*FE_size)),"")</f>
        <v/>
      </c>
      <c r="AH61" s="144" t="str">
        <f>IFERROR(Tbl_Hull_Structure[[#This Row],[Weight Fact]]/(Tbl_Hull_Structure[[#This Row],[L to]]-Tbl_Hull_Structure[[#This Row],[L from]]),"")</f>
        <v/>
      </c>
      <c r="AI61" s="145" t="str">
        <f>IF(Tbl_Hull_Structure[[#This Row],[Weight Fact]],Tbl_Hull_Structure[[#This Row],[Spread]]*(Tbl_Hull_Structure[[#This Row],[L to]]-Tbl_Hull_Structure[[#This Row],[L from]])-Tbl_Hull_Structure[[#This Row],[Weight Fact]],"")</f>
        <v/>
      </c>
      <c r="AJ61" s="141" t="str">
        <f>IF(AND(ISNUMBER(Tbl_Hull_Structure[[#This Row],[L from]]),ISNUMBER(Tbl_Hull_Structure[[#This Row],[L to]])),IF(AND(Tbl_Hull_Structure[[#This Row],[L from]]&gt;=0,Tbl_Hull_Structure[[#This Row],[L to]]&lt;=Lpp),"OK","KO"),"OK")</f>
        <v>OK</v>
      </c>
    </row>
    <row r="62" spans="2:36" x14ac:dyDescent="0.25">
      <c r="B62" s="94">
        <f t="shared" si="1"/>
        <v>3</v>
      </c>
      <c r="C62" s="215"/>
      <c r="D62" s="217" t="s">
        <v>128</v>
      </c>
      <c r="E62" s="214" t="str">
        <f>IF(NOT(ISBLANK(Tbl_Hull_Structure[[#This Row],[Num]])),TEXT(Tbl_Hull_Structure[[#This Row],[Group]],"00")&amp;"-"&amp;TEXT(Tbl_Hull_Structure[[#This Row],[Num]],"000"),"")</f>
        <v>00-27.a</v>
      </c>
      <c r="F62" s="218" t="s">
        <v>137</v>
      </c>
      <c r="G62" s="219">
        <v>0</v>
      </c>
      <c r="H62" s="220">
        <v>6.5</v>
      </c>
      <c r="I62" s="222">
        <f>Tbl_Hull_Structure[[#This Row],[Qty]]*Tbl_Hull_Structure[[#This Row],[Unitary ]]</f>
        <v>0</v>
      </c>
      <c r="J62" s="221">
        <v>1.02</v>
      </c>
      <c r="K62" s="224">
        <f>Tbl_Hull_Structure[[#This Row],[Contingency ]]*Tbl_Hull_Structure[[#This Row],[Total Op]]</f>
        <v>0</v>
      </c>
      <c r="L62" s="226">
        <v>5.5</v>
      </c>
      <c r="M62" s="228">
        <v>-2.9</v>
      </c>
      <c r="N62" s="230">
        <v>4.125</v>
      </c>
      <c r="O62" s="231">
        <v>11.1</v>
      </c>
      <c r="P62" s="234" t="s">
        <v>95</v>
      </c>
      <c r="Q62" s="235" t="s">
        <v>33</v>
      </c>
      <c r="R62" s="241" t="s">
        <v>155</v>
      </c>
      <c r="S62" s="238" t="str">
        <f>IF(Tbl_Hull_Structure[[#This Row],[Weight Op]],Tbl_Hull_Structure[[#This Row],[Weight Op]]*Tbl_Hull_Structure[[#This Row],[X]],"")</f>
        <v/>
      </c>
      <c r="T62" s="101" t="str">
        <f>IF(Tbl_Hull_Structure[[#This Row],[Weight Op]],Tbl_Hull_Structure[[#This Row],[Weight Op]]*Tbl_Hull_Structure[[#This Row],[Y]],"")</f>
        <v/>
      </c>
      <c r="U62" s="99" t="str">
        <f>IF(Tbl_Hull_Structure[[#This Row],[Weight Op]],Tbl_Hull_Structure[[#This Row],[Weight Op]]*Tbl_Hull_Structure[[#This Row],[Z]],"")</f>
        <v/>
      </c>
      <c r="V62" s="103">
        <f>Tbl_Hull_Structure[[#This Row],[Weight Op]]</f>
        <v>0</v>
      </c>
      <c r="W62" s="105" t="str">
        <f>IF(Tbl_Hull_Structure[[#This Row],[Weight Fact]],Tbl_Hull_Structure[[#This Row],[X]],"")</f>
        <v/>
      </c>
      <c r="X62" s="107" t="str">
        <f>IF(Tbl_Hull_Structure[[#This Row],[Weight Fact]],Tbl_Hull_Structure[[#This Row],[Y]],"")</f>
        <v/>
      </c>
      <c r="Y62" s="109" t="str">
        <f>IF(Tbl_Hull_Structure[[#This Row],[Weight Fact]],Tbl_Hull_Structure[[#This Row],[Z]],"")</f>
        <v/>
      </c>
      <c r="Z62" s="117" t="str">
        <f>IF(Tbl_Hull_Structure[[#This Row],[Weight Fact]],Tbl_Hull_Structure[[#This Row],[X distrib]],"")</f>
        <v/>
      </c>
      <c r="AA62" s="120" t="str">
        <f>IF(Tbl_Hull_Structure[[#This Row],[Weight Fact]],Tbl_Hull_Structure[[#This Row],[COG x ]]-Tbl_Hull_Structure[[#This Row],[Distrib]]/2,"")</f>
        <v/>
      </c>
      <c r="AB62" s="123" t="str">
        <f>IF(Tbl_Hull_Structure[[#This Row],[Weight Fact]],Tbl_Hull_Structure[[#This Row],[COG x ]]+Tbl_Hull_Structure[[#This Row],[Distrib]]/2,"")</f>
        <v/>
      </c>
      <c r="AC62" s="111" t="str">
        <f>IF(Tbl_Hull_Structure[[#This Row],[Weight Fact]],ROUND(Tbl_Hull_Structure[[#This Row],[AP from]]/FE_size,0),"")</f>
        <v/>
      </c>
      <c r="AD62" s="113" t="str">
        <f>IF(Tbl_Hull_Structure[[#This Row],[Weight Fact]],ROUND(Tbl_Hull_Structure[[#This Row],[AP to]]/FE_size,0),"")</f>
        <v/>
      </c>
      <c r="AE62"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62" s="133" t="str">
        <f>IF(Tbl_Hull_Structure[[#This Row],[Weight Fact]],IF(Tbl_Hull_Structure[[#This Row],[Fr from]]*FE_size&lt;0,0,Tbl_Hull_Structure[[#This Row],[Fr from]]*FE_size),"")</f>
        <v/>
      </c>
      <c r="AG62" s="134" t="str">
        <f>IF(Tbl_Hull_Structure[[#This Row],[Weight Fact]],IF(Tbl_Hull_Structure[[#This Row],[Fr to]]*FE_size=Tbl_Hull_Structure[[#This Row],[L from]],Tbl_Hull_Structure[[#This Row],[L from]]+FE_size,IF(Tbl_Hull_Structure[[#This Row],[Fr to]]*FE_size&gt;Lpp,Lpp,Tbl_Hull_Structure[[#This Row],[Fr to]]*FE_size)),"")</f>
        <v/>
      </c>
      <c r="AH62" s="144" t="str">
        <f>IFERROR(Tbl_Hull_Structure[[#This Row],[Weight Fact]]/(Tbl_Hull_Structure[[#This Row],[L to]]-Tbl_Hull_Structure[[#This Row],[L from]]),"")</f>
        <v/>
      </c>
      <c r="AI62" s="145" t="str">
        <f>IF(Tbl_Hull_Structure[[#This Row],[Weight Fact]],Tbl_Hull_Structure[[#This Row],[Spread]]*(Tbl_Hull_Structure[[#This Row],[L to]]-Tbl_Hull_Structure[[#This Row],[L from]])-Tbl_Hull_Structure[[#This Row],[Weight Fact]],"")</f>
        <v/>
      </c>
      <c r="AJ62" s="141" t="str">
        <f>IF(AND(ISNUMBER(Tbl_Hull_Structure[[#This Row],[L from]]),ISNUMBER(Tbl_Hull_Structure[[#This Row],[L to]])),IF(AND(Tbl_Hull_Structure[[#This Row],[L from]]&gt;=0,Tbl_Hull_Structure[[#This Row],[L to]]&lt;=Lpp),"OK","KO"),"OK")</f>
        <v>OK</v>
      </c>
    </row>
    <row r="63" spans="2:36" x14ac:dyDescent="0.25">
      <c r="B63" s="94">
        <f t="shared" si="1"/>
        <v>3</v>
      </c>
      <c r="C63" s="215"/>
      <c r="D63" s="217" t="s">
        <v>129</v>
      </c>
      <c r="E63" s="214" t="str">
        <f>IF(NOT(ISBLANK(Tbl_Hull_Structure[[#This Row],[Num]])),TEXT(Tbl_Hull_Structure[[#This Row],[Group]],"00")&amp;"-"&amp;TEXT(Tbl_Hull_Structure[[#This Row],[Num]],"000"),"")</f>
        <v>00-27.b</v>
      </c>
      <c r="F63" s="218" t="s">
        <v>137</v>
      </c>
      <c r="G63" s="219">
        <v>0</v>
      </c>
      <c r="H63" s="220">
        <v>6.5</v>
      </c>
      <c r="I63" s="222">
        <f>Tbl_Hull_Structure[[#This Row],[Qty]]*Tbl_Hull_Structure[[#This Row],[Unitary ]]</f>
        <v>0</v>
      </c>
      <c r="J63" s="221">
        <v>1.02</v>
      </c>
      <c r="K63" s="224">
        <f>Tbl_Hull_Structure[[#This Row],[Contingency ]]*Tbl_Hull_Structure[[#This Row],[Total Op]]</f>
        <v>0</v>
      </c>
      <c r="L63" s="226">
        <v>5.5</v>
      </c>
      <c r="M63" s="228">
        <v>3.9</v>
      </c>
      <c r="N63" s="230">
        <v>4.125</v>
      </c>
      <c r="O63" s="231">
        <v>11.1</v>
      </c>
      <c r="P63" s="234" t="s">
        <v>95</v>
      </c>
      <c r="Q63" s="235" t="s">
        <v>33</v>
      </c>
      <c r="R63" s="241" t="s">
        <v>155</v>
      </c>
      <c r="S63" s="238" t="str">
        <f>IF(Tbl_Hull_Structure[[#This Row],[Weight Op]],Tbl_Hull_Structure[[#This Row],[Weight Op]]*Tbl_Hull_Structure[[#This Row],[X]],"")</f>
        <v/>
      </c>
      <c r="T63" s="101" t="str">
        <f>IF(Tbl_Hull_Structure[[#This Row],[Weight Op]],Tbl_Hull_Structure[[#This Row],[Weight Op]]*Tbl_Hull_Structure[[#This Row],[Y]],"")</f>
        <v/>
      </c>
      <c r="U63" s="99" t="str">
        <f>IF(Tbl_Hull_Structure[[#This Row],[Weight Op]],Tbl_Hull_Structure[[#This Row],[Weight Op]]*Tbl_Hull_Structure[[#This Row],[Z]],"")</f>
        <v/>
      </c>
      <c r="V63" s="103">
        <f>Tbl_Hull_Structure[[#This Row],[Weight Op]]</f>
        <v>0</v>
      </c>
      <c r="W63" s="105" t="str">
        <f>IF(Tbl_Hull_Structure[[#This Row],[Weight Fact]],Tbl_Hull_Structure[[#This Row],[X]],"")</f>
        <v/>
      </c>
      <c r="X63" s="107" t="str">
        <f>IF(Tbl_Hull_Structure[[#This Row],[Weight Fact]],Tbl_Hull_Structure[[#This Row],[Y]],"")</f>
        <v/>
      </c>
      <c r="Y63" s="109" t="str">
        <f>IF(Tbl_Hull_Structure[[#This Row],[Weight Fact]],Tbl_Hull_Structure[[#This Row],[Z]],"")</f>
        <v/>
      </c>
      <c r="Z63" s="117" t="str">
        <f>IF(Tbl_Hull_Structure[[#This Row],[Weight Fact]],Tbl_Hull_Structure[[#This Row],[X distrib]],"")</f>
        <v/>
      </c>
      <c r="AA63" s="120" t="str">
        <f>IF(Tbl_Hull_Structure[[#This Row],[Weight Fact]],Tbl_Hull_Structure[[#This Row],[COG x ]]-Tbl_Hull_Structure[[#This Row],[Distrib]]/2,"")</f>
        <v/>
      </c>
      <c r="AB63" s="123" t="str">
        <f>IF(Tbl_Hull_Structure[[#This Row],[Weight Fact]],Tbl_Hull_Structure[[#This Row],[COG x ]]+Tbl_Hull_Structure[[#This Row],[Distrib]]/2,"")</f>
        <v/>
      </c>
      <c r="AC63" s="111" t="str">
        <f>IF(Tbl_Hull_Structure[[#This Row],[Weight Fact]],ROUND(Tbl_Hull_Structure[[#This Row],[AP from]]/FE_size,0),"")</f>
        <v/>
      </c>
      <c r="AD63" s="113" t="str">
        <f>IF(Tbl_Hull_Structure[[#This Row],[Weight Fact]],ROUND(Tbl_Hull_Structure[[#This Row],[AP to]]/FE_size,0),"")</f>
        <v/>
      </c>
      <c r="AE63"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63" s="133" t="str">
        <f>IF(Tbl_Hull_Structure[[#This Row],[Weight Fact]],IF(Tbl_Hull_Structure[[#This Row],[Fr from]]*FE_size&lt;0,0,Tbl_Hull_Structure[[#This Row],[Fr from]]*FE_size),"")</f>
        <v/>
      </c>
      <c r="AG63" s="134" t="str">
        <f>IF(Tbl_Hull_Structure[[#This Row],[Weight Fact]],IF(Tbl_Hull_Structure[[#This Row],[Fr to]]*FE_size=Tbl_Hull_Structure[[#This Row],[L from]],Tbl_Hull_Structure[[#This Row],[L from]]+FE_size,IF(Tbl_Hull_Structure[[#This Row],[Fr to]]*FE_size&gt;Lpp,Lpp,Tbl_Hull_Structure[[#This Row],[Fr to]]*FE_size)),"")</f>
        <v/>
      </c>
      <c r="AH63" s="144" t="str">
        <f>IFERROR(Tbl_Hull_Structure[[#This Row],[Weight Fact]]/(Tbl_Hull_Structure[[#This Row],[L to]]-Tbl_Hull_Structure[[#This Row],[L from]]),"")</f>
        <v/>
      </c>
      <c r="AI63" s="145" t="str">
        <f>IF(Tbl_Hull_Structure[[#This Row],[Weight Fact]],Tbl_Hull_Structure[[#This Row],[Spread]]*(Tbl_Hull_Structure[[#This Row],[L to]]-Tbl_Hull_Structure[[#This Row],[L from]])-Tbl_Hull_Structure[[#This Row],[Weight Fact]],"")</f>
        <v/>
      </c>
      <c r="AJ63" s="141" t="str">
        <f>IF(AND(ISNUMBER(Tbl_Hull_Structure[[#This Row],[L from]]),ISNUMBER(Tbl_Hull_Structure[[#This Row],[L to]])),IF(AND(Tbl_Hull_Structure[[#This Row],[L from]]&gt;=0,Tbl_Hull_Structure[[#This Row],[L to]]&lt;=Lpp),"OK","KO"),"OK")</f>
        <v>OK</v>
      </c>
    </row>
    <row r="64" spans="2:36" x14ac:dyDescent="0.25">
      <c r="B64" s="94">
        <f t="shared" si="1"/>
        <v>3</v>
      </c>
      <c r="C64" s="215"/>
      <c r="D64" s="217">
        <v>33</v>
      </c>
      <c r="E64" s="214" t="str">
        <f>IF(NOT(ISBLANK(Tbl_Hull_Structure[[#This Row],[Num]])),TEXT(Tbl_Hull_Structure[[#This Row],[Group]],"00")&amp;"-"&amp;TEXT(Tbl_Hull_Structure[[#This Row],[Num]],"000"),"")</f>
        <v>00-033</v>
      </c>
      <c r="F64" s="218" t="s">
        <v>138</v>
      </c>
      <c r="G64" s="219">
        <v>0</v>
      </c>
      <c r="H64" s="220">
        <v>7.4999999999999997E-2</v>
      </c>
      <c r="I64" s="222">
        <f>Tbl_Hull_Structure[[#This Row],[Qty]]*Tbl_Hull_Structure[[#This Row],[Unitary ]]</f>
        <v>0</v>
      </c>
      <c r="J64" s="221">
        <v>1.02</v>
      </c>
      <c r="K64" s="224">
        <f>Tbl_Hull_Structure[[#This Row],[Contingency ]]*Tbl_Hull_Structure[[#This Row],[Total Op]]</f>
        <v>0</v>
      </c>
      <c r="L64" s="226">
        <v>38.274999999999999</v>
      </c>
      <c r="M64" s="228">
        <v>8.6349999999999998</v>
      </c>
      <c r="N64" s="230">
        <v>4.5999999999999996</v>
      </c>
      <c r="O64" s="231">
        <v>0.29999999999999716</v>
      </c>
      <c r="P64" s="234" t="s">
        <v>95</v>
      </c>
      <c r="Q64" s="235" t="s">
        <v>33</v>
      </c>
      <c r="R64" s="241"/>
      <c r="S64" s="238" t="str">
        <f>IF(Tbl_Hull_Structure[[#This Row],[Weight Op]],Tbl_Hull_Structure[[#This Row],[Weight Op]]*Tbl_Hull_Structure[[#This Row],[X]],"")</f>
        <v/>
      </c>
      <c r="T64" s="101" t="str">
        <f>IF(Tbl_Hull_Structure[[#This Row],[Weight Op]],Tbl_Hull_Structure[[#This Row],[Weight Op]]*Tbl_Hull_Structure[[#This Row],[Y]],"")</f>
        <v/>
      </c>
      <c r="U64" s="99" t="str">
        <f>IF(Tbl_Hull_Structure[[#This Row],[Weight Op]],Tbl_Hull_Structure[[#This Row],[Weight Op]]*Tbl_Hull_Structure[[#This Row],[Z]],"")</f>
        <v/>
      </c>
      <c r="V64" s="103">
        <f>Tbl_Hull_Structure[[#This Row],[Weight Op]]</f>
        <v>0</v>
      </c>
      <c r="W64" s="105" t="str">
        <f>IF(Tbl_Hull_Structure[[#This Row],[Weight Fact]],Tbl_Hull_Structure[[#This Row],[X]],"")</f>
        <v/>
      </c>
      <c r="X64" s="107" t="str">
        <f>IF(Tbl_Hull_Structure[[#This Row],[Weight Fact]],Tbl_Hull_Structure[[#This Row],[Y]],"")</f>
        <v/>
      </c>
      <c r="Y64" s="109" t="str">
        <f>IF(Tbl_Hull_Structure[[#This Row],[Weight Fact]],Tbl_Hull_Structure[[#This Row],[Z]],"")</f>
        <v/>
      </c>
      <c r="Z64" s="117" t="str">
        <f>IF(Tbl_Hull_Structure[[#This Row],[Weight Fact]],Tbl_Hull_Structure[[#This Row],[X distrib]],"")</f>
        <v/>
      </c>
      <c r="AA64" s="120" t="str">
        <f>IF(Tbl_Hull_Structure[[#This Row],[Weight Fact]],Tbl_Hull_Structure[[#This Row],[COG x ]]-Tbl_Hull_Structure[[#This Row],[Distrib]]/2,"")</f>
        <v/>
      </c>
      <c r="AB64" s="123" t="str">
        <f>IF(Tbl_Hull_Structure[[#This Row],[Weight Fact]],Tbl_Hull_Structure[[#This Row],[COG x ]]+Tbl_Hull_Structure[[#This Row],[Distrib]]/2,"")</f>
        <v/>
      </c>
      <c r="AC64" s="111" t="str">
        <f>IF(Tbl_Hull_Structure[[#This Row],[Weight Fact]],ROUND(Tbl_Hull_Structure[[#This Row],[AP from]]/FE_size,0),"")</f>
        <v/>
      </c>
      <c r="AD64" s="113" t="str">
        <f>IF(Tbl_Hull_Structure[[#This Row],[Weight Fact]],ROUND(Tbl_Hull_Structure[[#This Row],[AP to]]/FE_size,0),"")</f>
        <v/>
      </c>
      <c r="AE64"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64" s="133" t="str">
        <f>IF(Tbl_Hull_Structure[[#This Row],[Weight Fact]],IF(Tbl_Hull_Structure[[#This Row],[Fr from]]*FE_size&lt;0,0,Tbl_Hull_Structure[[#This Row],[Fr from]]*FE_size),"")</f>
        <v/>
      </c>
      <c r="AG64" s="134" t="str">
        <f>IF(Tbl_Hull_Structure[[#This Row],[Weight Fact]],IF(Tbl_Hull_Structure[[#This Row],[Fr to]]*FE_size=Tbl_Hull_Structure[[#This Row],[L from]],Tbl_Hull_Structure[[#This Row],[L from]]+FE_size,IF(Tbl_Hull_Structure[[#This Row],[Fr to]]*FE_size&gt;Lpp,Lpp,Tbl_Hull_Structure[[#This Row],[Fr to]]*FE_size)),"")</f>
        <v/>
      </c>
      <c r="AH64" s="144" t="str">
        <f>IFERROR(Tbl_Hull_Structure[[#This Row],[Weight Fact]]/(Tbl_Hull_Structure[[#This Row],[L to]]-Tbl_Hull_Structure[[#This Row],[L from]]),"")</f>
        <v/>
      </c>
      <c r="AI64" s="145" t="str">
        <f>IF(Tbl_Hull_Structure[[#This Row],[Weight Fact]],Tbl_Hull_Structure[[#This Row],[Spread]]*(Tbl_Hull_Structure[[#This Row],[L to]]-Tbl_Hull_Structure[[#This Row],[L from]])-Tbl_Hull_Structure[[#This Row],[Weight Fact]],"")</f>
        <v/>
      </c>
      <c r="AJ64" s="141" t="str">
        <f>IF(AND(ISNUMBER(Tbl_Hull_Structure[[#This Row],[L from]]),ISNUMBER(Tbl_Hull_Structure[[#This Row],[L to]])),IF(AND(Tbl_Hull_Structure[[#This Row],[L from]]&gt;=0,Tbl_Hull_Structure[[#This Row],[L to]]&lt;=Lpp),"OK","KO"),"OK")</f>
        <v>OK</v>
      </c>
    </row>
    <row r="65" spans="2:36" x14ac:dyDescent="0.25">
      <c r="B65" s="94">
        <f t="shared" si="1"/>
        <v>3</v>
      </c>
      <c r="C65" s="215"/>
      <c r="D65" s="217">
        <v>34</v>
      </c>
      <c r="E65" s="214" t="str">
        <f>IF(NOT(ISBLANK(Tbl_Hull_Structure[[#This Row],[Num]])),TEXT(Tbl_Hull_Structure[[#This Row],[Group]],"00")&amp;"-"&amp;TEXT(Tbl_Hull_Structure[[#This Row],[Num]],"000"),"")</f>
        <v>00-034</v>
      </c>
      <c r="F65" s="218" t="s">
        <v>71</v>
      </c>
      <c r="G65" s="219">
        <v>0</v>
      </c>
      <c r="H65" s="220">
        <v>0.05</v>
      </c>
      <c r="I65" s="222">
        <f>Tbl_Hull_Structure[[#This Row],[Qty]]*Tbl_Hull_Structure[[#This Row],[Unitary ]]</f>
        <v>0</v>
      </c>
      <c r="J65" s="221">
        <v>1.02</v>
      </c>
      <c r="K65" s="224">
        <f>Tbl_Hull_Structure[[#This Row],[Contingency ]]*Tbl_Hull_Structure[[#This Row],[Total Op]]</f>
        <v>0</v>
      </c>
      <c r="L65" s="226">
        <v>30</v>
      </c>
      <c r="M65" s="228">
        <v>0</v>
      </c>
      <c r="N65" s="230">
        <v>5.5</v>
      </c>
      <c r="O65" s="231">
        <v>60</v>
      </c>
      <c r="P65" s="234" t="s">
        <v>95</v>
      </c>
      <c r="Q65" s="235" t="s">
        <v>33</v>
      </c>
      <c r="R65" s="241"/>
      <c r="S65" s="238" t="str">
        <f>IF(Tbl_Hull_Structure[[#This Row],[Weight Op]],Tbl_Hull_Structure[[#This Row],[Weight Op]]*Tbl_Hull_Structure[[#This Row],[X]],"")</f>
        <v/>
      </c>
      <c r="T65" s="101" t="str">
        <f>IF(Tbl_Hull_Structure[[#This Row],[Weight Op]],Tbl_Hull_Structure[[#This Row],[Weight Op]]*Tbl_Hull_Structure[[#This Row],[Y]],"")</f>
        <v/>
      </c>
      <c r="U65" s="99" t="str">
        <f>IF(Tbl_Hull_Structure[[#This Row],[Weight Op]],Tbl_Hull_Structure[[#This Row],[Weight Op]]*Tbl_Hull_Structure[[#This Row],[Z]],"")</f>
        <v/>
      </c>
      <c r="V65" s="103">
        <f>Tbl_Hull_Structure[[#This Row],[Weight Op]]</f>
        <v>0</v>
      </c>
      <c r="W65" s="105" t="str">
        <f>IF(Tbl_Hull_Structure[[#This Row],[Weight Fact]],Tbl_Hull_Structure[[#This Row],[X]],"")</f>
        <v/>
      </c>
      <c r="X65" s="107" t="str">
        <f>IF(Tbl_Hull_Structure[[#This Row],[Weight Fact]],Tbl_Hull_Structure[[#This Row],[Y]],"")</f>
        <v/>
      </c>
      <c r="Y65" s="109" t="str">
        <f>IF(Tbl_Hull_Structure[[#This Row],[Weight Fact]],Tbl_Hull_Structure[[#This Row],[Z]],"")</f>
        <v/>
      </c>
      <c r="Z65" s="117" t="str">
        <f>IF(Tbl_Hull_Structure[[#This Row],[Weight Fact]],Tbl_Hull_Structure[[#This Row],[X distrib]],"")</f>
        <v/>
      </c>
      <c r="AA65" s="120" t="str">
        <f>IF(Tbl_Hull_Structure[[#This Row],[Weight Fact]],Tbl_Hull_Structure[[#This Row],[COG x ]]-Tbl_Hull_Structure[[#This Row],[Distrib]]/2,"")</f>
        <v/>
      </c>
      <c r="AB65" s="123" t="str">
        <f>IF(Tbl_Hull_Structure[[#This Row],[Weight Fact]],Tbl_Hull_Structure[[#This Row],[COG x ]]+Tbl_Hull_Structure[[#This Row],[Distrib]]/2,"")</f>
        <v/>
      </c>
      <c r="AC65" s="111" t="str">
        <f>IF(Tbl_Hull_Structure[[#This Row],[Weight Fact]],ROUND(Tbl_Hull_Structure[[#This Row],[AP from]]/FE_size,0),"")</f>
        <v/>
      </c>
      <c r="AD65" s="113" t="str">
        <f>IF(Tbl_Hull_Structure[[#This Row],[Weight Fact]],ROUND(Tbl_Hull_Structure[[#This Row],[AP to]]/FE_size,0),"")</f>
        <v/>
      </c>
      <c r="AE65"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65" s="133" t="str">
        <f>IF(Tbl_Hull_Structure[[#This Row],[Weight Fact]],IF(Tbl_Hull_Structure[[#This Row],[Fr from]]*FE_size&lt;0,0,Tbl_Hull_Structure[[#This Row],[Fr from]]*FE_size),"")</f>
        <v/>
      </c>
      <c r="AG65" s="134" t="str">
        <f>IF(Tbl_Hull_Structure[[#This Row],[Weight Fact]],IF(Tbl_Hull_Structure[[#This Row],[Fr to]]*FE_size=Tbl_Hull_Structure[[#This Row],[L from]],Tbl_Hull_Structure[[#This Row],[L from]]+FE_size,IF(Tbl_Hull_Structure[[#This Row],[Fr to]]*FE_size&gt;Lpp,Lpp,Tbl_Hull_Structure[[#This Row],[Fr to]]*FE_size)),"")</f>
        <v/>
      </c>
      <c r="AH65" s="144" t="str">
        <f>IFERROR(Tbl_Hull_Structure[[#This Row],[Weight Fact]]/(Tbl_Hull_Structure[[#This Row],[L to]]-Tbl_Hull_Structure[[#This Row],[L from]]),"")</f>
        <v/>
      </c>
      <c r="AI65" s="145" t="str">
        <f>IF(Tbl_Hull_Structure[[#This Row],[Weight Fact]],Tbl_Hull_Structure[[#This Row],[Spread]]*(Tbl_Hull_Structure[[#This Row],[L to]]-Tbl_Hull_Structure[[#This Row],[L from]])-Tbl_Hull_Structure[[#This Row],[Weight Fact]],"")</f>
        <v/>
      </c>
      <c r="AJ65" s="141" t="str">
        <f>IF(AND(ISNUMBER(Tbl_Hull_Structure[[#This Row],[L from]]),ISNUMBER(Tbl_Hull_Structure[[#This Row],[L to]])),IF(AND(Tbl_Hull_Structure[[#This Row],[L from]]&gt;=0,Tbl_Hull_Structure[[#This Row],[L to]]&lt;=Lpp),"OK","KO"),"OK")</f>
        <v>OK</v>
      </c>
    </row>
    <row r="66" spans="2:36" x14ac:dyDescent="0.25">
      <c r="B66" s="94">
        <f t="shared" ref="B66:B82" si="2">IF(NOT(ISBLANK(C66)),C66,B65)</f>
        <v>3</v>
      </c>
      <c r="C66" s="215"/>
      <c r="D66" s="217">
        <v>35</v>
      </c>
      <c r="E66" s="214" t="str">
        <f>IF(NOT(ISBLANK(Tbl_Hull_Structure[[#This Row],[Num]])),TEXT(Tbl_Hull_Structure[[#This Row],[Group]],"00")&amp;"-"&amp;TEXT(Tbl_Hull_Structure[[#This Row],[Num]],"000"),"")</f>
        <v>00-035</v>
      </c>
      <c r="F66" s="218" t="s">
        <v>156</v>
      </c>
      <c r="G66" s="219">
        <v>0</v>
      </c>
      <c r="H66" s="220">
        <v>3.5</v>
      </c>
      <c r="I66" s="222">
        <f>Tbl_Hull_Structure[[#This Row],[Qty]]*Tbl_Hull_Structure[[#This Row],[Unitary ]]</f>
        <v>0</v>
      </c>
      <c r="J66" s="221">
        <v>1.02</v>
      </c>
      <c r="K66" s="224">
        <f>Tbl_Hull_Structure[[#This Row],[Contingency ]]*Tbl_Hull_Structure[[#This Row],[Total Op]]</f>
        <v>0</v>
      </c>
      <c r="L66" s="226">
        <v>59</v>
      </c>
      <c r="M66" s="228">
        <v>0</v>
      </c>
      <c r="N66" s="230">
        <v>4</v>
      </c>
      <c r="O66" s="231">
        <v>1.5</v>
      </c>
      <c r="P66" s="234" t="s">
        <v>95</v>
      </c>
      <c r="Q66" s="235" t="s">
        <v>33</v>
      </c>
      <c r="R66" s="241"/>
      <c r="S66" s="238" t="str">
        <f>IF(Tbl_Hull_Structure[[#This Row],[Weight Op]],Tbl_Hull_Structure[[#This Row],[Weight Op]]*Tbl_Hull_Structure[[#This Row],[X]],"")</f>
        <v/>
      </c>
      <c r="T66" s="101" t="str">
        <f>IF(Tbl_Hull_Structure[[#This Row],[Weight Op]],Tbl_Hull_Structure[[#This Row],[Weight Op]]*Tbl_Hull_Structure[[#This Row],[Y]],"")</f>
        <v/>
      </c>
      <c r="U66" s="99" t="str">
        <f>IF(Tbl_Hull_Structure[[#This Row],[Weight Op]],Tbl_Hull_Structure[[#This Row],[Weight Op]]*Tbl_Hull_Structure[[#This Row],[Z]],"")</f>
        <v/>
      </c>
      <c r="V66" s="103">
        <f>Tbl_Hull_Structure[[#This Row],[Weight Op]]</f>
        <v>0</v>
      </c>
      <c r="W66" s="105" t="str">
        <f>IF(Tbl_Hull_Structure[[#This Row],[Weight Fact]],Tbl_Hull_Structure[[#This Row],[X]],"")</f>
        <v/>
      </c>
      <c r="X66" s="107" t="str">
        <f>IF(Tbl_Hull_Structure[[#This Row],[Weight Fact]],Tbl_Hull_Structure[[#This Row],[Y]],"")</f>
        <v/>
      </c>
      <c r="Y66" s="109" t="str">
        <f>IF(Tbl_Hull_Structure[[#This Row],[Weight Fact]],Tbl_Hull_Structure[[#This Row],[Z]],"")</f>
        <v/>
      </c>
      <c r="Z66" s="117" t="str">
        <f>IF(Tbl_Hull_Structure[[#This Row],[Weight Fact]],Tbl_Hull_Structure[[#This Row],[X distrib]],"")</f>
        <v/>
      </c>
      <c r="AA66" s="120" t="str">
        <f>IF(Tbl_Hull_Structure[[#This Row],[Weight Fact]],Tbl_Hull_Structure[[#This Row],[COG x ]]-Tbl_Hull_Structure[[#This Row],[Distrib]]/2,"")</f>
        <v/>
      </c>
      <c r="AB66" s="123" t="str">
        <f>IF(Tbl_Hull_Structure[[#This Row],[Weight Fact]],Tbl_Hull_Structure[[#This Row],[COG x ]]+Tbl_Hull_Structure[[#This Row],[Distrib]]/2,"")</f>
        <v/>
      </c>
      <c r="AC66" s="111" t="str">
        <f>IF(Tbl_Hull_Structure[[#This Row],[Weight Fact]],ROUND(Tbl_Hull_Structure[[#This Row],[AP from]]/FE_size,0),"")</f>
        <v/>
      </c>
      <c r="AD66" s="113" t="str">
        <f>IF(Tbl_Hull_Structure[[#This Row],[Weight Fact]],ROUND(Tbl_Hull_Structure[[#This Row],[AP to]]/FE_size,0),"")</f>
        <v/>
      </c>
      <c r="AE66"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66" s="133" t="str">
        <f>IF(Tbl_Hull_Structure[[#This Row],[Weight Fact]],IF(Tbl_Hull_Structure[[#This Row],[Fr from]]*FE_size&lt;0,0,Tbl_Hull_Structure[[#This Row],[Fr from]]*FE_size),"")</f>
        <v/>
      </c>
      <c r="AG66" s="134" t="str">
        <f>IF(Tbl_Hull_Structure[[#This Row],[Weight Fact]],IF(Tbl_Hull_Structure[[#This Row],[Fr to]]*FE_size=Tbl_Hull_Structure[[#This Row],[L from]],Tbl_Hull_Structure[[#This Row],[L from]]+FE_size,IF(Tbl_Hull_Structure[[#This Row],[Fr to]]*FE_size&gt;Lpp,Lpp,Tbl_Hull_Structure[[#This Row],[Fr to]]*FE_size)),"")</f>
        <v/>
      </c>
      <c r="AH66" s="144" t="str">
        <f>IFERROR(Tbl_Hull_Structure[[#This Row],[Weight Fact]]/(Tbl_Hull_Structure[[#This Row],[L to]]-Tbl_Hull_Structure[[#This Row],[L from]]),"")</f>
        <v/>
      </c>
      <c r="AI66" s="145" t="str">
        <f>IF(Tbl_Hull_Structure[[#This Row],[Weight Fact]],Tbl_Hull_Structure[[#This Row],[Spread]]*(Tbl_Hull_Structure[[#This Row],[L to]]-Tbl_Hull_Structure[[#This Row],[L from]])-Tbl_Hull_Structure[[#This Row],[Weight Fact]],"")</f>
        <v/>
      </c>
      <c r="AJ66" s="141" t="str">
        <f>IF(AND(ISNUMBER(Tbl_Hull_Structure[[#This Row],[L from]]),ISNUMBER(Tbl_Hull_Structure[[#This Row],[L to]])),IF(AND(Tbl_Hull_Structure[[#This Row],[L from]]&gt;=0,Tbl_Hull_Structure[[#This Row],[L to]]&lt;=Lpp),"OK","KO"),"OK")</f>
        <v>OK</v>
      </c>
    </row>
    <row r="67" spans="2:36" x14ac:dyDescent="0.25">
      <c r="B67" s="94">
        <f t="shared" si="2"/>
        <v>3</v>
      </c>
      <c r="C67" s="215"/>
      <c r="D67" s="217">
        <v>36</v>
      </c>
      <c r="E67" s="214" t="str">
        <f>IF(NOT(ISBLANK(Tbl_Hull_Structure[[#This Row],[Num]])),TEXT(Tbl_Hull_Structure[[#This Row],[Group]],"00")&amp;"-"&amp;TEXT(Tbl_Hull_Structure[[#This Row],[Num]],"000"),"")</f>
        <v>00-036</v>
      </c>
      <c r="F67" s="218" t="s">
        <v>139</v>
      </c>
      <c r="G67" s="219">
        <v>0</v>
      </c>
      <c r="H67" s="220">
        <v>2</v>
      </c>
      <c r="I67" s="222">
        <f>Tbl_Hull_Structure[[#This Row],[Qty]]*Tbl_Hull_Structure[[#This Row],[Unitary ]]</f>
        <v>0</v>
      </c>
      <c r="J67" s="221">
        <v>1.02</v>
      </c>
      <c r="K67" s="224">
        <f>Tbl_Hull_Structure[[#This Row],[Contingency ]]*Tbl_Hull_Structure[[#This Row],[Total Op]]</f>
        <v>0</v>
      </c>
      <c r="L67" s="226">
        <v>49.784999999999997</v>
      </c>
      <c r="M67" s="228">
        <v>-7.87</v>
      </c>
      <c r="N67" s="230">
        <v>6.5</v>
      </c>
      <c r="O67" s="231">
        <v>1.6000000000000014</v>
      </c>
      <c r="P67" s="234" t="s">
        <v>95</v>
      </c>
      <c r="Q67" s="235" t="s">
        <v>33</v>
      </c>
      <c r="R67" s="241"/>
      <c r="S67" s="238" t="str">
        <f>IF(Tbl_Hull_Structure[[#This Row],[Weight Op]],Tbl_Hull_Structure[[#This Row],[Weight Op]]*Tbl_Hull_Structure[[#This Row],[X]],"")</f>
        <v/>
      </c>
      <c r="T67" s="101" t="str">
        <f>IF(Tbl_Hull_Structure[[#This Row],[Weight Op]],Tbl_Hull_Structure[[#This Row],[Weight Op]]*Tbl_Hull_Structure[[#This Row],[Y]],"")</f>
        <v/>
      </c>
      <c r="U67" s="99" t="str">
        <f>IF(Tbl_Hull_Structure[[#This Row],[Weight Op]],Tbl_Hull_Structure[[#This Row],[Weight Op]]*Tbl_Hull_Structure[[#This Row],[Z]],"")</f>
        <v/>
      </c>
      <c r="V67" s="103">
        <f>Tbl_Hull_Structure[[#This Row],[Weight Op]]</f>
        <v>0</v>
      </c>
      <c r="W67" s="105" t="str">
        <f>IF(Tbl_Hull_Structure[[#This Row],[Weight Fact]],Tbl_Hull_Structure[[#This Row],[X]],"")</f>
        <v/>
      </c>
      <c r="X67" s="107" t="str">
        <f>IF(Tbl_Hull_Structure[[#This Row],[Weight Fact]],Tbl_Hull_Structure[[#This Row],[Y]],"")</f>
        <v/>
      </c>
      <c r="Y67" s="109" t="str">
        <f>IF(Tbl_Hull_Structure[[#This Row],[Weight Fact]],Tbl_Hull_Structure[[#This Row],[Z]],"")</f>
        <v/>
      </c>
      <c r="Z67" s="117" t="str">
        <f>IF(Tbl_Hull_Structure[[#This Row],[Weight Fact]],Tbl_Hull_Structure[[#This Row],[X distrib]],"")</f>
        <v/>
      </c>
      <c r="AA67" s="120" t="str">
        <f>IF(Tbl_Hull_Structure[[#This Row],[Weight Fact]],Tbl_Hull_Structure[[#This Row],[COG x ]]-Tbl_Hull_Structure[[#This Row],[Distrib]]/2,"")</f>
        <v/>
      </c>
      <c r="AB67" s="123" t="str">
        <f>IF(Tbl_Hull_Structure[[#This Row],[Weight Fact]],Tbl_Hull_Structure[[#This Row],[COG x ]]+Tbl_Hull_Structure[[#This Row],[Distrib]]/2,"")</f>
        <v/>
      </c>
      <c r="AC67" s="111" t="str">
        <f>IF(Tbl_Hull_Structure[[#This Row],[Weight Fact]],ROUND(Tbl_Hull_Structure[[#This Row],[AP from]]/FE_size,0),"")</f>
        <v/>
      </c>
      <c r="AD67" s="113" t="str">
        <f>IF(Tbl_Hull_Structure[[#This Row],[Weight Fact]],ROUND(Tbl_Hull_Structure[[#This Row],[AP to]]/FE_size,0),"")</f>
        <v/>
      </c>
      <c r="AE67"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67" s="133" t="str">
        <f>IF(Tbl_Hull_Structure[[#This Row],[Weight Fact]],IF(Tbl_Hull_Structure[[#This Row],[Fr from]]*FE_size&lt;0,0,Tbl_Hull_Structure[[#This Row],[Fr from]]*FE_size),"")</f>
        <v/>
      </c>
      <c r="AG67" s="134" t="str">
        <f>IF(Tbl_Hull_Structure[[#This Row],[Weight Fact]],IF(Tbl_Hull_Structure[[#This Row],[Fr to]]*FE_size=Tbl_Hull_Structure[[#This Row],[L from]],Tbl_Hull_Structure[[#This Row],[L from]]+FE_size,IF(Tbl_Hull_Structure[[#This Row],[Fr to]]*FE_size&gt;Lpp,Lpp,Tbl_Hull_Structure[[#This Row],[Fr to]]*FE_size)),"")</f>
        <v/>
      </c>
      <c r="AH67" s="144" t="str">
        <f>IFERROR(Tbl_Hull_Structure[[#This Row],[Weight Fact]]/(Tbl_Hull_Structure[[#This Row],[L to]]-Tbl_Hull_Structure[[#This Row],[L from]]),"")</f>
        <v/>
      </c>
      <c r="AI67" s="145" t="str">
        <f>IF(Tbl_Hull_Structure[[#This Row],[Weight Fact]],Tbl_Hull_Structure[[#This Row],[Spread]]*(Tbl_Hull_Structure[[#This Row],[L to]]-Tbl_Hull_Structure[[#This Row],[L from]])-Tbl_Hull_Structure[[#This Row],[Weight Fact]],"")</f>
        <v/>
      </c>
      <c r="AJ67" s="141" t="str">
        <f>IF(AND(ISNUMBER(Tbl_Hull_Structure[[#This Row],[L from]]),ISNUMBER(Tbl_Hull_Structure[[#This Row],[L to]])),IF(AND(Tbl_Hull_Structure[[#This Row],[L from]]&gt;=0,Tbl_Hull_Structure[[#This Row],[L to]]&lt;=Lpp),"OK","KO"),"OK")</f>
        <v>OK</v>
      </c>
    </row>
    <row r="68" spans="2:36" x14ac:dyDescent="0.25">
      <c r="B68" s="94">
        <f t="shared" si="2"/>
        <v>3</v>
      </c>
      <c r="C68" s="215"/>
      <c r="D68" s="217">
        <v>37</v>
      </c>
      <c r="E68" s="214" t="str">
        <f>IF(NOT(ISBLANK(Tbl_Hull_Structure[[#This Row],[Num]])),TEXT(Tbl_Hull_Structure[[#This Row],[Group]],"00")&amp;"-"&amp;TEXT(Tbl_Hull_Structure[[#This Row],[Num]],"000"),"")</f>
        <v>00-037</v>
      </c>
      <c r="F68" s="218" t="s">
        <v>140</v>
      </c>
      <c r="G68" s="219">
        <v>0</v>
      </c>
      <c r="H68" s="220">
        <v>0.2</v>
      </c>
      <c r="I68" s="222">
        <f>Tbl_Hull_Structure[[#This Row],[Qty]]*Tbl_Hull_Structure[[#This Row],[Unitary ]]</f>
        <v>0</v>
      </c>
      <c r="J68" s="221">
        <v>1.02</v>
      </c>
      <c r="K68" s="224">
        <f>Tbl_Hull_Structure[[#This Row],[Contingency ]]*Tbl_Hull_Structure[[#This Row],[Total Op]]</f>
        <v>0</v>
      </c>
      <c r="L68" s="226">
        <v>57</v>
      </c>
      <c r="M68" s="228">
        <v>0</v>
      </c>
      <c r="N68" s="230">
        <v>4.2</v>
      </c>
      <c r="O68" s="231">
        <v>6</v>
      </c>
      <c r="P68" s="234" t="s">
        <v>95</v>
      </c>
      <c r="Q68" s="235" t="s">
        <v>33</v>
      </c>
      <c r="R68" s="241"/>
      <c r="S68" s="238" t="str">
        <f>IF(Tbl_Hull_Structure[[#This Row],[Weight Op]],Tbl_Hull_Structure[[#This Row],[Weight Op]]*Tbl_Hull_Structure[[#This Row],[X]],"")</f>
        <v/>
      </c>
      <c r="T68" s="101" t="str">
        <f>IF(Tbl_Hull_Structure[[#This Row],[Weight Op]],Tbl_Hull_Structure[[#This Row],[Weight Op]]*Tbl_Hull_Structure[[#This Row],[Y]],"")</f>
        <v/>
      </c>
      <c r="U68" s="99" t="str">
        <f>IF(Tbl_Hull_Structure[[#This Row],[Weight Op]],Tbl_Hull_Structure[[#This Row],[Weight Op]]*Tbl_Hull_Structure[[#This Row],[Z]],"")</f>
        <v/>
      </c>
      <c r="V68" s="103">
        <f>Tbl_Hull_Structure[[#This Row],[Weight Op]]</f>
        <v>0</v>
      </c>
      <c r="W68" s="105" t="str">
        <f>IF(Tbl_Hull_Structure[[#This Row],[Weight Fact]],Tbl_Hull_Structure[[#This Row],[X]],"")</f>
        <v/>
      </c>
      <c r="X68" s="107" t="str">
        <f>IF(Tbl_Hull_Structure[[#This Row],[Weight Fact]],Tbl_Hull_Structure[[#This Row],[Y]],"")</f>
        <v/>
      </c>
      <c r="Y68" s="109" t="str">
        <f>IF(Tbl_Hull_Structure[[#This Row],[Weight Fact]],Tbl_Hull_Structure[[#This Row],[Z]],"")</f>
        <v/>
      </c>
      <c r="Z68" s="117" t="str">
        <f>IF(Tbl_Hull_Structure[[#This Row],[Weight Fact]],Tbl_Hull_Structure[[#This Row],[X distrib]],"")</f>
        <v/>
      </c>
      <c r="AA68" s="120" t="str">
        <f>IF(Tbl_Hull_Structure[[#This Row],[Weight Fact]],Tbl_Hull_Structure[[#This Row],[COG x ]]-Tbl_Hull_Structure[[#This Row],[Distrib]]/2,"")</f>
        <v/>
      </c>
      <c r="AB68" s="123" t="str">
        <f>IF(Tbl_Hull_Structure[[#This Row],[Weight Fact]],Tbl_Hull_Structure[[#This Row],[COG x ]]+Tbl_Hull_Structure[[#This Row],[Distrib]]/2,"")</f>
        <v/>
      </c>
      <c r="AC68" s="111" t="str">
        <f>IF(Tbl_Hull_Structure[[#This Row],[Weight Fact]],ROUND(Tbl_Hull_Structure[[#This Row],[AP from]]/FE_size,0),"")</f>
        <v/>
      </c>
      <c r="AD68" s="113" t="str">
        <f>IF(Tbl_Hull_Structure[[#This Row],[Weight Fact]],ROUND(Tbl_Hull_Structure[[#This Row],[AP to]]/FE_size,0),"")</f>
        <v/>
      </c>
      <c r="AE68"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68" s="133" t="str">
        <f>IF(Tbl_Hull_Structure[[#This Row],[Weight Fact]],IF(Tbl_Hull_Structure[[#This Row],[Fr from]]*FE_size&lt;0,0,Tbl_Hull_Structure[[#This Row],[Fr from]]*FE_size),"")</f>
        <v/>
      </c>
      <c r="AG68" s="134" t="str">
        <f>IF(Tbl_Hull_Structure[[#This Row],[Weight Fact]],IF(Tbl_Hull_Structure[[#This Row],[Fr to]]*FE_size=Tbl_Hull_Structure[[#This Row],[L from]],Tbl_Hull_Structure[[#This Row],[L from]]+FE_size,IF(Tbl_Hull_Structure[[#This Row],[Fr to]]*FE_size&gt;Lpp,Lpp,Tbl_Hull_Structure[[#This Row],[Fr to]]*FE_size)),"")</f>
        <v/>
      </c>
      <c r="AH68" s="144" t="str">
        <f>IFERROR(Tbl_Hull_Structure[[#This Row],[Weight Fact]]/(Tbl_Hull_Structure[[#This Row],[L to]]-Tbl_Hull_Structure[[#This Row],[L from]]),"")</f>
        <v/>
      </c>
      <c r="AI68" s="145" t="str">
        <f>IF(Tbl_Hull_Structure[[#This Row],[Weight Fact]],Tbl_Hull_Structure[[#This Row],[Spread]]*(Tbl_Hull_Structure[[#This Row],[L to]]-Tbl_Hull_Structure[[#This Row],[L from]])-Tbl_Hull_Structure[[#This Row],[Weight Fact]],"")</f>
        <v/>
      </c>
      <c r="AJ68" s="141" t="str">
        <f>IF(AND(ISNUMBER(Tbl_Hull_Structure[[#This Row],[L from]]),ISNUMBER(Tbl_Hull_Structure[[#This Row],[L to]])),IF(AND(Tbl_Hull_Structure[[#This Row],[L from]]&gt;=0,Tbl_Hull_Structure[[#This Row],[L to]]&lt;=Lpp),"OK","KO"),"OK")</f>
        <v>OK</v>
      </c>
    </row>
    <row r="69" spans="2:36" x14ac:dyDescent="0.25">
      <c r="B69" s="94">
        <f t="shared" si="2"/>
        <v>3</v>
      </c>
      <c r="C69" s="215"/>
      <c r="D69" s="217" t="s">
        <v>130</v>
      </c>
      <c r="E69" s="214" t="str">
        <f>IF(NOT(ISBLANK(Tbl_Hull_Structure[[#This Row],[Num]])),TEXT(Tbl_Hull_Structure[[#This Row],[Group]],"00")&amp;"-"&amp;TEXT(Tbl_Hull_Structure[[#This Row],[Num]],"000"),"")</f>
        <v>00-38.a</v>
      </c>
      <c r="F69" s="218" t="s">
        <v>72</v>
      </c>
      <c r="G69" s="219">
        <v>0</v>
      </c>
      <c r="H69" s="220">
        <v>0.2</v>
      </c>
      <c r="I69" s="222">
        <f>Tbl_Hull_Structure[[#This Row],[Qty]]*Tbl_Hull_Structure[[#This Row],[Unitary ]]</f>
        <v>0</v>
      </c>
      <c r="J69" s="221">
        <v>1.02</v>
      </c>
      <c r="K69" s="224">
        <f>Tbl_Hull_Structure[[#This Row],[Contingency ]]*Tbl_Hull_Structure[[#This Row],[Total Op]]</f>
        <v>0</v>
      </c>
      <c r="L69" s="226">
        <v>5.25</v>
      </c>
      <c r="M69" s="228">
        <v>0</v>
      </c>
      <c r="N69" s="230">
        <v>4.2</v>
      </c>
      <c r="O69" s="231">
        <v>1.5</v>
      </c>
      <c r="P69" s="234" t="s">
        <v>95</v>
      </c>
      <c r="Q69" s="235" t="s">
        <v>33</v>
      </c>
      <c r="R69" s="241"/>
      <c r="S69" s="238" t="str">
        <f>IF(Tbl_Hull_Structure[[#This Row],[Weight Op]],Tbl_Hull_Structure[[#This Row],[Weight Op]]*Tbl_Hull_Structure[[#This Row],[X]],"")</f>
        <v/>
      </c>
      <c r="T69" s="101" t="str">
        <f>IF(Tbl_Hull_Structure[[#This Row],[Weight Op]],Tbl_Hull_Structure[[#This Row],[Weight Op]]*Tbl_Hull_Structure[[#This Row],[Y]],"")</f>
        <v/>
      </c>
      <c r="U69" s="99" t="str">
        <f>IF(Tbl_Hull_Structure[[#This Row],[Weight Op]],Tbl_Hull_Structure[[#This Row],[Weight Op]]*Tbl_Hull_Structure[[#This Row],[Z]],"")</f>
        <v/>
      </c>
      <c r="V69" s="103">
        <f>Tbl_Hull_Structure[[#This Row],[Weight Op]]</f>
        <v>0</v>
      </c>
      <c r="W69" s="105" t="str">
        <f>IF(Tbl_Hull_Structure[[#This Row],[Weight Fact]],Tbl_Hull_Structure[[#This Row],[X]],"")</f>
        <v/>
      </c>
      <c r="X69" s="107" t="str">
        <f>IF(Tbl_Hull_Structure[[#This Row],[Weight Fact]],Tbl_Hull_Structure[[#This Row],[Y]],"")</f>
        <v/>
      </c>
      <c r="Y69" s="109" t="str">
        <f>IF(Tbl_Hull_Structure[[#This Row],[Weight Fact]],Tbl_Hull_Structure[[#This Row],[Z]],"")</f>
        <v/>
      </c>
      <c r="Z69" s="117" t="str">
        <f>IF(Tbl_Hull_Structure[[#This Row],[Weight Fact]],Tbl_Hull_Structure[[#This Row],[X distrib]],"")</f>
        <v/>
      </c>
      <c r="AA69" s="120" t="str">
        <f>IF(Tbl_Hull_Structure[[#This Row],[Weight Fact]],Tbl_Hull_Structure[[#This Row],[COG x ]]-Tbl_Hull_Structure[[#This Row],[Distrib]]/2,"")</f>
        <v/>
      </c>
      <c r="AB69" s="123" t="str">
        <f>IF(Tbl_Hull_Structure[[#This Row],[Weight Fact]],Tbl_Hull_Structure[[#This Row],[COG x ]]+Tbl_Hull_Structure[[#This Row],[Distrib]]/2,"")</f>
        <v/>
      </c>
      <c r="AC69" s="111" t="str">
        <f>IF(Tbl_Hull_Structure[[#This Row],[Weight Fact]],ROUND(Tbl_Hull_Structure[[#This Row],[AP from]]/FE_size,0),"")</f>
        <v/>
      </c>
      <c r="AD69" s="113" t="str">
        <f>IF(Tbl_Hull_Structure[[#This Row],[Weight Fact]],ROUND(Tbl_Hull_Structure[[#This Row],[AP to]]/FE_size,0),"")</f>
        <v/>
      </c>
      <c r="AE69"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69" s="133" t="str">
        <f>IF(Tbl_Hull_Structure[[#This Row],[Weight Fact]],IF(Tbl_Hull_Structure[[#This Row],[Fr from]]*FE_size&lt;0,0,Tbl_Hull_Structure[[#This Row],[Fr from]]*FE_size),"")</f>
        <v/>
      </c>
      <c r="AG69" s="134" t="str">
        <f>IF(Tbl_Hull_Structure[[#This Row],[Weight Fact]],IF(Tbl_Hull_Structure[[#This Row],[Fr to]]*FE_size=Tbl_Hull_Structure[[#This Row],[L from]],Tbl_Hull_Structure[[#This Row],[L from]]+FE_size,IF(Tbl_Hull_Structure[[#This Row],[Fr to]]*FE_size&gt;Lpp,Lpp,Tbl_Hull_Structure[[#This Row],[Fr to]]*FE_size)),"")</f>
        <v/>
      </c>
      <c r="AH69" s="144" t="str">
        <f>IFERROR(Tbl_Hull_Structure[[#This Row],[Weight Fact]]/(Tbl_Hull_Structure[[#This Row],[L to]]-Tbl_Hull_Structure[[#This Row],[L from]]),"")</f>
        <v/>
      </c>
      <c r="AI69" s="145" t="str">
        <f>IF(Tbl_Hull_Structure[[#This Row],[Weight Fact]],Tbl_Hull_Structure[[#This Row],[Spread]]*(Tbl_Hull_Structure[[#This Row],[L to]]-Tbl_Hull_Structure[[#This Row],[L from]])-Tbl_Hull_Structure[[#This Row],[Weight Fact]],"")</f>
        <v/>
      </c>
      <c r="AJ69" s="141" t="str">
        <f>IF(AND(ISNUMBER(Tbl_Hull_Structure[[#This Row],[L from]]),ISNUMBER(Tbl_Hull_Structure[[#This Row],[L to]])),IF(AND(Tbl_Hull_Structure[[#This Row],[L from]]&gt;=0,Tbl_Hull_Structure[[#This Row],[L to]]&lt;=Lpp),"OK","KO"),"OK")</f>
        <v>OK</v>
      </c>
    </row>
    <row r="70" spans="2:36" x14ac:dyDescent="0.25">
      <c r="B70" s="94">
        <f t="shared" si="2"/>
        <v>3</v>
      </c>
      <c r="C70" s="215"/>
      <c r="D70" s="217" t="s">
        <v>131</v>
      </c>
      <c r="E70" s="214" t="str">
        <f>IF(NOT(ISBLANK(Tbl_Hull_Structure[[#This Row],[Num]])),TEXT(Tbl_Hull_Structure[[#This Row],[Group]],"00")&amp;"-"&amp;TEXT(Tbl_Hull_Structure[[#This Row],[Num]],"000"),"")</f>
        <v>00-38.b</v>
      </c>
      <c r="F70" s="218" t="s">
        <v>72</v>
      </c>
      <c r="G70" s="219">
        <v>0</v>
      </c>
      <c r="H70" s="220">
        <v>0.2</v>
      </c>
      <c r="I70" s="222">
        <f>Tbl_Hull_Structure[[#This Row],[Qty]]*Tbl_Hull_Structure[[#This Row],[Unitary ]]</f>
        <v>0</v>
      </c>
      <c r="J70" s="221">
        <v>1.02</v>
      </c>
      <c r="K70" s="224">
        <f>Tbl_Hull_Structure[[#This Row],[Contingency ]]*Tbl_Hull_Structure[[#This Row],[Total Op]]</f>
        <v>0</v>
      </c>
      <c r="L70" s="226">
        <v>29.25</v>
      </c>
      <c r="M70" s="228">
        <v>0</v>
      </c>
      <c r="N70" s="230">
        <v>4.2</v>
      </c>
      <c r="O70" s="231">
        <v>1.5</v>
      </c>
      <c r="P70" s="234" t="s">
        <v>95</v>
      </c>
      <c r="Q70" s="235" t="s">
        <v>33</v>
      </c>
      <c r="R70" s="241"/>
      <c r="S70" s="238" t="str">
        <f>IF(Tbl_Hull_Structure[[#This Row],[Weight Op]],Tbl_Hull_Structure[[#This Row],[Weight Op]]*Tbl_Hull_Structure[[#This Row],[X]],"")</f>
        <v/>
      </c>
      <c r="T70" s="101" t="str">
        <f>IF(Tbl_Hull_Structure[[#This Row],[Weight Op]],Tbl_Hull_Structure[[#This Row],[Weight Op]]*Tbl_Hull_Structure[[#This Row],[Y]],"")</f>
        <v/>
      </c>
      <c r="U70" s="99" t="str">
        <f>IF(Tbl_Hull_Structure[[#This Row],[Weight Op]],Tbl_Hull_Structure[[#This Row],[Weight Op]]*Tbl_Hull_Structure[[#This Row],[Z]],"")</f>
        <v/>
      </c>
      <c r="V70" s="103">
        <f>Tbl_Hull_Structure[[#This Row],[Weight Op]]</f>
        <v>0</v>
      </c>
      <c r="W70" s="105" t="str">
        <f>IF(Tbl_Hull_Structure[[#This Row],[Weight Fact]],Tbl_Hull_Structure[[#This Row],[X]],"")</f>
        <v/>
      </c>
      <c r="X70" s="107" t="str">
        <f>IF(Tbl_Hull_Structure[[#This Row],[Weight Fact]],Tbl_Hull_Structure[[#This Row],[Y]],"")</f>
        <v/>
      </c>
      <c r="Y70" s="109" t="str">
        <f>IF(Tbl_Hull_Structure[[#This Row],[Weight Fact]],Tbl_Hull_Structure[[#This Row],[Z]],"")</f>
        <v/>
      </c>
      <c r="Z70" s="117" t="str">
        <f>IF(Tbl_Hull_Structure[[#This Row],[Weight Fact]],Tbl_Hull_Structure[[#This Row],[X distrib]],"")</f>
        <v/>
      </c>
      <c r="AA70" s="120" t="str">
        <f>IF(Tbl_Hull_Structure[[#This Row],[Weight Fact]],Tbl_Hull_Structure[[#This Row],[COG x ]]-Tbl_Hull_Structure[[#This Row],[Distrib]]/2,"")</f>
        <v/>
      </c>
      <c r="AB70" s="123" t="str">
        <f>IF(Tbl_Hull_Structure[[#This Row],[Weight Fact]],Tbl_Hull_Structure[[#This Row],[COG x ]]+Tbl_Hull_Structure[[#This Row],[Distrib]]/2,"")</f>
        <v/>
      </c>
      <c r="AC70" s="111" t="str">
        <f>IF(Tbl_Hull_Structure[[#This Row],[Weight Fact]],ROUND(Tbl_Hull_Structure[[#This Row],[AP from]]/FE_size,0),"")</f>
        <v/>
      </c>
      <c r="AD70" s="113" t="str">
        <f>IF(Tbl_Hull_Structure[[#This Row],[Weight Fact]],ROUND(Tbl_Hull_Structure[[#This Row],[AP to]]/FE_size,0),"")</f>
        <v/>
      </c>
      <c r="AE70"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70" s="133" t="str">
        <f>IF(Tbl_Hull_Structure[[#This Row],[Weight Fact]],IF(Tbl_Hull_Structure[[#This Row],[Fr from]]*FE_size&lt;0,0,Tbl_Hull_Structure[[#This Row],[Fr from]]*FE_size),"")</f>
        <v/>
      </c>
      <c r="AG70" s="134" t="str">
        <f>IF(Tbl_Hull_Structure[[#This Row],[Weight Fact]],IF(Tbl_Hull_Structure[[#This Row],[Fr to]]*FE_size=Tbl_Hull_Structure[[#This Row],[L from]],Tbl_Hull_Structure[[#This Row],[L from]]+FE_size,IF(Tbl_Hull_Structure[[#This Row],[Fr to]]*FE_size&gt;Lpp,Lpp,Tbl_Hull_Structure[[#This Row],[Fr to]]*FE_size)),"")</f>
        <v/>
      </c>
      <c r="AH70" s="144" t="str">
        <f>IFERROR(Tbl_Hull_Structure[[#This Row],[Weight Fact]]/(Tbl_Hull_Structure[[#This Row],[L to]]-Tbl_Hull_Structure[[#This Row],[L from]]),"")</f>
        <v/>
      </c>
      <c r="AI70" s="145" t="str">
        <f>IF(Tbl_Hull_Structure[[#This Row],[Weight Fact]],Tbl_Hull_Structure[[#This Row],[Spread]]*(Tbl_Hull_Structure[[#This Row],[L to]]-Tbl_Hull_Structure[[#This Row],[L from]])-Tbl_Hull_Structure[[#This Row],[Weight Fact]],"")</f>
        <v/>
      </c>
      <c r="AJ70" s="141" t="str">
        <f>IF(AND(ISNUMBER(Tbl_Hull_Structure[[#This Row],[L from]]),ISNUMBER(Tbl_Hull_Structure[[#This Row],[L to]])),IF(AND(Tbl_Hull_Structure[[#This Row],[L from]]&gt;=0,Tbl_Hull_Structure[[#This Row],[L to]]&lt;=Lpp),"OK","KO"),"OK")</f>
        <v>OK</v>
      </c>
    </row>
    <row r="71" spans="2:36" x14ac:dyDescent="0.25">
      <c r="B71" s="94">
        <f t="shared" si="2"/>
        <v>3</v>
      </c>
      <c r="C71" s="215"/>
      <c r="D71" s="217" t="s">
        <v>157</v>
      </c>
      <c r="E71" s="214" t="str">
        <f>IF(NOT(ISBLANK(Tbl_Hull_Structure[[#This Row],[Num]])),TEXT(Tbl_Hull_Structure[[#This Row],[Group]],"00")&amp;"-"&amp;TEXT(Tbl_Hull_Structure[[#This Row],[Num]],"000"),"")</f>
        <v>00-38.c</v>
      </c>
      <c r="F71" s="218" t="s">
        <v>72</v>
      </c>
      <c r="G71" s="219">
        <v>0</v>
      </c>
      <c r="H71" s="220">
        <v>0.2</v>
      </c>
      <c r="I71" s="222">
        <f>Tbl_Hull_Structure[[#This Row],[Qty]]*Tbl_Hull_Structure[[#This Row],[Unitary ]]</f>
        <v>0</v>
      </c>
      <c r="J71" s="221">
        <v>1.02</v>
      </c>
      <c r="K71" s="224">
        <f>Tbl_Hull_Structure[[#This Row],[Contingency ]]*Tbl_Hull_Structure[[#This Row],[Total Op]]</f>
        <v>0</v>
      </c>
      <c r="L71" s="226">
        <v>54.75</v>
      </c>
      <c r="M71" s="228">
        <v>0</v>
      </c>
      <c r="N71" s="230">
        <v>4.2</v>
      </c>
      <c r="O71" s="231">
        <v>1.5</v>
      </c>
      <c r="P71" s="234" t="s">
        <v>95</v>
      </c>
      <c r="Q71" s="235" t="s">
        <v>33</v>
      </c>
      <c r="R71" s="241"/>
      <c r="S71" s="238" t="str">
        <f>IF(Tbl_Hull_Structure[[#This Row],[Weight Op]],Tbl_Hull_Structure[[#This Row],[Weight Op]]*Tbl_Hull_Structure[[#This Row],[X]],"")</f>
        <v/>
      </c>
      <c r="T71" s="101" t="str">
        <f>IF(Tbl_Hull_Structure[[#This Row],[Weight Op]],Tbl_Hull_Structure[[#This Row],[Weight Op]]*Tbl_Hull_Structure[[#This Row],[Y]],"")</f>
        <v/>
      </c>
      <c r="U71" s="99" t="str">
        <f>IF(Tbl_Hull_Structure[[#This Row],[Weight Op]],Tbl_Hull_Structure[[#This Row],[Weight Op]]*Tbl_Hull_Structure[[#This Row],[Z]],"")</f>
        <v/>
      </c>
      <c r="V71" s="103">
        <f>Tbl_Hull_Structure[[#This Row],[Weight Op]]</f>
        <v>0</v>
      </c>
      <c r="W71" s="105" t="str">
        <f>IF(Tbl_Hull_Structure[[#This Row],[Weight Fact]],Tbl_Hull_Structure[[#This Row],[X]],"")</f>
        <v/>
      </c>
      <c r="X71" s="107" t="str">
        <f>IF(Tbl_Hull_Structure[[#This Row],[Weight Fact]],Tbl_Hull_Structure[[#This Row],[Y]],"")</f>
        <v/>
      </c>
      <c r="Y71" s="109" t="str">
        <f>IF(Tbl_Hull_Structure[[#This Row],[Weight Fact]],Tbl_Hull_Structure[[#This Row],[Z]],"")</f>
        <v/>
      </c>
      <c r="Z71" s="117" t="str">
        <f>IF(Tbl_Hull_Structure[[#This Row],[Weight Fact]],Tbl_Hull_Structure[[#This Row],[X distrib]],"")</f>
        <v/>
      </c>
      <c r="AA71" s="120" t="str">
        <f>IF(Tbl_Hull_Structure[[#This Row],[Weight Fact]],Tbl_Hull_Structure[[#This Row],[COG x ]]-Tbl_Hull_Structure[[#This Row],[Distrib]]/2,"")</f>
        <v/>
      </c>
      <c r="AB71" s="123" t="str">
        <f>IF(Tbl_Hull_Structure[[#This Row],[Weight Fact]],Tbl_Hull_Structure[[#This Row],[COG x ]]+Tbl_Hull_Structure[[#This Row],[Distrib]]/2,"")</f>
        <v/>
      </c>
      <c r="AC71" s="111" t="str">
        <f>IF(Tbl_Hull_Structure[[#This Row],[Weight Fact]],ROUND(Tbl_Hull_Structure[[#This Row],[AP from]]/FE_size,0),"")</f>
        <v/>
      </c>
      <c r="AD71" s="113" t="str">
        <f>IF(Tbl_Hull_Structure[[#This Row],[Weight Fact]],ROUND(Tbl_Hull_Structure[[#This Row],[AP to]]/FE_size,0),"")</f>
        <v/>
      </c>
      <c r="AE71"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71" s="133" t="str">
        <f>IF(Tbl_Hull_Structure[[#This Row],[Weight Fact]],IF(Tbl_Hull_Structure[[#This Row],[Fr from]]*FE_size&lt;0,0,Tbl_Hull_Structure[[#This Row],[Fr from]]*FE_size),"")</f>
        <v/>
      </c>
      <c r="AG71" s="134" t="str">
        <f>IF(Tbl_Hull_Structure[[#This Row],[Weight Fact]],IF(Tbl_Hull_Structure[[#This Row],[Fr to]]*FE_size=Tbl_Hull_Structure[[#This Row],[L from]],Tbl_Hull_Structure[[#This Row],[L from]]+FE_size,IF(Tbl_Hull_Structure[[#This Row],[Fr to]]*FE_size&gt;Lpp,Lpp,Tbl_Hull_Structure[[#This Row],[Fr to]]*FE_size)),"")</f>
        <v/>
      </c>
      <c r="AH71" s="144" t="str">
        <f>IFERROR(Tbl_Hull_Structure[[#This Row],[Weight Fact]]/(Tbl_Hull_Structure[[#This Row],[L to]]-Tbl_Hull_Structure[[#This Row],[L from]]),"")</f>
        <v/>
      </c>
      <c r="AI71" s="145" t="str">
        <f>IF(Tbl_Hull_Structure[[#This Row],[Weight Fact]],Tbl_Hull_Structure[[#This Row],[Spread]]*(Tbl_Hull_Structure[[#This Row],[L to]]-Tbl_Hull_Structure[[#This Row],[L from]])-Tbl_Hull_Structure[[#This Row],[Weight Fact]],"")</f>
        <v/>
      </c>
      <c r="AJ71" s="141" t="str">
        <f>IF(AND(ISNUMBER(Tbl_Hull_Structure[[#This Row],[L from]]),ISNUMBER(Tbl_Hull_Structure[[#This Row],[L to]])),IF(AND(Tbl_Hull_Structure[[#This Row],[L from]]&gt;=0,Tbl_Hull_Structure[[#This Row],[L to]]&lt;=Lpp),"OK","KO"),"OK")</f>
        <v>OK</v>
      </c>
    </row>
    <row r="72" spans="2:36" x14ac:dyDescent="0.25">
      <c r="B72" s="94">
        <f t="shared" si="2"/>
        <v>3</v>
      </c>
      <c r="C72" s="215"/>
      <c r="D72" s="217">
        <v>39</v>
      </c>
      <c r="E72" s="214" t="str">
        <f>IF(NOT(ISBLANK(Tbl_Hull_Structure[[#This Row],[Num]])),TEXT(Tbl_Hull_Structure[[#This Row],[Group]],"00")&amp;"-"&amp;TEXT(Tbl_Hull_Structure[[#This Row],[Num]],"000"),"")</f>
        <v>00-039</v>
      </c>
      <c r="F72" s="218" t="s">
        <v>141</v>
      </c>
      <c r="G72" s="219">
        <v>0</v>
      </c>
      <c r="H72" s="220">
        <v>4</v>
      </c>
      <c r="I72" s="222">
        <f>Tbl_Hull_Structure[[#This Row],[Qty]]*Tbl_Hull_Structure[[#This Row],[Unitary ]]</f>
        <v>0</v>
      </c>
      <c r="J72" s="221">
        <v>1.02</v>
      </c>
      <c r="K72" s="224">
        <f>Tbl_Hull_Structure[[#This Row],[Contingency ]]*Tbl_Hull_Structure[[#This Row],[Total Op]]</f>
        <v>0</v>
      </c>
      <c r="L72" s="226">
        <v>31.27</v>
      </c>
      <c r="M72" s="228">
        <v>-8.75</v>
      </c>
      <c r="N72" s="230">
        <v>8.0500000000000007</v>
      </c>
      <c r="O72" s="231">
        <v>3</v>
      </c>
      <c r="P72" s="234" t="s">
        <v>95</v>
      </c>
      <c r="Q72" s="235" t="s">
        <v>33</v>
      </c>
      <c r="R72" s="241"/>
      <c r="S72" s="238" t="str">
        <f>IF(Tbl_Hull_Structure[[#This Row],[Weight Op]],Tbl_Hull_Structure[[#This Row],[Weight Op]]*Tbl_Hull_Structure[[#This Row],[X]],"")</f>
        <v/>
      </c>
      <c r="T72" s="101" t="str">
        <f>IF(Tbl_Hull_Structure[[#This Row],[Weight Op]],Tbl_Hull_Structure[[#This Row],[Weight Op]]*Tbl_Hull_Structure[[#This Row],[Y]],"")</f>
        <v/>
      </c>
      <c r="U72" s="99" t="str">
        <f>IF(Tbl_Hull_Structure[[#This Row],[Weight Op]],Tbl_Hull_Structure[[#This Row],[Weight Op]]*Tbl_Hull_Structure[[#This Row],[Z]],"")</f>
        <v/>
      </c>
      <c r="V72" s="103">
        <f>Tbl_Hull_Structure[[#This Row],[Weight Op]]</f>
        <v>0</v>
      </c>
      <c r="W72" s="105" t="str">
        <f>IF(Tbl_Hull_Structure[[#This Row],[Weight Fact]],Tbl_Hull_Structure[[#This Row],[X]],"")</f>
        <v/>
      </c>
      <c r="X72" s="107" t="str">
        <f>IF(Tbl_Hull_Structure[[#This Row],[Weight Fact]],Tbl_Hull_Structure[[#This Row],[Y]],"")</f>
        <v/>
      </c>
      <c r="Y72" s="109" t="str">
        <f>IF(Tbl_Hull_Structure[[#This Row],[Weight Fact]],Tbl_Hull_Structure[[#This Row],[Z]],"")</f>
        <v/>
      </c>
      <c r="Z72" s="117" t="str">
        <f>IF(Tbl_Hull_Structure[[#This Row],[Weight Fact]],Tbl_Hull_Structure[[#This Row],[X distrib]],"")</f>
        <v/>
      </c>
      <c r="AA72" s="120" t="str">
        <f>IF(Tbl_Hull_Structure[[#This Row],[Weight Fact]],Tbl_Hull_Structure[[#This Row],[COG x ]]-Tbl_Hull_Structure[[#This Row],[Distrib]]/2,"")</f>
        <v/>
      </c>
      <c r="AB72" s="123" t="str">
        <f>IF(Tbl_Hull_Structure[[#This Row],[Weight Fact]],Tbl_Hull_Structure[[#This Row],[COG x ]]+Tbl_Hull_Structure[[#This Row],[Distrib]]/2,"")</f>
        <v/>
      </c>
      <c r="AC72" s="111" t="str">
        <f>IF(Tbl_Hull_Structure[[#This Row],[Weight Fact]],ROUND(Tbl_Hull_Structure[[#This Row],[AP from]]/FE_size,0),"")</f>
        <v/>
      </c>
      <c r="AD72" s="113" t="str">
        <f>IF(Tbl_Hull_Structure[[#This Row],[Weight Fact]],ROUND(Tbl_Hull_Structure[[#This Row],[AP to]]/FE_size,0),"")</f>
        <v/>
      </c>
      <c r="AE72"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72" s="133" t="str">
        <f>IF(Tbl_Hull_Structure[[#This Row],[Weight Fact]],IF(Tbl_Hull_Structure[[#This Row],[Fr from]]*FE_size&lt;0,0,Tbl_Hull_Structure[[#This Row],[Fr from]]*FE_size),"")</f>
        <v/>
      </c>
      <c r="AG72" s="134" t="str">
        <f>IF(Tbl_Hull_Structure[[#This Row],[Weight Fact]],IF(Tbl_Hull_Structure[[#This Row],[Fr to]]*FE_size=Tbl_Hull_Structure[[#This Row],[L from]],Tbl_Hull_Structure[[#This Row],[L from]]+FE_size,IF(Tbl_Hull_Structure[[#This Row],[Fr to]]*FE_size&gt;Lpp,Lpp,Tbl_Hull_Structure[[#This Row],[Fr to]]*FE_size)),"")</f>
        <v/>
      </c>
      <c r="AH72" s="144" t="str">
        <f>IFERROR(Tbl_Hull_Structure[[#This Row],[Weight Fact]]/(Tbl_Hull_Structure[[#This Row],[L to]]-Tbl_Hull_Structure[[#This Row],[L from]]),"")</f>
        <v/>
      </c>
      <c r="AI72" s="145" t="str">
        <f>IF(Tbl_Hull_Structure[[#This Row],[Weight Fact]],Tbl_Hull_Structure[[#This Row],[Spread]]*(Tbl_Hull_Structure[[#This Row],[L to]]-Tbl_Hull_Structure[[#This Row],[L from]])-Tbl_Hull_Structure[[#This Row],[Weight Fact]],"")</f>
        <v/>
      </c>
      <c r="AJ72" s="141" t="str">
        <f>IF(AND(ISNUMBER(Tbl_Hull_Structure[[#This Row],[L from]]),ISNUMBER(Tbl_Hull_Structure[[#This Row],[L to]])),IF(AND(Tbl_Hull_Structure[[#This Row],[L from]]&gt;=0,Tbl_Hull_Structure[[#This Row],[L to]]&lt;=Lpp),"OK","KO"),"OK")</f>
        <v>OK</v>
      </c>
    </row>
    <row r="73" spans="2:36" x14ac:dyDescent="0.25">
      <c r="B73" s="94">
        <f t="shared" si="2"/>
        <v>3</v>
      </c>
      <c r="C73" s="215"/>
      <c r="D73" s="217">
        <v>40</v>
      </c>
      <c r="E73" s="214" t="str">
        <f>IF(NOT(ISBLANK(Tbl_Hull_Structure[[#This Row],[Num]])),TEXT(Tbl_Hull_Structure[[#This Row],[Group]],"00")&amp;"-"&amp;TEXT(Tbl_Hull_Structure[[#This Row],[Num]],"000"),"")</f>
        <v>00-040</v>
      </c>
      <c r="F73" s="218" t="s">
        <v>142</v>
      </c>
      <c r="G73" s="219">
        <v>0</v>
      </c>
      <c r="H73" s="220">
        <v>3.5</v>
      </c>
      <c r="I73" s="222">
        <f>Tbl_Hull_Structure[[#This Row],[Qty]]*Tbl_Hull_Structure[[#This Row],[Unitary ]]</f>
        <v>0</v>
      </c>
      <c r="J73" s="221">
        <v>1.02</v>
      </c>
      <c r="K73" s="224">
        <f>Tbl_Hull_Structure[[#This Row],[Contingency ]]*Tbl_Hull_Structure[[#This Row],[Total Op]]</f>
        <v>0</v>
      </c>
      <c r="L73" s="226">
        <v>27.5</v>
      </c>
      <c r="M73" s="228">
        <v>7.3</v>
      </c>
      <c r="N73" s="230">
        <v>5.25</v>
      </c>
      <c r="O73" s="231">
        <v>2.1000000000000014</v>
      </c>
      <c r="P73" s="234" t="s">
        <v>95</v>
      </c>
      <c r="Q73" s="235" t="s">
        <v>33</v>
      </c>
      <c r="R73" s="241"/>
      <c r="S73" s="238" t="str">
        <f>IF(Tbl_Hull_Structure[[#This Row],[Weight Op]],Tbl_Hull_Structure[[#This Row],[Weight Op]]*Tbl_Hull_Structure[[#This Row],[X]],"")</f>
        <v/>
      </c>
      <c r="T73" s="101" t="str">
        <f>IF(Tbl_Hull_Structure[[#This Row],[Weight Op]],Tbl_Hull_Structure[[#This Row],[Weight Op]]*Tbl_Hull_Structure[[#This Row],[Y]],"")</f>
        <v/>
      </c>
      <c r="U73" s="99" t="str">
        <f>IF(Tbl_Hull_Structure[[#This Row],[Weight Op]],Tbl_Hull_Structure[[#This Row],[Weight Op]]*Tbl_Hull_Structure[[#This Row],[Z]],"")</f>
        <v/>
      </c>
      <c r="V73" s="103">
        <f>Tbl_Hull_Structure[[#This Row],[Weight Op]]</f>
        <v>0</v>
      </c>
      <c r="W73" s="105" t="str">
        <f>IF(Tbl_Hull_Structure[[#This Row],[Weight Fact]],Tbl_Hull_Structure[[#This Row],[X]],"")</f>
        <v/>
      </c>
      <c r="X73" s="107" t="str">
        <f>IF(Tbl_Hull_Structure[[#This Row],[Weight Fact]],Tbl_Hull_Structure[[#This Row],[Y]],"")</f>
        <v/>
      </c>
      <c r="Y73" s="109" t="str">
        <f>IF(Tbl_Hull_Structure[[#This Row],[Weight Fact]],Tbl_Hull_Structure[[#This Row],[Z]],"")</f>
        <v/>
      </c>
      <c r="Z73" s="117" t="str">
        <f>IF(Tbl_Hull_Structure[[#This Row],[Weight Fact]],Tbl_Hull_Structure[[#This Row],[X distrib]],"")</f>
        <v/>
      </c>
      <c r="AA73" s="120" t="str">
        <f>IF(Tbl_Hull_Structure[[#This Row],[Weight Fact]],Tbl_Hull_Structure[[#This Row],[COG x ]]-Tbl_Hull_Structure[[#This Row],[Distrib]]/2,"")</f>
        <v/>
      </c>
      <c r="AB73" s="123" t="str">
        <f>IF(Tbl_Hull_Structure[[#This Row],[Weight Fact]],Tbl_Hull_Structure[[#This Row],[COG x ]]+Tbl_Hull_Structure[[#This Row],[Distrib]]/2,"")</f>
        <v/>
      </c>
      <c r="AC73" s="111" t="str">
        <f>IF(Tbl_Hull_Structure[[#This Row],[Weight Fact]],ROUND(Tbl_Hull_Structure[[#This Row],[AP from]]/FE_size,0),"")</f>
        <v/>
      </c>
      <c r="AD73" s="113" t="str">
        <f>IF(Tbl_Hull_Structure[[#This Row],[Weight Fact]],ROUND(Tbl_Hull_Structure[[#This Row],[AP to]]/FE_size,0),"")</f>
        <v/>
      </c>
      <c r="AE73"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73" s="133" t="str">
        <f>IF(Tbl_Hull_Structure[[#This Row],[Weight Fact]],IF(Tbl_Hull_Structure[[#This Row],[Fr from]]*FE_size&lt;0,0,Tbl_Hull_Structure[[#This Row],[Fr from]]*FE_size),"")</f>
        <v/>
      </c>
      <c r="AG73" s="134" t="str">
        <f>IF(Tbl_Hull_Structure[[#This Row],[Weight Fact]],IF(Tbl_Hull_Structure[[#This Row],[Fr to]]*FE_size=Tbl_Hull_Structure[[#This Row],[L from]],Tbl_Hull_Structure[[#This Row],[L from]]+FE_size,IF(Tbl_Hull_Structure[[#This Row],[Fr to]]*FE_size&gt;Lpp,Lpp,Tbl_Hull_Structure[[#This Row],[Fr to]]*FE_size)),"")</f>
        <v/>
      </c>
      <c r="AH73" s="144" t="str">
        <f>IFERROR(Tbl_Hull_Structure[[#This Row],[Weight Fact]]/(Tbl_Hull_Structure[[#This Row],[L to]]-Tbl_Hull_Structure[[#This Row],[L from]]),"")</f>
        <v/>
      </c>
      <c r="AI73" s="145" t="str">
        <f>IF(Tbl_Hull_Structure[[#This Row],[Weight Fact]],Tbl_Hull_Structure[[#This Row],[Spread]]*(Tbl_Hull_Structure[[#This Row],[L to]]-Tbl_Hull_Structure[[#This Row],[L from]])-Tbl_Hull_Structure[[#This Row],[Weight Fact]],"")</f>
        <v/>
      </c>
      <c r="AJ73" s="141" t="str">
        <f>IF(AND(ISNUMBER(Tbl_Hull_Structure[[#This Row],[L from]]),ISNUMBER(Tbl_Hull_Structure[[#This Row],[L to]])),IF(AND(Tbl_Hull_Structure[[#This Row],[L from]]&gt;=0,Tbl_Hull_Structure[[#This Row],[L to]]&lt;=Lpp),"OK","KO"),"OK")</f>
        <v>OK</v>
      </c>
    </row>
    <row r="74" spans="2:36" x14ac:dyDescent="0.25">
      <c r="B74" s="94">
        <f t="shared" si="2"/>
        <v>3</v>
      </c>
      <c r="C74" s="215"/>
      <c r="D74" s="217" t="s">
        <v>132</v>
      </c>
      <c r="E74" s="214" t="str">
        <f>IF(NOT(ISBLANK(Tbl_Hull_Structure[[#This Row],[Num]])),TEXT(Tbl_Hull_Structure[[#This Row],[Group]],"00")&amp;"-"&amp;TEXT(Tbl_Hull_Structure[[#This Row],[Num]],"000"),"")</f>
        <v>00-44.a</v>
      </c>
      <c r="F74" s="218" t="s">
        <v>158</v>
      </c>
      <c r="G74" s="219">
        <v>0</v>
      </c>
      <c r="H74" s="220">
        <v>0.13600000000000001</v>
      </c>
      <c r="I74" s="222">
        <f>Tbl_Hull_Structure[[#This Row],[Qty]]*Tbl_Hull_Structure[[#This Row],[Unitary ]]</f>
        <v>0</v>
      </c>
      <c r="J74" s="221">
        <v>1.02</v>
      </c>
      <c r="K74" s="224">
        <f>Tbl_Hull_Structure[[#This Row],[Contingency ]]*Tbl_Hull_Structure[[#This Row],[Total Op]]</f>
        <v>0</v>
      </c>
      <c r="L74" s="226">
        <v>19.23</v>
      </c>
      <c r="M74" s="228">
        <v>10.89</v>
      </c>
      <c r="N74" s="230">
        <v>4.2</v>
      </c>
      <c r="O74" s="231">
        <v>0.39999999999999858</v>
      </c>
      <c r="P74" s="234" t="s">
        <v>95</v>
      </c>
      <c r="Q74" s="235" t="s">
        <v>33</v>
      </c>
      <c r="R74" s="241"/>
      <c r="S74" s="238" t="str">
        <f>IF(Tbl_Hull_Structure[[#This Row],[Weight Op]],Tbl_Hull_Structure[[#This Row],[Weight Op]]*Tbl_Hull_Structure[[#This Row],[X]],"")</f>
        <v/>
      </c>
      <c r="T74" s="101" t="str">
        <f>IF(Tbl_Hull_Structure[[#This Row],[Weight Op]],Tbl_Hull_Structure[[#This Row],[Weight Op]]*Tbl_Hull_Structure[[#This Row],[Y]],"")</f>
        <v/>
      </c>
      <c r="U74" s="99" t="str">
        <f>IF(Tbl_Hull_Structure[[#This Row],[Weight Op]],Tbl_Hull_Structure[[#This Row],[Weight Op]]*Tbl_Hull_Structure[[#This Row],[Z]],"")</f>
        <v/>
      </c>
      <c r="V74" s="103">
        <f>Tbl_Hull_Structure[[#This Row],[Weight Op]]</f>
        <v>0</v>
      </c>
      <c r="W74" s="105" t="str">
        <f>IF(Tbl_Hull_Structure[[#This Row],[Weight Fact]],Tbl_Hull_Structure[[#This Row],[X]],"")</f>
        <v/>
      </c>
      <c r="X74" s="107" t="str">
        <f>IF(Tbl_Hull_Structure[[#This Row],[Weight Fact]],Tbl_Hull_Structure[[#This Row],[Y]],"")</f>
        <v/>
      </c>
      <c r="Y74" s="109" t="str">
        <f>IF(Tbl_Hull_Structure[[#This Row],[Weight Fact]],Tbl_Hull_Structure[[#This Row],[Z]],"")</f>
        <v/>
      </c>
      <c r="Z74" s="117" t="str">
        <f>IF(Tbl_Hull_Structure[[#This Row],[Weight Fact]],Tbl_Hull_Structure[[#This Row],[X distrib]],"")</f>
        <v/>
      </c>
      <c r="AA74" s="120" t="str">
        <f>IF(Tbl_Hull_Structure[[#This Row],[Weight Fact]],Tbl_Hull_Structure[[#This Row],[COG x ]]-Tbl_Hull_Structure[[#This Row],[Distrib]]/2,"")</f>
        <v/>
      </c>
      <c r="AB74" s="123" t="str">
        <f>IF(Tbl_Hull_Structure[[#This Row],[Weight Fact]],Tbl_Hull_Structure[[#This Row],[COG x ]]+Tbl_Hull_Structure[[#This Row],[Distrib]]/2,"")</f>
        <v/>
      </c>
      <c r="AC74" s="111" t="str">
        <f>IF(Tbl_Hull_Structure[[#This Row],[Weight Fact]],ROUND(Tbl_Hull_Structure[[#This Row],[AP from]]/FE_size,0),"")</f>
        <v/>
      </c>
      <c r="AD74" s="113" t="str">
        <f>IF(Tbl_Hull_Structure[[#This Row],[Weight Fact]],ROUND(Tbl_Hull_Structure[[#This Row],[AP to]]/FE_size,0),"")</f>
        <v/>
      </c>
      <c r="AE74"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74" s="133" t="str">
        <f>IF(Tbl_Hull_Structure[[#This Row],[Weight Fact]],IF(Tbl_Hull_Structure[[#This Row],[Fr from]]*FE_size&lt;0,0,Tbl_Hull_Structure[[#This Row],[Fr from]]*FE_size),"")</f>
        <v/>
      </c>
      <c r="AG74" s="134" t="str">
        <f>IF(Tbl_Hull_Structure[[#This Row],[Weight Fact]],IF(Tbl_Hull_Structure[[#This Row],[Fr to]]*FE_size=Tbl_Hull_Structure[[#This Row],[L from]],Tbl_Hull_Structure[[#This Row],[L from]]+FE_size,IF(Tbl_Hull_Structure[[#This Row],[Fr to]]*FE_size&gt;Lpp,Lpp,Tbl_Hull_Structure[[#This Row],[Fr to]]*FE_size)),"")</f>
        <v/>
      </c>
      <c r="AH74" s="144" t="str">
        <f>IFERROR(Tbl_Hull_Structure[[#This Row],[Weight Fact]]/(Tbl_Hull_Structure[[#This Row],[L to]]-Tbl_Hull_Structure[[#This Row],[L from]]),"")</f>
        <v/>
      </c>
      <c r="AI74" s="145" t="str">
        <f>IF(Tbl_Hull_Structure[[#This Row],[Weight Fact]],Tbl_Hull_Structure[[#This Row],[Spread]]*(Tbl_Hull_Structure[[#This Row],[L to]]-Tbl_Hull_Structure[[#This Row],[L from]])-Tbl_Hull_Structure[[#This Row],[Weight Fact]],"")</f>
        <v/>
      </c>
      <c r="AJ74" s="141" t="str">
        <f>IF(AND(ISNUMBER(Tbl_Hull_Structure[[#This Row],[L from]]),ISNUMBER(Tbl_Hull_Structure[[#This Row],[L to]])),IF(AND(Tbl_Hull_Structure[[#This Row],[L from]]&gt;=0,Tbl_Hull_Structure[[#This Row],[L to]]&lt;=Lpp),"OK","KO"),"OK")</f>
        <v>OK</v>
      </c>
    </row>
    <row r="75" spans="2:36" x14ac:dyDescent="0.25">
      <c r="B75" s="94">
        <f t="shared" si="2"/>
        <v>3</v>
      </c>
      <c r="C75" s="215"/>
      <c r="D75" s="217" t="s">
        <v>133</v>
      </c>
      <c r="E75" s="214" t="str">
        <f>IF(NOT(ISBLANK(Tbl_Hull_Structure[[#This Row],[Num]])),TEXT(Tbl_Hull_Structure[[#This Row],[Group]],"00")&amp;"-"&amp;TEXT(Tbl_Hull_Structure[[#This Row],[Num]],"000"),"")</f>
        <v>00-44.b</v>
      </c>
      <c r="F75" s="218" t="s">
        <v>158</v>
      </c>
      <c r="G75" s="219">
        <v>0</v>
      </c>
      <c r="H75" s="220">
        <v>0.13600000000000001</v>
      </c>
      <c r="I75" s="222">
        <f>Tbl_Hull_Structure[[#This Row],[Qty]]*Tbl_Hull_Structure[[#This Row],[Unitary ]]</f>
        <v>0</v>
      </c>
      <c r="J75" s="221">
        <v>1.02</v>
      </c>
      <c r="K75" s="224">
        <f>Tbl_Hull_Structure[[#This Row],[Contingency ]]*Tbl_Hull_Structure[[#This Row],[Total Op]]</f>
        <v>0</v>
      </c>
      <c r="L75" s="226">
        <v>38.03</v>
      </c>
      <c r="M75" s="228">
        <v>10.89</v>
      </c>
      <c r="N75" s="230">
        <v>4.2</v>
      </c>
      <c r="O75" s="231">
        <v>0.5</v>
      </c>
      <c r="P75" s="234" t="s">
        <v>95</v>
      </c>
      <c r="Q75" s="235" t="s">
        <v>33</v>
      </c>
      <c r="R75" s="241"/>
      <c r="S75" s="238" t="str">
        <f>IF(Tbl_Hull_Structure[[#This Row],[Weight Op]],Tbl_Hull_Structure[[#This Row],[Weight Op]]*Tbl_Hull_Structure[[#This Row],[X]],"")</f>
        <v/>
      </c>
      <c r="T75" s="101" t="str">
        <f>IF(Tbl_Hull_Structure[[#This Row],[Weight Op]],Tbl_Hull_Structure[[#This Row],[Weight Op]]*Tbl_Hull_Structure[[#This Row],[Y]],"")</f>
        <v/>
      </c>
      <c r="U75" s="99" t="str">
        <f>IF(Tbl_Hull_Structure[[#This Row],[Weight Op]],Tbl_Hull_Structure[[#This Row],[Weight Op]]*Tbl_Hull_Structure[[#This Row],[Z]],"")</f>
        <v/>
      </c>
      <c r="V75" s="103">
        <f>Tbl_Hull_Structure[[#This Row],[Weight Op]]</f>
        <v>0</v>
      </c>
      <c r="W75" s="105" t="str">
        <f>IF(Tbl_Hull_Structure[[#This Row],[Weight Fact]],Tbl_Hull_Structure[[#This Row],[X]],"")</f>
        <v/>
      </c>
      <c r="X75" s="107" t="str">
        <f>IF(Tbl_Hull_Structure[[#This Row],[Weight Fact]],Tbl_Hull_Structure[[#This Row],[Y]],"")</f>
        <v/>
      </c>
      <c r="Y75" s="109" t="str">
        <f>IF(Tbl_Hull_Structure[[#This Row],[Weight Fact]],Tbl_Hull_Structure[[#This Row],[Z]],"")</f>
        <v/>
      </c>
      <c r="Z75" s="117" t="str">
        <f>IF(Tbl_Hull_Structure[[#This Row],[Weight Fact]],Tbl_Hull_Structure[[#This Row],[X distrib]],"")</f>
        <v/>
      </c>
      <c r="AA75" s="120" t="str">
        <f>IF(Tbl_Hull_Structure[[#This Row],[Weight Fact]],Tbl_Hull_Structure[[#This Row],[COG x ]]-Tbl_Hull_Structure[[#This Row],[Distrib]]/2,"")</f>
        <v/>
      </c>
      <c r="AB75" s="123" t="str">
        <f>IF(Tbl_Hull_Structure[[#This Row],[Weight Fact]],Tbl_Hull_Structure[[#This Row],[COG x ]]+Tbl_Hull_Structure[[#This Row],[Distrib]]/2,"")</f>
        <v/>
      </c>
      <c r="AC75" s="111" t="str">
        <f>IF(Tbl_Hull_Structure[[#This Row],[Weight Fact]],ROUND(Tbl_Hull_Structure[[#This Row],[AP from]]/FE_size,0),"")</f>
        <v/>
      </c>
      <c r="AD75" s="113" t="str">
        <f>IF(Tbl_Hull_Structure[[#This Row],[Weight Fact]],ROUND(Tbl_Hull_Structure[[#This Row],[AP to]]/FE_size,0),"")</f>
        <v/>
      </c>
      <c r="AE75"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75" s="133" t="str">
        <f>IF(Tbl_Hull_Structure[[#This Row],[Weight Fact]],IF(Tbl_Hull_Structure[[#This Row],[Fr from]]*FE_size&lt;0,0,Tbl_Hull_Structure[[#This Row],[Fr from]]*FE_size),"")</f>
        <v/>
      </c>
      <c r="AG75" s="134" t="str">
        <f>IF(Tbl_Hull_Structure[[#This Row],[Weight Fact]],IF(Tbl_Hull_Structure[[#This Row],[Fr to]]*FE_size=Tbl_Hull_Structure[[#This Row],[L from]],Tbl_Hull_Structure[[#This Row],[L from]]+FE_size,IF(Tbl_Hull_Structure[[#This Row],[Fr to]]*FE_size&gt;Lpp,Lpp,Tbl_Hull_Structure[[#This Row],[Fr to]]*FE_size)),"")</f>
        <v/>
      </c>
      <c r="AH75" s="144" t="str">
        <f>IFERROR(Tbl_Hull_Structure[[#This Row],[Weight Fact]]/(Tbl_Hull_Structure[[#This Row],[L to]]-Tbl_Hull_Structure[[#This Row],[L from]]),"")</f>
        <v/>
      </c>
      <c r="AI75" s="145" t="str">
        <f>IF(Tbl_Hull_Structure[[#This Row],[Weight Fact]],Tbl_Hull_Structure[[#This Row],[Spread]]*(Tbl_Hull_Structure[[#This Row],[L to]]-Tbl_Hull_Structure[[#This Row],[L from]])-Tbl_Hull_Structure[[#This Row],[Weight Fact]],"")</f>
        <v/>
      </c>
      <c r="AJ75" s="141" t="str">
        <f>IF(AND(ISNUMBER(Tbl_Hull_Structure[[#This Row],[L from]]),ISNUMBER(Tbl_Hull_Structure[[#This Row],[L to]])),IF(AND(Tbl_Hull_Structure[[#This Row],[L from]]&gt;=0,Tbl_Hull_Structure[[#This Row],[L to]]&lt;=Lpp),"OK","KO"),"OK")</f>
        <v>OK</v>
      </c>
    </row>
    <row r="76" spans="2:36" x14ac:dyDescent="0.25">
      <c r="B76" s="94">
        <f t="shared" si="2"/>
        <v>3</v>
      </c>
      <c r="C76" s="215"/>
      <c r="D76" s="217" t="s">
        <v>134</v>
      </c>
      <c r="E76" s="214" t="str">
        <f>IF(NOT(ISBLANK(Tbl_Hull_Structure[[#This Row],[Num]])),TEXT(Tbl_Hull_Structure[[#This Row],[Group]],"00")&amp;"-"&amp;TEXT(Tbl_Hull_Structure[[#This Row],[Num]],"000"),"")</f>
        <v>00-44.c</v>
      </c>
      <c r="F76" s="218" t="s">
        <v>158</v>
      </c>
      <c r="G76" s="219">
        <v>0</v>
      </c>
      <c r="H76" s="220">
        <v>0.13600000000000001</v>
      </c>
      <c r="I76" s="222">
        <f>Tbl_Hull_Structure[[#This Row],[Qty]]*Tbl_Hull_Structure[[#This Row],[Unitary ]]</f>
        <v>0</v>
      </c>
      <c r="J76" s="221">
        <v>1.02</v>
      </c>
      <c r="K76" s="224">
        <f>Tbl_Hull_Structure[[#This Row],[Contingency ]]*Tbl_Hull_Structure[[#This Row],[Total Op]]</f>
        <v>0</v>
      </c>
      <c r="L76" s="226">
        <v>19.23</v>
      </c>
      <c r="M76" s="228">
        <v>-10.89</v>
      </c>
      <c r="N76" s="230">
        <v>4.2</v>
      </c>
      <c r="O76" s="231">
        <v>0.39999999999999858</v>
      </c>
      <c r="P76" s="234" t="s">
        <v>95</v>
      </c>
      <c r="Q76" s="235" t="s">
        <v>33</v>
      </c>
      <c r="R76" s="241"/>
      <c r="S76" s="238" t="str">
        <f>IF(Tbl_Hull_Structure[[#This Row],[Weight Op]],Tbl_Hull_Structure[[#This Row],[Weight Op]]*Tbl_Hull_Structure[[#This Row],[X]],"")</f>
        <v/>
      </c>
      <c r="T76" s="101" t="str">
        <f>IF(Tbl_Hull_Structure[[#This Row],[Weight Op]],Tbl_Hull_Structure[[#This Row],[Weight Op]]*Tbl_Hull_Structure[[#This Row],[Y]],"")</f>
        <v/>
      </c>
      <c r="U76" s="99" t="str">
        <f>IF(Tbl_Hull_Structure[[#This Row],[Weight Op]],Tbl_Hull_Structure[[#This Row],[Weight Op]]*Tbl_Hull_Structure[[#This Row],[Z]],"")</f>
        <v/>
      </c>
      <c r="V76" s="103">
        <f>Tbl_Hull_Structure[[#This Row],[Weight Op]]</f>
        <v>0</v>
      </c>
      <c r="W76" s="105" t="str">
        <f>IF(Tbl_Hull_Structure[[#This Row],[Weight Fact]],Tbl_Hull_Structure[[#This Row],[X]],"")</f>
        <v/>
      </c>
      <c r="X76" s="107" t="str">
        <f>IF(Tbl_Hull_Structure[[#This Row],[Weight Fact]],Tbl_Hull_Structure[[#This Row],[Y]],"")</f>
        <v/>
      </c>
      <c r="Y76" s="109" t="str">
        <f>IF(Tbl_Hull_Structure[[#This Row],[Weight Fact]],Tbl_Hull_Structure[[#This Row],[Z]],"")</f>
        <v/>
      </c>
      <c r="Z76" s="117" t="str">
        <f>IF(Tbl_Hull_Structure[[#This Row],[Weight Fact]],Tbl_Hull_Structure[[#This Row],[X distrib]],"")</f>
        <v/>
      </c>
      <c r="AA76" s="120" t="str">
        <f>IF(Tbl_Hull_Structure[[#This Row],[Weight Fact]],Tbl_Hull_Structure[[#This Row],[COG x ]]-Tbl_Hull_Structure[[#This Row],[Distrib]]/2,"")</f>
        <v/>
      </c>
      <c r="AB76" s="123" t="str">
        <f>IF(Tbl_Hull_Structure[[#This Row],[Weight Fact]],Tbl_Hull_Structure[[#This Row],[COG x ]]+Tbl_Hull_Structure[[#This Row],[Distrib]]/2,"")</f>
        <v/>
      </c>
      <c r="AC76" s="111" t="str">
        <f>IF(Tbl_Hull_Structure[[#This Row],[Weight Fact]],ROUND(Tbl_Hull_Structure[[#This Row],[AP from]]/FE_size,0),"")</f>
        <v/>
      </c>
      <c r="AD76" s="113" t="str">
        <f>IF(Tbl_Hull_Structure[[#This Row],[Weight Fact]],ROUND(Tbl_Hull_Structure[[#This Row],[AP to]]/FE_size,0),"")</f>
        <v/>
      </c>
      <c r="AE76"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76" s="133" t="str">
        <f>IF(Tbl_Hull_Structure[[#This Row],[Weight Fact]],IF(Tbl_Hull_Structure[[#This Row],[Fr from]]*FE_size&lt;0,0,Tbl_Hull_Structure[[#This Row],[Fr from]]*FE_size),"")</f>
        <v/>
      </c>
      <c r="AG76" s="134" t="str">
        <f>IF(Tbl_Hull_Structure[[#This Row],[Weight Fact]],IF(Tbl_Hull_Structure[[#This Row],[Fr to]]*FE_size=Tbl_Hull_Structure[[#This Row],[L from]],Tbl_Hull_Structure[[#This Row],[L from]]+FE_size,IF(Tbl_Hull_Structure[[#This Row],[Fr to]]*FE_size&gt;Lpp,Lpp,Tbl_Hull_Structure[[#This Row],[Fr to]]*FE_size)),"")</f>
        <v/>
      </c>
      <c r="AH76" s="144" t="str">
        <f>IFERROR(Tbl_Hull_Structure[[#This Row],[Weight Fact]]/(Tbl_Hull_Structure[[#This Row],[L to]]-Tbl_Hull_Structure[[#This Row],[L from]]),"")</f>
        <v/>
      </c>
      <c r="AI76" s="145" t="str">
        <f>IF(Tbl_Hull_Structure[[#This Row],[Weight Fact]],Tbl_Hull_Structure[[#This Row],[Spread]]*(Tbl_Hull_Structure[[#This Row],[L to]]-Tbl_Hull_Structure[[#This Row],[L from]])-Tbl_Hull_Structure[[#This Row],[Weight Fact]],"")</f>
        <v/>
      </c>
      <c r="AJ76" s="141" t="str">
        <f>IF(AND(ISNUMBER(Tbl_Hull_Structure[[#This Row],[L from]]),ISNUMBER(Tbl_Hull_Structure[[#This Row],[L to]])),IF(AND(Tbl_Hull_Structure[[#This Row],[L from]]&gt;=0,Tbl_Hull_Structure[[#This Row],[L to]]&lt;=Lpp),"OK","KO"),"OK")</f>
        <v>OK</v>
      </c>
    </row>
    <row r="77" spans="2:36" x14ac:dyDescent="0.25">
      <c r="B77" s="94">
        <f t="shared" si="2"/>
        <v>3</v>
      </c>
      <c r="C77" s="215"/>
      <c r="D77" s="217" t="s">
        <v>135</v>
      </c>
      <c r="E77" s="214" t="str">
        <f>IF(NOT(ISBLANK(Tbl_Hull_Structure[[#This Row],[Num]])),TEXT(Tbl_Hull_Structure[[#This Row],[Group]],"00")&amp;"-"&amp;TEXT(Tbl_Hull_Structure[[#This Row],[Num]],"000"),"")</f>
        <v>00-44.d</v>
      </c>
      <c r="F77" s="218" t="s">
        <v>158</v>
      </c>
      <c r="G77" s="219">
        <v>0</v>
      </c>
      <c r="H77" s="220">
        <v>0.13600000000000001</v>
      </c>
      <c r="I77" s="222">
        <f>Tbl_Hull_Structure[[#This Row],[Qty]]*Tbl_Hull_Structure[[#This Row],[Unitary ]]</f>
        <v>0</v>
      </c>
      <c r="J77" s="221">
        <v>1.02</v>
      </c>
      <c r="K77" s="224">
        <f>Tbl_Hull_Structure[[#This Row],[Contingency ]]*Tbl_Hull_Structure[[#This Row],[Total Op]]</f>
        <v>0</v>
      </c>
      <c r="L77" s="226">
        <v>38.03</v>
      </c>
      <c r="M77" s="228">
        <v>-10.89</v>
      </c>
      <c r="N77" s="230">
        <v>4.2</v>
      </c>
      <c r="O77" s="231">
        <v>0.5</v>
      </c>
      <c r="P77" s="234" t="s">
        <v>95</v>
      </c>
      <c r="Q77" s="235" t="s">
        <v>33</v>
      </c>
      <c r="R77" s="241"/>
      <c r="S77" s="238" t="str">
        <f>IF(Tbl_Hull_Structure[[#This Row],[Weight Op]],Tbl_Hull_Structure[[#This Row],[Weight Op]]*Tbl_Hull_Structure[[#This Row],[X]],"")</f>
        <v/>
      </c>
      <c r="T77" s="101" t="str">
        <f>IF(Tbl_Hull_Structure[[#This Row],[Weight Op]],Tbl_Hull_Structure[[#This Row],[Weight Op]]*Tbl_Hull_Structure[[#This Row],[Y]],"")</f>
        <v/>
      </c>
      <c r="U77" s="99" t="str">
        <f>IF(Tbl_Hull_Structure[[#This Row],[Weight Op]],Tbl_Hull_Structure[[#This Row],[Weight Op]]*Tbl_Hull_Structure[[#This Row],[Z]],"")</f>
        <v/>
      </c>
      <c r="V77" s="103">
        <f>Tbl_Hull_Structure[[#This Row],[Weight Op]]</f>
        <v>0</v>
      </c>
      <c r="W77" s="105" t="str">
        <f>IF(Tbl_Hull_Structure[[#This Row],[Weight Fact]],Tbl_Hull_Structure[[#This Row],[X]],"")</f>
        <v/>
      </c>
      <c r="X77" s="107" t="str">
        <f>IF(Tbl_Hull_Structure[[#This Row],[Weight Fact]],Tbl_Hull_Structure[[#This Row],[Y]],"")</f>
        <v/>
      </c>
      <c r="Y77" s="109" t="str">
        <f>IF(Tbl_Hull_Structure[[#This Row],[Weight Fact]],Tbl_Hull_Structure[[#This Row],[Z]],"")</f>
        <v/>
      </c>
      <c r="Z77" s="117" t="str">
        <f>IF(Tbl_Hull_Structure[[#This Row],[Weight Fact]],Tbl_Hull_Structure[[#This Row],[X distrib]],"")</f>
        <v/>
      </c>
      <c r="AA77" s="120" t="str">
        <f>IF(Tbl_Hull_Structure[[#This Row],[Weight Fact]],Tbl_Hull_Structure[[#This Row],[COG x ]]-Tbl_Hull_Structure[[#This Row],[Distrib]]/2,"")</f>
        <v/>
      </c>
      <c r="AB77" s="123" t="str">
        <f>IF(Tbl_Hull_Structure[[#This Row],[Weight Fact]],Tbl_Hull_Structure[[#This Row],[COG x ]]+Tbl_Hull_Structure[[#This Row],[Distrib]]/2,"")</f>
        <v/>
      </c>
      <c r="AC77" s="111" t="str">
        <f>IF(Tbl_Hull_Structure[[#This Row],[Weight Fact]],ROUND(Tbl_Hull_Structure[[#This Row],[AP from]]/FE_size,0),"")</f>
        <v/>
      </c>
      <c r="AD77" s="113" t="str">
        <f>IF(Tbl_Hull_Structure[[#This Row],[Weight Fact]],ROUND(Tbl_Hull_Structure[[#This Row],[AP to]]/FE_size,0),"")</f>
        <v/>
      </c>
      <c r="AE77"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77" s="133" t="str">
        <f>IF(Tbl_Hull_Structure[[#This Row],[Weight Fact]],IF(Tbl_Hull_Structure[[#This Row],[Fr from]]*FE_size&lt;0,0,Tbl_Hull_Structure[[#This Row],[Fr from]]*FE_size),"")</f>
        <v/>
      </c>
      <c r="AG77" s="134" t="str">
        <f>IF(Tbl_Hull_Structure[[#This Row],[Weight Fact]],IF(Tbl_Hull_Structure[[#This Row],[Fr to]]*FE_size=Tbl_Hull_Structure[[#This Row],[L from]],Tbl_Hull_Structure[[#This Row],[L from]]+FE_size,IF(Tbl_Hull_Structure[[#This Row],[Fr to]]*FE_size&gt;Lpp,Lpp,Tbl_Hull_Structure[[#This Row],[Fr to]]*FE_size)),"")</f>
        <v/>
      </c>
      <c r="AH77" s="144" t="str">
        <f>IFERROR(Tbl_Hull_Structure[[#This Row],[Weight Fact]]/(Tbl_Hull_Structure[[#This Row],[L to]]-Tbl_Hull_Structure[[#This Row],[L from]]),"")</f>
        <v/>
      </c>
      <c r="AI77" s="145" t="str">
        <f>IF(Tbl_Hull_Structure[[#This Row],[Weight Fact]],Tbl_Hull_Structure[[#This Row],[Spread]]*(Tbl_Hull_Structure[[#This Row],[L to]]-Tbl_Hull_Structure[[#This Row],[L from]])-Tbl_Hull_Structure[[#This Row],[Weight Fact]],"")</f>
        <v/>
      </c>
      <c r="AJ77" s="141" t="str">
        <f>IF(AND(ISNUMBER(Tbl_Hull_Structure[[#This Row],[L from]]),ISNUMBER(Tbl_Hull_Structure[[#This Row],[L to]])),IF(AND(Tbl_Hull_Structure[[#This Row],[L from]]&gt;=0,Tbl_Hull_Structure[[#This Row],[L to]]&lt;=Lpp),"OK","KO"),"OK")</f>
        <v>OK</v>
      </c>
    </row>
    <row r="78" spans="2:36" x14ac:dyDescent="0.25">
      <c r="B78" s="94">
        <f t="shared" si="2"/>
        <v>3</v>
      </c>
      <c r="C78" s="215"/>
      <c r="D78" s="217">
        <v>55</v>
      </c>
      <c r="E78" s="214" t="str">
        <f>IF(NOT(ISBLANK(Tbl_Hull_Structure[[#This Row],[Num]])),TEXT(Tbl_Hull_Structure[[#This Row],[Group]],"00")&amp;"-"&amp;TEXT(Tbl_Hull_Structure[[#This Row],[Num]],"000"),"")</f>
        <v>00-055</v>
      </c>
      <c r="F78" s="218" t="s">
        <v>73</v>
      </c>
      <c r="G78" s="219">
        <v>0</v>
      </c>
      <c r="H78" s="220">
        <v>7.93</v>
      </c>
      <c r="I78" s="222">
        <f>Tbl_Hull_Structure[[#This Row],[Qty]]*Tbl_Hull_Structure[[#This Row],[Unitary ]]</f>
        <v>0</v>
      </c>
      <c r="J78" s="221">
        <v>1.02</v>
      </c>
      <c r="K78" s="224">
        <f>Tbl_Hull_Structure[[#This Row],[Contingency ]]*Tbl_Hull_Structure[[#This Row],[Total Op]]</f>
        <v>0</v>
      </c>
      <c r="L78" s="226">
        <v>53.365000000000002</v>
      </c>
      <c r="M78" s="228">
        <v>-3.88</v>
      </c>
      <c r="N78" s="230">
        <v>5</v>
      </c>
      <c r="O78" s="231">
        <v>11.899999999999999</v>
      </c>
      <c r="P78" s="234" t="s">
        <v>95</v>
      </c>
      <c r="Q78" s="235" t="s">
        <v>33</v>
      </c>
      <c r="R78" s="241"/>
      <c r="S78" s="238" t="str">
        <f>IF(Tbl_Hull_Structure[[#This Row],[Weight Op]],Tbl_Hull_Structure[[#This Row],[Weight Op]]*Tbl_Hull_Structure[[#This Row],[X]],"")</f>
        <v/>
      </c>
      <c r="T78" s="101" t="str">
        <f>IF(Tbl_Hull_Structure[[#This Row],[Weight Op]],Tbl_Hull_Structure[[#This Row],[Weight Op]]*Tbl_Hull_Structure[[#This Row],[Y]],"")</f>
        <v/>
      </c>
      <c r="U78" s="99" t="str">
        <f>IF(Tbl_Hull_Structure[[#This Row],[Weight Op]],Tbl_Hull_Structure[[#This Row],[Weight Op]]*Tbl_Hull_Structure[[#This Row],[Z]],"")</f>
        <v/>
      </c>
      <c r="V78" s="103">
        <f>Tbl_Hull_Structure[[#This Row],[Weight Op]]</f>
        <v>0</v>
      </c>
      <c r="W78" s="105" t="str">
        <f>IF(Tbl_Hull_Structure[[#This Row],[Weight Fact]],Tbl_Hull_Structure[[#This Row],[X]],"")</f>
        <v/>
      </c>
      <c r="X78" s="107" t="str">
        <f>IF(Tbl_Hull_Structure[[#This Row],[Weight Fact]],Tbl_Hull_Structure[[#This Row],[Y]],"")</f>
        <v/>
      </c>
      <c r="Y78" s="109" t="str">
        <f>IF(Tbl_Hull_Structure[[#This Row],[Weight Fact]],Tbl_Hull_Structure[[#This Row],[Z]],"")</f>
        <v/>
      </c>
      <c r="Z78" s="117" t="str">
        <f>IF(Tbl_Hull_Structure[[#This Row],[Weight Fact]],Tbl_Hull_Structure[[#This Row],[X distrib]],"")</f>
        <v/>
      </c>
      <c r="AA78" s="120" t="str">
        <f>IF(Tbl_Hull_Structure[[#This Row],[Weight Fact]],Tbl_Hull_Structure[[#This Row],[COG x ]]-Tbl_Hull_Structure[[#This Row],[Distrib]]/2,"")</f>
        <v/>
      </c>
      <c r="AB78" s="123" t="str">
        <f>IF(Tbl_Hull_Structure[[#This Row],[Weight Fact]],Tbl_Hull_Structure[[#This Row],[COG x ]]+Tbl_Hull_Structure[[#This Row],[Distrib]]/2,"")</f>
        <v/>
      </c>
      <c r="AC78" s="111" t="str">
        <f>IF(Tbl_Hull_Structure[[#This Row],[Weight Fact]],ROUND(Tbl_Hull_Structure[[#This Row],[AP from]]/FE_size,0),"")</f>
        <v/>
      </c>
      <c r="AD78" s="113" t="str">
        <f>IF(Tbl_Hull_Structure[[#This Row],[Weight Fact]],ROUND(Tbl_Hull_Structure[[#This Row],[AP to]]/FE_size,0),"")</f>
        <v/>
      </c>
      <c r="AE78"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78" s="133" t="str">
        <f>IF(Tbl_Hull_Structure[[#This Row],[Weight Fact]],IF(Tbl_Hull_Structure[[#This Row],[Fr from]]*FE_size&lt;0,0,Tbl_Hull_Structure[[#This Row],[Fr from]]*FE_size),"")</f>
        <v/>
      </c>
      <c r="AG78" s="134" t="str">
        <f>IF(Tbl_Hull_Structure[[#This Row],[Weight Fact]],IF(Tbl_Hull_Structure[[#This Row],[Fr to]]*FE_size=Tbl_Hull_Structure[[#This Row],[L from]],Tbl_Hull_Structure[[#This Row],[L from]]+FE_size,IF(Tbl_Hull_Structure[[#This Row],[Fr to]]*FE_size&gt;Lpp,Lpp,Tbl_Hull_Structure[[#This Row],[Fr to]]*FE_size)),"")</f>
        <v/>
      </c>
      <c r="AH78" s="144" t="str">
        <f>IFERROR(Tbl_Hull_Structure[[#This Row],[Weight Fact]]/(Tbl_Hull_Structure[[#This Row],[L to]]-Tbl_Hull_Structure[[#This Row],[L from]]),"")</f>
        <v/>
      </c>
      <c r="AI78" s="145" t="str">
        <f>IF(Tbl_Hull_Structure[[#This Row],[Weight Fact]],Tbl_Hull_Structure[[#This Row],[Spread]]*(Tbl_Hull_Structure[[#This Row],[L to]]-Tbl_Hull_Structure[[#This Row],[L from]])-Tbl_Hull_Structure[[#This Row],[Weight Fact]],"")</f>
        <v/>
      </c>
      <c r="AJ78" s="141" t="str">
        <f>IF(AND(ISNUMBER(Tbl_Hull_Structure[[#This Row],[L from]]),ISNUMBER(Tbl_Hull_Structure[[#This Row],[L to]])),IF(AND(Tbl_Hull_Structure[[#This Row],[L from]]&gt;=0,Tbl_Hull_Structure[[#This Row],[L to]]&lt;=Lpp),"OK","KO"),"OK")</f>
        <v>OK</v>
      </c>
    </row>
    <row r="79" spans="2:36" x14ac:dyDescent="0.25">
      <c r="B79" s="94">
        <f t="shared" si="2"/>
        <v>3</v>
      </c>
      <c r="C79" s="215"/>
      <c r="D79" s="217">
        <v>56</v>
      </c>
      <c r="E79" s="214" t="str">
        <f>IF(NOT(ISBLANK(Tbl_Hull_Structure[[#This Row],[Num]])),TEXT(Tbl_Hull_Structure[[#This Row],[Group]],"00")&amp;"-"&amp;TEXT(Tbl_Hull_Structure[[#This Row],[Num]],"000"),"")</f>
        <v>00-056</v>
      </c>
      <c r="F79" s="218" t="s">
        <v>74</v>
      </c>
      <c r="G79" s="219">
        <v>0</v>
      </c>
      <c r="H79" s="220">
        <v>1.05</v>
      </c>
      <c r="I79" s="222">
        <f>Tbl_Hull_Structure[[#This Row],[Qty]]*Tbl_Hull_Structure[[#This Row],[Unitary ]]</f>
        <v>0</v>
      </c>
      <c r="J79" s="221">
        <v>1.02</v>
      </c>
      <c r="K79" s="224">
        <f>Tbl_Hull_Structure[[#This Row],[Contingency ]]*Tbl_Hull_Structure[[#This Row],[Total Op]]</f>
        <v>0</v>
      </c>
      <c r="L79" s="226">
        <v>33.232999999999997</v>
      </c>
      <c r="M79" s="228">
        <v>4.8250000000000002</v>
      </c>
      <c r="N79" s="230">
        <v>1.4</v>
      </c>
      <c r="O79" s="231">
        <v>4.7999999999999972</v>
      </c>
      <c r="P79" s="234" t="s">
        <v>95</v>
      </c>
      <c r="Q79" s="235" t="s">
        <v>33</v>
      </c>
      <c r="R79" s="241"/>
      <c r="S79" s="238" t="str">
        <f>IF(Tbl_Hull_Structure[[#This Row],[Weight Op]],Tbl_Hull_Structure[[#This Row],[Weight Op]]*Tbl_Hull_Structure[[#This Row],[X]],"")</f>
        <v/>
      </c>
      <c r="T79" s="101" t="str">
        <f>IF(Tbl_Hull_Structure[[#This Row],[Weight Op]],Tbl_Hull_Structure[[#This Row],[Weight Op]]*Tbl_Hull_Structure[[#This Row],[Y]],"")</f>
        <v/>
      </c>
      <c r="U79" s="99" t="str">
        <f>IF(Tbl_Hull_Structure[[#This Row],[Weight Op]],Tbl_Hull_Structure[[#This Row],[Weight Op]]*Tbl_Hull_Structure[[#This Row],[Z]],"")</f>
        <v/>
      </c>
      <c r="V79" s="103">
        <f>Tbl_Hull_Structure[[#This Row],[Weight Op]]</f>
        <v>0</v>
      </c>
      <c r="W79" s="105" t="str">
        <f>IF(Tbl_Hull_Structure[[#This Row],[Weight Fact]],Tbl_Hull_Structure[[#This Row],[X]],"")</f>
        <v/>
      </c>
      <c r="X79" s="107" t="str">
        <f>IF(Tbl_Hull_Structure[[#This Row],[Weight Fact]],Tbl_Hull_Structure[[#This Row],[Y]],"")</f>
        <v/>
      </c>
      <c r="Y79" s="109" t="str">
        <f>IF(Tbl_Hull_Structure[[#This Row],[Weight Fact]],Tbl_Hull_Structure[[#This Row],[Z]],"")</f>
        <v/>
      </c>
      <c r="Z79" s="117" t="str">
        <f>IF(Tbl_Hull_Structure[[#This Row],[Weight Fact]],Tbl_Hull_Structure[[#This Row],[X distrib]],"")</f>
        <v/>
      </c>
      <c r="AA79" s="120" t="str">
        <f>IF(Tbl_Hull_Structure[[#This Row],[Weight Fact]],Tbl_Hull_Structure[[#This Row],[COG x ]]-Tbl_Hull_Structure[[#This Row],[Distrib]]/2,"")</f>
        <v/>
      </c>
      <c r="AB79" s="123" t="str">
        <f>IF(Tbl_Hull_Structure[[#This Row],[Weight Fact]],Tbl_Hull_Structure[[#This Row],[COG x ]]+Tbl_Hull_Structure[[#This Row],[Distrib]]/2,"")</f>
        <v/>
      </c>
      <c r="AC79" s="111" t="str">
        <f>IF(Tbl_Hull_Structure[[#This Row],[Weight Fact]],ROUND(Tbl_Hull_Structure[[#This Row],[AP from]]/FE_size,0),"")</f>
        <v/>
      </c>
      <c r="AD79" s="113" t="str">
        <f>IF(Tbl_Hull_Structure[[#This Row],[Weight Fact]],ROUND(Tbl_Hull_Structure[[#This Row],[AP to]]/FE_size,0),"")</f>
        <v/>
      </c>
      <c r="AE79"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79" s="133" t="str">
        <f>IF(Tbl_Hull_Structure[[#This Row],[Weight Fact]],IF(Tbl_Hull_Structure[[#This Row],[Fr from]]*FE_size&lt;0,0,Tbl_Hull_Structure[[#This Row],[Fr from]]*FE_size),"")</f>
        <v/>
      </c>
      <c r="AG79" s="134" t="str">
        <f>IF(Tbl_Hull_Structure[[#This Row],[Weight Fact]],IF(Tbl_Hull_Structure[[#This Row],[Fr to]]*FE_size=Tbl_Hull_Structure[[#This Row],[L from]],Tbl_Hull_Structure[[#This Row],[L from]]+FE_size,IF(Tbl_Hull_Structure[[#This Row],[Fr to]]*FE_size&gt;Lpp,Lpp,Tbl_Hull_Structure[[#This Row],[Fr to]]*FE_size)),"")</f>
        <v/>
      </c>
      <c r="AH79" s="144" t="str">
        <f>IFERROR(Tbl_Hull_Structure[[#This Row],[Weight Fact]]/(Tbl_Hull_Structure[[#This Row],[L to]]-Tbl_Hull_Structure[[#This Row],[L from]]),"")</f>
        <v/>
      </c>
      <c r="AI79" s="145" t="str">
        <f>IF(Tbl_Hull_Structure[[#This Row],[Weight Fact]],Tbl_Hull_Structure[[#This Row],[Spread]]*(Tbl_Hull_Structure[[#This Row],[L to]]-Tbl_Hull_Structure[[#This Row],[L from]])-Tbl_Hull_Structure[[#This Row],[Weight Fact]],"")</f>
        <v/>
      </c>
      <c r="AJ79" s="141" t="str">
        <f>IF(AND(ISNUMBER(Tbl_Hull_Structure[[#This Row],[L from]]),ISNUMBER(Tbl_Hull_Structure[[#This Row],[L to]])),IF(AND(Tbl_Hull_Structure[[#This Row],[L from]]&gt;=0,Tbl_Hull_Structure[[#This Row],[L to]]&lt;=Lpp),"OK","KO"),"OK")</f>
        <v>OK</v>
      </c>
    </row>
    <row r="80" spans="2:36" x14ac:dyDescent="0.25">
      <c r="B80" s="94">
        <f t="shared" si="2"/>
        <v>3</v>
      </c>
      <c r="C80" s="215"/>
      <c r="D80" s="217">
        <v>57</v>
      </c>
      <c r="E80" s="214" t="str">
        <f>IF(NOT(ISBLANK(Tbl_Hull_Structure[[#This Row],[Num]])),TEXT(Tbl_Hull_Structure[[#This Row],[Group]],"00")&amp;"-"&amp;TEXT(Tbl_Hull_Structure[[#This Row],[Num]],"000"),"")</f>
        <v>00-057</v>
      </c>
      <c r="F80" s="218" t="s">
        <v>75</v>
      </c>
      <c r="G80" s="219">
        <v>0</v>
      </c>
      <c r="H80" s="220">
        <v>3.23</v>
      </c>
      <c r="I80" s="222">
        <f>Tbl_Hull_Structure[[#This Row],[Qty]]*Tbl_Hull_Structure[[#This Row],[Unitary ]]</f>
        <v>0</v>
      </c>
      <c r="J80" s="221">
        <v>1.02</v>
      </c>
      <c r="K80" s="224">
        <f>Tbl_Hull_Structure[[#This Row],[Contingency ]]*Tbl_Hull_Structure[[#This Row],[Total Op]]</f>
        <v>0</v>
      </c>
      <c r="L80" s="226">
        <v>23.74</v>
      </c>
      <c r="M80" s="228">
        <v>-7.19</v>
      </c>
      <c r="N80" s="230">
        <v>5</v>
      </c>
      <c r="O80" s="231">
        <v>5.3000000000000007</v>
      </c>
      <c r="P80" s="234" t="s">
        <v>95</v>
      </c>
      <c r="Q80" s="235" t="s">
        <v>33</v>
      </c>
      <c r="R80" s="241"/>
      <c r="S80" s="238" t="str">
        <f>IF(Tbl_Hull_Structure[[#This Row],[Weight Op]],Tbl_Hull_Structure[[#This Row],[Weight Op]]*Tbl_Hull_Structure[[#This Row],[X]],"")</f>
        <v/>
      </c>
      <c r="T80" s="101" t="str">
        <f>IF(Tbl_Hull_Structure[[#This Row],[Weight Op]],Tbl_Hull_Structure[[#This Row],[Weight Op]]*Tbl_Hull_Structure[[#This Row],[Y]],"")</f>
        <v/>
      </c>
      <c r="U80" s="99" t="str">
        <f>IF(Tbl_Hull_Structure[[#This Row],[Weight Op]],Tbl_Hull_Structure[[#This Row],[Weight Op]]*Tbl_Hull_Structure[[#This Row],[Z]],"")</f>
        <v/>
      </c>
      <c r="V80" s="103">
        <f>Tbl_Hull_Structure[[#This Row],[Weight Op]]</f>
        <v>0</v>
      </c>
      <c r="W80" s="105" t="str">
        <f>IF(Tbl_Hull_Structure[[#This Row],[Weight Fact]],Tbl_Hull_Structure[[#This Row],[X]],"")</f>
        <v/>
      </c>
      <c r="X80" s="107" t="str">
        <f>IF(Tbl_Hull_Structure[[#This Row],[Weight Fact]],Tbl_Hull_Structure[[#This Row],[Y]],"")</f>
        <v/>
      </c>
      <c r="Y80" s="109" t="str">
        <f>IF(Tbl_Hull_Structure[[#This Row],[Weight Fact]],Tbl_Hull_Structure[[#This Row],[Z]],"")</f>
        <v/>
      </c>
      <c r="Z80" s="117" t="str">
        <f>IF(Tbl_Hull_Structure[[#This Row],[Weight Fact]],Tbl_Hull_Structure[[#This Row],[X distrib]],"")</f>
        <v/>
      </c>
      <c r="AA80" s="120" t="str">
        <f>IF(Tbl_Hull_Structure[[#This Row],[Weight Fact]],Tbl_Hull_Structure[[#This Row],[COG x ]]-Tbl_Hull_Structure[[#This Row],[Distrib]]/2,"")</f>
        <v/>
      </c>
      <c r="AB80" s="123" t="str">
        <f>IF(Tbl_Hull_Structure[[#This Row],[Weight Fact]],Tbl_Hull_Structure[[#This Row],[COG x ]]+Tbl_Hull_Structure[[#This Row],[Distrib]]/2,"")</f>
        <v/>
      </c>
      <c r="AC80" s="111" t="str">
        <f>IF(Tbl_Hull_Structure[[#This Row],[Weight Fact]],ROUND(Tbl_Hull_Structure[[#This Row],[AP from]]/FE_size,0),"")</f>
        <v/>
      </c>
      <c r="AD80" s="113" t="str">
        <f>IF(Tbl_Hull_Structure[[#This Row],[Weight Fact]],ROUND(Tbl_Hull_Structure[[#This Row],[AP to]]/FE_size,0),"")</f>
        <v/>
      </c>
      <c r="AE80"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80" s="133" t="str">
        <f>IF(Tbl_Hull_Structure[[#This Row],[Weight Fact]],IF(Tbl_Hull_Structure[[#This Row],[Fr from]]*FE_size&lt;0,0,Tbl_Hull_Structure[[#This Row],[Fr from]]*FE_size),"")</f>
        <v/>
      </c>
      <c r="AG80" s="134" t="str">
        <f>IF(Tbl_Hull_Structure[[#This Row],[Weight Fact]],IF(Tbl_Hull_Structure[[#This Row],[Fr to]]*FE_size=Tbl_Hull_Structure[[#This Row],[L from]],Tbl_Hull_Structure[[#This Row],[L from]]+FE_size,IF(Tbl_Hull_Structure[[#This Row],[Fr to]]*FE_size&gt;Lpp,Lpp,Tbl_Hull_Structure[[#This Row],[Fr to]]*FE_size)),"")</f>
        <v/>
      </c>
      <c r="AH80" s="144" t="str">
        <f>IFERROR(Tbl_Hull_Structure[[#This Row],[Weight Fact]]/(Tbl_Hull_Structure[[#This Row],[L to]]-Tbl_Hull_Structure[[#This Row],[L from]]),"")</f>
        <v/>
      </c>
      <c r="AI80" s="145" t="str">
        <f>IF(Tbl_Hull_Structure[[#This Row],[Weight Fact]],Tbl_Hull_Structure[[#This Row],[Spread]]*(Tbl_Hull_Structure[[#This Row],[L to]]-Tbl_Hull_Structure[[#This Row],[L from]])-Tbl_Hull_Structure[[#This Row],[Weight Fact]],"")</f>
        <v/>
      </c>
      <c r="AJ80" s="141" t="str">
        <f>IF(AND(ISNUMBER(Tbl_Hull_Structure[[#This Row],[L from]]),ISNUMBER(Tbl_Hull_Structure[[#This Row],[L to]])),IF(AND(Tbl_Hull_Structure[[#This Row],[L from]]&gt;=0,Tbl_Hull_Structure[[#This Row],[L to]]&lt;=Lpp),"OK","KO"),"OK")</f>
        <v>OK</v>
      </c>
    </row>
    <row r="81" spans="2:36" x14ac:dyDescent="0.25">
      <c r="B81" s="94">
        <f t="shared" si="2"/>
        <v>3</v>
      </c>
      <c r="C81" s="215"/>
      <c r="D81" s="217">
        <v>58</v>
      </c>
      <c r="E81" s="214" t="str">
        <f>IF(NOT(ISBLANK(Tbl_Hull_Structure[[#This Row],[Num]])),TEXT(Tbl_Hull_Structure[[#This Row],[Group]],"00")&amp;"-"&amp;TEXT(Tbl_Hull_Structure[[#This Row],[Num]],"000"),"")</f>
        <v>00-058</v>
      </c>
      <c r="F81" s="218" t="s">
        <v>76</v>
      </c>
      <c r="G81" s="219">
        <v>0</v>
      </c>
      <c r="H81" s="220">
        <v>1.38</v>
      </c>
      <c r="I81" s="222">
        <f>Tbl_Hull_Structure[[#This Row],[Qty]]*Tbl_Hull_Structure[[#This Row],[Unitary ]]</f>
        <v>0</v>
      </c>
      <c r="J81" s="221">
        <v>1.02</v>
      </c>
      <c r="K81" s="224">
        <f>Tbl_Hull_Structure[[#This Row],[Contingency ]]*Tbl_Hull_Structure[[#This Row],[Total Op]]</f>
        <v>0</v>
      </c>
      <c r="L81" s="226">
        <v>31.68</v>
      </c>
      <c r="M81" s="228">
        <v>-7.2</v>
      </c>
      <c r="N81" s="230">
        <v>6.8</v>
      </c>
      <c r="O81" s="231">
        <v>3.2999999999999972</v>
      </c>
      <c r="P81" s="234" t="s">
        <v>95</v>
      </c>
      <c r="Q81" s="235" t="s">
        <v>33</v>
      </c>
      <c r="R81" s="241"/>
      <c r="S81" s="238" t="str">
        <f>IF(Tbl_Hull_Structure[[#This Row],[Weight Op]],Tbl_Hull_Structure[[#This Row],[Weight Op]]*Tbl_Hull_Structure[[#This Row],[X]],"")</f>
        <v/>
      </c>
      <c r="T81" s="101" t="str">
        <f>IF(Tbl_Hull_Structure[[#This Row],[Weight Op]],Tbl_Hull_Structure[[#This Row],[Weight Op]]*Tbl_Hull_Structure[[#This Row],[Y]],"")</f>
        <v/>
      </c>
      <c r="U81" s="99" t="str">
        <f>IF(Tbl_Hull_Structure[[#This Row],[Weight Op]],Tbl_Hull_Structure[[#This Row],[Weight Op]]*Tbl_Hull_Structure[[#This Row],[Z]],"")</f>
        <v/>
      </c>
      <c r="V81" s="103">
        <f>Tbl_Hull_Structure[[#This Row],[Weight Op]]</f>
        <v>0</v>
      </c>
      <c r="W81" s="105" t="str">
        <f>IF(Tbl_Hull_Structure[[#This Row],[Weight Fact]],Tbl_Hull_Structure[[#This Row],[X]],"")</f>
        <v/>
      </c>
      <c r="X81" s="107" t="str">
        <f>IF(Tbl_Hull_Structure[[#This Row],[Weight Fact]],Tbl_Hull_Structure[[#This Row],[Y]],"")</f>
        <v/>
      </c>
      <c r="Y81" s="109" t="str">
        <f>IF(Tbl_Hull_Structure[[#This Row],[Weight Fact]],Tbl_Hull_Structure[[#This Row],[Z]],"")</f>
        <v/>
      </c>
      <c r="Z81" s="117" t="str">
        <f>IF(Tbl_Hull_Structure[[#This Row],[Weight Fact]],Tbl_Hull_Structure[[#This Row],[X distrib]],"")</f>
        <v/>
      </c>
      <c r="AA81" s="120" t="str">
        <f>IF(Tbl_Hull_Structure[[#This Row],[Weight Fact]],Tbl_Hull_Structure[[#This Row],[COG x ]]-Tbl_Hull_Structure[[#This Row],[Distrib]]/2,"")</f>
        <v/>
      </c>
      <c r="AB81" s="123" t="str">
        <f>IF(Tbl_Hull_Structure[[#This Row],[Weight Fact]],Tbl_Hull_Structure[[#This Row],[COG x ]]+Tbl_Hull_Structure[[#This Row],[Distrib]]/2,"")</f>
        <v/>
      </c>
      <c r="AC81" s="111" t="str">
        <f>IF(Tbl_Hull_Structure[[#This Row],[Weight Fact]],ROUND(Tbl_Hull_Structure[[#This Row],[AP from]]/FE_size,0),"")</f>
        <v/>
      </c>
      <c r="AD81" s="113" t="str">
        <f>IF(Tbl_Hull_Structure[[#This Row],[Weight Fact]],ROUND(Tbl_Hull_Structure[[#This Row],[AP to]]/FE_size,0),"")</f>
        <v/>
      </c>
      <c r="AE81"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81" s="133" t="str">
        <f>IF(Tbl_Hull_Structure[[#This Row],[Weight Fact]],IF(Tbl_Hull_Structure[[#This Row],[Fr from]]*FE_size&lt;0,0,Tbl_Hull_Structure[[#This Row],[Fr from]]*FE_size),"")</f>
        <v/>
      </c>
      <c r="AG81" s="134" t="str">
        <f>IF(Tbl_Hull_Structure[[#This Row],[Weight Fact]],IF(Tbl_Hull_Structure[[#This Row],[Fr to]]*FE_size=Tbl_Hull_Structure[[#This Row],[L from]],Tbl_Hull_Structure[[#This Row],[L from]]+FE_size,IF(Tbl_Hull_Structure[[#This Row],[Fr to]]*FE_size&gt;Lpp,Lpp,Tbl_Hull_Structure[[#This Row],[Fr to]]*FE_size)),"")</f>
        <v/>
      </c>
      <c r="AH81" s="144" t="str">
        <f>IFERROR(Tbl_Hull_Structure[[#This Row],[Weight Fact]]/(Tbl_Hull_Structure[[#This Row],[L to]]-Tbl_Hull_Structure[[#This Row],[L from]]),"")</f>
        <v/>
      </c>
      <c r="AI81" s="145" t="str">
        <f>IF(Tbl_Hull_Structure[[#This Row],[Weight Fact]],Tbl_Hull_Structure[[#This Row],[Spread]]*(Tbl_Hull_Structure[[#This Row],[L to]]-Tbl_Hull_Structure[[#This Row],[L from]])-Tbl_Hull_Structure[[#This Row],[Weight Fact]],"")</f>
        <v/>
      </c>
      <c r="AJ81" s="141" t="str">
        <f>IF(AND(ISNUMBER(Tbl_Hull_Structure[[#This Row],[L from]]),ISNUMBER(Tbl_Hull_Structure[[#This Row],[L to]])),IF(AND(Tbl_Hull_Structure[[#This Row],[L from]]&gt;=0,Tbl_Hull_Structure[[#This Row],[L to]]&lt;=Lpp),"OK","KO"),"OK")</f>
        <v>OK</v>
      </c>
    </row>
    <row r="82" spans="2:36" x14ac:dyDescent="0.25">
      <c r="B82" s="94">
        <f t="shared" si="2"/>
        <v>3</v>
      </c>
      <c r="C82" s="215"/>
      <c r="D82" s="217">
        <v>59</v>
      </c>
      <c r="E82" s="214" t="str">
        <f>IF(NOT(ISBLANK(Tbl_Hull_Structure[[#This Row],[Num]])),TEXT(Tbl_Hull_Structure[[#This Row],[Group]],"00")&amp;"-"&amp;TEXT(Tbl_Hull_Structure[[#This Row],[Num]],"000"),"")</f>
        <v>00-059</v>
      </c>
      <c r="F82" s="218" t="s">
        <v>143</v>
      </c>
      <c r="G82" s="219">
        <v>0</v>
      </c>
      <c r="H82" s="220">
        <v>11</v>
      </c>
      <c r="I82" s="222">
        <f>Tbl_Hull_Structure[[#This Row],[Qty]]*Tbl_Hull_Structure[[#This Row],[Unitary ]]</f>
        <v>0</v>
      </c>
      <c r="J82" s="221">
        <v>1.02</v>
      </c>
      <c r="K82" s="224">
        <f>Tbl_Hull_Structure[[#This Row],[Contingency ]]*Tbl_Hull_Structure[[#This Row],[Total Op]]</f>
        <v>0</v>
      </c>
      <c r="L82" s="226">
        <v>1.25</v>
      </c>
      <c r="M82" s="228">
        <v>0.36</v>
      </c>
      <c r="N82" s="230">
        <v>5.5</v>
      </c>
      <c r="O82" s="231">
        <v>3</v>
      </c>
      <c r="P82" s="234" t="s">
        <v>95</v>
      </c>
      <c r="Q82" s="235" t="s">
        <v>33</v>
      </c>
      <c r="R82" s="241"/>
      <c r="S82" s="238" t="str">
        <f>IF(Tbl_Hull_Structure[[#This Row],[Weight Op]],Tbl_Hull_Structure[[#This Row],[Weight Op]]*Tbl_Hull_Structure[[#This Row],[X]],"")</f>
        <v/>
      </c>
      <c r="T82" s="101" t="str">
        <f>IF(Tbl_Hull_Structure[[#This Row],[Weight Op]],Tbl_Hull_Structure[[#This Row],[Weight Op]]*Tbl_Hull_Structure[[#This Row],[Y]],"")</f>
        <v/>
      </c>
      <c r="U82" s="99" t="str">
        <f>IF(Tbl_Hull_Structure[[#This Row],[Weight Op]],Tbl_Hull_Structure[[#This Row],[Weight Op]]*Tbl_Hull_Structure[[#This Row],[Z]],"")</f>
        <v/>
      </c>
      <c r="V82" s="103">
        <f>Tbl_Hull_Structure[[#This Row],[Weight Op]]</f>
        <v>0</v>
      </c>
      <c r="W82" s="105" t="str">
        <f>IF(Tbl_Hull_Structure[[#This Row],[Weight Fact]],Tbl_Hull_Structure[[#This Row],[X]],"")</f>
        <v/>
      </c>
      <c r="X82" s="107" t="str">
        <f>IF(Tbl_Hull_Structure[[#This Row],[Weight Fact]],Tbl_Hull_Structure[[#This Row],[Y]],"")</f>
        <v/>
      </c>
      <c r="Y82" s="109" t="str">
        <f>IF(Tbl_Hull_Structure[[#This Row],[Weight Fact]],Tbl_Hull_Structure[[#This Row],[Z]],"")</f>
        <v/>
      </c>
      <c r="Z82" s="117" t="str">
        <f>IF(Tbl_Hull_Structure[[#This Row],[Weight Fact]],Tbl_Hull_Structure[[#This Row],[X distrib]],"")</f>
        <v/>
      </c>
      <c r="AA82" s="120" t="str">
        <f>IF(Tbl_Hull_Structure[[#This Row],[Weight Fact]],Tbl_Hull_Structure[[#This Row],[COG x ]]-Tbl_Hull_Structure[[#This Row],[Distrib]]/2,"")</f>
        <v/>
      </c>
      <c r="AB82" s="123" t="str">
        <f>IF(Tbl_Hull_Structure[[#This Row],[Weight Fact]],Tbl_Hull_Structure[[#This Row],[COG x ]]+Tbl_Hull_Structure[[#This Row],[Distrib]]/2,"")</f>
        <v/>
      </c>
      <c r="AC82" s="111" t="str">
        <f>IF(Tbl_Hull_Structure[[#This Row],[Weight Fact]],ROUND(Tbl_Hull_Structure[[#This Row],[AP from]]/FE_size,0),"")</f>
        <v/>
      </c>
      <c r="AD82" s="113" t="str">
        <f>IF(Tbl_Hull_Structure[[#This Row],[Weight Fact]],ROUND(Tbl_Hull_Structure[[#This Row],[AP to]]/FE_size,0),"")</f>
        <v/>
      </c>
      <c r="AE82" s="124" t="str">
        <f>IF(Tbl_Hull_Structure[[#This Row],[Weight Fact]]=0,"",IF(AND(Tbl_Hull_Structure[[#This Row],[COG x ]]&gt;=(Tbl_Hull_Structure[[#This Row],[L to]]-Tbl_Hull_Structure[[#This Row],[L from]])/3+Tbl_Hull_Structure[[#This Row],[L from]],Tbl_Hull_Structure[[#This Row],[COG x ]]&lt;=(Tbl_Hull_Structure[[#This Row],[L to]]-Tbl_Hull_Structure[[#This Row],[L from]])*2/3+Tbl_Hull_Structure[[#This Row],[L from]],Tbl_Hull_Structure[[#This Row],[L to]]&gt;Tbl_Hull_Structure[[#This Row],[L from]]),"OK","KO"))</f>
        <v/>
      </c>
      <c r="AF82" s="133" t="str">
        <f>IF(Tbl_Hull_Structure[[#This Row],[Weight Fact]],IF(Tbl_Hull_Structure[[#This Row],[Fr from]]*FE_size&lt;0,0,Tbl_Hull_Structure[[#This Row],[Fr from]]*FE_size),"")</f>
        <v/>
      </c>
      <c r="AG82" s="134" t="str">
        <f>IF(Tbl_Hull_Structure[[#This Row],[Weight Fact]],IF(Tbl_Hull_Structure[[#This Row],[Fr to]]*FE_size=Tbl_Hull_Structure[[#This Row],[L from]],Tbl_Hull_Structure[[#This Row],[L from]]+FE_size,IF(Tbl_Hull_Structure[[#This Row],[Fr to]]*FE_size&gt;Lpp,Lpp,Tbl_Hull_Structure[[#This Row],[Fr to]]*FE_size)),"")</f>
        <v/>
      </c>
      <c r="AH82" s="144" t="str">
        <f>IFERROR(Tbl_Hull_Structure[[#This Row],[Weight Fact]]/(Tbl_Hull_Structure[[#This Row],[L to]]-Tbl_Hull_Structure[[#This Row],[L from]]),"")</f>
        <v/>
      </c>
      <c r="AI82" s="145" t="str">
        <f>IF(Tbl_Hull_Structure[[#This Row],[Weight Fact]],Tbl_Hull_Structure[[#This Row],[Spread]]*(Tbl_Hull_Structure[[#This Row],[L to]]-Tbl_Hull_Structure[[#This Row],[L from]])-Tbl_Hull_Structure[[#This Row],[Weight Fact]],"")</f>
        <v/>
      </c>
      <c r="AJ82" s="141" t="str">
        <f>IF(AND(ISNUMBER(Tbl_Hull_Structure[[#This Row],[L from]]),ISNUMBER(Tbl_Hull_Structure[[#This Row],[L to]])),IF(AND(Tbl_Hull_Structure[[#This Row],[L from]]&gt;=0,Tbl_Hull_Structure[[#This Row],[L to]]&lt;=Lpp),"OK","KO"),"OK")</f>
        <v>OK</v>
      </c>
    </row>
  </sheetData>
  <mergeCells count="14">
    <mergeCell ref="W2:Y2"/>
    <mergeCell ref="B2:D3"/>
    <mergeCell ref="G2:R2"/>
    <mergeCell ref="E2:F3"/>
    <mergeCell ref="AC3:AD3"/>
    <mergeCell ref="AA3:AB3"/>
    <mergeCell ref="Z2:AI2"/>
    <mergeCell ref="AF3:AG3"/>
    <mergeCell ref="S2:U3"/>
    <mergeCell ref="G3:I3"/>
    <mergeCell ref="J3:K3"/>
    <mergeCell ref="L3:N3"/>
    <mergeCell ref="W3:Y3"/>
    <mergeCell ref="AI3:AJ3"/>
  </mergeCells>
  <conditionalFormatting sqref="AD83:AD3049">
    <cfRule type="cellIs" dxfId="221" priority="13" operator="equal">
      <formula>"OK"</formula>
    </cfRule>
  </conditionalFormatting>
  <conditionalFormatting sqref="B5:AI3000">
    <cfRule type="expression" dxfId="220" priority="12">
      <formula>$C5&lt;&gt;""</formula>
    </cfRule>
  </conditionalFormatting>
  <conditionalFormatting sqref="I1:K1 P1:R1">
    <cfRule type="expression" dxfId="219" priority="11">
      <formula>$C1&lt;&gt;""</formula>
    </cfRule>
  </conditionalFormatting>
  <conditionalFormatting sqref="L1:O1">
    <cfRule type="expression" dxfId="218" priority="8">
      <formula>$C1&lt;&gt;""</formula>
    </cfRule>
  </conditionalFormatting>
  <conditionalFormatting sqref="S1:U1">
    <cfRule type="expression" dxfId="217" priority="9">
      <formula>$C1&lt;&gt;""</formula>
    </cfRule>
  </conditionalFormatting>
  <conditionalFormatting sqref="AE5:AE3000">
    <cfRule type="cellIs" dxfId="216" priority="7" operator="equal">
      <formula>"OK"</formula>
    </cfRule>
  </conditionalFormatting>
  <conditionalFormatting sqref="V2">
    <cfRule type="expression" dxfId="215" priority="6">
      <formula>$C1&lt;&gt;""</formula>
    </cfRule>
  </conditionalFormatting>
  <conditionalFormatting sqref="W2">
    <cfRule type="expression" dxfId="214" priority="5">
      <formula>$C1&lt;&gt;""</formula>
    </cfRule>
  </conditionalFormatting>
  <conditionalFormatting sqref="V1">
    <cfRule type="cellIs" dxfId="213" priority="4" operator="equal">
      <formula>"OK"</formula>
    </cfRule>
  </conditionalFormatting>
  <conditionalFormatting sqref="A1">
    <cfRule type="cellIs" dxfId="212" priority="3" operator="equal">
      <formula>"OK"</formula>
    </cfRule>
  </conditionalFormatting>
  <conditionalFormatting sqref="AJ2">
    <cfRule type="cellIs" dxfId="211" priority="2" operator="equal">
      <formula>"OK"</formula>
    </cfRule>
  </conditionalFormatting>
  <conditionalFormatting sqref="AJ5:AJ3000">
    <cfRule type="cellIs" dxfId="210" priority="1" operator="equal">
      <formula>"OK"</formula>
    </cfRule>
  </conditionalFormatting>
  <pageMargins left="0.7" right="0.7" top="0.75" bottom="0.75" header="0.3" footer="0.3"/>
  <drawing r:id="rId1"/>
  <legacyDrawing r:id="rId2"/>
  <tableParts count="1">
    <tablePart r:id="rId3"/>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Feuil10"/>
  <dimension ref="A1:LC360"/>
  <sheetViews>
    <sheetView topLeftCell="HJ1" zoomScale="85" zoomScaleNormal="85" workbookViewId="0">
      <pane ySplit="9" topLeftCell="A10" activePane="bottomLeft" state="frozenSplit"/>
      <selection activeCell="K36" sqref="K36"/>
      <selection pane="bottomLeft" activeCell="IA9" sqref="IA9"/>
    </sheetView>
  </sheetViews>
  <sheetFormatPr baseColWidth="10" defaultColWidth="11.42578125" defaultRowHeight="15" x14ac:dyDescent="0.25"/>
  <cols>
    <col min="1" max="1" width="5.7109375" style="55" customWidth="1"/>
    <col min="2" max="2" width="11.42578125" style="1"/>
    <col min="3" max="3" width="10.85546875" style="1" customWidth="1"/>
    <col min="4" max="4" width="7.85546875" style="1" customWidth="1"/>
    <col min="5" max="5" width="8.42578125" style="1" customWidth="1"/>
    <col min="6" max="7" width="7.5703125" style="1" customWidth="1"/>
    <col min="8" max="8" width="13.140625" style="1" customWidth="1"/>
    <col min="9" max="9" width="11.42578125" style="1" customWidth="1"/>
    <col min="10" max="10" width="11.28515625" style="1" customWidth="1"/>
    <col min="11" max="14" width="11.42578125" style="1"/>
    <col min="15" max="16" width="9.5703125" style="1" bestFit="1" customWidth="1"/>
    <col min="17" max="17" width="7.42578125" style="1" bestFit="1" customWidth="1"/>
    <col min="18" max="18" width="6.140625" style="1" bestFit="1" customWidth="1"/>
    <col min="19" max="24" width="11.42578125" style="1"/>
    <col min="25" max="26" width="5.7109375" style="55" customWidth="1"/>
    <col min="27" max="27" width="11.42578125" style="1"/>
    <col min="28" max="28" width="9.7109375" style="1" customWidth="1"/>
    <col min="29" max="34" width="11.42578125" style="1"/>
    <col min="35" max="36" width="5.7109375" style="1" customWidth="1"/>
    <col min="37" max="44" width="11.42578125" style="1"/>
    <col min="45" max="46" width="5.7109375" style="1" customWidth="1"/>
    <col min="47" max="54" width="11.42578125" style="1"/>
    <col min="55" max="56" width="5.7109375" style="1" customWidth="1"/>
    <col min="57" max="64" width="11.42578125" style="1"/>
    <col min="65" max="66" width="5.7109375" style="1" customWidth="1"/>
    <col min="67" max="74" width="11.42578125" style="1"/>
    <col min="75" max="76" width="5.7109375" style="1" customWidth="1"/>
    <col min="77" max="84" width="11.42578125" style="1"/>
    <col min="85" max="86" width="5.7109375" style="1" customWidth="1"/>
    <col min="87" max="94" width="11.42578125" style="1"/>
    <col min="95" max="96" width="5.7109375" style="1" customWidth="1"/>
    <col min="97" max="104" width="11.42578125" style="1"/>
    <col min="105" max="106" width="5.7109375" style="1" customWidth="1"/>
    <col min="107" max="114" width="11.42578125" style="1"/>
    <col min="115" max="116" width="5.7109375" style="1" customWidth="1"/>
    <col min="117" max="124" width="11.42578125" style="1"/>
    <col min="125" max="126" width="5.7109375" style="1" customWidth="1"/>
    <col min="127" max="134" width="11.42578125" style="1"/>
    <col min="135" max="136" width="5.7109375" style="1" customWidth="1"/>
    <col min="137" max="144" width="11.42578125" style="1"/>
    <col min="145" max="146" width="5.7109375" style="1" customWidth="1"/>
    <col min="147" max="154" width="11.42578125" style="1"/>
    <col min="155" max="156" width="5.7109375" style="1" customWidth="1"/>
    <col min="157" max="164" width="11.42578125" style="1"/>
    <col min="165" max="166" width="5.7109375" style="1" customWidth="1"/>
    <col min="167" max="174" width="11.42578125" style="1"/>
    <col min="175" max="176" width="5.7109375" style="1" customWidth="1"/>
    <col min="177" max="184" width="11.42578125" style="1"/>
    <col min="185" max="186" width="5.7109375" style="1" customWidth="1"/>
    <col min="187" max="194" width="11.42578125" style="1"/>
    <col min="195" max="196" width="5.7109375" style="1" customWidth="1"/>
    <col min="197" max="204" width="11.42578125" style="1"/>
    <col min="205" max="206" width="5.7109375" style="1" customWidth="1"/>
    <col min="207" max="214" width="11.42578125" style="1"/>
    <col min="215" max="216" width="5.7109375" style="1" customWidth="1"/>
    <col min="217" max="224" width="11.42578125" style="1"/>
    <col min="225" max="226" width="5.7109375" style="1" customWidth="1"/>
    <col min="227" max="234" width="11.42578125" style="1"/>
    <col min="235" max="236" width="5.7109375" style="1" customWidth="1"/>
    <col min="237" max="244" width="11.42578125" style="1"/>
    <col min="245" max="246" width="5.7109375" style="1" customWidth="1"/>
    <col min="247" max="254" width="11.42578125" style="1"/>
    <col min="255" max="256" width="5.7109375" style="1" customWidth="1"/>
    <col min="257" max="264" width="11.42578125" style="1"/>
    <col min="265" max="266" width="5.7109375" style="1" customWidth="1"/>
    <col min="267" max="274" width="11.42578125" style="1"/>
    <col min="275" max="276" width="5.7109375" style="1" customWidth="1"/>
    <col min="277" max="284" width="11.42578125" style="1"/>
    <col min="285" max="286" width="5.7109375" style="1" customWidth="1"/>
    <col min="287" max="294" width="11.42578125" style="1"/>
    <col min="295" max="296" width="5.7109375" style="1" customWidth="1"/>
    <col min="297" max="304" width="11.42578125" style="1"/>
    <col min="305" max="306" width="5.7109375" style="1" customWidth="1"/>
    <col min="307" max="16384" width="11.42578125" style="1"/>
  </cols>
  <sheetData>
    <row r="1" spans="1:315" x14ac:dyDescent="0.25">
      <c r="A1" s="729" t="str">
        <f ca="1">IF(AND(D3="OK",D7="OK",X7="OK"),"OK","KO")</f>
        <v>OK</v>
      </c>
      <c r="B1" s="55"/>
      <c r="C1" s="55"/>
      <c r="D1" s="55"/>
      <c r="E1" s="55"/>
      <c r="F1" s="55"/>
      <c r="G1" s="55"/>
      <c r="H1" s="472"/>
      <c r="I1" s="472"/>
      <c r="J1" s="473"/>
      <c r="K1" s="473"/>
      <c r="L1" s="473"/>
      <c r="M1" s="474"/>
      <c r="N1" s="474"/>
      <c r="O1" s="474"/>
      <c r="P1" s="474"/>
      <c r="Q1" s="474"/>
      <c r="R1" s="474"/>
      <c r="S1" s="474"/>
      <c r="T1" s="474"/>
      <c r="U1" s="474"/>
      <c r="V1" s="474"/>
      <c r="W1" s="55"/>
      <c r="X1" s="55"/>
      <c r="Z1" s="486"/>
      <c r="AA1" s="425" t="s">
        <v>520</v>
      </c>
      <c r="AB1" s="386" t="s">
        <v>325</v>
      </c>
      <c r="AC1" s="418" t="s">
        <v>172</v>
      </c>
      <c r="AD1" s="266" t="s">
        <v>19</v>
      </c>
      <c r="AE1" s="266" t="s">
        <v>434</v>
      </c>
      <c r="AF1" s="266" t="s">
        <v>435</v>
      </c>
      <c r="AG1" s="266" t="s">
        <v>312</v>
      </c>
      <c r="AH1" s="389" t="s">
        <v>313</v>
      </c>
      <c r="AI1" s="363"/>
      <c r="AJ1" s="363"/>
      <c r="AK1" s="425" t="s">
        <v>521</v>
      </c>
      <c r="AL1" s="386" t="s">
        <v>325</v>
      </c>
      <c r="AM1" s="418" t="s">
        <v>172</v>
      </c>
      <c r="AN1" s="266" t="s">
        <v>19</v>
      </c>
      <c r="AO1" s="266" t="s">
        <v>434</v>
      </c>
      <c r="AP1" s="266" t="s">
        <v>435</v>
      </c>
      <c r="AQ1" s="266" t="s">
        <v>312</v>
      </c>
      <c r="AR1" s="389" t="s">
        <v>313</v>
      </c>
      <c r="AS1" s="363"/>
      <c r="AT1" s="363"/>
      <c r="AU1" s="425" t="s">
        <v>522</v>
      </c>
      <c r="AV1" s="386" t="s">
        <v>325</v>
      </c>
      <c r="AW1" s="418" t="s">
        <v>172</v>
      </c>
      <c r="AX1" s="266" t="s">
        <v>19</v>
      </c>
      <c r="AY1" s="266" t="s">
        <v>434</v>
      </c>
      <c r="AZ1" s="266" t="s">
        <v>435</v>
      </c>
      <c r="BA1" s="266" t="s">
        <v>312</v>
      </c>
      <c r="BB1" s="389" t="s">
        <v>313</v>
      </c>
      <c r="BC1" s="363"/>
      <c r="BD1" s="433"/>
      <c r="BE1" s="425" t="s">
        <v>523</v>
      </c>
      <c r="BF1" s="386" t="s">
        <v>325</v>
      </c>
      <c r="BG1" s="418" t="s">
        <v>172</v>
      </c>
      <c r="BH1" s="266" t="s">
        <v>19</v>
      </c>
      <c r="BI1" s="266" t="s">
        <v>434</v>
      </c>
      <c r="BJ1" s="266" t="s">
        <v>435</v>
      </c>
      <c r="BK1" s="266" t="s">
        <v>312</v>
      </c>
      <c r="BL1" s="389" t="s">
        <v>313</v>
      </c>
      <c r="BM1" s="357"/>
      <c r="BN1" s="357"/>
      <c r="BO1" s="425" t="s">
        <v>524</v>
      </c>
      <c r="BP1" s="386" t="s">
        <v>325</v>
      </c>
      <c r="BQ1" s="418" t="s">
        <v>172</v>
      </c>
      <c r="BR1" s="266" t="s">
        <v>19</v>
      </c>
      <c r="BS1" s="266" t="s">
        <v>434</v>
      </c>
      <c r="BT1" s="266" t="s">
        <v>435</v>
      </c>
      <c r="BU1" s="266" t="s">
        <v>312</v>
      </c>
      <c r="BV1" s="389" t="s">
        <v>313</v>
      </c>
      <c r="BW1" s="357"/>
      <c r="BX1" s="357"/>
      <c r="BY1" s="425" t="s">
        <v>525</v>
      </c>
      <c r="BZ1" s="386" t="s">
        <v>325</v>
      </c>
      <c r="CA1" s="418" t="s">
        <v>172</v>
      </c>
      <c r="CB1" s="266" t="s">
        <v>19</v>
      </c>
      <c r="CC1" s="266" t="s">
        <v>434</v>
      </c>
      <c r="CD1" s="266" t="s">
        <v>435</v>
      </c>
      <c r="CE1" s="266" t="s">
        <v>312</v>
      </c>
      <c r="CF1" s="389" t="s">
        <v>313</v>
      </c>
      <c r="CG1" s="357"/>
      <c r="CH1" s="433"/>
      <c r="CI1" s="425" t="s">
        <v>526</v>
      </c>
      <c r="CJ1" s="386" t="s">
        <v>325</v>
      </c>
      <c r="CK1" s="418" t="s">
        <v>172</v>
      </c>
      <c r="CL1" s="266" t="s">
        <v>19</v>
      </c>
      <c r="CM1" s="266" t="s">
        <v>434</v>
      </c>
      <c r="CN1" s="266" t="s">
        <v>435</v>
      </c>
      <c r="CO1" s="266" t="s">
        <v>312</v>
      </c>
      <c r="CP1" s="389" t="s">
        <v>313</v>
      </c>
      <c r="CQ1" s="433"/>
      <c r="CR1" s="357"/>
      <c r="CS1" s="425" t="s">
        <v>527</v>
      </c>
      <c r="CT1" s="386" t="s">
        <v>325</v>
      </c>
      <c r="CU1" s="418" t="s">
        <v>172</v>
      </c>
      <c r="CV1" s="266" t="s">
        <v>19</v>
      </c>
      <c r="CW1" s="266" t="s">
        <v>434</v>
      </c>
      <c r="CX1" s="266" t="s">
        <v>435</v>
      </c>
      <c r="CY1" s="266" t="s">
        <v>312</v>
      </c>
      <c r="CZ1" s="389" t="s">
        <v>313</v>
      </c>
      <c r="DA1" s="357"/>
      <c r="DB1" s="433"/>
      <c r="DC1" s="425" t="s">
        <v>528</v>
      </c>
      <c r="DD1" s="386" t="s">
        <v>325</v>
      </c>
      <c r="DE1" s="418" t="s">
        <v>172</v>
      </c>
      <c r="DF1" s="266" t="s">
        <v>19</v>
      </c>
      <c r="DG1" s="266" t="s">
        <v>434</v>
      </c>
      <c r="DH1" s="266" t="s">
        <v>435</v>
      </c>
      <c r="DI1" s="266" t="s">
        <v>312</v>
      </c>
      <c r="DJ1" s="389" t="s">
        <v>313</v>
      </c>
      <c r="DK1" s="433"/>
      <c r="DL1" s="357"/>
      <c r="DM1" s="425" t="s">
        <v>529</v>
      </c>
      <c r="DN1" s="386" t="s">
        <v>325</v>
      </c>
      <c r="DO1" s="418" t="s">
        <v>172</v>
      </c>
      <c r="DP1" s="266" t="s">
        <v>19</v>
      </c>
      <c r="DQ1" s="266" t="s">
        <v>434</v>
      </c>
      <c r="DR1" s="266" t="s">
        <v>435</v>
      </c>
      <c r="DS1" s="266" t="s">
        <v>312</v>
      </c>
      <c r="DT1" s="389" t="s">
        <v>313</v>
      </c>
      <c r="DU1" s="357"/>
      <c r="DV1" s="357"/>
      <c r="DW1" s="425" t="s">
        <v>531</v>
      </c>
      <c r="DX1" s="386" t="s">
        <v>325</v>
      </c>
      <c r="DY1" s="418" t="s">
        <v>172</v>
      </c>
      <c r="DZ1" s="266" t="s">
        <v>19</v>
      </c>
      <c r="EA1" s="266" t="s">
        <v>434</v>
      </c>
      <c r="EB1" s="266" t="s">
        <v>435</v>
      </c>
      <c r="EC1" s="266" t="s">
        <v>312</v>
      </c>
      <c r="ED1" s="389" t="s">
        <v>313</v>
      </c>
      <c r="EE1" s="433"/>
      <c r="EF1" s="433"/>
      <c r="EG1" s="425" t="s">
        <v>530</v>
      </c>
      <c r="EH1" s="386" t="s">
        <v>325</v>
      </c>
      <c r="EI1" s="418" t="s">
        <v>172</v>
      </c>
      <c r="EJ1" s="266" t="s">
        <v>19</v>
      </c>
      <c r="EK1" s="266" t="s">
        <v>434</v>
      </c>
      <c r="EL1" s="266" t="s">
        <v>435</v>
      </c>
      <c r="EM1" s="266" t="s">
        <v>312</v>
      </c>
      <c r="EN1" s="389" t="s">
        <v>313</v>
      </c>
      <c r="EO1" s="363"/>
      <c r="EP1" s="363"/>
      <c r="EQ1" s="425" t="s">
        <v>532</v>
      </c>
      <c r="ER1" s="386" t="s">
        <v>325</v>
      </c>
      <c r="ES1" s="418" t="s">
        <v>172</v>
      </c>
      <c r="ET1" s="266" t="s">
        <v>19</v>
      </c>
      <c r="EU1" s="266" t="s">
        <v>434</v>
      </c>
      <c r="EV1" s="266" t="s">
        <v>435</v>
      </c>
      <c r="EW1" s="266" t="s">
        <v>312</v>
      </c>
      <c r="EX1" s="389" t="s">
        <v>313</v>
      </c>
      <c r="EY1" s="355"/>
      <c r="EZ1" s="357"/>
      <c r="FA1" s="425" t="s">
        <v>533</v>
      </c>
      <c r="FB1" s="386" t="s">
        <v>325</v>
      </c>
      <c r="FC1" s="418" t="s">
        <v>172</v>
      </c>
      <c r="FD1" s="266" t="s">
        <v>19</v>
      </c>
      <c r="FE1" s="266" t="s">
        <v>434</v>
      </c>
      <c r="FF1" s="266" t="s">
        <v>435</v>
      </c>
      <c r="FG1" s="266" t="s">
        <v>312</v>
      </c>
      <c r="FH1" s="389" t="s">
        <v>313</v>
      </c>
      <c r="FI1" s="357"/>
      <c r="FJ1" s="357"/>
      <c r="FK1" s="425" t="s">
        <v>534</v>
      </c>
      <c r="FL1" s="386" t="s">
        <v>325</v>
      </c>
      <c r="FM1" s="418" t="s">
        <v>172</v>
      </c>
      <c r="FN1" s="266" t="s">
        <v>19</v>
      </c>
      <c r="FO1" s="266" t="s">
        <v>434</v>
      </c>
      <c r="FP1" s="266" t="s">
        <v>435</v>
      </c>
      <c r="FQ1" s="266" t="s">
        <v>312</v>
      </c>
      <c r="FR1" s="389" t="s">
        <v>313</v>
      </c>
      <c r="FS1" s="433"/>
      <c r="FT1" s="433"/>
      <c r="FU1" s="425" t="s">
        <v>535</v>
      </c>
      <c r="FV1" s="386" t="s">
        <v>325</v>
      </c>
      <c r="FW1" s="418" t="s">
        <v>172</v>
      </c>
      <c r="FX1" s="266" t="s">
        <v>19</v>
      </c>
      <c r="FY1" s="266" t="s">
        <v>434</v>
      </c>
      <c r="FZ1" s="266" t="s">
        <v>435</v>
      </c>
      <c r="GA1" s="266" t="s">
        <v>312</v>
      </c>
      <c r="GB1" s="389" t="s">
        <v>313</v>
      </c>
      <c r="GC1" s="355"/>
      <c r="GD1" s="357"/>
      <c r="GE1" s="425" t="s">
        <v>536</v>
      </c>
      <c r="GF1" s="386" t="s">
        <v>325</v>
      </c>
      <c r="GG1" s="418" t="s">
        <v>172</v>
      </c>
      <c r="GH1" s="266" t="s">
        <v>19</v>
      </c>
      <c r="GI1" s="266" t="s">
        <v>434</v>
      </c>
      <c r="GJ1" s="266" t="s">
        <v>435</v>
      </c>
      <c r="GK1" s="266" t="s">
        <v>312</v>
      </c>
      <c r="GL1" s="389" t="s">
        <v>313</v>
      </c>
      <c r="GM1" s="357"/>
      <c r="GN1" s="357"/>
      <c r="GO1" s="425" t="s">
        <v>537</v>
      </c>
      <c r="GP1" s="386" t="s">
        <v>325</v>
      </c>
      <c r="GQ1" s="418" t="s">
        <v>172</v>
      </c>
      <c r="GR1" s="266" t="s">
        <v>19</v>
      </c>
      <c r="GS1" s="266" t="s">
        <v>434</v>
      </c>
      <c r="GT1" s="266" t="s">
        <v>435</v>
      </c>
      <c r="GU1" s="266" t="s">
        <v>312</v>
      </c>
      <c r="GV1" s="389" t="s">
        <v>313</v>
      </c>
      <c r="GW1" s="433"/>
      <c r="GX1" s="433"/>
      <c r="GY1" s="425" t="s">
        <v>539</v>
      </c>
      <c r="GZ1" s="386" t="s">
        <v>325</v>
      </c>
      <c r="HA1" s="418" t="s">
        <v>172</v>
      </c>
      <c r="HB1" s="266" t="s">
        <v>19</v>
      </c>
      <c r="HC1" s="266" t="s">
        <v>434</v>
      </c>
      <c r="HD1" s="266" t="s">
        <v>435</v>
      </c>
      <c r="HE1" s="266" t="s">
        <v>312</v>
      </c>
      <c r="HF1" s="389" t="s">
        <v>313</v>
      </c>
      <c r="HG1" s="357"/>
      <c r="HH1" s="355"/>
      <c r="HI1" s="425" t="s">
        <v>540</v>
      </c>
      <c r="HJ1" s="386" t="s">
        <v>325</v>
      </c>
      <c r="HK1" s="418" t="s">
        <v>172</v>
      </c>
      <c r="HL1" s="266" t="s">
        <v>19</v>
      </c>
      <c r="HM1" s="266" t="s">
        <v>434</v>
      </c>
      <c r="HN1" s="266" t="s">
        <v>435</v>
      </c>
      <c r="HO1" s="266" t="s">
        <v>312</v>
      </c>
      <c r="HP1" s="389" t="s">
        <v>313</v>
      </c>
      <c r="HQ1" s="355"/>
      <c r="HR1" s="357"/>
      <c r="HS1" s="425" t="s">
        <v>538</v>
      </c>
      <c r="HT1" s="386" t="s">
        <v>325</v>
      </c>
      <c r="HU1" s="418" t="s">
        <v>172</v>
      </c>
      <c r="HV1" s="266" t="s">
        <v>19</v>
      </c>
      <c r="HW1" s="266" t="s">
        <v>434</v>
      </c>
      <c r="HX1" s="266" t="s">
        <v>435</v>
      </c>
      <c r="HY1" s="266" t="s">
        <v>312</v>
      </c>
      <c r="HZ1" s="389" t="s">
        <v>313</v>
      </c>
      <c r="IA1" s="357"/>
      <c r="IB1" s="357"/>
      <c r="IC1" s="425" t="s">
        <v>541</v>
      </c>
      <c r="ID1" s="386" t="s">
        <v>325</v>
      </c>
      <c r="IE1" s="418" t="s">
        <v>172</v>
      </c>
      <c r="IF1" s="266" t="s">
        <v>19</v>
      </c>
      <c r="IG1" s="266" t="s">
        <v>434</v>
      </c>
      <c r="IH1" s="266" t="s">
        <v>435</v>
      </c>
      <c r="II1" s="266" t="s">
        <v>312</v>
      </c>
      <c r="IJ1" s="389" t="s">
        <v>313</v>
      </c>
      <c r="IK1" s="433"/>
      <c r="IL1" s="433"/>
      <c r="IM1" s="425" t="s">
        <v>542</v>
      </c>
      <c r="IN1" s="386" t="s">
        <v>325</v>
      </c>
      <c r="IO1" s="418" t="s">
        <v>172</v>
      </c>
      <c r="IP1" s="266" t="s">
        <v>19</v>
      </c>
      <c r="IQ1" s="266" t="s">
        <v>434</v>
      </c>
      <c r="IR1" s="266" t="s">
        <v>435</v>
      </c>
      <c r="IS1" s="266" t="s">
        <v>312</v>
      </c>
      <c r="IT1" s="389" t="s">
        <v>313</v>
      </c>
      <c r="IU1" s="355"/>
      <c r="IV1" s="355"/>
      <c r="IW1" s="425" t="s">
        <v>543</v>
      </c>
      <c r="IX1" s="386" t="s">
        <v>325</v>
      </c>
      <c r="IY1" s="418" t="s">
        <v>172</v>
      </c>
      <c r="IZ1" s="266" t="s">
        <v>19</v>
      </c>
      <c r="JA1" s="266" t="s">
        <v>434</v>
      </c>
      <c r="JB1" s="266" t="s">
        <v>435</v>
      </c>
      <c r="JC1" s="266" t="s">
        <v>312</v>
      </c>
      <c r="JD1" s="389" t="s">
        <v>313</v>
      </c>
      <c r="JE1" s="355"/>
      <c r="JF1" s="355"/>
      <c r="JG1" s="425" t="s">
        <v>544</v>
      </c>
      <c r="JH1" s="386" t="s">
        <v>325</v>
      </c>
      <c r="JI1" s="418" t="s">
        <v>172</v>
      </c>
      <c r="JJ1" s="266" t="s">
        <v>19</v>
      </c>
      <c r="JK1" s="266" t="s">
        <v>434</v>
      </c>
      <c r="JL1" s="266" t="s">
        <v>435</v>
      </c>
      <c r="JM1" s="266" t="s">
        <v>312</v>
      </c>
      <c r="JN1" s="389" t="s">
        <v>313</v>
      </c>
      <c r="JO1" s="355"/>
      <c r="JP1" s="355"/>
      <c r="JQ1" s="425" t="s">
        <v>324</v>
      </c>
      <c r="JR1" s="386" t="s">
        <v>325</v>
      </c>
      <c r="JS1" s="418" t="s">
        <v>172</v>
      </c>
      <c r="JT1" s="266" t="s">
        <v>19</v>
      </c>
      <c r="JU1" s="266" t="s">
        <v>434</v>
      </c>
      <c r="JV1" s="266" t="s">
        <v>435</v>
      </c>
      <c r="JW1" s="266" t="s">
        <v>312</v>
      </c>
      <c r="JX1" s="389" t="s">
        <v>313</v>
      </c>
      <c r="JY1" s="355"/>
      <c r="JZ1" s="355"/>
      <c r="KA1" s="425" t="s">
        <v>545</v>
      </c>
      <c r="KB1" s="386" t="s">
        <v>325</v>
      </c>
      <c r="KC1" s="418" t="s">
        <v>172</v>
      </c>
      <c r="KD1" s="266" t="s">
        <v>19</v>
      </c>
      <c r="KE1" s="266" t="s">
        <v>434</v>
      </c>
      <c r="KF1" s="266" t="s">
        <v>435</v>
      </c>
      <c r="KG1" s="266" t="s">
        <v>312</v>
      </c>
      <c r="KH1" s="389" t="s">
        <v>313</v>
      </c>
      <c r="KI1" s="355"/>
      <c r="KJ1" s="355"/>
      <c r="KK1" s="425" t="s">
        <v>546</v>
      </c>
      <c r="KL1" s="386" t="s">
        <v>325</v>
      </c>
      <c r="KM1" s="418" t="s">
        <v>172</v>
      </c>
      <c r="KN1" s="266" t="s">
        <v>19</v>
      </c>
      <c r="KO1" s="266" t="s">
        <v>434</v>
      </c>
      <c r="KP1" s="266" t="s">
        <v>435</v>
      </c>
      <c r="KQ1" s="266" t="s">
        <v>312</v>
      </c>
      <c r="KR1" s="389" t="s">
        <v>313</v>
      </c>
      <c r="KS1" s="355"/>
      <c r="KT1" s="355"/>
      <c r="KU1" s="425" t="s">
        <v>547</v>
      </c>
      <c r="KV1" s="386" t="s">
        <v>325</v>
      </c>
      <c r="KW1" s="418" t="s">
        <v>172</v>
      </c>
      <c r="KX1" s="266" t="s">
        <v>19</v>
      </c>
      <c r="KY1" s="266" t="s">
        <v>434</v>
      </c>
      <c r="KZ1" s="266" t="s">
        <v>435</v>
      </c>
      <c r="LA1" s="266" t="s">
        <v>312</v>
      </c>
      <c r="LB1" s="389" t="s">
        <v>313</v>
      </c>
      <c r="LC1" s="433"/>
    </row>
    <row r="2" spans="1:315" x14ac:dyDescent="0.25">
      <c r="B2" s="211" t="s">
        <v>320</v>
      </c>
      <c r="C2" s="1096" t="s">
        <v>321</v>
      </c>
      <c r="D2" s="1097"/>
      <c r="E2" s="55"/>
      <c r="F2" s="475"/>
      <c r="G2" s="475"/>
      <c r="H2" s="476"/>
      <c r="I2" s="489" t="s">
        <v>377</v>
      </c>
      <c r="J2" s="490" t="s">
        <v>325</v>
      </c>
      <c r="K2" s="490" t="s">
        <v>327</v>
      </c>
      <c r="L2" s="490" t="s">
        <v>328</v>
      </c>
      <c r="M2" s="491" t="s">
        <v>329</v>
      </c>
      <c r="N2" s="478"/>
      <c r="O2" s="478"/>
      <c r="P2" s="477"/>
      <c r="Q2" s="477"/>
      <c r="R2" s="482"/>
      <c r="S2" s="478"/>
      <c r="T2" s="478"/>
      <c r="U2" s="483"/>
      <c r="V2" s="482"/>
      <c r="W2" s="55"/>
      <c r="X2" s="55"/>
      <c r="AA2" s="114" t="str">
        <f>IF(ABS(AA3-AD3)&lt;Δ_calc,"OK","KO")</f>
        <v>OK</v>
      </c>
      <c r="AB2" s="426">
        <f ca="1">AD$4*AG$7</f>
        <v>0</v>
      </c>
      <c r="AC2" s="390" t="s">
        <v>322</v>
      </c>
      <c r="AD2" s="369">
        <v>0</v>
      </c>
      <c r="AE2" s="369">
        <v>5</v>
      </c>
      <c r="AF2" s="369">
        <v>0</v>
      </c>
      <c r="AG2" s="369">
        <v>0</v>
      </c>
      <c r="AH2" s="391">
        <f>B</f>
        <v>20</v>
      </c>
      <c r="AI2" s="364"/>
      <c r="AJ2" s="364"/>
      <c r="AK2" s="114" t="str">
        <f>IF(ABS(AK3-AN3)&lt;Δ_calc,"OK","KO")</f>
        <v>OK</v>
      </c>
      <c r="AL2" s="426">
        <f ca="1">AN$4*AQ$7</f>
        <v>0</v>
      </c>
      <c r="AM2" s="390" t="s">
        <v>322</v>
      </c>
      <c r="AN2" s="369">
        <v>0</v>
      </c>
      <c r="AO2" s="369">
        <v>10</v>
      </c>
      <c r="AP2" s="369">
        <v>7.5</v>
      </c>
      <c r="AQ2" s="369">
        <v>10</v>
      </c>
      <c r="AR2" s="391">
        <v>5</v>
      </c>
      <c r="AS2" s="356"/>
      <c r="AT2" s="356"/>
      <c r="AU2" s="114" t="str">
        <f>IF(ABS(AU3-AX3)&lt;Δ_calc,"OK","KO")</f>
        <v>OK</v>
      </c>
      <c r="AV2" s="426">
        <f ca="1">AX$4*BA$7</f>
        <v>0</v>
      </c>
      <c r="AW2" s="390" t="s">
        <v>322</v>
      </c>
      <c r="AX2" s="369">
        <v>0</v>
      </c>
      <c r="AY2" s="369">
        <v>10</v>
      </c>
      <c r="AZ2" s="369">
        <v>2.5</v>
      </c>
      <c r="BA2" s="369">
        <v>10</v>
      </c>
      <c r="BB2" s="391">
        <v>5</v>
      </c>
      <c r="BC2" s="357"/>
      <c r="BD2" s="355"/>
      <c r="BE2" s="114" t="str">
        <f>IF(ABS(BE3-BH3)&lt;Δ_calc,"OK","KO")</f>
        <v>OK</v>
      </c>
      <c r="BF2" s="426">
        <f ca="1">BH$4*BK$7</f>
        <v>0</v>
      </c>
      <c r="BG2" s="390" t="s">
        <v>322</v>
      </c>
      <c r="BH2" s="369">
        <v>0</v>
      </c>
      <c r="BI2" s="369">
        <v>10</v>
      </c>
      <c r="BJ2" s="369">
        <v>-2.5</v>
      </c>
      <c r="BK2" s="369">
        <v>10</v>
      </c>
      <c r="BL2" s="391">
        <v>5</v>
      </c>
      <c r="BM2" s="415"/>
      <c r="BN2" s="355"/>
      <c r="BO2" s="114" t="str">
        <f>IF(ABS(BO3-BR3)&lt;Δ_calc,"OK","KO")</f>
        <v>OK</v>
      </c>
      <c r="BP2" s="426">
        <f ca="1">BR$4*BU$7</f>
        <v>0</v>
      </c>
      <c r="BQ2" s="390" t="s">
        <v>322</v>
      </c>
      <c r="BR2" s="369">
        <v>0</v>
      </c>
      <c r="BS2" s="369">
        <v>10</v>
      </c>
      <c r="BT2" s="369">
        <v>-7.5</v>
      </c>
      <c r="BU2" s="369">
        <v>10</v>
      </c>
      <c r="BV2" s="391">
        <v>5</v>
      </c>
      <c r="BW2" s="355"/>
      <c r="BX2" s="355"/>
      <c r="BY2" s="114" t="str">
        <f>IF(ABS(BY3-CB3)&lt;Δ_calc,"OK","KO")</f>
        <v>OK</v>
      </c>
      <c r="BZ2" s="426">
        <f ca="1">CB$4*CE$7</f>
        <v>0</v>
      </c>
      <c r="CA2" s="390" t="s">
        <v>322</v>
      </c>
      <c r="CB2" s="369">
        <v>0</v>
      </c>
      <c r="CC2" s="369">
        <v>20</v>
      </c>
      <c r="CD2" s="369">
        <v>7.5</v>
      </c>
      <c r="CE2" s="369">
        <v>10</v>
      </c>
      <c r="CF2" s="391">
        <v>5</v>
      </c>
      <c r="CG2" s="355"/>
      <c r="CH2" s="355"/>
      <c r="CI2" s="114" t="str">
        <f>IF(ABS(CI3-CL3)&lt;Δ_calc,"OK","KO")</f>
        <v>OK</v>
      </c>
      <c r="CJ2" s="426">
        <f ca="1">CL$4*CO$7</f>
        <v>0</v>
      </c>
      <c r="CK2" s="390" t="s">
        <v>322</v>
      </c>
      <c r="CL2" s="369">
        <v>0</v>
      </c>
      <c r="CM2" s="369">
        <v>20</v>
      </c>
      <c r="CN2" s="369">
        <v>2.5</v>
      </c>
      <c r="CO2" s="369">
        <v>10</v>
      </c>
      <c r="CP2" s="391">
        <v>5</v>
      </c>
      <c r="CQ2" s="355"/>
      <c r="CR2" s="434"/>
      <c r="CS2" s="114" t="str">
        <f>IF(ABS(CS3-CV3)&lt;Δ_calc,"OK","KO")</f>
        <v>OK</v>
      </c>
      <c r="CT2" s="426">
        <f ca="1">CV$4*CY$7</f>
        <v>0</v>
      </c>
      <c r="CU2" s="390" t="s">
        <v>322</v>
      </c>
      <c r="CV2" s="369">
        <v>0</v>
      </c>
      <c r="CW2" s="369">
        <v>20</v>
      </c>
      <c r="CX2" s="369">
        <v>-2.5</v>
      </c>
      <c r="CY2" s="369">
        <v>10</v>
      </c>
      <c r="CZ2" s="391">
        <v>5</v>
      </c>
      <c r="DA2" s="355"/>
      <c r="DB2" s="355"/>
      <c r="DC2" s="114" t="str">
        <f>IF(ABS(DC3-DF3)&lt;Δ_calc,"OK","KO")</f>
        <v>OK</v>
      </c>
      <c r="DD2" s="426">
        <f ca="1">DF$4*DI$7</f>
        <v>0</v>
      </c>
      <c r="DE2" s="390" t="s">
        <v>322</v>
      </c>
      <c r="DF2" s="369">
        <v>0</v>
      </c>
      <c r="DG2" s="369">
        <v>20</v>
      </c>
      <c r="DH2" s="369">
        <v>-7.5</v>
      </c>
      <c r="DI2" s="369">
        <v>10</v>
      </c>
      <c r="DJ2" s="391">
        <v>5</v>
      </c>
      <c r="DK2" s="355"/>
      <c r="DL2" s="434"/>
      <c r="DM2" s="114" t="str">
        <f>IF(ABS(DM3-DP3)&lt;Δ_calc,"OK","KO")</f>
        <v>OK</v>
      </c>
      <c r="DN2" s="426">
        <f ca="1">DP$4*DS$7</f>
        <v>0</v>
      </c>
      <c r="DO2" s="390" t="s">
        <v>322</v>
      </c>
      <c r="DP2" s="369">
        <v>0</v>
      </c>
      <c r="DQ2" s="369">
        <v>30</v>
      </c>
      <c r="DR2" s="369">
        <v>7.5</v>
      </c>
      <c r="DS2" s="369">
        <v>10</v>
      </c>
      <c r="DT2" s="391">
        <v>5</v>
      </c>
      <c r="DU2" s="355"/>
      <c r="DV2" s="355"/>
      <c r="DW2" s="114" t="str">
        <f>IF(ABS(DW3-DZ3)&lt;Δ_calc,"OK","KO")</f>
        <v>OK</v>
      </c>
      <c r="DX2" s="426">
        <f ca="1">DZ$4*EC$7</f>
        <v>0</v>
      </c>
      <c r="DY2" s="390" t="s">
        <v>322</v>
      </c>
      <c r="DZ2" s="369">
        <v>0</v>
      </c>
      <c r="EA2" s="369">
        <v>30</v>
      </c>
      <c r="EB2" s="369">
        <v>2.5</v>
      </c>
      <c r="EC2" s="369">
        <v>10</v>
      </c>
      <c r="ED2" s="391">
        <v>5</v>
      </c>
      <c r="EE2" s="421"/>
      <c r="EF2" s="355"/>
      <c r="EG2" s="114" t="str">
        <f>IF(ABS(EG3-EJ3)&lt;Δ_calc,"OK","KO")</f>
        <v>OK</v>
      </c>
      <c r="EH2" s="426">
        <f ca="1">EJ$4*EM$7</f>
        <v>0</v>
      </c>
      <c r="EI2" s="390" t="s">
        <v>322</v>
      </c>
      <c r="EJ2" s="369">
        <v>0</v>
      </c>
      <c r="EK2" s="369">
        <v>30</v>
      </c>
      <c r="EL2" s="369">
        <v>-2.5</v>
      </c>
      <c r="EM2" s="369">
        <v>10</v>
      </c>
      <c r="EN2" s="391">
        <v>5</v>
      </c>
      <c r="EO2" s="230"/>
      <c r="EP2" s="230"/>
      <c r="EQ2" s="114" t="str">
        <f>IF(ABS(EQ3-ET3)&lt;Δ_calc,"OK","KO")</f>
        <v>OK</v>
      </c>
      <c r="ER2" s="426">
        <f ca="1">ET$4*EW$7</f>
        <v>0</v>
      </c>
      <c r="ES2" s="390" t="s">
        <v>322</v>
      </c>
      <c r="ET2" s="369">
        <v>0</v>
      </c>
      <c r="EU2" s="369">
        <v>30</v>
      </c>
      <c r="EV2" s="369">
        <v>-7.5</v>
      </c>
      <c r="EW2" s="369">
        <v>10</v>
      </c>
      <c r="EX2" s="391">
        <v>5</v>
      </c>
      <c r="EY2" s="355"/>
      <c r="EZ2" s="355"/>
      <c r="FA2" s="114" t="str">
        <f>IF(ABS(FA3-FD3)&lt;Δ_calc,"OK","KO")</f>
        <v>OK</v>
      </c>
      <c r="FB2" s="426">
        <f ca="1">FD$4*FG$7</f>
        <v>0</v>
      </c>
      <c r="FC2" s="390" t="s">
        <v>322</v>
      </c>
      <c r="FD2" s="369">
        <v>0</v>
      </c>
      <c r="FE2" s="369">
        <v>40</v>
      </c>
      <c r="FF2" s="369">
        <v>7.5</v>
      </c>
      <c r="FG2" s="369">
        <v>10</v>
      </c>
      <c r="FH2" s="391">
        <v>5</v>
      </c>
      <c r="FI2" s="355"/>
      <c r="FJ2" s="355"/>
      <c r="FK2" s="114" t="str">
        <f>IF(ABS(FK3-FN3)&lt;Δ_calc,"OK","KO")</f>
        <v>OK</v>
      </c>
      <c r="FL2" s="426">
        <f ca="1">FN$4*FQ$7</f>
        <v>0</v>
      </c>
      <c r="FM2" s="390" t="s">
        <v>322</v>
      </c>
      <c r="FN2" s="369">
        <v>0</v>
      </c>
      <c r="FO2" s="369">
        <v>40</v>
      </c>
      <c r="FP2" s="369">
        <v>2.5</v>
      </c>
      <c r="FQ2" s="369">
        <v>10</v>
      </c>
      <c r="FR2" s="391">
        <v>5</v>
      </c>
      <c r="FS2" s="355"/>
      <c r="FT2" s="355"/>
      <c r="FU2" s="114" t="str">
        <f>IF(ABS(FU3-FX3)&lt;Δ_calc,"OK","KO")</f>
        <v>OK</v>
      </c>
      <c r="FV2" s="426">
        <f ca="1">FX$4*GA$7</f>
        <v>0</v>
      </c>
      <c r="FW2" s="390" t="s">
        <v>322</v>
      </c>
      <c r="FX2" s="369">
        <v>0</v>
      </c>
      <c r="FY2" s="369">
        <v>40</v>
      </c>
      <c r="FZ2" s="369">
        <v>-2.5</v>
      </c>
      <c r="GA2" s="369">
        <v>10</v>
      </c>
      <c r="GB2" s="391">
        <v>5</v>
      </c>
      <c r="GC2" s="355"/>
      <c r="GD2" s="355"/>
      <c r="GE2" s="114" t="str">
        <f>IF(ABS(GE3-GH3)&lt;Δ_calc,"OK","KO")</f>
        <v>OK</v>
      </c>
      <c r="GF2" s="426">
        <f ca="1">GH$4*GK$7</f>
        <v>0</v>
      </c>
      <c r="GG2" s="390" t="s">
        <v>322</v>
      </c>
      <c r="GH2" s="369">
        <v>0</v>
      </c>
      <c r="GI2" s="369">
        <v>40</v>
      </c>
      <c r="GJ2" s="369">
        <v>-7.5</v>
      </c>
      <c r="GK2" s="369">
        <v>10</v>
      </c>
      <c r="GL2" s="391">
        <v>5</v>
      </c>
      <c r="GM2" s="355"/>
      <c r="GN2" s="355"/>
      <c r="GO2" s="114" t="str">
        <f>IF(ABS(GO3-GR3)&lt;Δ_calc,"OK","KO")</f>
        <v>OK</v>
      </c>
      <c r="GP2" s="426">
        <f ca="1">GR$4*GU$7</f>
        <v>0</v>
      </c>
      <c r="GQ2" s="390" t="s">
        <v>322</v>
      </c>
      <c r="GR2" s="369">
        <v>0</v>
      </c>
      <c r="GS2" s="369">
        <v>50</v>
      </c>
      <c r="GT2" s="369">
        <v>7.5</v>
      </c>
      <c r="GU2" s="369">
        <v>10</v>
      </c>
      <c r="GV2" s="391">
        <v>5</v>
      </c>
      <c r="GW2" s="355"/>
      <c r="GX2" s="355"/>
      <c r="GY2" s="114" t="str">
        <f>IF(ABS(GY3-HB3)&lt;Δ_calc,"OK","KO")</f>
        <v>OK</v>
      </c>
      <c r="GZ2" s="426">
        <f ca="1">HB$4*HE$7</f>
        <v>0</v>
      </c>
      <c r="HA2" s="390" t="s">
        <v>322</v>
      </c>
      <c r="HB2" s="369">
        <v>0</v>
      </c>
      <c r="HC2" s="369">
        <v>50</v>
      </c>
      <c r="HD2" s="369">
        <v>2.5</v>
      </c>
      <c r="HE2" s="369">
        <v>10</v>
      </c>
      <c r="HF2" s="391">
        <v>5</v>
      </c>
      <c r="HG2" s="434"/>
      <c r="HH2" s="435"/>
      <c r="HI2" s="114" t="str">
        <f>IF(ABS(HI3-HL3)&lt;Δ_calc,"OK","KO")</f>
        <v>OK</v>
      </c>
      <c r="HJ2" s="426">
        <f ca="1">HL$4*HO$7</f>
        <v>0</v>
      </c>
      <c r="HK2" s="390" t="s">
        <v>322</v>
      </c>
      <c r="HL2" s="369">
        <v>0</v>
      </c>
      <c r="HM2" s="369">
        <v>50</v>
      </c>
      <c r="HN2" s="369">
        <v>-2.5</v>
      </c>
      <c r="HO2" s="369">
        <v>10</v>
      </c>
      <c r="HP2" s="391">
        <v>5</v>
      </c>
      <c r="HQ2" s="355"/>
      <c r="HR2" s="355"/>
      <c r="HS2" s="114" t="str">
        <f>IF(ABS(HS3-HV3)&lt;Δ_calc,"OK","KO")</f>
        <v>OK</v>
      </c>
      <c r="HT2" s="426">
        <f ca="1">HV$4*HY$7</f>
        <v>0</v>
      </c>
      <c r="HU2" s="390" t="s">
        <v>322</v>
      </c>
      <c r="HV2" s="369">
        <v>0</v>
      </c>
      <c r="HW2" s="369">
        <v>50</v>
      </c>
      <c r="HX2" s="369">
        <v>-7.5</v>
      </c>
      <c r="HY2" s="369">
        <v>10</v>
      </c>
      <c r="HZ2" s="391">
        <v>5</v>
      </c>
      <c r="IA2" s="355"/>
      <c r="IB2" s="355"/>
      <c r="IC2" s="114" t="str">
        <f>IF(ABS(IC3-IF3)&lt;Δ_calc,"OK","KO")</f>
        <v>OK</v>
      </c>
      <c r="ID2" s="426">
        <f ca="1">IF$4*II$7</f>
        <v>0</v>
      </c>
      <c r="IE2" s="390" t="s">
        <v>322</v>
      </c>
      <c r="IF2" s="369">
        <v>0</v>
      </c>
      <c r="IG2" s="369">
        <v>55</v>
      </c>
      <c r="IH2" s="369">
        <v>0</v>
      </c>
      <c r="II2" s="369">
        <v>0</v>
      </c>
      <c r="IJ2" s="391">
        <v>20</v>
      </c>
      <c r="IK2" s="355"/>
      <c r="IL2" s="355"/>
      <c r="IM2" s="114" t="str">
        <f>IF(ABS(IM3-IP3)&lt;Δ_calc,"OK","KO")</f>
        <v>OK</v>
      </c>
      <c r="IN2" s="426" t="e">
        <f ca="1">IP$4*IS$7</f>
        <v>#N/A</v>
      </c>
      <c r="IO2" s="390" t="s">
        <v>322</v>
      </c>
      <c r="IP2" s="369">
        <v>0</v>
      </c>
      <c r="IQ2" s="369">
        <v>62.604999999999997</v>
      </c>
      <c r="IR2" s="369">
        <v>6.875</v>
      </c>
      <c r="IS2" s="369">
        <v>8.01</v>
      </c>
      <c r="IT2" s="391">
        <v>13.75</v>
      </c>
      <c r="IU2" s="435"/>
      <c r="IV2" s="435"/>
      <c r="IW2" s="114" t="str">
        <f>IF(ABS(IW3-IZ3)&lt;Δ_calc,"OK","KO")</f>
        <v>OK</v>
      </c>
      <c r="IX2" s="426" t="e">
        <f ca="1">IZ$4*JC$7</f>
        <v>#N/A</v>
      </c>
      <c r="IY2" s="390" t="s">
        <v>322</v>
      </c>
      <c r="IZ2" s="369">
        <v>0</v>
      </c>
      <c r="JA2" s="369">
        <v>62.604999999999997</v>
      </c>
      <c r="JB2" s="369">
        <v>-6.875</v>
      </c>
      <c r="JC2" s="369">
        <v>8.01</v>
      </c>
      <c r="JD2" s="391">
        <v>13.75</v>
      </c>
      <c r="JE2" s="435"/>
      <c r="JF2" s="435"/>
      <c r="JG2" s="114" t="str">
        <f>IF(ABS(JG3-JJ3)&lt;Δ_calc,"OK","KO")</f>
        <v>OK</v>
      </c>
      <c r="JH2" s="426" t="e">
        <f ca="1">JJ$4*JM$7</f>
        <v>#N/A</v>
      </c>
      <c r="JI2" s="390" t="s">
        <v>322</v>
      </c>
      <c r="JJ2" s="369">
        <v>1.196</v>
      </c>
      <c r="JK2" s="369">
        <v>69.599999999999994</v>
      </c>
      <c r="JL2" s="369">
        <v>10.3125</v>
      </c>
      <c r="JM2" s="369">
        <v>0</v>
      </c>
      <c r="JN2" s="391">
        <v>6.875</v>
      </c>
      <c r="JO2" s="435"/>
      <c r="JP2" s="435"/>
      <c r="JQ2" s="114" t="str">
        <f>IF(ABS(JQ3-JT3)&lt;Δ_calc,"OK","KO")</f>
        <v>OK</v>
      </c>
      <c r="JR2" s="426" t="e">
        <f ca="1">JT$4*JW$7</f>
        <v>#N/A</v>
      </c>
      <c r="JS2" s="390" t="s">
        <v>322</v>
      </c>
      <c r="JT2" s="369">
        <v>1.196</v>
      </c>
      <c r="JU2" s="369">
        <v>69.599999999999994</v>
      </c>
      <c r="JV2" s="369">
        <v>3.4375</v>
      </c>
      <c r="JW2" s="369">
        <v>0</v>
      </c>
      <c r="JX2" s="391">
        <v>6.875</v>
      </c>
      <c r="JY2" s="435"/>
      <c r="JZ2" s="435"/>
      <c r="KA2" s="114" t="str">
        <f>IF(ABS(KA3-KD3)&lt;Δ_calc,"OK","KO")</f>
        <v>OK</v>
      </c>
      <c r="KB2" s="426" t="e">
        <f ca="1">KD$4*KG$7</f>
        <v>#N/A</v>
      </c>
      <c r="KC2" s="390" t="s">
        <v>322</v>
      </c>
      <c r="KD2" s="369">
        <v>1.196</v>
      </c>
      <c r="KE2" s="369">
        <v>69.599999999999994</v>
      </c>
      <c r="KF2" s="369">
        <v>-3.4375</v>
      </c>
      <c r="KG2" s="369">
        <v>0</v>
      </c>
      <c r="KH2" s="391">
        <v>6.875</v>
      </c>
      <c r="KI2" s="435"/>
      <c r="KJ2" s="435"/>
      <c r="KK2" s="114" t="str">
        <f>IF(ABS(KK3-KN3)&lt;Δ_calc,"OK","KO")</f>
        <v>OK</v>
      </c>
      <c r="KL2" s="426" t="e">
        <f ca="1">KN$4*KQ$7</f>
        <v>#N/A</v>
      </c>
      <c r="KM2" s="390" t="s">
        <v>322</v>
      </c>
      <c r="KN2" s="369">
        <v>1.196</v>
      </c>
      <c r="KO2" s="369">
        <v>69.599999999999994</v>
      </c>
      <c r="KP2" s="369">
        <v>-10.3125</v>
      </c>
      <c r="KQ2" s="369">
        <v>0</v>
      </c>
      <c r="KR2" s="391">
        <v>6.875</v>
      </c>
      <c r="KS2" s="435"/>
      <c r="KT2" s="435"/>
      <c r="KU2" s="114" t="str">
        <f>IF(ABS(KU3-KX3)&lt;Δ_calc,"OK","KO")</f>
        <v>OK</v>
      </c>
      <c r="KV2" s="426" t="e">
        <f ca="1">KX$4*LA$7</f>
        <v>#N/A</v>
      </c>
      <c r="KW2" s="390" t="s">
        <v>322</v>
      </c>
      <c r="KX2" s="369">
        <v>0</v>
      </c>
      <c r="KY2" s="369">
        <v>55</v>
      </c>
      <c r="KZ2" s="369">
        <v>0</v>
      </c>
      <c r="LA2" s="369">
        <v>5</v>
      </c>
      <c r="LB2" s="391">
        <v>5</v>
      </c>
      <c r="LC2" s="355"/>
    </row>
    <row r="3" spans="1:315" x14ac:dyDescent="0.25">
      <c r="B3" s="362">
        <v>63</v>
      </c>
      <c r="C3" s="469">
        <f>COUNT(AA10:AA5000)</f>
        <v>41</v>
      </c>
      <c r="D3" s="470" t="str">
        <f>IF(Ballasts_Nline&gt;$C$3,"OK","KO")</f>
        <v>OK</v>
      </c>
      <c r="E3" s="265"/>
      <c r="F3" s="55"/>
      <c r="G3" s="55"/>
      <c r="H3" s="479"/>
      <c r="I3" s="599">
        <f ca="1">SUM(Tbl_Ballasts[i*ꙍ])</f>
        <v>0</v>
      </c>
      <c r="J3" s="494">
        <f ca="1">SUM(Tbl_Ballasts[Weight Fact])</f>
        <v>0</v>
      </c>
      <c r="K3" s="495">
        <f ca="1">IFERROR(SUMPRODUCT(Tbl_Ballasts[[COG x ]],Tbl_Ballasts[Weight Fact])/$J$3,0)</f>
        <v>0</v>
      </c>
      <c r="L3" s="495">
        <f ca="1">IFERROR(SUMPRODUCT(Tbl_Ballasts[[COG y ]],Tbl_Ballasts[Weight Fact])/$J$3,0)</f>
        <v>0</v>
      </c>
      <c r="M3" s="496">
        <f ca="1">IFERROR(SUMPRODUCT(Tbl_Ballasts[[COG z ]],Tbl_Ballasts[Weight Fact])/$J$3,0)</f>
        <v>0</v>
      </c>
      <c r="N3" s="10"/>
      <c r="O3" s="10"/>
      <c r="P3" s="484"/>
      <c r="Q3" s="484"/>
      <c r="R3" s="10"/>
      <c r="S3" s="10"/>
      <c r="T3" s="10"/>
      <c r="U3" s="483"/>
      <c r="V3" s="10"/>
      <c r="W3" s="485"/>
      <c r="X3" s="485"/>
      <c r="AA3" s="388">
        <f t="array" ref="AA3">MAX(IF(ISNA(AC10:AC101),,AC10:AC101))</f>
        <v>4.0000000000000018</v>
      </c>
      <c r="AB3" s="370">
        <f>MATCH(AA$1,Tbl_Ballasts[Ballast],0)</f>
        <v>1</v>
      </c>
      <c r="AC3" s="392" t="s">
        <v>323</v>
      </c>
      <c r="AD3" s="230">
        <f>M_depth</f>
        <v>4</v>
      </c>
      <c r="AE3" s="230">
        <v>2.5</v>
      </c>
      <c r="AF3" s="230">
        <v>0</v>
      </c>
      <c r="AG3" s="230">
        <v>5</v>
      </c>
      <c r="AH3" s="393">
        <f>B</f>
        <v>20</v>
      </c>
      <c r="AI3" s="365"/>
      <c r="AJ3" s="365"/>
      <c r="AK3" s="388">
        <f t="array" ref="AK3">MAX(IF(ISNA(AM10:AM101),,AM10:AM101))</f>
        <v>4.0000000000000018</v>
      </c>
      <c r="AL3" s="370">
        <f>MATCH(AK$1,Tbl_Ballasts[Ballast],0)</f>
        <v>2</v>
      </c>
      <c r="AM3" s="392" t="s">
        <v>323</v>
      </c>
      <c r="AN3" s="230">
        <f>M_depth</f>
        <v>4</v>
      </c>
      <c r="AO3" s="230">
        <v>10</v>
      </c>
      <c r="AP3" s="230">
        <v>7.5</v>
      </c>
      <c r="AQ3" s="230">
        <v>10</v>
      </c>
      <c r="AR3" s="393">
        <v>5</v>
      </c>
      <c r="AS3" s="446"/>
      <c r="AT3" s="356"/>
      <c r="AU3" s="388">
        <f t="array" ref="AU3">MAX(IF(ISNA(AW10:AW101),,AW10:AW101))</f>
        <v>4.0000000000000018</v>
      </c>
      <c r="AV3" s="370">
        <f>MATCH(AU$1,Tbl_Ballasts[Ballast],0)</f>
        <v>3</v>
      </c>
      <c r="AW3" s="392" t="s">
        <v>323</v>
      </c>
      <c r="AX3" s="230">
        <f>M_depth</f>
        <v>4</v>
      </c>
      <c r="AY3" s="230">
        <v>10</v>
      </c>
      <c r="AZ3" s="230">
        <v>2.5</v>
      </c>
      <c r="BA3" s="230">
        <v>10</v>
      </c>
      <c r="BB3" s="393">
        <v>5</v>
      </c>
      <c r="BC3" s="357"/>
      <c r="BD3" s="414"/>
      <c r="BE3" s="388">
        <f t="array" ref="BE3">MAX(IF(ISNA(BG10:BG101),,BG10:BG101))</f>
        <v>4.0000000000000018</v>
      </c>
      <c r="BF3" s="370">
        <f>MATCH(BE$1,Tbl_Ballasts[Ballast],0)</f>
        <v>4</v>
      </c>
      <c r="BG3" s="392" t="s">
        <v>323</v>
      </c>
      <c r="BH3" s="230">
        <f>M_depth</f>
        <v>4</v>
      </c>
      <c r="BI3" s="230">
        <v>10</v>
      </c>
      <c r="BJ3" s="230">
        <v>-2.5</v>
      </c>
      <c r="BK3" s="230">
        <v>10</v>
      </c>
      <c r="BL3" s="393">
        <v>5</v>
      </c>
      <c r="BM3" s="416"/>
      <c r="BN3" s="414"/>
      <c r="BO3" s="388">
        <f t="array" ref="BO3">MAX(IF(ISNA(BQ10:BQ101),,BQ10:BQ101))</f>
        <v>4.0000000000000018</v>
      </c>
      <c r="BP3" s="370">
        <f>MATCH(BO$1,Tbl_Ballasts[Ballast],0)</f>
        <v>5</v>
      </c>
      <c r="BQ3" s="392" t="s">
        <v>323</v>
      </c>
      <c r="BR3" s="230">
        <f>M_depth</f>
        <v>4</v>
      </c>
      <c r="BS3" s="230">
        <v>10</v>
      </c>
      <c r="BT3" s="230">
        <v>-7.5</v>
      </c>
      <c r="BU3" s="230">
        <v>10</v>
      </c>
      <c r="BV3" s="393">
        <v>5</v>
      </c>
      <c r="BW3" s="414"/>
      <c r="BX3" s="414"/>
      <c r="BY3" s="388">
        <f t="array" ref="BY3">MAX(IF(ISNA(CA10:CA101),,CA10:CA101))</f>
        <v>4.0000000000000018</v>
      </c>
      <c r="BZ3" s="370">
        <f>MATCH(BY$1,Tbl_Ballasts[Ballast],0)</f>
        <v>6</v>
      </c>
      <c r="CA3" s="392" t="s">
        <v>323</v>
      </c>
      <c r="CB3" s="230">
        <f>M_depth</f>
        <v>4</v>
      </c>
      <c r="CC3" s="230">
        <v>20</v>
      </c>
      <c r="CD3" s="230">
        <v>7.5</v>
      </c>
      <c r="CE3" s="230">
        <v>10</v>
      </c>
      <c r="CF3" s="393">
        <v>5</v>
      </c>
      <c r="CG3" s="414"/>
      <c r="CH3" s="414"/>
      <c r="CI3" s="388">
        <f t="array" ref="CI3">MAX(IF(ISNA(CK10:CK101),,CK10:CK101))</f>
        <v>4.0000000000000018</v>
      </c>
      <c r="CJ3" s="370">
        <f>MATCH(CI$1,Tbl_Ballasts[Ballast],0)</f>
        <v>7</v>
      </c>
      <c r="CK3" s="392" t="s">
        <v>323</v>
      </c>
      <c r="CL3" s="230">
        <f>M_depth</f>
        <v>4</v>
      </c>
      <c r="CM3" s="230">
        <v>20</v>
      </c>
      <c r="CN3" s="230">
        <v>2.5</v>
      </c>
      <c r="CO3" s="230">
        <v>10</v>
      </c>
      <c r="CP3" s="393">
        <v>5</v>
      </c>
      <c r="CQ3" s="414"/>
      <c r="CR3" s="436"/>
      <c r="CS3" s="388">
        <f t="array" ref="CS3">MAX(IF(ISNA(CU10:CU101),,CU10:CU101))</f>
        <v>4.0000000000000018</v>
      </c>
      <c r="CT3" s="370">
        <f>MATCH(CS$1,Tbl_Ballasts[Ballast],0)</f>
        <v>8</v>
      </c>
      <c r="CU3" s="392" t="s">
        <v>323</v>
      </c>
      <c r="CV3" s="230">
        <f>M_depth</f>
        <v>4</v>
      </c>
      <c r="CW3" s="230">
        <v>20</v>
      </c>
      <c r="CX3" s="230">
        <v>-2.5</v>
      </c>
      <c r="CY3" s="230">
        <v>10</v>
      </c>
      <c r="CZ3" s="393">
        <v>5</v>
      </c>
      <c r="DA3" s="414"/>
      <c r="DB3" s="414"/>
      <c r="DC3" s="388">
        <f t="array" ref="DC3">MAX(IF(ISNA(DE10:DE101),,DE10:DE101))</f>
        <v>4.0000000000000018</v>
      </c>
      <c r="DD3" s="370">
        <f>MATCH(DC$1,Tbl_Ballasts[Ballast],0)</f>
        <v>9</v>
      </c>
      <c r="DE3" s="392" t="s">
        <v>323</v>
      </c>
      <c r="DF3" s="230">
        <f>M_depth</f>
        <v>4</v>
      </c>
      <c r="DG3" s="230">
        <v>20</v>
      </c>
      <c r="DH3" s="230">
        <v>-7.5</v>
      </c>
      <c r="DI3" s="230">
        <v>10</v>
      </c>
      <c r="DJ3" s="393">
        <v>5</v>
      </c>
      <c r="DK3" s="414"/>
      <c r="DL3" s="436"/>
      <c r="DM3" s="388">
        <f t="array" ref="DM3">MAX(IF(ISNA(DO10:DO101),,DO10:DO101))</f>
        <v>4.0000000000000018</v>
      </c>
      <c r="DN3" s="370">
        <f>MATCH(DM$1,Tbl_Ballasts[Ballast],0)</f>
        <v>10</v>
      </c>
      <c r="DO3" s="392" t="s">
        <v>323</v>
      </c>
      <c r="DP3" s="230">
        <f>M_depth</f>
        <v>4</v>
      </c>
      <c r="DQ3" s="230">
        <v>30</v>
      </c>
      <c r="DR3" s="230">
        <v>7.5</v>
      </c>
      <c r="DS3" s="230">
        <v>10</v>
      </c>
      <c r="DT3" s="393">
        <v>5</v>
      </c>
      <c r="DU3" s="414"/>
      <c r="DV3" s="414"/>
      <c r="DW3" s="388">
        <f t="array" ref="DW3">MAX(IF(ISNA(DY10:DY101),,DY10:DY101))</f>
        <v>4.0000000000000018</v>
      </c>
      <c r="DX3" s="370">
        <f>MATCH(DW$1,Tbl_Ballasts[Ballast],0)</f>
        <v>11</v>
      </c>
      <c r="DY3" s="392" t="s">
        <v>323</v>
      </c>
      <c r="DZ3" s="230">
        <f>M_depth</f>
        <v>4</v>
      </c>
      <c r="EA3" s="230">
        <v>30</v>
      </c>
      <c r="EB3" s="230">
        <v>2.5</v>
      </c>
      <c r="EC3" s="230">
        <v>10</v>
      </c>
      <c r="ED3" s="393">
        <v>5</v>
      </c>
      <c r="EE3" s="422"/>
      <c r="EF3" s="414"/>
      <c r="EG3" s="388">
        <f t="array" ref="EG3">MAX(IF(ISNA(EI10:EI101),,EI10:EI101))</f>
        <v>4.0000000000000018</v>
      </c>
      <c r="EH3" s="370">
        <f>MATCH(EG$1,Tbl_Ballasts[Ballast],0)</f>
        <v>12</v>
      </c>
      <c r="EI3" s="392" t="s">
        <v>323</v>
      </c>
      <c r="EJ3" s="230">
        <f>M_depth</f>
        <v>4</v>
      </c>
      <c r="EK3" s="230">
        <v>30</v>
      </c>
      <c r="EL3" s="230">
        <v>-2.5</v>
      </c>
      <c r="EM3" s="230">
        <v>10</v>
      </c>
      <c r="EN3" s="393">
        <v>5</v>
      </c>
      <c r="EO3" s="230"/>
      <c r="EP3" s="230"/>
      <c r="EQ3" s="388">
        <f t="array" ref="EQ3">MAX(IF(ISNA(ES10:ES101),,ES10:ES101))</f>
        <v>4.0000000000000018</v>
      </c>
      <c r="ER3" s="370">
        <f>MATCH(EQ$1,Tbl_Ballasts[Ballast],0)</f>
        <v>13</v>
      </c>
      <c r="ES3" s="392" t="s">
        <v>323</v>
      </c>
      <c r="ET3" s="230">
        <f>M_depth</f>
        <v>4</v>
      </c>
      <c r="EU3" s="230">
        <v>30</v>
      </c>
      <c r="EV3" s="230">
        <v>-7.5</v>
      </c>
      <c r="EW3" s="230">
        <v>10</v>
      </c>
      <c r="EX3" s="393">
        <v>5</v>
      </c>
      <c r="EY3" s="414"/>
      <c r="EZ3" s="414"/>
      <c r="FA3" s="388">
        <f t="array" ref="FA3">MAX(IF(ISNA(FC10:FC101),,FC10:FC101))</f>
        <v>4.0000000000000018</v>
      </c>
      <c r="FB3" s="370">
        <f>MATCH(FA$1,Tbl_Ballasts[Ballast],0)</f>
        <v>14</v>
      </c>
      <c r="FC3" s="392" t="s">
        <v>323</v>
      </c>
      <c r="FD3" s="230">
        <f>M_depth</f>
        <v>4</v>
      </c>
      <c r="FE3" s="230">
        <v>40</v>
      </c>
      <c r="FF3" s="230">
        <v>7.5</v>
      </c>
      <c r="FG3" s="230">
        <v>10</v>
      </c>
      <c r="FH3" s="393">
        <v>5</v>
      </c>
      <c r="FI3" s="414"/>
      <c r="FJ3" s="414"/>
      <c r="FK3" s="388">
        <f t="array" ref="FK3">MAX(IF(ISNA(FM10:FM101),,FM10:FM101))</f>
        <v>4.0000000000000018</v>
      </c>
      <c r="FL3" s="370">
        <f>MATCH(FK$1,Tbl_Ballasts[Ballast],0)</f>
        <v>15</v>
      </c>
      <c r="FM3" s="392" t="s">
        <v>323</v>
      </c>
      <c r="FN3" s="230">
        <f>M_depth</f>
        <v>4</v>
      </c>
      <c r="FO3" s="230">
        <v>40</v>
      </c>
      <c r="FP3" s="230">
        <v>2.5</v>
      </c>
      <c r="FQ3" s="230">
        <v>10</v>
      </c>
      <c r="FR3" s="393">
        <v>5</v>
      </c>
      <c r="FS3" s="414"/>
      <c r="FT3" s="414"/>
      <c r="FU3" s="388">
        <f t="array" ref="FU3">MAX(IF(ISNA(FW10:FW101),,FW10:FW101))</f>
        <v>4.0000000000000018</v>
      </c>
      <c r="FV3" s="370">
        <f>MATCH(FU$1,Tbl_Ballasts[Ballast],0)</f>
        <v>16</v>
      </c>
      <c r="FW3" s="392" t="s">
        <v>323</v>
      </c>
      <c r="FX3" s="230">
        <f>M_depth</f>
        <v>4</v>
      </c>
      <c r="FY3" s="230">
        <v>40</v>
      </c>
      <c r="FZ3" s="230">
        <v>-2.5</v>
      </c>
      <c r="GA3" s="230">
        <v>10</v>
      </c>
      <c r="GB3" s="393">
        <v>5</v>
      </c>
      <c r="GC3" s="414"/>
      <c r="GD3" s="414"/>
      <c r="GE3" s="388">
        <f t="array" ref="GE3">MAX(IF(ISNA(GG10:GG101),,GG10:GG101))</f>
        <v>4.0000000000000018</v>
      </c>
      <c r="GF3" s="370">
        <f>MATCH(GE$1,Tbl_Ballasts[Ballast],0)</f>
        <v>17</v>
      </c>
      <c r="GG3" s="392" t="s">
        <v>323</v>
      </c>
      <c r="GH3" s="230">
        <f>M_depth</f>
        <v>4</v>
      </c>
      <c r="GI3" s="230">
        <v>40</v>
      </c>
      <c r="GJ3" s="230">
        <v>-7.5</v>
      </c>
      <c r="GK3" s="230">
        <v>10</v>
      </c>
      <c r="GL3" s="393">
        <v>5</v>
      </c>
      <c r="GM3" s="414"/>
      <c r="GN3" s="414"/>
      <c r="GO3" s="388">
        <f t="array" ref="GO3">MAX(IF(ISNA(GQ10:GQ101),,GQ10:GQ101))</f>
        <v>4.0000000000000018</v>
      </c>
      <c r="GP3" s="370">
        <f>MATCH(GO$1,Tbl_Ballasts[Ballast],0)</f>
        <v>18</v>
      </c>
      <c r="GQ3" s="392" t="s">
        <v>323</v>
      </c>
      <c r="GR3" s="230">
        <f>M_depth</f>
        <v>4</v>
      </c>
      <c r="GS3" s="230">
        <v>50</v>
      </c>
      <c r="GT3" s="230">
        <v>7.5</v>
      </c>
      <c r="GU3" s="230">
        <v>10</v>
      </c>
      <c r="GV3" s="393">
        <v>5</v>
      </c>
      <c r="GW3" s="414"/>
      <c r="GX3" s="414"/>
      <c r="GY3" s="388">
        <f t="array" ref="GY3">MAX(IF(ISNA(HA10:HA101),,HA10:HA101))</f>
        <v>4.0000000000000018</v>
      </c>
      <c r="GZ3" s="370">
        <f>MATCH(GY$1,Tbl_Ballasts[Ballast],0)</f>
        <v>19</v>
      </c>
      <c r="HA3" s="392" t="s">
        <v>323</v>
      </c>
      <c r="HB3" s="230">
        <f>M_depth</f>
        <v>4</v>
      </c>
      <c r="HC3" s="230">
        <v>50</v>
      </c>
      <c r="HD3" s="230">
        <v>2.5</v>
      </c>
      <c r="HE3" s="230">
        <v>10</v>
      </c>
      <c r="HF3" s="393">
        <v>5</v>
      </c>
      <c r="HG3" s="436"/>
      <c r="HH3" s="414"/>
      <c r="HI3" s="388">
        <f t="array" ref="HI3">MAX(IF(ISNA(HK10:HK101),,HK10:HK101))</f>
        <v>4.0000000000000018</v>
      </c>
      <c r="HJ3" s="370">
        <f>MATCH(HI$1,Tbl_Ballasts[Ballast],0)</f>
        <v>20</v>
      </c>
      <c r="HK3" s="392" t="s">
        <v>323</v>
      </c>
      <c r="HL3" s="230">
        <f>M_depth</f>
        <v>4</v>
      </c>
      <c r="HM3" s="230">
        <v>50</v>
      </c>
      <c r="HN3" s="230">
        <v>-2.5</v>
      </c>
      <c r="HO3" s="230">
        <v>10</v>
      </c>
      <c r="HP3" s="393">
        <v>5</v>
      </c>
      <c r="HQ3" s="414"/>
      <c r="HR3" s="414"/>
      <c r="HS3" s="388">
        <f t="array" ref="HS3">MAX(IF(ISNA(HU10:HU101),,HU10:HU101))</f>
        <v>4.0000000000000018</v>
      </c>
      <c r="HT3" s="370">
        <f>MATCH(HS$1,Tbl_Ballasts[Ballast],0)</f>
        <v>21</v>
      </c>
      <c r="HU3" s="392" t="s">
        <v>323</v>
      </c>
      <c r="HV3" s="230">
        <f>M_depth</f>
        <v>4</v>
      </c>
      <c r="HW3" s="230">
        <v>50</v>
      </c>
      <c r="HX3" s="230">
        <v>-7.5</v>
      </c>
      <c r="HY3" s="230">
        <v>10</v>
      </c>
      <c r="HZ3" s="393">
        <v>5</v>
      </c>
      <c r="IA3" s="414"/>
      <c r="IB3" s="414"/>
      <c r="IC3" s="388">
        <f t="array" ref="IC3">MAX(IF(ISNA(IE10:IE101),,IE10:IE101))</f>
        <v>4.0000000000000018</v>
      </c>
      <c r="ID3" s="370">
        <f>MATCH(IC$1,Tbl_Ballasts[Ballast],0)</f>
        <v>22</v>
      </c>
      <c r="IE3" s="392" t="s">
        <v>323</v>
      </c>
      <c r="IF3" s="230">
        <f>M_depth</f>
        <v>4</v>
      </c>
      <c r="IG3" s="230">
        <v>57.5</v>
      </c>
      <c r="IH3" s="230">
        <v>0</v>
      </c>
      <c r="II3" s="230">
        <v>5</v>
      </c>
      <c r="IJ3" s="393">
        <v>20</v>
      </c>
      <c r="IK3" s="414"/>
      <c r="IL3" s="414"/>
      <c r="IM3" s="388">
        <f t="array" ref="IM3">MAX(IF(ISNA(IO10:IO101),,IO10:IO101))</f>
        <v>4.0000000000000018</v>
      </c>
      <c r="IN3" s="370" t="e">
        <f>MATCH(IM$1,Tbl_Ballasts[Ballast],0)</f>
        <v>#N/A</v>
      </c>
      <c r="IO3" s="392" t="s">
        <v>323</v>
      </c>
      <c r="IP3" s="230">
        <f>M_depth</f>
        <v>4</v>
      </c>
      <c r="IQ3" s="230">
        <v>64.099999999999994</v>
      </c>
      <c r="IR3" s="230">
        <v>6.875</v>
      </c>
      <c r="IS3" s="230">
        <v>11</v>
      </c>
      <c r="IT3" s="393">
        <v>13.75</v>
      </c>
      <c r="IU3" s="414"/>
      <c r="IV3" s="414"/>
      <c r="IW3" s="388">
        <f t="array" ref="IW3">MAX(IF(ISNA(IY10:IY101),,IY10:IY101))</f>
        <v>4.0000000000000018</v>
      </c>
      <c r="IX3" s="370" t="e">
        <f>MATCH(IW$1,Tbl_Ballasts[Ballast],0)</f>
        <v>#N/A</v>
      </c>
      <c r="IY3" s="392" t="s">
        <v>323</v>
      </c>
      <c r="IZ3" s="230">
        <f>M_depth</f>
        <v>4</v>
      </c>
      <c r="JA3" s="230">
        <v>64.099999999999994</v>
      </c>
      <c r="JB3" s="230">
        <v>-6.875</v>
      </c>
      <c r="JC3" s="230">
        <v>11</v>
      </c>
      <c r="JD3" s="393">
        <v>13.75</v>
      </c>
      <c r="JE3" s="414"/>
      <c r="JF3" s="414"/>
      <c r="JG3" s="388">
        <f t="array" ref="JG3">MAX(IF(ISNA(JI10:JI101),,JI10:JI101))</f>
        <v>4.8999999999999986</v>
      </c>
      <c r="JH3" s="370" t="e">
        <f>MATCH(JG$1,Tbl_Ballasts[Ballast],0)</f>
        <v>#N/A</v>
      </c>
      <c r="JI3" s="392" t="s">
        <v>323</v>
      </c>
      <c r="JJ3" s="230">
        <v>4.9000000000000004</v>
      </c>
      <c r="JK3" s="230">
        <v>73.23</v>
      </c>
      <c r="JL3" s="230">
        <v>10.3125</v>
      </c>
      <c r="JM3" s="230">
        <v>7.26</v>
      </c>
      <c r="JN3" s="393">
        <v>6.875</v>
      </c>
      <c r="JO3" s="414"/>
      <c r="JP3" s="414"/>
      <c r="JQ3" s="388">
        <f t="array" ref="JQ3">MAX(IF(ISNA(JS10:JS101),,JS10:JS101))</f>
        <v>4.8999999999999986</v>
      </c>
      <c r="JR3" s="370" t="e">
        <f>MATCH(JQ$1,Tbl_Ballasts[Ballast],0)</f>
        <v>#N/A</v>
      </c>
      <c r="JS3" s="392" t="s">
        <v>323</v>
      </c>
      <c r="JT3" s="230">
        <v>4.9000000000000004</v>
      </c>
      <c r="JU3" s="230">
        <v>73.23</v>
      </c>
      <c r="JV3" s="230">
        <v>3.4375</v>
      </c>
      <c r="JW3" s="230">
        <v>7.26</v>
      </c>
      <c r="JX3" s="393">
        <v>6.875</v>
      </c>
      <c r="JY3" s="414"/>
      <c r="JZ3" s="414"/>
      <c r="KA3" s="388">
        <f t="array" ref="KA3">MAX(IF(ISNA(KC10:KC101),,KC10:KC101))</f>
        <v>4.8999999999999986</v>
      </c>
      <c r="KB3" s="370" t="e">
        <f>MATCH(KA$1,Tbl_Ballasts[Ballast],0)</f>
        <v>#N/A</v>
      </c>
      <c r="KC3" s="392" t="s">
        <v>323</v>
      </c>
      <c r="KD3" s="230">
        <v>4.9000000000000004</v>
      </c>
      <c r="KE3" s="230">
        <v>73.23</v>
      </c>
      <c r="KF3" s="230">
        <v>-3.4375</v>
      </c>
      <c r="KG3" s="230">
        <v>7.26</v>
      </c>
      <c r="KH3" s="393">
        <v>6.875</v>
      </c>
      <c r="KI3" s="414"/>
      <c r="KJ3" s="414"/>
      <c r="KK3" s="388">
        <f t="array" ref="KK3">MAX(IF(ISNA(KM10:KM101),,KM10:KM101))</f>
        <v>4.8999999999999986</v>
      </c>
      <c r="KL3" s="370" t="e">
        <f>MATCH(KK$1,Tbl_Ballasts[Ballast],0)</f>
        <v>#N/A</v>
      </c>
      <c r="KM3" s="392" t="s">
        <v>323</v>
      </c>
      <c r="KN3" s="230">
        <v>4.9000000000000004</v>
      </c>
      <c r="KO3" s="230">
        <v>73.23</v>
      </c>
      <c r="KP3" s="230">
        <v>-10.3125</v>
      </c>
      <c r="KQ3" s="230">
        <v>7.26</v>
      </c>
      <c r="KR3" s="393">
        <v>6.875</v>
      </c>
      <c r="KS3" s="414"/>
      <c r="KT3" s="414"/>
      <c r="KU3" s="388">
        <f t="array" ref="KU3">MAX(IF(ISNA(KW10:KW101),,KW10:KW101))</f>
        <v>4.0000000000000018</v>
      </c>
      <c r="KV3" s="370" t="e">
        <f>MATCH(KU$1,Tbl_Ballasts[Ballast],0)</f>
        <v>#N/A</v>
      </c>
      <c r="KW3" s="392" t="s">
        <v>323</v>
      </c>
      <c r="KX3" s="230">
        <f>M_depth</f>
        <v>4</v>
      </c>
      <c r="KY3" s="230">
        <v>57.5</v>
      </c>
      <c r="KZ3" s="230">
        <v>0</v>
      </c>
      <c r="LA3" s="230">
        <v>5</v>
      </c>
      <c r="LB3" s="393">
        <v>5</v>
      </c>
      <c r="LC3" s="414"/>
    </row>
    <row r="4" spans="1:315" x14ac:dyDescent="0.25">
      <c r="B4" s="55"/>
      <c r="C4" s="55"/>
      <c r="E4" s="471"/>
      <c r="F4" s="471"/>
      <c r="G4" s="471"/>
      <c r="H4" s="480"/>
      <c r="I4" s="480"/>
      <c r="J4" s="480"/>
      <c r="K4" s="480"/>
      <c r="L4" s="480"/>
      <c r="M4" s="480"/>
      <c r="N4" s="480"/>
      <c r="O4" s="480"/>
      <c r="P4" s="480"/>
      <c r="Q4" s="480"/>
      <c r="R4" s="480"/>
      <c r="S4" s="480"/>
      <c r="T4" s="480"/>
      <c r="U4" s="480"/>
      <c r="V4" s="480"/>
      <c r="W4" s="480"/>
      <c r="X4" s="480"/>
      <c r="AA4" s="430">
        <f ca="1">(AC$6-AC$4)/(AC$6-AC$5)*AA$5+(AC$4-AC$5)/(AC$6-AC$5)*AA$6</f>
        <v>0</v>
      </c>
      <c r="AB4" s="371" t="s">
        <v>23</v>
      </c>
      <c r="AC4" s="372">
        <f>INDEX(Tbl_Ballasts[Recap Entry],AB$3)</f>
        <v>0</v>
      </c>
      <c r="AD4" s="373">
        <f ca="1">(AC$6-AC$4)/(AC$6-AC$5)*AD$5+(AC$4-AC$5)/(AC$6-AC$5)*AD$6</f>
        <v>0</v>
      </c>
      <c r="AE4" s="373">
        <f ca="1">(AC$6-AC$4)/(AC$6-AC$5)*AE$5+(AC$4-AC$5)/(AC$6-AC$5)*AE$6</f>
        <v>5</v>
      </c>
      <c r="AF4" s="373">
        <f ca="1">(AC$6-AC$4)/(AC$6-AC$5)*AF$5+(AC$4-AC$5)/(AC$6-AC$5)*AF$6</f>
        <v>0</v>
      </c>
      <c r="AG4" s="373">
        <f ca="1">(AC$6-AC$4)/(AC$6-AC$5)*AG$5+(AC$4-AC$5)/(AC$6-AC$5)*AG$6</f>
        <v>0</v>
      </c>
      <c r="AH4" s="374">
        <f ca="1">(AC$6-AC$4)/(AC$6-AC$5)*AH$5+(AC$4-AC$5)/(AC$6-AC$5)*AH$6</f>
        <v>0</v>
      </c>
      <c r="AI4" s="354"/>
      <c r="AJ4" s="354"/>
      <c r="AK4" s="430">
        <f ca="1">(AM$6-AM$4)/(AM$6-AM$5)*AK$5+(AM$4-AM$5)/(AM$6-AM$5)*AK$6</f>
        <v>10</v>
      </c>
      <c r="AL4" s="371" t="s">
        <v>23</v>
      </c>
      <c r="AM4" s="372">
        <f>INDEX(Tbl_Ballasts[Recap Entry],AL$3)</f>
        <v>0</v>
      </c>
      <c r="AN4" s="373">
        <f ca="1">(AM$6-AM$4)/(AM$6-AM$5)*AN$5+(AM$4-AM$5)/(AM$6-AM$5)*AN$6</f>
        <v>0</v>
      </c>
      <c r="AO4" s="373">
        <f ca="1">(AM$6-AM$4)/(AM$6-AM$5)*AO$5+(AM$4-AM$5)/(AM$6-AM$5)*AO$6</f>
        <v>10</v>
      </c>
      <c r="AP4" s="373">
        <f ca="1">(AM$6-AM$4)/(AM$6-AM$5)*AP$5+(AM$4-AM$5)/(AM$6-AM$5)*AP$6</f>
        <v>7.5</v>
      </c>
      <c r="AQ4" s="373">
        <f ca="1">(AM$6-AM$4)/(AM$6-AM$5)*AQ$5+(AM$4-AM$5)/(AM$6-AM$5)*AQ$6</f>
        <v>0</v>
      </c>
      <c r="AR4" s="374">
        <f ca="1">(AM$6-AM$4)/(AM$6-AM$5)*AR$5+(AM$4-AM$5)/(AM$6-AM$5)*AR$6</f>
        <v>0</v>
      </c>
      <c r="AS4" s="412"/>
      <c r="AT4" s="412"/>
      <c r="AU4" s="430">
        <f ca="1">(AW$6-AW$4)/(AW$6-AW$5)*AU$5+(AW$4-AW$5)/(AW$6-AW$5)*AU$6</f>
        <v>10</v>
      </c>
      <c r="AV4" s="371" t="s">
        <v>23</v>
      </c>
      <c r="AW4" s="372">
        <f>INDEX(Tbl_Ballasts[Recap Entry],AV$3)</f>
        <v>0</v>
      </c>
      <c r="AX4" s="373">
        <f ca="1">(AW$6-AW$4)/(AW$6-AW$5)*AX$5+(AW$4-AW$5)/(AW$6-AW$5)*AX$6</f>
        <v>0</v>
      </c>
      <c r="AY4" s="373">
        <f ca="1">(AW$6-AW$4)/(AW$6-AW$5)*AY$5+(AW$4-AW$5)/(AW$6-AW$5)*AY$6</f>
        <v>10</v>
      </c>
      <c r="AZ4" s="373">
        <f ca="1">(AW$6-AW$4)/(AW$6-AW$5)*AZ$5+(AW$4-AW$5)/(AW$6-AW$5)*AZ$6</f>
        <v>2.5</v>
      </c>
      <c r="BA4" s="373">
        <f ca="1">(AW$6-AW$4)/(AW$6-AW$5)*BA$5+(AW$4-AW$5)/(AW$6-AW$5)*BA$6</f>
        <v>0</v>
      </c>
      <c r="BB4" s="374">
        <f ca="1">(AW$6-AW$4)/(AW$6-AW$5)*BB$5+(AW$4-AW$5)/(AW$6-AW$5)*BB$6</f>
        <v>0</v>
      </c>
      <c r="BC4" s="355"/>
      <c r="BD4" s="414"/>
      <c r="BE4" s="430">
        <f ca="1">(BG$6-BG$4)/(BG$6-BG$5)*BE$5+(BG$4-BG$5)/(BG$6-BG$5)*BE$6</f>
        <v>10</v>
      </c>
      <c r="BF4" s="371" t="s">
        <v>23</v>
      </c>
      <c r="BG4" s="372">
        <f>INDEX(Tbl_Ballasts[Recap Entry],BF$3)</f>
        <v>0</v>
      </c>
      <c r="BH4" s="373">
        <f ca="1">(BG$6-BG$4)/(BG$6-BG$5)*BH$5+(BG$4-BG$5)/(BG$6-BG$5)*BH$6</f>
        <v>0</v>
      </c>
      <c r="BI4" s="373">
        <f ca="1">(BG$6-BG$4)/(BG$6-BG$5)*BI$5+(BG$4-BG$5)/(BG$6-BG$5)*BI$6</f>
        <v>10</v>
      </c>
      <c r="BJ4" s="373">
        <f ca="1">(BG$6-BG$4)/(BG$6-BG$5)*BJ$5+(BG$4-BG$5)/(BG$6-BG$5)*BJ$6</f>
        <v>-2.5</v>
      </c>
      <c r="BK4" s="373">
        <f ca="1">(BG$6-BG$4)/(BG$6-BG$5)*BK$5+(BG$4-BG$5)/(BG$6-BG$5)*BK$6</f>
        <v>0</v>
      </c>
      <c r="BL4" s="374">
        <f ca="1">(BG$6-BG$4)/(BG$6-BG$5)*BL$5+(BG$4-BG$5)/(BG$6-BG$5)*BL$6</f>
        <v>0</v>
      </c>
      <c r="BM4" s="416"/>
      <c r="BN4" s="414"/>
      <c r="BO4" s="430">
        <f ca="1">(BQ$6-BQ$4)/(BQ$6-BQ$5)*BO$5+(BQ$4-BQ$5)/(BQ$6-BQ$5)*BO$6</f>
        <v>10</v>
      </c>
      <c r="BP4" s="371" t="s">
        <v>23</v>
      </c>
      <c r="BQ4" s="372">
        <f>INDEX(Tbl_Ballasts[Recap Entry],BP$3)</f>
        <v>0</v>
      </c>
      <c r="BR4" s="373">
        <f ca="1">(BQ$6-BQ$4)/(BQ$6-BQ$5)*BR$5+(BQ$4-BQ$5)/(BQ$6-BQ$5)*BR$6</f>
        <v>0</v>
      </c>
      <c r="BS4" s="373">
        <f ca="1">(BQ$6-BQ$4)/(BQ$6-BQ$5)*BS$5+(BQ$4-BQ$5)/(BQ$6-BQ$5)*BS$6</f>
        <v>10</v>
      </c>
      <c r="BT4" s="373">
        <f ca="1">(BQ$6-BQ$4)/(BQ$6-BQ$5)*BT$5+(BQ$4-BQ$5)/(BQ$6-BQ$5)*BT$6</f>
        <v>-7.5</v>
      </c>
      <c r="BU4" s="373">
        <f ca="1">(BQ$6-BQ$4)/(BQ$6-BQ$5)*BU$5+(BQ$4-BQ$5)/(BQ$6-BQ$5)*BU$6</f>
        <v>0</v>
      </c>
      <c r="BV4" s="374">
        <f ca="1">(BQ$6-BQ$4)/(BQ$6-BQ$5)*BV$5+(BQ$4-BQ$5)/(BQ$6-BQ$5)*BV$6</f>
        <v>0</v>
      </c>
      <c r="BW4" s="414"/>
      <c r="BX4" s="414"/>
      <c r="BY4" s="430">
        <f ca="1">(CA$6-CA$4)/(CA$6-CA$5)*BY$5+(CA$4-CA$5)/(CA$6-CA$5)*BY$6</f>
        <v>10</v>
      </c>
      <c r="BZ4" s="371" t="s">
        <v>23</v>
      </c>
      <c r="CA4" s="372">
        <f>INDEX(Tbl_Ballasts[Recap Entry],BZ$3)</f>
        <v>0</v>
      </c>
      <c r="CB4" s="373">
        <f ca="1">(CA$6-CA$4)/(CA$6-CA$5)*CB$5+(CA$4-CA$5)/(CA$6-CA$5)*CB$6</f>
        <v>0</v>
      </c>
      <c r="CC4" s="373">
        <f ca="1">(CA$6-CA$4)/(CA$6-CA$5)*CC$5+(CA$4-CA$5)/(CA$6-CA$5)*CC$6</f>
        <v>20</v>
      </c>
      <c r="CD4" s="373">
        <f ca="1">(CA$6-CA$4)/(CA$6-CA$5)*CD$5+(CA$4-CA$5)/(CA$6-CA$5)*CD$6</f>
        <v>7.5</v>
      </c>
      <c r="CE4" s="373">
        <f ca="1">(CA$6-CA$4)/(CA$6-CA$5)*CE$5+(CA$4-CA$5)/(CA$6-CA$5)*CE$6</f>
        <v>0</v>
      </c>
      <c r="CF4" s="374">
        <f ca="1">(CA$6-CA$4)/(CA$6-CA$5)*CF$5+(CA$4-CA$5)/(CA$6-CA$5)*CF$6</f>
        <v>0</v>
      </c>
      <c r="CG4" s="414"/>
      <c r="CH4" s="414"/>
      <c r="CI4" s="430">
        <f ca="1">(CK$6-CK$4)/(CK$6-CK$5)*CI$5+(CK$4-CK$5)/(CK$6-CK$5)*CI$6</f>
        <v>10</v>
      </c>
      <c r="CJ4" s="371" t="s">
        <v>23</v>
      </c>
      <c r="CK4" s="372">
        <f>INDEX(Tbl_Ballasts[Recap Entry],CJ$3)</f>
        <v>0</v>
      </c>
      <c r="CL4" s="373">
        <f ca="1">(CK$6-CK$4)/(CK$6-CK$5)*CL$5+(CK$4-CK$5)/(CK$6-CK$5)*CL$6</f>
        <v>0</v>
      </c>
      <c r="CM4" s="373">
        <f ca="1">(CK$6-CK$4)/(CK$6-CK$5)*CM$5+(CK$4-CK$5)/(CK$6-CK$5)*CM$6</f>
        <v>20</v>
      </c>
      <c r="CN4" s="373">
        <f ca="1">(CK$6-CK$4)/(CK$6-CK$5)*CN$5+(CK$4-CK$5)/(CK$6-CK$5)*CN$6</f>
        <v>2.5</v>
      </c>
      <c r="CO4" s="373">
        <f ca="1">(CK$6-CK$4)/(CK$6-CK$5)*CO$5+(CK$4-CK$5)/(CK$6-CK$5)*CO$6</f>
        <v>0</v>
      </c>
      <c r="CP4" s="374">
        <f ca="1">(CK$6-CK$4)/(CK$6-CK$5)*CP$5+(CK$4-CK$5)/(CK$6-CK$5)*CP$6</f>
        <v>0</v>
      </c>
      <c r="CQ4" s="414"/>
      <c r="CR4" s="417"/>
      <c r="CS4" s="430">
        <f ca="1">(CU$6-CU$4)/(CU$6-CU$5)*CS$5+(CU$4-CU$5)/(CU$6-CU$5)*CS$6</f>
        <v>10</v>
      </c>
      <c r="CT4" s="371" t="s">
        <v>23</v>
      </c>
      <c r="CU4" s="372">
        <f>INDEX(Tbl_Ballasts[Recap Entry],CT$3)</f>
        <v>0</v>
      </c>
      <c r="CV4" s="373">
        <f ca="1">(CU$6-CU$4)/(CU$6-CU$5)*CV$5+(CU$4-CU$5)/(CU$6-CU$5)*CV$6</f>
        <v>0</v>
      </c>
      <c r="CW4" s="373">
        <f ca="1">(CU$6-CU$4)/(CU$6-CU$5)*CW$5+(CU$4-CU$5)/(CU$6-CU$5)*CW$6</f>
        <v>20</v>
      </c>
      <c r="CX4" s="373">
        <f ca="1">(CU$6-CU$4)/(CU$6-CU$5)*CX$5+(CU$4-CU$5)/(CU$6-CU$5)*CX$6</f>
        <v>-2.5</v>
      </c>
      <c r="CY4" s="373">
        <f ca="1">(CU$6-CU$4)/(CU$6-CU$5)*CY$5+(CU$4-CU$5)/(CU$6-CU$5)*CY$6</f>
        <v>0</v>
      </c>
      <c r="CZ4" s="374">
        <f ca="1">(CU$6-CU$4)/(CU$6-CU$5)*CZ$5+(CU$4-CU$5)/(CU$6-CU$5)*CZ$6</f>
        <v>0</v>
      </c>
      <c r="DA4" s="414"/>
      <c r="DB4" s="414"/>
      <c r="DC4" s="430">
        <f ca="1">(DE$6-DE$4)/(DE$6-DE$5)*DC$5+(DE$4-DE$5)/(DE$6-DE$5)*DC$6</f>
        <v>10</v>
      </c>
      <c r="DD4" s="371" t="s">
        <v>23</v>
      </c>
      <c r="DE4" s="372">
        <f>INDEX(Tbl_Ballasts[Recap Entry],DD$3)</f>
        <v>0</v>
      </c>
      <c r="DF4" s="373">
        <f ca="1">(DE$6-DE$4)/(DE$6-DE$5)*DF$5+(DE$4-DE$5)/(DE$6-DE$5)*DF$6</f>
        <v>0</v>
      </c>
      <c r="DG4" s="373">
        <f ca="1">(DE$6-DE$4)/(DE$6-DE$5)*DG$5+(DE$4-DE$5)/(DE$6-DE$5)*DG$6</f>
        <v>20</v>
      </c>
      <c r="DH4" s="373">
        <f ca="1">(DE$6-DE$4)/(DE$6-DE$5)*DH$5+(DE$4-DE$5)/(DE$6-DE$5)*DH$6</f>
        <v>-7.5</v>
      </c>
      <c r="DI4" s="373">
        <f ca="1">(DE$6-DE$4)/(DE$6-DE$5)*DI$5+(DE$4-DE$5)/(DE$6-DE$5)*DI$6</f>
        <v>0</v>
      </c>
      <c r="DJ4" s="374">
        <f ca="1">(DE$6-DE$4)/(DE$6-DE$5)*DJ$5+(DE$4-DE$5)/(DE$6-DE$5)*DJ$6</f>
        <v>0</v>
      </c>
      <c r="DK4" s="414"/>
      <c r="DL4" s="417"/>
      <c r="DM4" s="430">
        <f ca="1">(DO$6-DO$4)/(DO$6-DO$5)*DM$5+(DO$4-DO$5)/(DO$6-DO$5)*DM$6</f>
        <v>10</v>
      </c>
      <c r="DN4" s="371" t="s">
        <v>23</v>
      </c>
      <c r="DO4" s="372">
        <f>INDEX(Tbl_Ballasts[Recap Entry],DN$3)</f>
        <v>0</v>
      </c>
      <c r="DP4" s="373">
        <f ca="1">(DO$6-DO$4)/(DO$6-DO$5)*DP$5+(DO$4-DO$5)/(DO$6-DO$5)*DP$6</f>
        <v>0</v>
      </c>
      <c r="DQ4" s="373">
        <f ca="1">(DO$6-DO$4)/(DO$6-DO$5)*DQ$5+(DO$4-DO$5)/(DO$6-DO$5)*DQ$6</f>
        <v>30</v>
      </c>
      <c r="DR4" s="373">
        <f ca="1">(DO$6-DO$4)/(DO$6-DO$5)*DR$5+(DO$4-DO$5)/(DO$6-DO$5)*DR$6</f>
        <v>7.5</v>
      </c>
      <c r="DS4" s="373">
        <f ca="1">(DO$6-DO$4)/(DO$6-DO$5)*DS$5+(DO$4-DO$5)/(DO$6-DO$5)*DS$6</f>
        <v>0</v>
      </c>
      <c r="DT4" s="374">
        <f ca="1">(DO$6-DO$4)/(DO$6-DO$5)*DT$5+(DO$4-DO$5)/(DO$6-DO$5)*DT$6</f>
        <v>0</v>
      </c>
      <c r="DU4" s="414"/>
      <c r="DV4" s="414"/>
      <c r="DW4" s="430">
        <f ca="1">(DY$6-DY$4)/(DY$6-DY$5)*DW$5+(DY$4-DY$5)/(DY$6-DY$5)*DW$6</f>
        <v>10</v>
      </c>
      <c r="DX4" s="371" t="s">
        <v>23</v>
      </c>
      <c r="DY4" s="372">
        <f>INDEX(Tbl_Ballasts[Recap Entry],DX$3)</f>
        <v>0</v>
      </c>
      <c r="DZ4" s="373">
        <f ca="1">(DY$6-DY$4)/(DY$6-DY$5)*DZ$5+(DY$4-DY$5)/(DY$6-DY$5)*DZ$6</f>
        <v>0</v>
      </c>
      <c r="EA4" s="373">
        <f ca="1">(DY$6-DY$4)/(DY$6-DY$5)*EA$5+(DY$4-DY$5)/(DY$6-DY$5)*EA$6</f>
        <v>30</v>
      </c>
      <c r="EB4" s="373">
        <f ca="1">(DY$6-DY$4)/(DY$6-DY$5)*EB$5+(DY$4-DY$5)/(DY$6-DY$5)*EB$6</f>
        <v>2.5</v>
      </c>
      <c r="EC4" s="373">
        <f ca="1">(DY$6-DY$4)/(DY$6-DY$5)*EC$5+(DY$4-DY$5)/(DY$6-DY$5)*EC$6</f>
        <v>0</v>
      </c>
      <c r="ED4" s="374">
        <f ca="1">(DY$6-DY$4)/(DY$6-DY$5)*ED$5+(DY$4-DY$5)/(DY$6-DY$5)*ED$6</f>
        <v>0</v>
      </c>
      <c r="EE4" s="422"/>
      <c r="EF4" s="414"/>
      <c r="EG4" s="430">
        <f ca="1">(EI$6-EI$4)/(EI$6-EI$5)*EG$5+(EI$4-EI$5)/(EI$6-EI$5)*EG$6</f>
        <v>10</v>
      </c>
      <c r="EH4" s="371" t="s">
        <v>23</v>
      </c>
      <c r="EI4" s="372">
        <f>INDEX(Tbl_Ballasts[Recap Entry],EH$3)</f>
        <v>0</v>
      </c>
      <c r="EJ4" s="373">
        <f ca="1">(EI$6-EI$4)/(EI$6-EI$5)*EJ$5+(EI$4-EI$5)/(EI$6-EI$5)*EJ$6</f>
        <v>0</v>
      </c>
      <c r="EK4" s="373">
        <f ca="1">(EI$6-EI$4)/(EI$6-EI$5)*EK$5+(EI$4-EI$5)/(EI$6-EI$5)*EK$6</f>
        <v>30</v>
      </c>
      <c r="EL4" s="373">
        <f ca="1">(EI$6-EI$4)/(EI$6-EI$5)*EL$5+(EI$4-EI$5)/(EI$6-EI$5)*EL$6</f>
        <v>-2.5</v>
      </c>
      <c r="EM4" s="373">
        <f ca="1">(EI$6-EI$4)/(EI$6-EI$5)*EM$5+(EI$4-EI$5)/(EI$6-EI$5)*EM$6</f>
        <v>0</v>
      </c>
      <c r="EN4" s="374">
        <f ca="1">(EI$6-EI$4)/(EI$6-EI$5)*EN$5+(EI$4-EI$5)/(EI$6-EI$5)*EN$6</f>
        <v>0</v>
      </c>
      <c r="EO4" s="355"/>
      <c r="EP4" s="355"/>
      <c r="EQ4" s="430">
        <f ca="1">(ES$6-ES$4)/(ES$6-ES$5)*EQ$5+(ES$4-ES$5)/(ES$6-ES$5)*EQ$6</f>
        <v>10</v>
      </c>
      <c r="ER4" s="371" t="s">
        <v>23</v>
      </c>
      <c r="ES4" s="372">
        <f>INDEX(Tbl_Ballasts[Recap Entry],ER$3)</f>
        <v>0</v>
      </c>
      <c r="ET4" s="373">
        <f ca="1">(ES$6-ES$4)/(ES$6-ES$5)*ET$5+(ES$4-ES$5)/(ES$6-ES$5)*ET$6</f>
        <v>0</v>
      </c>
      <c r="EU4" s="373">
        <f ca="1">(ES$6-ES$4)/(ES$6-ES$5)*EU$5+(ES$4-ES$5)/(ES$6-ES$5)*EU$6</f>
        <v>30</v>
      </c>
      <c r="EV4" s="373">
        <f ca="1">(ES$6-ES$4)/(ES$6-ES$5)*EV$5+(ES$4-ES$5)/(ES$6-ES$5)*EV$6</f>
        <v>-7.5</v>
      </c>
      <c r="EW4" s="373">
        <f ca="1">(ES$6-ES$4)/(ES$6-ES$5)*EW$5+(ES$4-ES$5)/(ES$6-ES$5)*EW$6</f>
        <v>0</v>
      </c>
      <c r="EX4" s="374">
        <f ca="1">(ES$6-ES$4)/(ES$6-ES$5)*EX$5+(ES$4-ES$5)/(ES$6-ES$5)*EX$6</f>
        <v>0</v>
      </c>
      <c r="EY4" s="414"/>
      <c r="EZ4" s="414"/>
      <c r="FA4" s="430">
        <f ca="1">(FC$6-FC$4)/(FC$6-FC$5)*FA$5+(FC$4-FC$5)/(FC$6-FC$5)*FA$6</f>
        <v>10</v>
      </c>
      <c r="FB4" s="371" t="s">
        <v>23</v>
      </c>
      <c r="FC4" s="372">
        <f>INDEX(Tbl_Ballasts[Recap Entry],FB$3)</f>
        <v>0</v>
      </c>
      <c r="FD4" s="373">
        <f ca="1">(FC$6-FC$4)/(FC$6-FC$5)*FD$5+(FC$4-FC$5)/(FC$6-FC$5)*FD$6</f>
        <v>0</v>
      </c>
      <c r="FE4" s="373">
        <f ca="1">(FC$6-FC$4)/(FC$6-FC$5)*FE$5+(FC$4-FC$5)/(FC$6-FC$5)*FE$6</f>
        <v>40</v>
      </c>
      <c r="FF4" s="373">
        <f ca="1">(FC$6-FC$4)/(FC$6-FC$5)*FF$5+(FC$4-FC$5)/(FC$6-FC$5)*FF$6</f>
        <v>7.5</v>
      </c>
      <c r="FG4" s="373">
        <f ca="1">(FC$6-FC$4)/(FC$6-FC$5)*FG$5+(FC$4-FC$5)/(FC$6-FC$5)*FG$6</f>
        <v>0</v>
      </c>
      <c r="FH4" s="374">
        <f ca="1">(FC$6-FC$4)/(FC$6-FC$5)*FH$5+(FC$4-FC$5)/(FC$6-FC$5)*FH$6</f>
        <v>0</v>
      </c>
      <c r="FI4" s="414"/>
      <c r="FJ4" s="414"/>
      <c r="FK4" s="430">
        <f ca="1">(FM$6-FM$4)/(FM$6-FM$5)*FK$5+(FM$4-FM$5)/(FM$6-FM$5)*FK$6</f>
        <v>10</v>
      </c>
      <c r="FL4" s="371" t="s">
        <v>23</v>
      </c>
      <c r="FM4" s="372">
        <f>INDEX(Tbl_Ballasts[Recap Entry],FL$3)</f>
        <v>0</v>
      </c>
      <c r="FN4" s="373">
        <f ca="1">(FM$6-FM$4)/(FM$6-FM$5)*FN$5+(FM$4-FM$5)/(FM$6-FM$5)*FN$6</f>
        <v>0</v>
      </c>
      <c r="FO4" s="373">
        <f ca="1">(FM$6-FM$4)/(FM$6-FM$5)*FO$5+(FM$4-FM$5)/(FM$6-FM$5)*FO$6</f>
        <v>40</v>
      </c>
      <c r="FP4" s="373">
        <f ca="1">(FM$6-FM$4)/(FM$6-FM$5)*FP$5+(FM$4-FM$5)/(FM$6-FM$5)*FP$6</f>
        <v>2.5</v>
      </c>
      <c r="FQ4" s="373">
        <f ca="1">(FM$6-FM$4)/(FM$6-FM$5)*FQ$5+(FM$4-FM$5)/(FM$6-FM$5)*FQ$6</f>
        <v>0</v>
      </c>
      <c r="FR4" s="374">
        <f ca="1">(FM$6-FM$4)/(FM$6-FM$5)*FR$5+(FM$4-FM$5)/(FM$6-FM$5)*FR$6</f>
        <v>0</v>
      </c>
      <c r="FS4" s="414"/>
      <c r="FT4" s="414"/>
      <c r="FU4" s="430">
        <f ca="1">(FW$6-FW$4)/(FW$6-FW$5)*FU$5+(FW$4-FW$5)/(FW$6-FW$5)*FU$6</f>
        <v>10</v>
      </c>
      <c r="FV4" s="371" t="s">
        <v>23</v>
      </c>
      <c r="FW4" s="372">
        <f>INDEX(Tbl_Ballasts[Recap Entry],FV$3)</f>
        <v>0</v>
      </c>
      <c r="FX4" s="373">
        <f ca="1">(FW$6-FW$4)/(FW$6-FW$5)*FX$5+(FW$4-FW$5)/(FW$6-FW$5)*FX$6</f>
        <v>0</v>
      </c>
      <c r="FY4" s="373">
        <f ca="1">(FW$6-FW$4)/(FW$6-FW$5)*FY$5+(FW$4-FW$5)/(FW$6-FW$5)*FY$6</f>
        <v>40</v>
      </c>
      <c r="FZ4" s="373">
        <f ca="1">(FW$6-FW$4)/(FW$6-FW$5)*FZ$5+(FW$4-FW$5)/(FW$6-FW$5)*FZ$6</f>
        <v>-2.5</v>
      </c>
      <c r="GA4" s="373">
        <f ca="1">(FW$6-FW$4)/(FW$6-FW$5)*GA$5+(FW$4-FW$5)/(FW$6-FW$5)*GA$6</f>
        <v>0</v>
      </c>
      <c r="GB4" s="374">
        <f ca="1">(FW$6-FW$4)/(FW$6-FW$5)*GB$5+(FW$4-FW$5)/(FW$6-FW$5)*GB$6</f>
        <v>0</v>
      </c>
      <c r="GC4" s="414"/>
      <c r="GD4" s="414"/>
      <c r="GE4" s="430">
        <f ca="1">(GG$6-GG$4)/(GG$6-GG$5)*GE$5+(GG$4-GG$5)/(GG$6-GG$5)*GE$6</f>
        <v>10</v>
      </c>
      <c r="GF4" s="371" t="s">
        <v>23</v>
      </c>
      <c r="GG4" s="372">
        <f>INDEX(Tbl_Ballasts[Recap Entry],GF$3)</f>
        <v>0</v>
      </c>
      <c r="GH4" s="373">
        <f ca="1">(GG$6-GG$4)/(GG$6-GG$5)*GH$5+(GG$4-GG$5)/(GG$6-GG$5)*GH$6</f>
        <v>0</v>
      </c>
      <c r="GI4" s="373">
        <f ca="1">(GG$6-GG$4)/(GG$6-GG$5)*GI$5+(GG$4-GG$5)/(GG$6-GG$5)*GI$6</f>
        <v>40</v>
      </c>
      <c r="GJ4" s="373">
        <f ca="1">(GG$6-GG$4)/(GG$6-GG$5)*GJ$5+(GG$4-GG$5)/(GG$6-GG$5)*GJ$6</f>
        <v>-7.5</v>
      </c>
      <c r="GK4" s="373">
        <f ca="1">(GG$6-GG$4)/(GG$6-GG$5)*GK$5+(GG$4-GG$5)/(GG$6-GG$5)*GK$6</f>
        <v>0</v>
      </c>
      <c r="GL4" s="374">
        <f ca="1">(GG$6-GG$4)/(GG$6-GG$5)*GL$5+(GG$4-GG$5)/(GG$6-GG$5)*GL$6</f>
        <v>0</v>
      </c>
      <c r="GM4" s="414"/>
      <c r="GN4" s="414"/>
      <c r="GO4" s="430">
        <f ca="1">(GQ$6-GQ$4)/(GQ$6-GQ$5)*GO$5+(GQ$4-GQ$5)/(GQ$6-GQ$5)*GO$6</f>
        <v>10</v>
      </c>
      <c r="GP4" s="371" t="s">
        <v>23</v>
      </c>
      <c r="GQ4" s="372">
        <f>INDEX(Tbl_Ballasts[Recap Entry],GP$3)</f>
        <v>0</v>
      </c>
      <c r="GR4" s="373">
        <f ca="1">(GQ$6-GQ$4)/(GQ$6-GQ$5)*GR$5+(GQ$4-GQ$5)/(GQ$6-GQ$5)*GR$6</f>
        <v>0</v>
      </c>
      <c r="GS4" s="373">
        <f ca="1">(GQ$6-GQ$4)/(GQ$6-GQ$5)*GS$5+(GQ$4-GQ$5)/(GQ$6-GQ$5)*GS$6</f>
        <v>50</v>
      </c>
      <c r="GT4" s="373">
        <f ca="1">(GQ$6-GQ$4)/(GQ$6-GQ$5)*GT$5+(GQ$4-GQ$5)/(GQ$6-GQ$5)*GT$6</f>
        <v>7.5</v>
      </c>
      <c r="GU4" s="373">
        <f ca="1">(GQ$6-GQ$4)/(GQ$6-GQ$5)*GU$5+(GQ$4-GQ$5)/(GQ$6-GQ$5)*GU$6</f>
        <v>0</v>
      </c>
      <c r="GV4" s="374">
        <f ca="1">(GQ$6-GQ$4)/(GQ$6-GQ$5)*GV$5+(GQ$4-GQ$5)/(GQ$6-GQ$5)*GV$6</f>
        <v>0</v>
      </c>
      <c r="GW4" s="414"/>
      <c r="GX4" s="414"/>
      <c r="GY4" s="430">
        <f ca="1">(HA$6-HA$4)/(HA$6-HA$5)*GY$5+(HA$4-HA$5)/(HA$6-HA$5)*GY$6</f>
        <v>10</v>
      </c>
      <c r="GZ4" s="371" t="s">
        <v>23</v>
      </c>
      <c r="HA4" s="372">
        <f>INDEX(Tbl_Ballasts[Recap Entry],GZ$3)</f>
        <v>0</v>
      </c>
      <c r="HB4" s="373">
        <f ca="1">(HA$6-HA$4)/(HA$6-HA$5)*HB$5+(HA$4-HA$5)/(HA$6-HA$5)*HB$6</f>
        <v>0</v>
      </c>
      <c r="HC4" s="373">
        <f ca="1">(HA$6-HA$4)/(HA$6-HA$5)*HC$5+(HA$4-HA$5)/(HA$6-HA$5)*HC$6</f>
        <v>50</v>
      </c>
      <c r="HD4" s="373">
        <f ca="1">(HA$6-HA$4)/(HA$6-HA$5)*HD$5+(HA$4-HA$5)/(HA$6-HA$5)*HD$6</f>
        <v>2.5</v>
      </c>
      <c r="HE4" s="373">
        <f ca="1">(HA$6-HA$4)/(HA$6-HA$5)*HE$5+(HA$4-HA$5)/(HA$6-HA$5)*HE$6</f>
        <v>0</v>
      </c>
      <c r="HF4" s="374">
        <f ca="1">(HA$6-HA$4)/(HA$6-HA$5)*HF$5+(HA$4-HA$5)/(HA$6-HA$5)*HF$6</f>
        <v>0</v>
      </c>
      <c r="HG4" s="417"/>
      <c r="HH4" s="414"/>
      <c r="HI4" s="430">
        <f ca="1">(HK$6-HK$4)/(HK$6-HK$5)*HI$5+(HK$4-HK$5)/(HK$6-HK$5)*HI$6</f>
        <v>10</v>
      </c>
      <c r="HJ4" s="371" t="s">
        <v>23</v>
      </c>
      <c r="HK4" s="372">
        <f>INDEX(Tbl_Ballasts[Recap Entry],HJ$3)</f>
        <v>0</v>
      </c>
      <c r="HL4" s="373">
        <f ca="1">(HK$6-HK$4)/(HK$6-HK$5)*HL$5+(HK$4-HK$5)/(HK$6-HK$5)*HL$6</f>
        <v>0</v>
      </c>
      <c r="HM4" s="373">
        <f ca="1">(HK$6-HK$4)/(HK$6-HK$5)*HM$5+(HK$4-HK$5)/(HK$6-HK$5)*HM$6</f>
        <v>50</v>
      </c>
      <c r="HN4" s="373">
        <f ca="1">(HK$6-HK$4)/(HK$6-HK$5)*HN$5+(HK$4-HK$5)/(HK$6-HK$5)*HN$6</f>
        <v>-2.5</v>
      </c>
      <c r="HO4" s="373">
        <f ca="1">(HK$6-HK$4)/(HK$6-HK$5)*HO$5+(HK$4-HK$5)/(HK$6-HK$5)*HO$6</f>
        <v>0</v>
      </c>
      <c r="HP4" s="374">
        <f ca="1">(HK$6-HK$4)/(HK$6-HK$5)*HP$5+(HK$4-HK$5)/(HK$6-HK$5)*HP$6</f>
        <v>0</v>
      </c>
      <c r="HQ4" s="414"/>
      <c r="HR4" s="414"/>
      <c r="HS4" s="430">
        <f ca="1">(HU$6-HU$4)/(HU$6-HU$5)*HS$5+(HU$4-HU$5)/(HU$6-HU$5)*HS$6</f>
        <v>10</v>
      </c>
      <c r="HT4" s="371" t="s">
        <v>23</v>
      </c>
      <c r="HU4" s="372">
        <f>INDEX(Tbl_Ballasts[Recap Entry],HT$3)</f>
        <v>0</v>
      </c>
      <c r="HV4" s="373">
        <f ca="1">(HU$6-HU$4)/(HU$6-HU$5)*HV$5+(HU$4-HU$5)/(HU$6-HU$5)*HV$6</f>
        <v>0</v>
      </c>
      <c r="HW4" s="373">
        <f ca="1">(HU$6-HU$4)/(HU$6-HU$5)*HW$5+(HU$4-HU$5)/(HU$6-HU$5)*HW$6</f>
        <v>50</v>
      </c>
      <c r="HX4" s="373">
        <f ca="1">(HU$6-HU$4)/(HU$6-HU$5)*HX$5+(HU$4-HU$5)/(HU$6-HU$5)*HX$6</f>
        <v>-7.5</v>
      </c>
      <c r="HY4" s="373">
        <f ca="1">(HU$6-HU$4)/(HU$6-HU$5)*HY$5+(HU$4-HU$5)/(HU$6-HU$5)*HY$6</f>
        <v>0</v>
      </c>
      <c r="HZ4" s="374">
        <f ca="1">(HU$6-HU$4)/(HU$6-HU$5)*HZ$5+(HU$4-HU$5)/(HU$6-HU$5)*HZ$6</f>
        <v>0</v>
      </c>
      <c r="IA4" s="414"/>
      <c r="IB4" s="414"/>
      <c r="IC4" s="430">
        <f ca="1">(IE$6-IE$4)/(IE$6-IE$5)*IC$5+(IE$4-IE$5)/(IE$6-IE$5)*IC$6</f>
        <v>0</v>
      </c>
      <c r="ID4" s="371" t="s">
        <v>23</v>
      </c>
      <c r="IE4" s="372">
        <f>INDEX(Tbl_Ballasts[Recap Entry],ID$3)</f>
        <v>0</v>
      </c>
      <c r="IF4" s="373">
        <f ca="1">(IE$6-IE$4)/(IE$6-IE$5)*IF$5+(IE$4-IE$5)/(IE$6-IE$5)*IF$6</f>
        <v>0</v>
      </c>
      <c r="IG4" s="373">
        <f ca="1">(IE$6-IE$4)/(IE$6-IE$5)*IG$5+(IE$4-IE$5)/(IE$6-IE$5)*IG$6</f>
        <v>55</v>
      </c>
      <c r="IH4" s="373">
        <f ca="1">(IE$6-IE$4)/(IE$6-IE$5)*IH$5+(IE$4-IE$5)/(IE$6-IE$5)*IH$6</f>
        <v>0</v>
      </c>
      <c r="II4" s="373">
        <f ca="1">(IE$6-IE$4)/(IE$6-IE$5)*II$5+(IE$4-IE$5)/(IE$6-IE$5)*II$6</f>
        <v>0</v>
      </c>
      <c r="IJ4" s="374">
        <f ca="1">(IE$6-IE$4)/(IE$6-IE$5)*IJ$5+(IE$4-IE$5)/(IE$6-IE$5)*IJ$6</f>
        <v>0</v>
      </c>
      <c r="IK4" s="414"/>
      <c r="IL4" s="414"/>
      <c r="IM4" s="430" t="e">
        <f ca="1">(IO$6-IO$4)/(IO$6-IO$5)*IM$5+(IO$4-IO$5)/(IO$6-IO$5)*IM$6</f>
        <v>#N/A</v>
      </c>
      <c r="IN4" s="371" t="s">
        <v>23</v>
      </c>
      <c r="IO4" s="372" t="e">
        <f>INDEX(Tbl_Ballasts[Recap Entry],IN$3)</f>
        <v>#N/A</v>
      </c>
      <c r="IP4" s="373" t="e">
        <f ca="1">(IO$6-IO$4)/(IO$6-IO$5)*IP$5+(IO$4-IO$5)/(IO$6-IO$5)*IP$6</f>
        <v>#N/A</v>
      </c>
      <c r="IQ4" s="373" t="e">
        <f ca="1">(IO$6-IO$4)/(IO$6-IO$5)*IQ$5+(IO$4-IO$5)/(IO$6-IO$5)*IQ$6</f>
        <v>#N/A</v>
      </c>
      <c r="IR4" s="373" t="e">
        <f ca="1">(IO$6-IO$4)/(IO$6-IO$5)*IR$5+(IO$4-IO$5)/(IO$6-IO$5)*IR$6</f>
        <v>#N/A</v>
      </c>
      <c r="IS4" s="373" t="e">
        <f ca="1">(IO$6-IO$4)/(IO$6-IO$5)*IS$5+(IO$4-IO$5)/(IO$6-IO$5)*IS$6</f>
        <v>#N/A</v>
      </c>
      <c r="IT4" s="374" t="e">
        <f ca="1">(IO$6-IO$4)/(IO$6-IO$5)*IT$5+(IO$4-IO$5)/(IO$6-IO$5)*IT$6</f>
        <v>#N/A</v>
      </c>
      <c r="IU4" s="414"/>
      <c r="IV4" s="414"/>
      <c r="IW4" s="430" t="e">
        <f ca="1">(IY$6-IY$4)/(IY$6-IY$5)*IW$5+(IY$4-IY$5)/(IY$6-IY$5)*IW$6</f>
        <v>#N/A</v>
      </c>
      <c r="IX4" s="371" t="s">
        <v>23</v>
      </c>
      <c r="IY4" s="372" t="e">
        <f>INDEX(Tbl_Ballasts[Recap Entry],IX$3)</f>
        <v>#N/A</v>
      </c>
      <c r="IZ4" s="373" t="e">
        <f ca="1">(IY$6-IY$4)/(IY$6-IY$5)*IZ$5+(IY$4-IY$5)/(IY$6-IY$5)*IZ$6</f>
        <v>#N/A</v>
      </c>
      <c r="JA4" s="373" t="e">
        <f ca="1">(IY$6-IY$4)/(IY$6-IY$5)*JA$5+(IY$4-IY$5)/(IY$6-IY$5)*JA$6</f>
        <v>#N/A</v>
      </c>
      <c r="JB4" s="373" t="e">
        <f ca="1">(IY$6-IY$4)/(IY$6-IY$5)*JB$5+(IY$4-IY$5)/(IY$6-IY$5)*JB$6</f>
        <v>#N/A</v>
      </c>
      <c r="JC4" s="373" t="e">
        <f ca="1">(IY$6-IY$4)/(IY$6-IY$5)*JC$5+(IY$4-IY$5)/(IY$6-IY$5)*JC$6</f>
        <v>#N/A</v>
      </c>
      <c r="JD4" s="374" t="e">
        <f ca="1">(IY$6-IY$4)/(IY$6-IY$5)*JD$5+(IY$4-IY$5)/(IY$6-IY$5)*JD$6</f>
        <v>#N/A</v>
      </c>
      <c r="JE4" s="414"/>
      <c r="JF4" s="414"/>
      <c r="JG4" s="430" t="e">
        <f ca="1">(JI$6-JI$4)/(JI$6-JI$5)*JG$5+(JI$4-JI$5)/(JI$6-JI$5)*JG$6</f>
        <v>#N/A</v>
      </c>
      <c r="JH4" s="371" t="s">
        <v>23</v>
      </c>
      <c r="JI4" s="372" t="e">
        <f>INDEX(Tbl_Ballasts[Recap Entry],JH$3)</f>
        <v>#N/A</v>
      </c>
      <c r="JJ4" s="373" t="e">
        <f ca="1">(JI$6-JI$4)/(JI$6-JI$5)*JJ$5+(JI$4-JI$5)/(JI$6-JI$5)*JJ$6</f>
        <v>#N/A</v>
      </c>
      <c r="JK4" s="373" t="e">
        <f ca="1">(JI$6-JI$4)/(JI$6-JI$5)*JK$5+(JI$4-JI$5)/(JI$6-JI$5)*JK$6</f>
        <v>#N/A</v>
      </c>
      <c r="JL4" s="373" t="e">
        <f ca="1">(JI$6-JI$4)/(JI$6-JI$5)*JL$5+(JI$4-JI$5)/(JI$6-JI$5)*JL$6</f>
        <v>#N/A</v>
      </c>
      <c r="JM4" s="373" t="e">
        <f ca="1">(JI$6-JI$4)/(JI$6-JI$5)*JM$5+(JI$4-JI$5)/(JI$6-JI$5)*JM$6</f>
        <v>#N/A</v>
      </c>
      <c r="JN4" s="374" t="e">
        <f ca="1">(JI$6-JI$4)/(JI$6-JI$5)*JN$5+(JI$4-JI$5)/(JI$6-JI$5)*JN$6</f>
        <v>#N/A</v>
      </c>
      <c r="JO4" s="414"/>
      <c r="JP4" s="414"/>
      <c r="JQ4" s="430" t="e">
        <f ca="1">(JS$6-JS$4)/(JS$6-JS$5)*JQ$5+(JS$4-JS$5)/(JS$6-JS$5)*JQ$6</f>
        <v>#N/A</v>
      </c>
      <c r="JR4" s="371" t="s">
        <v>23</v>
      </c>
      <c r="JS4" s="372" t="e">
        <f>INDEX(Tbl_Ballasts[Recap Entry],JR$3)</f>
        <v>#N/A</v>
      </c>
      <c r="JT4" s="373" t="e">
        <f ca="1">(JS$6-JS$4)/(JS$6-JS$5)*JT$5+(JS$4-JS$5)/(JS$6-JS$5)*JT$6</f>
        <v>#N/A</v>
      </c>
      <c r="JU4" s="373" t="e">
        <f ca="1">(JS$6-JS$4)/(JS$6-JS$5)*JU$5+(JS$4-JS$5)/(JS$6-JS$5)*JU$6</f>
        <v>#N/A</v>
      </c>
      <c r="JV4" s="373" t="e">
        <f ca="1">(JS$6-JS$4)/(JS$6-JS$5)*JV$5+(JS$4-JS$5)/(JS$6-JS$5)*JV$6</f>
        <v>#N/A</v>
      </c>
      <c r="JW4" s="373" t="e">
        <f ca="1">(JS$6-JS$4)/(JS$6-JS$5)*JW$5+(JS$4-JS$5)/(JS$6-JS$5)*JW$6</f>
        <v>#N/A</v>
      </c>
      <c r="JX4" s="374" t="e">
        <f ca="1">(JS$6-JS$4)/(JS$6-JS$5)*JX$5+(JS$4-JS$5)/(JS$6-JS$5)*JX$6</f>
        <v>#N/A</v>
      </c>
      <c r="JY4" s="414"/>
      <c r="JZ4" s="414"/>
      <c r="KA4" s="430" t="e">
        <f ca="1">(KC$6-KC$4)/(KC$6-KC$5)*KA$5+(KC$4-KC$5)/(KC$6-KC$5)*KA$6</f>
        <v>#N/A</v>
      </c>
      <c r="KB4" s="371" t="s">
        <v>23</v>
      </c>
      <c r="KC4" s="372" t="e">
        <f>INDEX(Tbl_Ballasts[Recap Entry],KB$3)</f>
        <v>#N/A</v>
      </c>
      <c r="KD4" s="373" t="e">
        <f ca="1">(KC$6-KC$4)/(KC$6-KC$5)*KD$5+(KC$4-KC$5)/(KC$6-KC$5)*KD$6</f>
        <v>#N/A</v>
      </c>
      <c r="KE4" s="373" t="e">
        <f ca="1">(KC$6-KC$4)/(KC$6-KC$5)*KE$5+(KC$4-KC$5)/(KC$6-KC$5)*KE$6</f>
        <v>#N/A</v>
      </c>
      <c r="KF4" s="373" t="e">
        <f ca="1">(KC$6-KC$4)/(KC$6-KC$5)*KF$5+(KC$4-KC$5)/(KC$6-KC$5)*KF$6</f>
        <v>#N/A</v>
      </c>
      <c r="KG4" s="373" t="e">
        <f ca="1">(KC$6-KC$4)/(KC$6-KC$5)*KG$5+(KC$4-KC$5)/(KC$6-KC$5)*KG$6</f>
        <v>#N/A</v>
      </c>
      <c r="KH4" s="374" t="e">
        <f ca="1">(KC$6-KC$4)/(KC$6-KC$5)*KH$5+(KC$4-KC$5)/(KC$6-KC$5)*KH$6</f>
        <v>#N/A</v>
      </c>
      <c r="KI4" s="414"/>
      <c r="KJ4" s="414"/>
      <c r="KK4" s="430" t="e">
        <f ca="1">(KM$6-KM$4)/(KM$6-KM$5)*KK$5+(KM$4-KM$5)/(KM$6-KM$5)*KK$6</f>
        <v>#N/A</v>
      </c>
      <c r="KL4" s="371" t="s">
        <v>23</v>
      </c>
      <c r="KM4" s="372" t="e">
        <f>INDEX(Tbl_Ballasts[Recap Entry],KL$3)</f>
        <v>#N/A</v>
      </c>
      <c r="KN4" s="373" t="e">
        <f ca="1">(KM$6-KM$4)/(KM$6-KM$5)*KN$5+(KM$4-KM$5)/(KM$6-KM$5)*KN$6</f>
        <v>#N/A</v>
      </c>
      <c r="KO4" s="373" t="e">
        <f ca="1">(KM$6-KM$4)/(KM$6-KM$5)*KO$5+(KM$4-KM$5)/(KM$6-KM$5)*KO$6</f>
        <v>#N/A</v>
      </c>
      <c r="KP4" s="373" t="e">
        <f ca="1">(KM$6-KM$4)/(KM$6-KM$5)*KP$5+(KM$4-KM$5)/(KM$6-KM$5)*KP$6</f>
        <v>#N/A</v>
      </c>
      <c r="KQ4" s="373" t="e">
        <f ca="1">(KM$6-KM$4)/(KM$6-KM$5)*KQ$5+(KM$4-KM$5)/(KM$6-KM$5)*KQ$6</f>
        <v>#N/A</v>
      </c>
      <c r="KR4" s="374" t="e">
        <f ca="1">(KM$6-KM$4)/(KM$6-KM$5)*KR$5+(KM$4-KM$5)/(KM$6-KM$5)*KR$6</f>
        <v>#N/A</v>
      </c>
      <c r="KS4" s="414"/>
      <c r="KT4" s="414"/>
      <c r="KU4" s="430" t="e">
        <f ca="1">(KW$6-KW$4)/(KW$6-KW$5)*KU$5+(KW$4-KW$5)/(KW$6-KW$5)*KU$6</f>
        <v>#N/A</v>
      </c>
      <c r="KV4" s="371" t="s">
        <v>23</v>
      </c>
      <c r="KW4" s="372" t="e">
        <f>INDEX(Tbl_Ballasts[Recap Entry],KV$3)</f>
        <v>#N/A</v>
      </c>
      <c r="KX4" s="373" t="e">
        <f ca="1">(KW$6-KW$4)/(KW$6-KW$5)*KX$5+(KW$4-KW$5)/(KW$6-KW$5)*KX$6</f>
        <v>#N/A</v>
      </c>
      <c r="KY4" s="373" t="e">
        <f ca="1">(KW$6-KW$4)/(KW$6-KW$5)*KY$5+(KW$4-KW$5)/(KW$6-KW$5)*KY$6</f>
        <v>#N/A</v>
      </c>
      <c r="KZ4" s="373" t="e">
        <f ca="1">(KW$6-KW$4)/(KW$6-KW$5)*KZ$5+(KW$4-KW$5)/(KW$6-KW$5)*KZ$6</f>
        <v>#N/A</v>
      </c>
      <c r="LA4" s="373" t="e">
        <f ca="1">(KW$6-KW$4)/(KW$6-KW$5)*LA$5+(KW$4-KW$5)/(KW$6-KW$5)*LA$6</f>
        <v>#N/A</v>
      </c>
      <c r="LB4" s="374" t="e">
        <f ca="1">(KW$6-KW$4)/(KW$6-KW$5)*LB$5+(KW$4-KW$5)/(KW$6-KW$5)*LB$6</f>
        <v>#N/A</v>
      </c>
      <c r="LC4" s="414"/>
    </row>
    <row r="5" spans="1:315" x14ac:dyDescent="0.25">
      <c r="B5" s="458" t="s">
        <v>310</v>
      </c>
      <c r="C5" s="462">
        <v>1</v>
      </c>
      <c r="D5" s="466">
        <v>1</v>
      </c>
      <c r="E5" s="464"/>
      <c r="F5" s="459"/>
      <c r="G5" s="462"/>
      <c r="H5" s="462"/>
      <c r="I5" s="466">
        <v>3</v>
      </c>
      <c r="J5" s="466">
        <v>1</v>
      </c>
      <c r="K5" s="464">
        <v>3</v>
      </c>
      <c r="L5" s="459">
        <v>3</v>
      </c>
      <c r="M5" s="462">
        <v>3</v>
      </c>
      <c r="N5" s="466">
        <v>3</v>
      </c>
      <c r="O5" s="480"/>
      <c r="P5" s="480"/>
      <c r="Q5" s="480"/>
      <c r="R5" s="480"/>
      <c r="S5" s="480"/>
      <c r="T5" s="480"/>
      <c r="U5" s="480"/>
      <c r="V5" s="480"/>
      <c r="W5" s="480"/>
      <c r="X5" s="480"/>
      <c r="AA5" s="431">
        <f ca="1">INDEX(OFFSET(AA$10,,,Ballasts_Nline),AB5)</f>
        <v>0</v>
      </c>
      <c r="AB5" s="375">
        <f ca="1">MATCH(AC$4,OFFSET(AC$10,,,Ballasts_Nline),1)</f>
        <v>1</v>
      </c>
      <c r="AC5" s="376">
        <f ca="1">INDEX(OFFSET(AC$10,,,Ballasts_Nline),AB5)</f>
        <v>0</v>
      </c>
      <c r="AD5" s="377">
        <f ca="1">INDEX(OFFSET(AD$10,,,Ballasts_Nline),AB5)</f>
        <v>0</v>
      </c>
      <c r="AE5" s="377">
        <f ca="1">INDEX(OFFSET(AE$10,,,Ballasts_Nline),AB5)</f>
        <v>5</v>
      </c>
      <c r="AF5" s="377">
        <f ca="1">INDEX(OFFSET(AF$10,,,Ballasts_Nline),AB5)</f>
        <v>0</v>
      </c>
      <c r="AG5" s="377">
        <f ca="1">INDEX(OFFSET(AG$10,,,Ballasts_Nline),AB5)</f>
        <v>0</v>
      </c>
      <c r="AH5" s="378">
        <f ca="1">INDEX(OFFSET(AH$10,,,Ballasts_Nline),AB5)</f>
        <v>0</v>
      </c>
      <c r="AI5" s="366"/>
      <c r="AJ5" s="366"/>
      <c r="AK5" s="431">
        <f ca="1">INDEX(OFFSET(AK$10,,,Ballasts_Nline),AL5)</f>
        <v>10</v>
      </c>
      <c r="AL5" s="375">
        <f ca="1">MATCH(AM$4,OFFSET(AM$10,,,Ballasts_Nline),1)</f>
        <v>1</v>
      </c>
      <c r="AM5" s="376">
        <f ca="1">INDEX(OFFSET(AM$10,,,Ballasts_Nline),AL5)</f>
        <v>0</v>
      </c>
      <c r="AN5" s="377">
        <f ca="1">INDEX(OFFSET(AN$10,,,Ballasts_Nline),AL5)</f>
        <v>0</v>
      </c>
      <c r="AO5" s="377">
        <f ca="1">INDEX(OFFSET(AO$10,,,Ballasts_Nline),AL5)</f>
        <v>10</v>
      </c>
      <c r="AP5" s="377">
        <f ca="1">INDEX(OFFSET(AP$10,,,Ballasts_Nline),AL5)</f>
        <v>7.5</v>
      </c>
      <c r="AQ5" s="377">
        <f ca="1">INDEX(OFFSET(AQ$10,,,Ballasts_Nline),AL5)</f>
        <v>0</v>
      </c>
      <c r="AR5" s="378">
        <f ca="1">INDEX(OFFSET(AR$10,,,Ballasts_Nline),AL5)</f>
        <v>0</v>
      </c>
      <c r="AS5" s="366"/>
      <c r="AT5" s="366"/>
      <c r="AU5" s="431">
        <f ca="1">INDEX(OFFSET(AU$10,,,Ballasts_Nline),AV5)</f>
        <v>10</v>
      </c>
      <c r="AV5" s="375">
        <f ca="1">MATCH(AW$4,OFFSET(AW$10,,,Ballasts_Nline),1)</f>
        <v>1</v>
      </c>
      <c r="AW5" s="376">
        <f ca="1">INDEX(OFFSET(AW$10,,,Ballasts_Nline),AV5)</f>
        <v>0</v>
      </c>
      <c r="AX5" s="377">
        <f ca="1">INDEX(OFFSET(AX$10,,,Ballasts_Nline),AV5)</f>
        <v>0</v>
      </c>
      <c r="AY5" s="377">
        <f ca="1">INDEX(OFFSET(AY$10,,,Ballasts_Nline),AV5)</f>
        <v>10</v>
      </c>
      <c r="AZ5" s="377">
        <f ca="1">INDEX(OFFSET(AZ$10,,,Ballasts_Nline),AV5)</f>
        <v>2.5</v>
      </c>
      <c r="BA5" s="377">
        <f ca="1">INDEX(OFFSET(BA$10,,,Ballasts_Nline),AV5)</f>
        <v>0</v>
      </c>
      <c r="BB5" s="378">
        <f ca="1">INDEX(OFFSET(BB$10,,,Ballasts_Nline),AV5)</f>
        <v>0</v>
      </c>
      <c r="BC5" s="414"/>
      <c r="BD5" s="353"/>
      <c r="BE5" s="431">
        <f ca="1">INDEX(OFFSET(BE$10,,,Ballasts_Nline),BF5)</f>
        <v>10</v>
      </c>
      <c r="BF5" s="375">
        <f ca="1">MATCH(BG$4,OFFSET(BG$10,,,Ballasts_Nline),1)</f>
        <v>1</v>
      </c>
      <c r="BG5" s="376">
        <f ca="1">INDEX(OFFSET(BG$10,,,Ballasts_Nline),BF5)</f>
        <v>0</v>
      </c>
      <c r="BH5" s="377">
        <f ca="1">INDEX(OFFSET(BH$10,,,Ballasts_Nline),BF5)</f>
        <v>0</v>
      </c>
      <c r="BI5" s="377">
        <f ca="1">INDEX(OFFSET(BI$10,,,Ballasts_Nline),BF5)</f>
        <v>10</v>
      </c>
      <c r="BJ5" s="377">
        <f ca="1">INDEX(OFFSET(BJ$10,,,Ballasts_Nline),BF5)</f>
        <v>-2.5</v>
      </c>
      <c r="BK5" s="377">
        <f ca="1">INDEX(OFFSET(BK$10,,,Ballasts_Nline),BF5)</f>
        <v>0</v>
      </c>
      <c r="BL5" s="378">
        <f ca="1">INDEX(OFFSET(BL$10,,,Ballasts_Nline),BF5)</f>
        <v>0</v>
      </c>
      <c r="BM5" s="353"/>
      <c r="BN5" s="353"/>
      <c r="BO5" s="431">
        <f ca="1">INDEX(OFFSET(BO$10,,,Ballasts_Nline),BP5)</f>
        <v>10</v>
      </c>
      <c r="BP5" s="375">
        <f ca="1">MATCH(BQ$4,OFFSET(BQ$10,,,Ballasts_Nline),1)</f>
        <v>1</v>
      </c>
      <c r="BQ5" s="376">
        <f ca="1">INDEX(OFFSET(BQ$10,,,Ballasts_Nline),BP5)</f>
        <v>0</v>
      </c>
      <c r="BR5" s="377">
        <f ca="1">INDEX(OFFSET(BR$10,,,Ballasts_Nline),BP5)</f>
        <v>0</v>
      </c>
      <c r="BS5" s="377">
        <f ca="1">INDEX(OFFSET(BS$10,,,Ballasts_Nline),BP5)</f>
        <v>10</v>
      </c>
      <c r="BT5" s="377">
        <f ca="1">INDEX(OFFSET(BT$10,,,Ballasts_Nline),BP5)</f>
        <v>-7.5</v>
      </c>
      <c r="BU5" s="377">
        <f ca="1">INDEX(OFFSET(BU$10,,,Ballasts_Nline),BP5)</f>
        <v>0</v>
      </c>
      <c r="BV5" s="378">
        <f ca="1">INDEX(OFFSET(BV$10,,,Ballasts_Nline),BP5)</f>
        <v>0</v>
      </c>
      <c r="BW5" s="353"/>
      <c r="BX5" s="353"/>
      <c r="BY5" s="431">
        <f ca="1">INDEX(OFFSET(BY$10,,,Ballasts_Nline),BZ5)</f>
        <v>10</v>
      </c>
      <c r="BZ5" s="375">
        <f ca="1">MATCH(CA$4,OFFSET(CA$10,,,Ballasts_Nline),1)</f>
        <v>1</v>
      </c>
      <c r="CA5" s="376">
        <f ca="1">INDEX(OFFSET(CA$10,,,Ballasts_Nline),BZ5)</f>
        <v>0</v>
      </c>
      <c r="CB5" s="377">
        <f ca="1">INDEX(OFFSET(CB$10,,,Ballasts_Nline),BZ5)</f>
        <v>0</v>
      </c>
      <c r="CC5" s="377">
        <f ca="1">INDEX(OFFSET(CC$10,,,Ballasts_Nline),BZ5)</f>
        <v>20</v>
      </c>
      <c r="CD5" s="377">
        <f ca="1">INDEX(OFFSET(CD$10,,,Ballasts_Nline),BZ5)</f>
        <v>7.5</v>
      </c>
      <c r="CE5" s="377">
        <f ca="1">INDEX(OFFSET(CE$10,,,Ballasts_Nline),BZ5)</f>
        <v>0</v>
      </c>
      <c r="CF5" s="378">
        <f ca="1">INDEX(OFFSET(CF$10,,,Ballasts_Nline),BZ5)</f>
        <v>0</v>
      </c>
      <c r="CG5" s="353"/>
      <c r="CH5" s="353"/>
      <c r="CI5" s="431">
        <f ca="1">INDEX(OFFSET(CI$10,,,Ballasts_Nline),CJ5)</f>
        <v>10</v>
      </c>
      <c r="CJ5" s="375">
        <f ca="1">MATCH(CK$4,OFFSET(CK$10,,,Ballasts_Nline),1)</f>
        <v>1</v>
      </c>
      <c r="CK5" s="376">
        <f ca="1">INDEX(OFFSET(CK$10,,,Ballasts_Nline),CJ5)</f>
        <v>0</v>
      </c>
      <c r="CL5" s="377">
        <f ca="1">INDEX(OFFSET(CL$10,,,Ballasts_Nline),CJ5)</f>
        <v>0</v>
      </c>
      <c r="CM5" s="377">
        <f ca="1">INDEX(OFFSET(CM$10,,,Ballasts_Nline),CJ5)</f>
        <v>20</v>
      </c>
      <c r="CN5" s="377">
        <f ca="1">INDEX(OFFSET(CN$10,,,Ballasts_Nline),CJ5)</f>
        <v>2.5</v>
      </c>
      <c r="CO5" s="377">
        <f ca="1">INDEX(OFFSET(CO$10,,,Ballasts_Nline),CJ5)</f>
        <v>0</v>
      </c>
      <c r="CP5" s="378">
        <f ca="1">INDEX(OFFSET(CP$10,,,Ballasts_Nline),CJ5)</f>
        <v>0</v>
      </c>
      <c r="CQ5" s="353"/>
      <c r="CS5" s="431">
        <f ca="1">INDEX(OFFSET(CS$10,,,Ballasts_Nline),CT5)</f>
        <v>10</v>
      </c>
      <c r="CT5" s="375">
        <f ca="1">MATCH(CU$4,OFFSET(CU$10,,,Ballasts_Nline),1)</f>
        <v>1</v>
      </c>
      <c r="CU5" s="376">
        <f ca="1">INDEX(OFFSET(CU$10,,,Ballasts_Nline),CT5)</f>
        <v>0</v>
      </c>
      <c r="CV5" s="377">
        <f ca="1">INDEX(OFFSET(CV$10,,,Ballasts_Nline),CT5)</f>
        <v>0</v>
      </c>
      <c r="CW5" s="377">
        <f ca="1">INDEX(OFFSET(CW$10,,,Ballasts_Nline),CT5)</f>
        <v>20</v>
      </c>
      <c r="CX5" s="377">
        <f ca="1">INDEX(OFFSET(CX$10,,,Ballasts_Nline),CT5)</f>
        <v>-2.5</v>
      </c>
      <c r="CY5" s="377">
        <f ca="1">INDEX(OFFSET(CY$10,,,Ballasts_Nline),CT5)</f>
        <v>0</v>
      </c>
      <c r="CZ5" s="378">
        <f ca="1">INDEX(OFFSET(CZ$10,,,Ballasts_Nline),CT5)</f>
        <v>0</v>
      </c>
      <c r="DA5" s="353"/>
      <c r="DB5" s="353"/>
      <c r="DC5" s="431">
        <f ca="1">INDEX(OFFSET(DC$10,,,Ballasts_Nline),DD5)</f>
        <v>10</v>
      </c>
      <c r="DD5" s="375">
        <f ca="1">MATCH(DE$4,OFFSET(DE$10,,,Ballasts_Nline),1)</f>
        <v>1</v>
      </c>
      <c r="DE5" s="376">
        <f ca="1">INDEX(OFFSET(DE$10,,,Ballasts_Nline),DD5)</f>
        <v>0</v>
      </c>
      <c r="DF5" s="377">
        <f ca="1">INDEX(OFFSET(DF$10,,,Ballasts_Nline),DD5)</f>
        <v>0</v>
      </c>
      <c r="DG5" s="377">
        <f ca="1">INDEX(OFFSET(DG$10,,,Ballasts_Nline),DD5)</f>
        <v>20</v>
      </c>
      <c r="DH5" s="377">
        <f ca="1">INDEX(OFFSET(DH$10,,,Ballasts_Nline),DD5)</f>
        <v>-7.5</v>
      </c>
      <c r="DI5" s="377">
        <f ca="1">INDEX(OFFSET(DI$10,,,Ballasts_Nline),DD5)</f>
        <v>0</v>
      </c>
      <c r="DJ5" s="378">
        <f ca="1">INDEX(OFFSET(DJ$10,,,Ballasts_Nline),DD5)</f>
        <v>0</v>
      </c>
      <c r="DK5" s="353"/>
      <c r="DM5" s="431">
        <f ca="1">INDEX(OFFSET(DM$10,,,Ballasts_Nline),DN5)</f>
        <v>10</v>
      </c>
      <c r="DN5" s="375">
        <f ca="1">MATCH(DO$4,OFFSET(DO$10,,,Ballasts_Nline),1)</f>
        <v>1</v>
      </c>
      <c r="DO5" s="376">
        <f ca="1">INDEX(OFFSET(DO$10,,,Ballasts_Nline),DN5)</f>
        <v>0</v>
      </c>
      <c r="DP5" s="377">
        <f ca="1">INDEX(OFFSET(DP$10,,,Ballasts_Nline),DN5)</f>
        <v>0</v>
      </c>
      <c r="DQ5" s="377">
        <f ca="1">INDEX(OFFSET(DQ$10,,,Ballasts_Nline),DN5)</f>
        <v>30</v>
      </c>
      <c r="DR5" s="377">
        <f ca="1">INDEX(OFFSET(DR$10,,,Ballasts_Nline),DN5)</f>
        <v>7.5</v>
      </c>
      <c r="DS5" s="377">
        <f ca="1">INDEX(OFFSET(DS$10,,,Ballasts_Nline),DN5)</f>
        <v>0</v>
      </c>
      <c r="DT5" s="378">
        <f ca="1">INDEX(OFFSET(DT$10,,,Ballasts_Nline),DN5)</f>
        <v>0</v>
      </c>
      <c r="DU5" s="353"/>
      <c r="DV5" s="353"/>
      <c r="DW5" s="431">
        <f ca="1">INDEX(OFFSET(DW$10,,,Ballasts_Nline),DX5)</f>
        <v>10</v>
      </c>
      <c r="DX5" s="375">
        <f ca="1">MATCH(DY$4,OFFSET(DY$10,,,Ballasts_Nline),1)</f>
        <v>1</v>
      </c>
      <c r="DY5" s="376">
        <f ca="1">INDEX(OFFSET(DY$10,,,Ballasts_Nline),DX5)</f>
        <v>0</v>
      </c>
      <c r="DZ5" s="377">
        <f ca="1">INDEX(OFFSET(DZ$10,,,Ballasts_Nline),DX5)</f>
        <v>0</v>
      </c>
      <c r="EA5" s="377">
        <f ca="1">INDEX(OFFSET(EA$10,,,Ballasts_Nline),DX5)</f>
        <v>30</v>
      </c>
      <c r="EB5" s="377">
        <f ca="1">INDEX(OFFSET(EB$10,,,Ballasts_Nline),DX5)</f>
        <v>2.5</v>
      </c>
      <c r="EC5" s="377">
        <f ca="1">INDEX(OFFSET(EC$10,,,Ballasts_Nline),DX5)</f>
        <v>0</v>
      </c>
      <c r="ED5" s="378">
        <f ca="1">INDEX(OFFSET(ED$10,,,Ballasts_Nline),DX5)</f>
        <v>0</v>
      </c>
      <c r="EE5" s="423"/>
      <c r="EF5" s="353"/>
      <c r="EG5" s="431">
        <f ca="1">INDEX(OFFSET(EG$10,,,Ballasts_Nline),EH5)</f>
        <v>10</v>
      </c>
      <c r="EH5" s="375">
        <f ca="1">MATCH(EI$4,OFFSET(EI$10,,,Ballasts_Nline),1)</f>
        <v>1</v>
      </c>
      <c r="EI5" s="376">
        <f ca="1">INDEX(OFFSET(EI$10,,,Ballasts_Nline),EH5)</f>
        <v>0</v>
      </c>
      <c r="EJ5" s="377">
        <f ca="1">INDEX(OFFSET(EJ$10,,,Ballasts_Nline),EH5)</f>
        <v>0</v>
      </c>
      <c r="EK5" s="377">
        <f ca="1">INDEX(OFFSET(EK$10,,,Ballasts_Nline),EH5)</f>
        <v>30</v>
      </c>
      <c r="EL5" s="377">
        <f ca="1">INDEX(OFFSET(EL$10,,,Ballasts_Nline),EH5)</f>
        <v>-2.5</v>
      </c>
      <c r="EM5" s="377">
        <f ca="1">INDEX(OFFSET(EM$10,,,Ballasts_Nline),EH5)</f>
        <v>0</v>
      </c>
      <c r="EN5" s="378">
        <f ca="1">INDEX(OFFSET(EN$10,,,Ballasts_Nline),EH5)</f>
        <v>0</v>
      </c>
      <c r="EO5" s="424"/>
      <c r="EP5" s="424"/>
      <c r="EQ5" s="431">
        <f ca="1">INDEX(OFFSET(EQ$10,,,Ballasts_Nline),ER5)</f>
        <v>10</v>
      </c>
      <c r="ER5" s="375">
        <f ca="1">MATCH(ES$4,OFFSET(ES$10,,,Ballasts_Nline),1)</f>
        <v>1</v>
      </c>
      <c r="ES5" s="376">
        <f ca="1">INDEX(OFFSET(ES$10,,,Ballasts_Nline),ER5)</f>
        <v>0</v>
      </c>
      <c r="ET5" s="377">
        <f ca="1">INDEX(OFFSET(ET$10,,,Ballasts_Nline),ER5)</f>
        <v>0</v>
      </c>
      <c r="EU5" s="377">
        <f ca="1">INDEX(OFFSET(EU$10,,,Ballasts_Nline),ER5)</f>
        <v>30</v>
      </c>
      <c r="EV5" s="377">
        <f ca="1">INDEX(OFFSET(EV$10,,,Ballasts_Nline),ER5)</f>
        <v>-7.5</v>
      </c>
      <c r="EW5" s="377">
        <f ca="1">INDEX(OFFSET(EW$10,,,Ballasts_Nline),ER5)</f>
        <v>0</v>
      </c>
      <c r="EX5" s="378">
        <f ca="1">INDEX(OFFSET(EX$10,,,Ballasts_Nline),ER5)</f>
        <v>0</v>
      </c>
      <c r="EZ5" s="353"/>
      <c r="FA5" s="431">
        <f ca="1">INDEX(OFFSET(FA$10,,,Ballasts_Nline),FB5)</f>
        <v>10</v>
      </c>
      <c r="FB5" s="375">
        <f ca="1">MATCH(FC$4,OFFSET(FC$10,,,Ballasts_Nline),1)</f>
        <v>1</v>
      </c>
      <c r="FC5" s="376">
        <f ca="1">INDEX(OFFSET(FC$10,,,Ballasts_Nline),FB5)</f>
        <v>0</v>
      </c>
      <c r="FD5" s="377">
        <f ca="1">INDEX(OFFSET(FD$10,,,Ballasts_Nline),FB5)</f>
        <v>0</v>
      </c>
      <c r="FE5" s="377">
        <f ca="1">INDEX(OFFSET(FE$10,,,Ballasts_Nline),FB5)</f>
        <v>40</v>
      </c>
      <c r="FF5" s="377">
        <f ca="1">INDEX(OFFSET(FF$10,,,Ballasts_Nline),FB5)</f>
        <v>7.5</v>
      </c>
      <c r="FG5" s="377">
        <f ca="1">INDEX(OFFSET(FG$10,,,Ballasts_Nline),FB5)</f>
        <v>0</v>
      </c>
      <c r="FH5" s="378">
        <f ca="1">INDEX(OFFSET(FH$10,,,Ballasts_Nline),FB5)</f>
        <v>0</v>
      </c>
      <c r="FI5" s="353"/>
      <c r="FJ5" s="353"/>
      <c r="FK5" s="431">
        <f ca="1">INDEX(OFFSET(FK$10,,,Ballasts_Nline),FL5)</f>
        <v>10</v>
      </c>
      <c r="FL5" s="375">
        <f ca="1">MATCH(FM$4,OFFSET(FM$10,,,Ballasts_Nline),1)</f>
        <v>1</v>
      </c>
      <c r="FM5" s="376">
        <f ca="1">INDEX(OFFSET(FM$10,,,Ballasts_Nline),FL5)</f>
        <v>0</v>
      </c>
      <c r="FN5" s="377">
        <f ca="1">INDEX(OFFSET(FN$10,,,Ballasts_Nline),FL5)</f>
        <v>0</v>
      </c>
      <c r="FO5" s="377">
        <f ca="1">INDEX(OFFSET(FO$10,,,Ballasts_Nline),FL5)</f>
        <v>40</v>
      </c>
      <c r="FP5" s="377">
        <f ca="1">INDEX(OFFSET(FP$10,,,Ballasts_Nline),FL5)</f>
        <v>2.5</v>
      </c>
      <c r="FQ5" s="377">
        <f ca="1">INDEX(OFFSET(FQ$10,,,Ballasts_Nline),FL5)</f>
        <v>0</v>
      </c>
      <c r="FR5" s="378">
        <f ca="1">INDEX(OFFSET(FR$10,,,Ballasts_Nline),FL5)</f>
        <v>0</v>
      </c>
      <c r="FS5" s="353"/>
      <c r="FT5" s="353"/>
      <c r="FU5" s="431">
        <f ca="1">INDEX(OFFSET(FU$10,,,Ballasts_Nline),FV5)</f>
        <v>10</v>
      </c>
      <c r="FV5" s="375">
        <f ca="1">MATCH(FW$4,OFFSET(FW$10,,,Ballasts_Nline),1)</f>
        <v>1</v>
      </c>
      <c r="FW5" s="376">
        <f ca="1">INDEX(OFFSET(FW$10,,,Ballasts_Nline),FV5)</f>
        <v>0</v>
      </c>
      <c r="FX5" s="377">
        <f ca="1">INDEX(OFFSET(FX$10,,,Ballasts_Nline),FV5)</f>
        <v>0</v>
      </c>
      <c r="FY5" s="377">
        <f ca="1">INDEX(OFFSET(FY$10,,,Ballasts_Nline),FV5)</f>
        <v>40</v>
      </c>
      <c r="FZ5" s="377">
        <f ca="1">INDEX(OFFSET(FZ$10,,,Ballasts_Nline),FV5)</f>
        <v>-2.5</v>
      </c>
      <c r="GA5" s="377">
        <f ca="1">INDEX(OFFSET(GA$10,,,Ballasts_Nline),FV5)</f>
        <v>0</v>
      </c>
      <c r="GB5" s="378">
        <f ca="1">INDEX(OFFSET(GB$10,,,Ballasts_Nline),FV5)</f>
        <v>0</v>
      </c>
      <c r="GD5" s="353"/>
      <c r="GE5" s="431">
        <f ca="1">INDEX(OFFSET(GE$10,,,Ballasts_Nline),GF5)</f>
        <v>10</v>
      </c>
      <c r="GF5" s="375">
        <f ca="1">MATCH(GG$4,OFFSET(GG$10,,,Ballasts_Nline),1)</f>
        <v>1</v>
      </c>
      <c r="GG5" s="376">
        <f ca="1">INDEX(OFFSET(GG$10,,,Ballasts_Nline),GF5)</f>
        <v>0</v>
      </c>
      <c r="GH5" s="377">
        <f ca="1">INDEX(OFFSET(GH$10,,,Ballasts_Nline),GF5)</f>
        <v>0</v>
      </c>
      <c r="GI5" s="377">
        <f ca="1">INDEX(OFFSET(GI$10,,,Ballasts_Nline),GF5)</f>
        <v>40</v>
      </c>
      <c r="GJ5" s="377">
        <f ca="1">INDEX(OFFSET(GJ$10,,,Ballasts_Nline),GF5)</f>
        <v>-7.5</v>
      </c>
      <c r="GK5" s="377">
        <f ca="1">INDEX(OFFSET(GK$10,,,Ballasts_Nline),GF5)</f>
        <v>0</v>
      </c>
      <c r="GL5" s="378">
        <f ca="1">INDEX(OFFSET(GL$10,,,Ballasts_Nline),GF5)</f>
        <v>0</v>
      </c>
      <c r="GM5" s="353"/>
      <c r="GN5" s="353"/>
      <c r="GO5" s="431">
        <f ca="1">INDEX(OFFSET(GO$10,,,Ballasts_Nline),GP5)</f>
        <v>10</v>
      </c>
      <c r="GP5" s="375">
        <f ca="1">MATCH(GQ$4,OFFSET(GQ$10,,,Ballasts_Nline),1)</f>
        <v>1</v>
      </c>
      <c r="GQ5" s="376">
        <f ca="1">INDEX(OFFSET(GQ$10,,,Ballasts_Nline),GP5)</f>
        <v>0</v>
      </c>
      <c r="GR5" s="377">
        <f ca="1">INDEX(OFFSET(GR$10,,,Ballasts_Nline),GP5)</f>
        <v>0</v>
      </c>
      <c r="GS5" s="377">
        <f ca="1">INDEX(OFFSET(GS$10,,,Ballasts_Nline),GP5)</f>
        <v>50</v>
      </c>
      <c r="GT5" s="377">
        <f ca="1">INDEX(OFFSET(GT$10,,,Ballasts_Nline),GP5)</f>
        <v>7.5</v>
      </c>
      <c r="GU5" s="377">
        <f ca="1">INDEX(OFFSET(GU$10,,,Ballasts_Nline),GP5)</f>
        <v>0</v>
      </c>
      <c r="GV5" s="378">
        <f ca="1">INDEX(OFFSET(GV$10,,,Ballasts_Nline),GP5)</f>
        <v>0</v>
      </c>
      <c r="GW5" s="353"/>
      <c r="GX5" s="353"/>
      <c r="GY5" s="431">
        <f ca="1">INDEX(OFFSET(GY$10,,,Ballasts_Nline),GZ5)</f>
        <v>10</v>
      </c>
      <c r="GZ5" s="375">
        <f ca="1">MATCH(HA$4,OFFSET(HA$10,,,Ballasts_Nline),1)</f>
        <v>1</v>
      </c>
      <c r="HA5" s="376">
        <f ca="1">INDEX(OFFSET(HA$10,,,Ballasts_Nline),GZ5)</f>
        <v>0</v>
      </c>
      <c r="HB5" s="377">
        <f ca="1">INDEX(OFFSET(HB$10,,,Ballasts_Nline),GZ5)</f>
        <v>0</v>
      </c>
      <c r="HC5" s="377">
        <f ca="1">INDEX(OFFSET(HC$10,,,Ballasts_Nline),GZ5)</f>
        <v>50</v>
      </c>
      <c r="HD5" s="377">
        <f ca="1">INDEX(OFFSET(HD$10,,,Ballasts_Nline),GZ5)</f>
        <v>2.5</v>
      </c>
      <c r="HE5" s="377">
        <f ca="1">INDEX(OFFSET(HE$10,,,Ballasts_Nline),GZ5)</f>
        <v>0</v>
      </c>
      <c r="HF5" s="378">
        <f ca="1">INDEX(OFFSET(HF$10,,,Ballasts_Nline),GZ5)</f>
        <v>0</v>
      </c>
      <c r="HI5" s="431">
        <f ca="1">INDEX(OFFSET(HI$10,,,Ballasts_Nline),HJ5)</f>
        <v>10</v>
      </c>
      <c r="HJ5" s="375">
        <f ca="1">MATCH(HK$4,OFFSET(HK$10,,,Ballasts_Nline),1)</f>
        <v>1</v>
      </c>
      <c r="HK5" s="376">
        <f ca="1">INDEX(OFFSET(HK$10,,,Ballasts_Nline),HJ5)</f>
        <v>0</v>
      </c>
      <c r="HL5" s="377">
        <f ca="1">INDEX(OFFSET(HL$10,,,Ballasts_Nline),HJ5)</f>
        <v>0</v>
      </c>
      <c r="HM5" s="377">
        <f ca="1">INDEX(OFFSET(HM$10,,,Ballasts_Nline),HJ5)</f>
        <v>50</v>
      </c>
      <c r="HN5" s="377">
        <f ca="1">INDEX(OFFSET(HN$10,,,Ballasts_Nline),HJ5)</f>
        <v>-2.5</v>
      </c>
      <c r="HO5" s="377">
        <f ca="1">INDEX(OFFSET(HO$10,,,Ballasts_Nline),HJ5)</f>
        <v>0</v>
      </c>
      <c r="HP5" s="378">
        <f ca="1">INDEX(OFFSET(HP$10,,,Ballasts_Nline),HJ5)</f>
        <v>0</v>
      </c>
      <c r="HR5" s="353"/>
      <c r="HS5" s="431">
        <f ca="1">INDEX(OFFSET(HS$10,,,Ballasts_Nline),HT5)</f>
        <v>10</v>
      </c>
      <c r="HT5" s="375">
        <f ca="1">MATCH(HU$4,OFFSET(HU$10,,,Ballasts_Nline),1)</f>
        <v>1</v>
      </c>
      <c r="HU5" s="376">
        <f ca="1">INDEX(OFFSET(HU$10,,,Ballasts_Nline),HT5)</f>
        <v>0</v>
      </c>
      <c r="HV5" s="377">
        <f ca="1">INDEX(OFFSET(HV$10,,,Ballasts_Nline),HT5)</f>
        <v>0</v>
      </c>
      <c r="HW5" s="377">
        <f ca="1">INDEX(OFFSET(HW$10,,,Ballasts_Nline),HT5)</f>
        <v>50</v>
      </c>
      <c r="HX5" s="377">
        <f ca="1">INDEX(OFFSET(HX$10,,,Ballasts_Nline),HT5)</f>
        <v>-7.5</v>
      </c>
      <c r="HY5" s="377">
        <f ca="1">INDEX(OFFSET(HY$10,,,Ballasts_Nline),HT5)</f>
        <v>0</v>
      </c>
      <c r="HZ5" s="378">
        <f ca="1">INDEX(OFFSET(HZ$10,,,Ballasts_Nline),HT5)</f>
        <v>0</v>
      </c>
      <c r="IA5" s="353"/>
      <c r="IB5" s="353"/>
      <c r="IC5" s="431">
        <f ca="1">INDEX(OFFSET(IC$10,,,Ballasts_Nline),ID5)</f>
        <v>0</v>
      </c>
      <c r="ID5" s="375">
        <f ca="1">MATCH(IE$4,OFFSET(IE$10,,,Ballasts_Nline),1)</f>
        <v>1</v>
      </c>
      <c r="IE5" s="376">
        <f ca="1">INDEX(OFFSET(IE$10,,,Ballasts_Nline),ID5)</f>
        <v>0</v>
      </c>
      <c r="IF5" s="377">
        <f ca="1">INDEX(OFFSET(IF$10,,,Ballasts_Nline),ID5)</f>
        <v>0</v>
      </c>
      <c r="IG5" s="377">
        <f ca="1">INDEX(OFFSET(IG$10,,,Ballasts_Nline),ID5)</f>
        <v>55</v>
      </c>
      <c r="IH5" s="377">
        <f ca="1">INDEX(OFFSET(IH$10,,,Ballasts_Nline),ID5)</f>
        <v>0</v>
      </c>
      <c r="II5" s="377">
        <f ca="1">INDEX(OFFSET(II$10,,,Ballasts_Nline),ID5)</f>
        <v>0</v>
      </c>
      <c r="IJ5" s="378">
        <f ca="1">INDEX(OFFSET(IJ$10,,,Ballasts_Nline),ID5)</f>
        <v>0</v>
      </c>
      <c r="IK5" s="353"/>
      <c r="IL5" s="353"/>
      <c r="IM5" s="431" t="e">
        <f ca="1">INDEX(OFFSET(IM$10,,,Ballasts_Nline),IN5)</f>
        <v>#N/A</v>
      </c>
      <c r="IN5" s="375" t="e">
        <f ca="1">MATCH(IO$4,OFFSET(IO$10,,,Ballasts_Nline),1)</f>
        <v>#N/A</v>
      </c>
      <c r="IO5" s="376" t="e">
        <f ca="1">INDEX(OFFSET(IO$10,,,Ballasts_Nline),IN5)</f>
        <v>#N/A</v>
      </c>
      <c r="IP5" s="377" t="e">
        <f ca="1">INDEX(OFFSET(IP$10,,,Ballasts_Nline),IN5)</f>
        <v>#N/A</v>
      </c>
      <c r="IQ5" s="377" t="e">
        <f ca="1">INDEX(OFFSET(IQ$10,,,Ballasts_Nline),IN5)</f>
        <v>#N/A</v>
      </c>
      <c r="IR5" s="377" t="e">
        <f ca="1">INDEX(OFFSET(IR$10,,,Ballasts_Nline),IN5)</f>
        <v>#N/A</v>
      </c>
      <c r="IS5" s="377" t="e">
        <f ca="1">INDEX(OFFSET(IS$10,,,Ballasts_Nline),IN5)</f>
        <v>#N/A</v>
      </c>
      <c r="IT5" s="378" t="e">
        <f ca="1">INDEX(OFFSET(IT$10,,,Ballasts_Nline),IN5)</f>
        <v>#N/A</v>
      </c>
      <c r="IW5" s="431" t="e">
        <f ca="1">INDEX(OFFSET(IW$10,,,Ballasts_Nline),IX5)</f>
        <v>#N/A</v>
      </c>
      <c r="IX5" s="375" t="e">
        <f ca="1">MATCH(IY$4,OFFSET(IY$10,,,Ballasts_Nline),1)</f>
        <v>#N/A</v>
      </c>
      <c r="IY5" s="376" t="e">
        <f ca="1">INDEX(OFFSET(IY$10,,,Ballasts_Nline),IX5)</f>
        <v>#N/A</v>
      </c>
      <c r="IZ5" s="377" t="e">
        <f ca="1">INDEX(OFFSET(IZ$10,,,Ballasts_Nline),IX5)</f>
        <v>#N/A</v>
      </c>
      <c r="JA5" s="377" t="e">
        <f ca="1">INDEX(OFFSET(JA$10,,,Ballasts_Nline),IX5)</f>
        <v>#N/A</v>
      </c>
      <c r="JB5" s="377" t="e">
        <f ca="1">INDEX(OFFSET(JB$10,,,Ballasts_Nline),IX5)</f>
        <v>#N/A</v>
      </c>
      <c r="JC5" s="377" t="e">
        <f ca="1">INDEX(OFFSET(JC$10,,,Ballasts_Nline),IX5)</f>
        <v>#N/A</v>
      </c>
      <c r="JD5" s="378" t="e">
        <f ca="1">INDEX(OFFSET(JD$10,,,Ballasts_Nline),IX5)</f>
        <v>#N/A</v>
      </c>
      <c r="JG5" s="431" t="e">
        <f ca="1">INDEX(OFFSET(JG$10,,,Ballasts_Nline),JH5)</f>
        <v>#N/A</v>
      </c>
      <c r="JH5" s="375" t="e">
        <f ca="1">MATCH(JI$4,OFFSET(JI$10,,,Ballasts_Nline),1)</f>
        <v>#N/A</v>
      </c>
      <c r="JI5" s="376" t="e">
        <f ca="1">INDEX(OFFSET(JI$10,,,Ballasts_Nline),JH5)</f>
        <v>#N/A</v>
      </c>
      <c r="JJ5" s="377" t="e">
        <f ca="1">INDEX(OFFSET(JJ$10,,,Ballasts_Nline),JH5)</f>
        <v>#N/A</v>
      </c>
      <c r="JK5" s="377" t="e">
        <f ca="1">INDEX(OFFSET(JK$10,,,Ballasts_Nline),JH5)</f>
        <v>#N/A</v>
      </c>
      <c r="JL5" s="377" t="e">
        <f ca="1">INDEX(OFFSET(JL$10,,,Ballasts_Nline),JH5)</f>
        <v>#N/A</v>
      </c>
      <c r="JM5" s="377" t="e">
        <f ca="1">INDEX(OFFSET(JM$10,,,Ballasts_Nline),JH5)</f>
        <v>#N/A</v>
      </c>
      <c r="JN5" s="378" t="e">
        <f ca="1">INDEX(OFFSET(JN$10,,,Ballasts_Nline),JH5)</f>
        <v>#N/A</v>
      </c>
      <c r="JQ5" s="431" t="e">
        <f ca="1">INDEX(OFFSET(JQ$10,,,Ballasts_Nline),JR5)</f>
        <v>#N/A</v>
      </c>
      <c r="JR5" s="375" t="e">
        <f ca="1">MATCH(JS$4,OFFSET(JS$10,,,Ballasts_Nline),1)</f>
        <v>#N/A</v>
      </c>
      <c r="JS5" s="376" t="e">
        <f ca="1">INDEX(OFFSET(JS$10,,,Ballasts_Nline),JR5)</f>
        <v>#N/A</v>
      </c>
      <c r="JT5" s="377" t="e">
        <f ca="1">INDEX(OFFSET(JT$10,,,Ballasts_Nline),JR5)</f>
        <v>#N/A</v>
      </c>
      <c r="JU5" s="377" t="e">
        <f ca="1">INDEX(OFFSET(JU$10,,,Ballasts_Nline),JR5)</f>
        <v>#N/A</v>
      </c>
      <c r="JV5" s="377" t="e">
        <f ca="1">INDEX(OFFSET(JV$10,,,Ballasts_Nline),JR5)</f>
        <v>#N/A</v>
      </c>
      <c r="JW5" s="377" t="e">
        <f ca="1">INDEX(OFFSET(JW$10,,,Ballasts_Nline),JR5)</f>
        <v>#N/A</v>
      </c>
      <c r="JX5" s="378" t="e">
        <f ca="1">INDEX(OFFSET(JX$10,,,Ballasts_Nline),JR5)</f>
        <v>#N/A</v>
      </c>
      <c r="KA5" s="431" t="e">
        <f ca="1">INDEX(OFFSET(KA$10,,,Ballasts_Nline),KB5)</f>
        <v>#N/A</v>
      </c>
      <c r="KB5" s="375" t="e">
        <f ca="1">MATCH(KC$4,OFFSET(KC$10,,,Ballasts_Nline),1)</f>
        <v>#N/A</v>
      </c>
      <c r="KC5" s="376" t="e">
        <f ca="1">INDEX(OFFSET(KC$10,,,Ballasts_Nline),KB5)</f>
        <v>#N/A</v>
      </c>
      <c r="KD5" s="377" t="e">
        <f ca="1">INDEX(OFFSET(KD$10,,,Ballasts_Nline),KB5)</f>
        <v>#N/A</v>
      </c>
      <c r="KE5" s="377" t="e">
        <f ca="1">INDEX(OFFSET(KE$10,,,Ballasts_Nline),KB5)</f>
        <v>#N/A</v>
      </c>
      <c r="KF5" s="377" t="e">
        <f ca="1">INDEX(OFFSET(KF$10,,,Ballasts_Nline),KB5)</f>
        <v>#N/A</v>
      </c>
      <c r="KG5" s="377" t="e">
        <f ca="1">INDEX(OFFSET(KG$10,,,Ballasts_Nline),KB5)</f>
        <v>#N/A</v>
      </c>
      <c r="KH5" s="378" t="e">
        <f ca="1">INDEX(OFFSET(KH$10,,,Ballasts_Nline),KB5)</f>
        <v>#N/A</v>
      </c>
      <c r="KK5" s="431" t="e">
        <f ca="1">INDEX(OFFSET(KK$10,,,Ballasts_Nline),KL5)</f>
        <v>#N/A</v>
      </c>
      <c r="KL5" s="375" t="e">
        <f ca="1">MATCH(KM$4,OFFSET(KM$10,,,Ballasts_Nline),1)</f>
        <v>#N/A</v>
      </c>
      <c r="KM5" s="376" t="e">
        <f ca="1">INDEX(OFFSET(KM$10,,,Ballasts_Nline),KL5)</f>
        <v>#N/A</v>
      </c>
      <c r="KN5" s="377" t="e">
        <f ca="1">INDEX(OFFSET(KN$10,,,Ballasts_Nline),KL5)</f>
        <v>#N/A</v>
      </c>
      <c r="KO5" s="377" t="e">
        <f ca="1">INDEX(OFFSET(KO$10,,,Ballasts_Nline),KL5)</f>
        <v>#N/A</v>
      </c>
      <c r="KP5" s="377" t="e">
        <f ca="1">INDEX(OFFSET(KP$10,,,Ballasts_Nline),KL5)</f>
        <v>#N/A</v>
      </c>
      <c r="KQ5" s="377" t="e">
        <f ca="1">INDEX(OFFSET(KQ$10,,,Ballasts_Nline),KL5)</f>
        <v>#N/A</v>
      </c>
      <c r="KR5" s="378" t="e">
        <f ca="1">INDEX(OFFSET(KR$10,,,Ballasts_Nline),KL5)</f>
        <v>#N/A</v>
      </c>
      <c r="KU5" s="431" t="e">
        <f ca="1">INDEX(OFFSET(KU$10,,,Ballasts_Nline),KV5)</f>
        <v>#N/A</v>
      </c>
      <c r="KV5" s="375" t="e">
        <f ca="1">MATCH(KW$4,OFFSET(KW$10,,,Ballasts_Nline),1)</f>
        <v>#N/A</v>
      </c>
      <c r="KW5" s="376" t="e">
        <f ca="1">INDEX(OFFSET(KW$10,,,Ballasts_Nline),KV5)</f>
        <v>#N/A</v>
      </c>
      <c r="KX5" s="377" t="e">
        <f ca="1">INDEX(OFFSET(KX$10,,,Ballasts_Nline),KV5)</f>
        <v>#N/A</v>
      </c>
      <c r="KY5" s="377" t="e">
        <f ca="1">INDEX(OFFSET(KY$10,,,Ballasts_Nline),KV5)</f>
        <v>#N/A</v>
      </c>
      <c r="KZ5" s="377" t="e">
        <f ca="1">INDEX(OFFSET(KZ$10,,,Ballasts_Nline),KV5)</f>
        <v>#N/A</v>
      </c>
      <c r="LA5" s="377" t="e">
        <f ca="1">INDEX(OFFSET(LA$10,,,Ballasts_Nline),KV5)</f>
        <v>#N/A</v>
      </c>
      <c r="LB5" s="378" t="e">
        <f ca="1">INDEX(OFFSET(LB$10,,,Ballasts_Nline),KV5)</f>
        <v>#N/A</v>
      </c>
      <c r="LC5" s="353"/>
    </row>
    <row r="6" spans="1:315" x14ac:dyDescent="0.25">
      <c r="B6" s="460" t="s">
        <v>311</v>
      </c>
      <c r="C6" s="463">
        <v>1</v>
      </c>
      <c r="D6" s="467">
        <v>0</v>
      </c>
      <c r="E6" s="465"/>
      <c r="F6" s="461"/>
      <c r="G6" s="463"/>
      <c r="H6" s="463"/>
      <c r="I6" s="467">
        <v>7</v>
      </c>
      <c r="J6" s="467">
        <v>1</v>
      </c>
      <c r="K6" s="465">
        <v>4</v>
      </c>
      <c r="L6" s="461">
        <v>5</v>
      </c>
      <c r="M6" s="463">
        <v>6</v>
      </c>
      <c r="N6" s="467">
        <v>0</v>
      </c>
      <c r="O6" s="55"/>
      <c r="P6" s="55"/>
      <c r="Q6" s="55"/>
      <c r="R6" s="55"/>
      <c r="S6" s="55"/>
      <c r="T6" s="55"/>
      <c r="U6" s="55"/>
      <c r="V6" s="55"/>
      <c r="W6" s="55"/>
      <c r="X6" s="55"/>
      <c r="AA6" s="432">
        <f ca="1">INDEX(OFFSET(AA$10,,,Ballasts_Nline),AB6)</f>
        <v>0.1777</v>
      </c>
      <c r="AB6" s="375">
        <f ca="1">AB5+1</f>
        <v>2</v>
      </c>
      <c r="AC6" s="379">
        <f ca="1">INDEX(OFFSET(AC$10,,,Ballasts_Nline),AB6)</f>
        <v>0.1</v>
      </c>
      <c r="AD6" s="380">
        <f ca="1">INDEX(OFFSET(AD$10,,,Ballasts_Nline),AB6)</f>
        <v>0.11846666666666666</v>
      </c>
      <c r="AE6" s="380">
        <f ca="1">INDEX(OFFSET(AE$10,,,Ballasts_Nline),AB6)</f>
        <v>4.9555749999999996</v>
      </c>
      <c r="AF6" s="380">
        <f ca="1">INDEX(OFFSET(AF$10,,,Ballasts_Nline),AB6)</f>
        <v>0</v>
      </c>
      <c r="AG6" s="380">
        <f ca="1">INDEX(OFFSET(AG$10,,,Ballasts_Nline),AB6)</f>
        <v>0.05</v>
      </c>
      <c r="AH6" s="381">
        <f ca="1">INDEX(OFFSET(AH$10,,,Ballasts_Nline),AB6)</f>
        <v>115.57723577235772</v>
      </c>
      <c r="AI6" s="366"/>
      <c r="AJ6" s="366"/>
      <c r="AK6" s="432">
        <f ca="1">INDEX(OFFSET(AK$10,,,Ballasts_Nline),AL6)</f>
        <v>10</v>
      </c>
      <c r="AL6" s="375">
        <f ca="1">AL5+1</f>
        <v>2</v>
      </c>
      <c r="AM6" s="379">
        <f ca="1">INDEX(OFFSET(AM$10,,,Ballasts_Nline),AL6)</f>
        <v>0.1</v>
      </c>
      <c r="AN6" s="380">
        <f ca="1">INDEX(OFFSET(AN$10,,,Ballasts_Nline),AL6)</f>
        <v>5</v>
      </c>
      <c r="AO6" s="380">
        <f ca="1">INDEX(OFFSET(AO$10,,,Ballasts_Nline),AL6)</f>
        <v>10</v>
      </c>
      <c r="AP6" s="380">
        <f ca="1">INDEX(OFFSET(AP$10,,,Ballasts_Nline),AL6)</f>
        <v>7.5</v>
      </c>
      <c r="AQ6" s="380">
        <f ca="1">INDEX(OFFSET(AQ$10,,,Ballasts_Nline),AL6)</f>
        <v>0.05</v>
      </c>
      <c r="AR6" s="381">
        <f ca="1">INDEX(OFFSET(AR$10,,,Ballasts_Nline),AL6)</f>
        <v>101.62601626016261</v>
      </c>
      <c r="AS6" s="366"/>
      <c r="AT6" s="366"/>
      <c r="AU6" s="432">
        <f ca="1">INDEX(OFFSET(AU$10,,,Ballasts_Nline),AV6)</f>
        <v>10</v>
      </c>
      <c r="AV6" s="375">
        <f ca="1">AV5+1</f>
        <v>2</v>
      </c>
      <c r="AW6" s="379">
        <f ca="1">INDEX(OFFSET(AW$10,,,Ballasts_Nline),AV6)</f>
        <v>0.1</v>
      </c>
      <c r="AX6" s="380">
        <f ca="1">INDEX(OFFSET(AX$10,,,Ballasts_Nline),AV6)</f>
        <v>5</v>
      </c>
      <c r="AY6" s="380">
        <f ca="1">INDEX(OFFSET(AY$10,,,Ballasts_Nline),AV6)</f>
        <v>10</v>
      </c>
      <c r="AZ6" s="380">
        <f ca="1">INDEX(OFFSET(AZ$10,,,Ballasts_Nline),AV6)</f>
        <v>2.5</v>
      </c>
      <c r="BA6" s="380">
        <f ca="1">INDEX(OFFSET(BA$10,,,Ballasts_Nline),AV6)</f>
        <v>0.05</v>
      </c>
      <c r="BB6" s="381">
        <f ca="1">INDEX(OFFSET(BB$10,,,Ballasts_Nline),AV6)</f>
        <v>101.62601626016261</v>
      </c>
      <c r="BC6" s="414"/>
      <c r="BE6" s="432">
        <f ca="1">INDEX(OFFSET(BE$10,,,Ballasts_Nline),BF6)</f>
        <v>10</v>
      </c>
      <c r="BF6" s="375">
        <f ca="1">BF5+1</f>
        <v>2</v>
      </c>
      <c r="BG6" s="379">
        <f ca="1">INDEX(OFFSET(BG$10,,,Ballasts_Nline),BF6)</f>
        <v>0.1</v>
      </c>
      <c r="BH6" s="380">
        <f ca="1">INDEX(OFFSET(BH$10,,,Ballasts_Nline),BF6)</f>
        <v>5</v>
      </c>
      <c r="BI6" s="380">
        <f ca="1">INDEX(OFFSET(BI$10,,,Ballasts_Nline),BF6)</f>
        <v>10</v>
      </c>
      <c r="BJ6" s="380">
        <f ca="1">INDEX(OFFSET(BJ$10,,,Ballasts_Nline),BF6)</f>
        <v>-2.5</v>
      </c>
      <c r="BK6" s="380">
        <f ca="1">INDEX(OFFSET(BK$10,,,Ballasts_Nline),BF6)</f>
        <v>0.05</v>
      </c>
      <c r="BL6" s="381">
        <f ca="1">INDEX(OFFSET(BL$10,,,Ballasts_Nline),BF6)</f>
        <v>101.62601626016261</v>
      </c>
      <c r="BO6" s="432">
        <f ca="1">INDEX(OFFSET(BO$10,,,Ballasts_Nline),BP6)</f>
        <v>10</v>
      </c>
      <c r="BP6" s="375">
        <f ca="1">BP5+1</f>
        <v>2</v>
      </c>
      <c r="BQ6" s="379">
        <f ca="1">INDEX(OFFSET(BQ$10,,,Ballasts_Nline),BP6)</f>
        <v>0.1</v>
      </c>
      <c r="BR6" s="380">
        <f ca="1">INDEX(OFFSET(BR$10,,,Ballasts_Nline),BP6)</f>
        <v>5</v>
      </c>
      <c r="BS6" s="380">
        <f ca="1">INDEX(OFFSET(BS$10,,,Ballasts_Nline),BP6)</f>
        <v>10</v>
      </c>
      <c r="BT6" s="380">
        <f ca="1">INDEX(OFFSET(BT$10,,,Ballasts_Nline),BP6)</f>
        <v>-7.5</v>
      </c>
      <c r="BU6" s="380">
        <f ca="1">INDEX(OFFSET(BU$10,,,Ballasts_Nline),BP6)</f>
        <v>0.05</v>
      </c>
      <c r="BV6" s="381">
        <f ca="1">INDEX(OFFSET(BV$10,,,Ballasts_Nline),BP6)</f>
        <v>101.62601626016261</v>
      </c>
      <c r="BY6" s="432">
        <f ca="1">INDEX(OFFSET(BY$10,,,Ballasts_Nline),BZ6)</f>
        <v>10</v>
      </c>
      <c r="BZ6" s="375">
        <f ca="1">BZ5+1</f>
        <v>2</v>
      </c>
      <c r="CA6" s="379">
        <f ca="1">INDEX(OFFSET(CA$10,,,Ballasts_Nline),BZ6)</f>
        <v>0.1</v>
      </c>
      <c r="CB6" s="380">
        <f ca="1">INDEX(OFFSET(CB$10,,,Ballasts_Nline),BZ6)</f>
        <v>5</v>
      </c>
      <c r="CC6" s="380">
        <f ca="1">INDEX(OFFSET(CC$10,,,Ballasts_Nline),BZ6)</f>
        <v>20</v>
      </c>
      <c r="CD6" s="380">
        <f ca="1">INDEX(OFFSET(CD$10,,,Ballasts_Nline),BZ6)</f>
        <v>7.5</v>
      </c>
      <c r="CE6" s="380">
        <f ca="1">INDEX(OFFSET(CE$10,,,Ballasts_Nline),BZ6)</f>
        <v>0.05</v>
      </c>
      <c r="CF6" s="381">
        <f ca="1">INDEX(OFFSET(CF$10,,,Ballasts_Nline),BZ6)</f>
        <v>101.62601626016261</v>
      </c>
      <c r="CI6" s="432">
        <f ca="1">INDEX(OFFSET(CI$10,,,Ballasts_Nline),CJ6)</f>
        <v>10</v>
      </c>
      <c r="CJ6" s="375">
        <f ca="1">CJ5+1</f>
        <v>2</v>
      </c>
      <c r="CK6" s="379">
        <f ca="1">INDEX(OFFSET(CK$10,,,Ballasts_Nline),CJ6)</f>
        <v>0.1</v>
      </c>
      <c r="CL6" s="380">
        <f ca="1">INDEX(OFFSET(CL$10,,,Ballasts_Nline),CJ6)</f>
        <v>5</v>
      </c>
      <c r="CM6" s="380">
        <f ca="1">INDEX(OFFSET(CM$10,,,Ballasts_Nline),CJ6)</f>
        <v>20</v>
      </c>
      <c r="CN6" s="380">
        <f ca="1">INDEX(OFFSET(CN$10,,,Ballasts_Nline),CJ6)</f>
        <v>2.5</v>
      </c>
      <c r="CO6" s="380">
        <f ca="1">INDEX(OFFSET(CO$10,,,Ballasts_Nline),CJ6)</f>
        <v>0.05</v>
      </c>
      <c r="CP6" s="381">
        <f ca="1">INDEX(OFFSET(CP$10,,,Ballasts_Nline),CJ6)</f>
        <v>101.62601626016261</v>
      </c>
      <c r="CS6" s="432">
        <f ca="1">INDEX(OFFSET(CS$10,,,Ballasts_Nline),CT6)</f>
        <v>10</v>
      </c>
      <c r="CT6" s="375">
        <f ca="1">CT5+1</f>
        <v>2</v>
      </c>
      <c r="CU6" s="379">
        <f ca="1">INDEX(OFFSET(CU$10,,,Ballasts_Nline),CT6)</f>
        <v>0.1</v>
      </c>
      <c r="CV6" s="380">
        <f ca="1">INDEX(OFFSET(CV$10,,,Ballasts_Nline),CT6)</f>
        <v>5</v>
      </c>
      <c r="CW6" s="380">
        <f ca="1">INDEX(OFFSET(CW$10,,,Ballasts_Nline),CT6)</f>
        <v>20</v>
      </c>
      <c r="CX6" s="380">
        <f ca="1">INDEX(OFFSET(CX$10,,,Ballasts_Nline),CT6)</f>
        <v>-2.5</v>
      </c>
      <c r="CY6" s="380">
        <f ca="1">INDEX(OFFSET(CY$10,,,Ballasts_Nline),CT6)</f>
        <v>0.05</v>
      </c>
      <c r="CZ6" s="381">
        <f ca="1">INDEX(OFFSET(CZ$10,,,Ballasts_Nline),CT6)</f>
        <v>101.62601626016261</v>
      </c>
      <c r="DC6" s="432">
        <f ca="1">INDEX(OFFSET(DC$10,,,Ballasts_Nline),DD6)</f>
        <v>10</v>
      </c>
      <c r="DD6" s="375">
        <f ca="1">DD5+1</f>
        <v>2</v>
      </c>
      <c r="DE6" s="379">
        <f ca="1">INDEX(OFFSET(DE$10,,,Ballasts_Nline),DD6)</f>
        <v>0.1</v>
      </c>
      <c r="DF6" s="380">
        <f ca="1">INDEX(OFFSET(DF$10,,,Ballasts_Nline),DD6)</f>
        <v>5</v>
      </c>
      <c r="DG6" s="380">
        <f ca="1">INDEX(OFFSET(DG$10,,,Ballasts_Nline),DD6)</f>
        <v>20</v>
      </c>
      <c r="DH6" s="380">
        <f ca="1">INDEX(OFFSET(DH$10,,,Ballasts_Nline),DD6)</f>
        <v>-7.5</v>
      </c>
      <c r="DI6" s="380">
        <f ca="1">INDEX(OFFSET(DI$10,,,Ballasts_Nline),DD6)</f>
        <v>0.05</v>
      </c>
      <c r="DJ6" s="381">
        <f ca="1">INDEX(OFFSET(DJ$10,,,Ballasts_Nline),DD6)</f>
        <v>101.62601626016261</v>
      </c>
      <c r="DM6" s="432">
        <f ca="1">INDEX(OFFSET(DM$10,,,Ballasts_Nline),DN6)</f>
        <v>10</v>
      </c>
      <c r="DN6" s="375">
        <f ca="1">DN5+1</f>
        <v>2</v>
      </c>
      <c r="DO6" s="379">
        <f ca="1">INDEX(OFFSET(DO$10,,,Ballasts_Nline),DN6)</f>
        <v>0.1</v>
      </c>
      <c r="DP6" s="380">
        <f ca="1">INDEX(OFFSET(DP$10,,,Ballasts_Nline),DN6)</f>
        <v>5</v>
      </c>
      <c r="DQ6" s="380">
        <f ca="1">INDEX(OFFSET(DQ$10,,,Ballasts_Nline),DN6)</f>
        <v>30</v>
      </c>
      <c r="DR6" s="380">
        <f ca="1">INDEX(OFFSET(DR$10,,,Ballasts_Nline),DN6)</f>
        <v>7.5</v>
      </c>
      <c r="DS6" s="380">
        <f ca="1">INDEX(OFFSET(DS$10,,,Ballasts_Nline),DN6)</f>
        <v>0.05</v>
      </c>
      <c r="DT6" s="381">
        <f ca="1">INDEX(OFFSET(DT$10,,,Ballasts_Nline),DN6)</f>
        <v>101.62601626016261</v>
      </c>
      <c r="DW6" s="432">
        <f ca="1">INDEX(OFFSET(DW$10,,,Ballasts_Nline),DX6)</f>
        <v>10</v>
      </c>
      <c r="DX6" s="375">
        <f ca="1">DX5+1</f>
        <v>2</v>
      </c>
      <c r="DY6" s="379">
        <f ca="1">INDEX(OFFSET(DY$10,,,Ballasts_Nline),DX6)</f>
        <v>0.1</v>
      </c>
      <c r="DZ6" s="380">
        <f ca="1">INDEX(OFFSET(DZ$10,,,Ballasts_Nline),DX6)</f>
        <v>5</v>
      </c>
      <c r="EA6" s="380">
        <f ca="1">INDEX(OFFSET(EA$10,,,Ballasts_Nline),DX6)</f>
        <v>30</v>
      </c>
      <c r="EB6" s="380">
        <f ca="1">INDEX(OFFSET(EB$10,,,Ballasts_Nline),DX6)</f>
        <v>2.5</v>
      </c>
      <c r="EC6" s="380">
        <f ca="1">INDEX(OFFSET(EC$10,,,Ballasts_Nline),DX6)</f>
        <v>0.05</v>
      </c>
      <c r="ED6" s="381">
        <f ca="1">INDEX(OFFSET(ED$10,,,Ballasts_Nline),DX6)</f>
        <v>101.62601626016261</v>
      </c>
      <c r="EE6" s="419"/>
      <c r="EG6" s="432">
        <f ca="1">INDEX(OFFSET(EG$10,,,Ballasts_Nline),EH6)</f>
        <v>10</v>
      </c>
      <c r="EH6" s="375">
        <f ca="1">EH5+1</f>
        <v>2</v>
      </c>
      <c r="EI6" s="379">
        <f ca="1">INDEX(OFFSET(EI$10,,,Ballasts_Nline),EH6)</f>
        <v>0.1</v>
      </c>
      <c r="EJ6" s="380">
        <f ca="1">INDEX(OFFSET(EJ$10,,,Ballasts_Nline),EH6)</f>
        <v>5</v>
      </c>
      <c r="EK6" s="380">
        <f ca="1">INDEX(OFFSET(EK$10,,,Ballasts_Nline),EH6)</f>
        <v>30</v>
      </c>
      <c r="EL6" s="380">
        <f ca="1">INDEX(OFFSET(EL$10,,,Ballasts_Nline),EH6)</f>
        <v>-2.5</v>
      </c>
      <c r="EM6" s="380">
        <f ca="1">INDEX(OFFSET(EM$10,,,Ballasts_Nline),EH6)</f>
        <v>0.05</v>
      </c>
      <c r="EN6" s="381">
        <f ca="1">INDEX(OFFSET(EN$10,,,Ballasts_Nline),EH6)</f>
        <v>101.62601626016261</v>
      </c>
      <c r="EO6" s="424"/>
      <c r="EP6" s="424"/>
      <c r="EQ6" s="432">
        <f ca="1">INDEX(OFFSET(EQ$10,,,Ballasts_Nline),ER6)</f>
        <v>10</v>
      </c>
      <c r="ER6" s="375">
        <f ca="1">ER5+1</f>
        <v>2</v>
      </c>
      <c r="ES6" s="379">
        <f ca="1">INDEX(OFFSET(ES$10,,,Ballasts_Nline),ER6)</f>
        <v>0.1</v>
      </c>
      <c r="ET6" s="380">
        <f ca="1">INDEX(OFFSET(ET$10,,,Ballasts_Nline),ER6)</f>
        <v>5</v>
      </c>
      <c r="EU6" s="380">
        <f ca="1">INDEX(OFFSET(EU$10,,,Ballasts_Nline),ER6)</f>
        <v>30</v>
      </c>
      <c r="EV6" s="380">
        <f ca="1">INDEX(OFFSET(EV$10,,,Ballasts_Nline),ER6)</f>
        <v>-7.5</v>
      </c>
      <c r="EW6" s="380">
        <f ca="1">INDEX(OFFSET(EW$10,,,Ballasts_Nline),ER6)</f>
        <v>0.05</v>
      </c>
      <c r="EX6" s="381">
        <f ca="1">INDEX(OFFSET(EX$10,,,Ballasts_Nline),ER6)</f>
        <v>101.62601626016261</v>
      </c>
      <c r="FA6" s="432">
        <f ca="1">INDEX(OFFSET(FA$10,,,Ballasts_Nline),FB6)</f>
        <v>10</v>
      </c>
      <c r="FB6" s="375">
        <f ca="1">FB5+1</f>
        <v>2</v>
      </c>
      <c r="FC6" s="379">
        <f ca="1">INDEX(OFFSET(FC$10,,,Ballasts_Nline),FB6)</f>
        <v>0.1</v>
      </c>
      <c r="FD6" s="380">
        <f ca="1">INDEX(OFFSET(FD$10,,,Ballasts_Nline),FB6)</f>
        <v>5</v>
      </c>
      <c r="FE6" s="380">
        <f ca="1">INDEX(OFFSET(FE$10,,,Ballasts_Nline),FB6)</f>
        <v>40</v>
      </c>
      <c r="FF6" s="380">
        <f ca="1">INDEX(OFFSET(FF$10,,,Ballasts_Nline),FB6)</f>
        <v>7.5</v>
      </c>
      <c r="FG6" s="380">
        <f ca="1">INDEX(OFFSET(FG$10,,,Ballasts_Nline),FB6)</f>
        <v>0.05</v>
      </c>
      <c r="FH6" s="381">
        <f ca="1">INDEX(OFFSET(FH$10,,,Ballasts_Nline),FB6)</f>
        <v>101.62601626016261</v>
      </c>
      <c r="FK6" s="432">
        <f ca="1">INDEX(OFFSET(FK$10,,,Ballasts_Nline),FL6)</f>
        <v>10</v>
      </c>
      <c r="FL6" s="375">
        <f ca="1">FL5+1</f>
        <v>2</v>
      </c>
      <c r="FM6" s="379">
        <f ca="1">INDEX(OFFSET(FM$10,,,Ballasts_Nline),FL6)</f>
        <v>0.1</v>
      </c>
      <c r="FN6" s="380">
        <f ca="1">INDEX(OFFSET(FN$10,,,Ballasts_Nline),FL6)</f>
        <v>5</v>
      </c>
      <c r="FO6" s="380">
        <f ca="1">INDEX(OFFSET(FO$10,,,Ballasts_Nline),FL6)</f>
        <v>40</v>
      </c>
      <c r="FP6" s="380">
        <f ca="1">INDEX(OFFSET(FP$10,,,Ballasts_Nline),FL6)</f>
        <v>2.5</v>
      </c>
      <c r="FQ6" s="380">
        <f ca="1">INDEX(OFFSET(FQ$10,,,Ballasts_Nline),FL6)</f>
        <v>0.05</v>
      </c>
      <c r="FR6" s="381">
        <f ca="1">INDEX(OFFSET(FR$10,,,Ballasts_Nline),FL6)</f>
        <v>101.62601626016261</v>
      </c>
      <c r="FU6" s="432">
        <f ca="1">INDEX(OFFSET(FU$10,,,Ballasts_Nline),FV6)</f>
        <v>10</v>
      </c>
      <c r="FV6" s="375">
        <f ca="1">FV5+1</f>
        <v>2</v>
      </c>
      <c r="FW6" s="379">
        <f ca="1">INDEX(OFFSET(FW$10,,,Ballasts_Nline),FV6)</f>
        <v>0.1</v>
      </c>
      <c r="FX6" s="380">
        <f ca="1">INDEX(OFFSET(FX$10,,,Ballasts_Nline),FV6)</f>
        <v>5</v>
      </c>
      <c r="FY6" s="380">
        <f ca="1">INDEX(OFFSET(FY$10,,,Ballasts_Nline),FV6)</f>
        <v>40</v>
      </c>
      <c r="FZ6" s="380">
        <f ca="1">INDEX(OFFSET(FZ$10,,,Ballasts_Nline),FV6)</f>
        <v>-2.5</v>
      </c>
      <c r="GA6" s="380">
        <f ca="1">INDEX(OFFSET(GA$10,,,Ballasts_Nline),FV6)</f>
        <v>0.05</v>
      </c>
      <c r="GB6" s="381">
        <f ca="1">INDEX(OFFSET(GB$10,,,Ballasts_Nline),FV6)</f>
        <v>101.62601626016261</v>
      </c>
      <c r="GE6" s="432">
        <f ca="1">INDEX(OFFSET(GE$10,,,Ballasts_Nline),GF6)</f>
        <v>10</v>
      </c>
      <c r="GF6" s="375">
        <f ca="1">GF5+1</f>
        <v>2</v>
      </c>
      <c r="GG6" s="379">
        <f ca="1">INDEX(OFFSET(GG$10,,,Ballasts_Nline),GF6)</f>
        <v>0.1</v>
      </c>
      <c r="GH6" s="380">
        <f ca="1">INDEX(OFFSET(GH$10,,,Ballasts_Nline),GF6)</f>
        <v>5</v>
      </c>
      <c r="GI6" s="380">
        <f ca="1">INDEX(OFFSET(GI$10,,,Ballasts_Nline),GF6)</f>
        <v>40</v>
      </c>
      <c r="GJ6" s="380">
        <f ca="1">INDEX(OFFSET(GJ$10,,,Ballasts_Nline),GF6)</f>
        <v>-7.5</v>
      </c>
      <c r="GK6" s="380">
        <f ca="1">INDEX(OFFSET(GK$10,,,Ballasts_Nline),GF6)</f>
        <v>0.05</v>
      </c>
      <c r="GL6" s="381">
        <f ca="1">INDEX(OFFSET(GL$10,,,Ballasts_Nline),GF6)</f>
        <v>101.62601626016261</v>
      </c>
      <c r="GO6" s="432">
        <f ca="1">INDEX(OFFSET(GO$10,,,Ballasts_Nline),GP6)</f>
        <v>10</v>
      </c>
      <c r="GP6" s="375">
        <f ca="1">GP5+1</f>
        <v>2</v>
      </c>
      <c r="GQ6" s="379">
        <f ca="1">INDEX(OFFSET(GQ$10,,,Ballasts_Nline),GP6)</f>
        <v>0.1</v>
      </c>
      <c r="GR6" s="380">
        <f ca="1">INDEX(OFFSET(GR$10,,,Ballasts_Nline),GP6)</f>
        <v>5</v>
      </c>
      <c r="GS6" s="380">
        <f ca="1">INDEX(OFFSET(GS$10,,,Ballasts_Nline),GP6)</f>
        <v>50</v>
      </c>
      <c r="GT6" s="380">
        <f ca="1">INDEX(OFFSET(GT$10,,,Ballasts_Nline),GP6)</f>
        <v>7.5</v>
      </c>
      <c r="GU6" s="380">
        <f ca="1">INDEX(OFFSET(GU$10,,,Ballasts_Nline),GP6)</f>
        <v>0.05</v>
      </c>
      <c r="GV6" s="381">
        <f ca="1">INDEX(OFFSET(GV$10,,,Ballasts_Nline),GP6)</f>
        <v>101.62601626016261</v>
      </c>
      <c r="GY6" s="432">
        <f ca="1">INDEX(OFFSET(GY$10,,,Ballasts_Nline),GZ6)</f>
        <v>10</v>
      </c>
      <c r="GZ6" s="375">
        <f ca="1">GZ5+1</f>
        <v>2</v>
      </c>
      <c r="HA6" s="379">
        <f ca="1">INDEX(OFFSET(HA$10,,,Ballasts_Nline),GZ6)</f>
        <v>0.1</v>
      </c>
      <c r="HB6" s="380">
        <f ca="1">INDEX(OFFSET(HB$10,,,Ballasts_Nline),GZ6)</f>
        <v>5</v>
      </c>
      <c r="HC6" s="380">
        <f ca="1">INDEX(OFFSET(HC$10,,,Ballasts_Nline),GZ6)</f>
        <v>50</v>
      </c>
      <c r="HD6" s="380">
        <f ca="1">INDEX(OFFSET(HD$10,,,Ballasts_Nline),GZ6)</f>
        <v>2.5</v>
      </c>
      <c r="HE6" s="380">
        <f ca="1">INDEX(OFFSET(HE$10,,,Ballasts_Nline),GZ6)</f>
        <v>0.05</v>
      </c>
      <c r="HF6" s="381">
        <f ca="1">INDEX(OFFSET(HF$10,,,Ballasts_Nline),GZ6)</f>
        <v>101.62601626016261</v>
      </c>
      <c r="HH6" s="50"/>
      <c r="HI6" s="432">
        <f ca="1">INDEX(OFFSET(HI$10,,,Ballasts_Nline),HJ6)</f>
        <v>10</v>
      </c>
      <c r="HJ6" s="375">
        <f ca="1">HJ5+1</f>
        <v>2</v>
      </c>
      <c r="HK6" s="379">
        <f ca="1">INDEX(OFFSET(HK$10,,,Ballasts_Nline),HJ6)</f>
        <v>0.1</v>
      </c>
      <c r="HL6" s="380">
        <f ca="1">INDEX(OFFSET(HL$10,,,Ballasts_Nline),HJ6)</f>
        <v>5</v>
      </c>
      <c r="HM6" s="380">
        <f ca="1">INDEX(OFFSET(HM$10,,,Ballasts_Nline),HJ6)</f>
        <v>50</v>
      </c>
      <c r="HN6" s="380">
        <f ca="1">INDEX(OFFSET(HN$10,,,Ballasts_Nline),HJ6)</f>
        <v>-2.5</v>
      </c>
      <c r="HO6" s="380">
        <f ca="1">INDEX(OFFSET(HO$10,,,Ballasts_Nline),HJ6)</f>
        <v>0.05</v>
      </c>
      <c r="HP6" s="381">
        <f ca="1">INDEX(OFFSET(HP$10,,,Ballasts_Nline),HJ6)</f>
        <v>101.62601626016261</v>
      </c>
      <c r="HS6" s="432">
        <f ca="1">INDEX(OFFSET(HS$10,,,Ballasts_Nline),HT6)</f>
        <v>10</v>
      </c>
      <c r="HT6" s="375">
        <f ca="1">HT5+1</f>
        <v>2</v>
      </c>
      <c r="HU6" s="379">
        <f ca="1">INDEX(OFFSET(HU$10,,,Ballasts_Nline),HT6)</f>
        <v>0.1</v>
      </c>
      <c r="HV6" s="380">
        <f ca="1">INDEX(OFFSET(HV$10,,,Ballasts_Nline),HT6)</f>
        <v>5</v>
      </c>
      <c r="HW6" s="380">
        <f ca="1">INDEX(OFFSET(HW$10,,,Ballasts_Nline),HT6)</f>
        <v>50</v>
      </c>
      <c r="HX6" s="380">
        <f ca="1">INDEX(OFFSET(HX$10,,,Ballasts_Nline),HT6)</f>
        <v>-7.5</v>
      </c>
      <c r="HY6" s="380">
        <f ca="1">INDEX(OFFSET(HY$10,,,Ballasts_Nline),HT6)</f>
        <v>0.05</v>
      </c>
      <c r="HZ6" s="381">
        <f ca="1">INDEX(OFFSET(HZ$10,,,Ballasts_Nline),HT6)</f>
        <v>101.62601626016261</v>
      </c>
      <c r="IC6" s="432">
        <f ca="1">INDEX(OFFSET(IC$10,,,Ballasts_Nline),ID6)</f>
        <v>0.17700000000000002</v>
      </c>
      <c r="ID6" s="375">
        <f ca="1">ID5+1</f>
        <v>2</v>
      </c>
      <c r="IE6" s="379">
        <f ca="1">INDEX(OFFSET(IE$10,,,Ballasts_Nline),ID6)</f>
        <v>0.1</v>
      </c>
      <c r="IF6" s="380">
        <f ca="1">INDEX(OFFSET(IF$10,,,Ballasts_Nline),ID6)</f>
        <v>0.11800000000000001</v>
      </c>
      <c r="IG6" s="380">
        <f ca="1">INDEX(OFFSET(IG$10,,,Ballasts_Nline),ID6)</f>
        <v>55.044249999999998</v>
      </c>
      <c r="IH6" s="380">
        <f ca="1">INDEX(OFFSET(IH$10,,,Ballasts_Nline),ID6)</f>
        <v>0</v>
      </c>
      <c r="II6" s="380">
        <f ca="1">INDEX(OFFSET(II$10,,,Ballasts_Nline),ID6)</f>
        <v>0.05</v>
      </c>
      <c r="IJ6" s="381">
        <f ca="1">INDEX(OFFSET(IJ$10,,,Ballasts_Nline),ID6)</f>
        <v>115.12195121951221</v>
      </c>
      <c r="IM6" s="432" t="e">
        <f ca="1">INDEX(OFFSET(IM$10,,,Ballasts_Nline),IN6)</f>
        <v>#N/A</v>
      </c>
      <c r="IN6" s="375" t="e">
        <f ca="1">IN5+1</f>
        <v>#N/A</v>
      </c>
      <c r="IO6" s="379" t="e">
        <f ca="1">INDEX(OFFSET(IO$10,,,Ballasts_Nline),IN6)</f>
        <v>#N/A</v>
      </c>
      <c r="IP6" s="380" t="e">
        <f ca="1">INDEX(OFFSET(IP$10,,,Ballasts_Nline),IN6)</f>
        <v>#N/A</v>
      </c>
      <c r="IQ6" s="380" t="e">
        <f ca="1">INDEX(OFFSET(IQ$10,,,Ballasts_Nline),IN6)</f>
        <v>#N/A</v>
      </c>
      <c r="IR6" s="380" t="e">
        <f ca="1">INDEX(OFFSET(IR$10,,,Ballasts_Nline),IN6)</f>
        <v>#N/A</v>
      </c>
      <c r="IS6" s="380" t="e">
        <f ca="1">INDEX(OFFSET(IS$10,,,Ballasts_Nline),IN6)</f>
        <v>#N/A</v>
      </c>
      <c r="IT6" s="381" t="e">
        <f ca="1">INDEX(OFFSET(IT$10,,,Ballasts_Nline),IN6)</f>
        <v>#N/A</v>
      </c>
      <c r="IU6" s="50"/>
      <c r="IV6" s="50"/>
      <c r="IW6" s="432" t="e">
        <f ca="1">INDEX(OFFSET(IW$10,,,Ballasts_Nline),IX6)</f>
        <v>#N/A</v>
      </c>
      <c r="IX6" s="375" t="e">
        <f ca="1">IX5+1</f>
        <v>#N/A</v>
      </c>
      <c r="IY6" s="379" t="e">
        <f ca="1">INDEX(OFFSET(IY$10,,,Ballasts_Nline),IX6)</f>
        <v>#N/A</v>
      </c>
      <c r="IZ6" s="380" t="e">
        <f ca="1">INDEX(OFFSET(IZ$10,,,Ballasts_Nline),IX6)</f>
        <v>#N/A</v>
      </c>
      <c r="JA6" s="380" t="e">
        <f ca="1">INDEX(OFFSET(JA$10,,,Ballasts_Nline),IX6)</f>
        <v>#N/A</v>
      </c>
      <c r="JB6" s="380" t="e">
        <f ca="1">INDEX(OFFSET(JB$10,,,Ballasts_Nline),IX6)</f>
        <v>#N/A</v>
      </c>
      <c r="JC6" s="380" t="e">
        <f ca="1">INDEX(OFFSET(JC$10,,,Ballasts_Nline),IX6)</f>
        <v>#N/A</v>
      </c>
      <c r="JD6" s="381" t="e">
        <f ca="1">INDEX(OFFSET(JD$10,,,Ballasts_Nline),IX6)</f>
        <v>#N/A</v>
      </c>
      <c r="JE6" s="50"/>
      <c r="JF6" s="50"/>
      <c r="JG6" s="432" t="e">
        <f ca="1">INDEX(OFFSET(JG$10,,,Ballasts_Nline),JH6)</f>
        <v>#N/A</v>
      </c>
      <c r="JH6" s="375" t="e">
        <f ca="1">JH5+1</f>
        <v>#N/A</v>
      </c>
      <c r="JI6" s="379" t="e">
        <f ca="1">INDEX(OFFSET(JI$10,,,Ballasts_Nline),JH6)</f>
        <v>#N/A</v>
      </c>
      <c r="JJ6" s="380" t="e">
        <f ca="1">INDEX(OFFSET(JJ$10,,,Ballasts_Nline),JH6)</f>
        <v>#N/A</v>
      </c>
      <c r="JK6" s="380" t="e">
        <f ca="1">INDEX(OFFSET(JK$10,,,Ballasts_Nline),JH6)</f>
        <v>#N/A</v>
      </c>
      <c r="JL6" s="380" t="e">
        <f ca="1">INDEX(OFFSET(JL$10,,,Ballasts_Nline),JH6)</f>
        <v>#N/A</v>
      </c>
      <c r="JM6" s="380" t="e">
        <f ca="1">INDEX(OFFSET(JM$10,,,Ballasts_Nline),JH6)</f>
        <v>#N/A</v>
      </c>
      <c r="JN6" s="381" t="e">
        <f ca="1">INDEX(OFFSET(JN$10,,,Ballasts_Nline),JH6)</f>
        <v>#N/A</v>
      </c>
      <c r="JO6" s="50"/>
      <c r="JP6" s="50"/>
      <c r="JQ6" s="432" t="e">
        <f ca="1">INDEX(OFFSET(JQ$10,,,Ballasts_Nline),JR6)</f>
        <v>#N/A</v>
      </c>
      <c r="JR6" s="375" t="e">
        <f ca="1">JR5+1</f>
        <v>#N/A</v>
      </c>
      <c r="JS6" s="379" t="e">
        <f ca="1">INDEX(OFFSET(JS$10,,,Ballasts_Nline),JR6)</f>
        <v>#N/A</v>
      </c>
      <c r="JT6" s="380" t="e">
        <f ca="1">INDEX(OFFSET(JT$10,,,Ballasts_Nline),JR6)</f>
        <v>#N/A</v>
      </c>
      <c r="JU6" s="380" t="e">
        <f ca="1">INDEX(OFFSET(JU$10,,,Ballasts_Nline),JR6)</f>
        <v>#N/A</v>
      </c>
      <c r="JV6" s="380" t="e">
        <f ca="1">INDEX(OFFSET(JV$10,,,Ballasts_Nline),JR6)</f>
        <v>#N/A</v>
      </c>
      <c r="JW6" s="380" t="e">
        <f ca="1">INDEX(OFFSET(JW$10,,,Ballasts_Nline),JR6)</f>
        <v>#N/A</v>
      </c>
      <c r="JX6" s="381" t="e">
        <f ca="1">INDEX(OFFSET(JX$10,,,Ballasts_Nline),JR6)</f>
        <v>#N/A</v>
      </c>
      <c r="JY6" s="50"/>
      <c r="JZ6" s="50"/>
      <c r="KA6" s="432" t="e">
        <f ca="1">INDEX(OFFSET(KA$10,,,Ballasts_Nline),KB6)</f>
        <v>#N/A</v>
      </c>
      <c r="KB6" s="375" t="e">
        <f ca="1">KB5+1</f>
        <v>#N/A</v>
      </c>
      <c r="KC6" s="379" t="e">
        <f ca="1">INDEX(OFFSET(KC$10,,,Ballasts_Nline),KB6)</f>
        <v>#N/A</v>
      </c>
      <c r="KD6" s="380" t="e">
        <f ca="1">INDEX(OFFSET(KD$10,,,Ballasts_Nline),KB6)</f>
        <v>#N/A</v>
      </c>
      <c r="KE6" s="380" t="e">
        <f ca="1">INDEX(OFFSET(KE$10,,,Ballasts_Nline),KB6)</f>
        <v>#N/A</v>
      </c>
      <c r="KF6" s="380" t="e">
        <f ca="1">INDEX(OFFSET(KF$10,,,Ballasts_Nline),KB6)</f>
        <v>#N/A</v>
      </c>
      <c r="KG6" s="380" t="e">
        <f ca="1">INDEX(OFFSET(KG$10,,,Ballasts_Nline),KB6)</f>
        <v>#N/A</v>
      </c>
      <c r="KH6" s="381" t="e">
        <f ca="1">INDEX(OFFSET(KH$10,,,Ballasts_Nline),KB6)</f>
        <v>#N/A</v>
      </c>
      <c r="KI6" s="50"/>
      <c r="KJ6" s="50"/>
      <c r="KK6" s="432" t="e">
        <f ca="1">INDEX(OFFSET(KK$10,,,Ballasts_Nline),KL6)</f>
        <v>#N/A</v>
      </c>
      <c r="KL6" s="375" t="e">
        <f ca="1">KL5+1</f>
        <v>#N/A</v>
      </c>
      <c r="KM6" s="379" t="e">
        <f ca="1">INDEX(OFFSET(KM$10,,,Ballasts_Nline),KL6)</f>
        <v>#N/A</v>
      </c>
      <c r="KN6" s="380" t="e">
        <f ca="1">INDEX(OFFSET(KN$10,,,Ballasts_Nline),KL6)</f>
        <v>#N/A</v>
      </c>
      <c r="KO6" s="380" t="e">
        <f ca="1">INDEX(OFFSET(KO$10,,,Ballasts_Nline),KL6)</f>
        <v>#N/A</v>
      </c>
      <c r="KP6" s="380" t="e">
        <f ca="1">INDEX(OFFSET(KP$10,,,Ballasts_Nline),KL6)</f>
        <v>#N/A</v>
      </c>
      <c r="KQ6" s="380" t="e">
        <f ca="1">INDEX(OFFSET(KQ$10,,,Ballasts_Nline),KL6)</f>
        <v>#N/A</v>
      </c>
      <c r="KR6" s="381" t="e">
        <f ca="1">INDEX(OFFSET(KR$10,,,Ballasts_Nline),KL6)</f>
        <v>#N/A</v>
      </c>
      <c r="KS6" s="50"/>
      <c r="KT6" s="50"/>
      <c r="KU6" s="432" t="e">
        <f ca="1">INDEX(OFFSET(KU$10,,,Ballasts_Nline),KV6)</f>
        <v>#N/A</v>
      </c>
      <c r="KV6" s="375" t="e">
        <f ca="1">KV5+1</f>
        <v>#N/A</v>
      </c>
      <c r="KW6" s="379" t="e">
        <f ca="1">INDEX(OFFSET(KW$10,,,Ballasts_Nline),KV6)</f>
        <v>#N/A</v>
      </c>
      <c r="KX6" s="380" t="e">
        <f ca="1">INDEX(OFFSET(KX$10,,,Ballasts_Nline),KV6)</f>
        <v>#N/A</v>
      </c>
      <c r="KY6" s="380" t="e">
        <f ca="1">INDEX(OFFSET(KY$10,,,Ballasts_Nline),KV6)</f>
        <v>#N/A</v>
      </c>
      <c r="KZ6" s="380" t="e">
        <f ca="1">INDEX(OFFSET(KZ$10,,,Ballasts_Nline),KV6)</f>
        <v>#N/A</v>
      </c>
      <c r="LA6" s="380" t="e">
        <f ca="1">INDEX(OFFSET(LA$10,,,Ballasts_Nline),KV6)</f>
        <v>#N/A</v>
      </c>
      <c r="LB6" s="381" t="e">
        <f ca="1">INDEX(OFFSET(LB$10,,,Ballasts_Nline),KV6)</f>
        <v>#N/A</v>
      </c>
    </row>
    <row r="7" spans="1:315" ht="15.75" x14ac:dyDescent="0.25">
      <c r="B7" s="55"/>
      <c r="C7" s="55"/>
      <c r="D7" s="114" t="str">
        <f ca="1">IF(D8=COUNTA(Tbl_Ballasts[Line check]),"OK","KO")</f>
        <v>OK</v>
      </c>
      <c r="E7" s="1098" t="s">
        <v>433</v>
      </c>
      <c r="F7" s="1099"/>
      <c r="G7" s="1100"/>
      <c r="H7" s="471"/>
      <c r="I7" s="471"/>
      <c r="J7" s="268">
        <f ca="1">SUM(Tbl_Ballasts[Weight Fact])</f>
        <v>0</v>
      </c>
      <c r="K7" s="1060" t="s">
        <v>225</v>
      </c>
      <c r="L7" s="1061"/>
      <c r="M7" s="1062"/>
      <c r="N7" s="1078" t="s">
        <v>0</v>
      </c>
      <c r="O7" s="1079"/>
      <c r="P7" s="1079"/>
      <c r="Q7" s="1079"/>
      <c r="R7" s="1079"/>
      <c r="S7" s="1079"/>
      <c r="T7" s="1079"/>
      <c r="U7" s="1079"/>
      <c r="V7" s="1079"/>
      <c r="W7" s="1079"/>
      <c r="X7" s="848" t="str">
        <f ca="1">IF(COUNTIF(Tbl_Ballasts[Repart position],"OK")=COUNTA(Tbl_Ballasts[Repart position]),"OK","KO")</f>
        <v>OK</v>
      </c>
      <c r="AA7" s="361" t="s">
        <v>318</v>
      </c>
      <c r="AB7" s="387" t="s">
        <v>318</v>
      </c>
      <c r="AC7" s="409" t="s">
        <v>62</v>
      </c>
      <c r="AD7" s="410"/>
      <c r="AE7" s="382"/>
      <c r="AF7" s="383" t="s">
        <v>60</v>
      </c>
      <c r="AG7" s="384">
        <v>1.0249999999999999</v>
      </c>
      <c r="AH7" s="385" t="s">
        <v>43</v>
      </c>
      <c r="AI7" s="52"/>
      <c r="AJ7" s="52"/>
      <c r="AK7" s="361" t="s">
        <v>318</v>
      </c>
      <c r="AL7" s="387" t="s">
        <v>318</v>
      </c>
      <c r="AM7" s="409" t="s">
        <v>62</v>
      </c>
      <c r="AN7" s="410"/>
      <c r="AO7" s="382"/>
      <c r="AP7" s="383" t="s">
        <v>60</v>
      </c>
      <c r="AQ7" s="384">
        <v>1.0249999999999999</v>
      </c>
      <c r="AR7" s="385" t="s">
        <v>43</v>
      </c>
      <c r="AS7" s="52"/>
      <c r="AT7" s="52"/>
      <c r="AU7" s="361" t="s">
        <v>318</v>
      </c>
      <c r="AV7" s="387" t="s">
        <v>318</v>
      </c>
      <c r="AW7" s="409" t="s">
        <v>62</v>
      </c>
      <c r="AX7" s="410"/>
      <c r="AY7" s="382"/>
      <c r="AZ7" s="383" t="s">
        <v>60</v>
      </c>
      <c r="BA7" s="384">
        <v>1.0249999999999999</v>
      </c>
      <c r="BB7" s="385" t="s">
        <v>43</v>
      </c>
      <c r="BC7" s="52"/>
      <c r="BD7" s="52"/>
      <c r="BE7" s="361" t="s">
        <v>318</v>
      </c>
      <c r="BF7" s="387" t="s">
        <v>318</v>
      </c>
      <c r="BG7" s="409" t="s">
        <v>62</v>
      </c>
      <c r="BH7" s="410"/>
      <c r="BI7" s="382"/>
      <c r="BJ7" s="383" t="s">
        <v>60</v>
      </c>
      <c r="BK7" s="384">
        <v>1.0249999999999999</v>
      </c>
      <c r="BL7" s="385" t="s">
        <v>43</v>
      </c>
      <c r="BM7" s="51"/>
      <c r="BN7" s="52"/>
      <c r="BO7" s="361" t="s">
        <v>318</v>
      </c>
      <c r="BP7" s="387" t="s">
        <v>318</v>
      </c>
      <c r="BQ7" s="409" t="s">
        <v>62</v>
      </c>
      <c r="BR7" s="410"/>
      <c r="BS7" s="382"/>
      <c r="BT7" s="383" t="s">
        <v>60</v>
      </c>
      <c r="BU7" s="384">
        <v>1.0249999999999999</v>
      </c>
      <c r="BV7" s="385" t="s">
        <v>43</v>
      </c>
      <c r="BW7" s="52"/>
      <c r="BX7" s="51"/>
      <c r="BY7" s="361" t="s">
        <v>318</v>
      </c>
      <c r="BZ7" s="387" t="s">
        <v>318</v>
      </c>
      <c r="CA7" s="409" t="s">
        <v>62</v>
      </c>
      <c r="CB7" s="410"/>
      <c r="CC7" s="382"/>
      <c r="CD7" s="383" t="s">
        <v>60</v>
      </c>
      <c r="CE7" s="384">
        <v>1.0249999999999999</v>
      </c>
      <c r="CF7" s="385" t="s">
        <v>43</v>
      </c>
      <c r="CG7" s="52"/>
      <c r="CH7" s="52"/>
      <c r="CI7" s="361" t="s">
        <v>318</v>
      </c>
      <c r="CJ7" s="387" t="s">
        <v>318</v>
      </c>
      <c r="CK7" s="409" t="s">
        <v>62</v>
      </c>
      <c r="CL7" s="410"/>
      <c r="CM7" s="382"/>
      <c r="CN7" s="383" t="s">
        <v>60</v>
      </c>
      <c r="CO7" s="384">
        <v>1.0249999999999999</v>
      </c>
      <c r="CP7" s="385" t="s">
        <v>43</v>
      </c>
      <c r="CQ7" s="52"/>
      <c r="CS7" s="361" t="s">
        <v>318</v>
      </c>
      <c r="CT7" s="387" t="s">
        <v>318</v>
      </c>
      <c r="CU7" s="409" t="s">
        <v>62</v>
      </c>
      <c r="CV7" s="410"/>
      <c r="CW7" s="382"/>
      <c r="CX7" s="383" t="s">
        <v>60</v>
      </c>
      <c r="CY7" s="384">
        <v>1.0249999999999999</v>
      </c>
      <c r="CZ7" s="385" t="s">
        <v>43</v>
      </c>
      <c r="DA7" s="52"/>
      <c r="DB7" s="52"/>
      <c r="DC7" s="361" t="s">
        <v>318</v>
      </c>
      <c r="DD7" s="387" t="s">
        <v>318</v>
      </c>
      <c r="DE7" s="409" t="s">
        <v>62</v>
      </c>
      <c r="DF7" s="410"/>
      <c r="DG7" s="382"/>
      <c r="DH7" s="383" t="s">
        <v>60</v>
      </c>
      <c r="DI7" s="384">
        <v>1.0249999999999999</v>
      </c>
      <c r="DJ7" s="385" t="s">
        <v>43</v>
      </c>
      <c r="DK7" s="52"/>
      <c r="DM7" s="361" t="s">
        <v>318</v>
      </c>
      <c r="DN7" s="387" t="s">
        <v>318</v>
      </c>
      <c r="DO7" s="409" t="s">
        <v>62</v>
      </c>
      <c r="DP7" s="410"/>
      <c r="DQ7" s="382"/>
      <c r="DR7" s="383" t="s">
        <v>60</v>
      </c>
      <c r="DS7" s="384">
        <v>1.0249999999999999</v>
      </c>
      <c r="DT7" s="385" t="s">
        <v>43</v>
      </c>
      <c r="DU7" s="51"/>
      <c r="DV7" s="52"/>
      <c r="DW7" s="361" t="s">
        <v>318</v>
      </c>
      <c r="DX7" s="387" t="s">
        <v>318</v>
      </c>
      <c r="DY7" s="409" t="s">
        <v>62</v>
      </c>
      <c r="DZ7" s="410"/>
      <c r="EA7" s="382"/>
      <c r="EB7" s="383" t="s">
        <v>60</v>
      </c>
      <c r="EC7" s="384">
        <v>1.0249999999999999</v>
      </c>
      <c r="ED7" s="385" t="s">
        <v>43</v>
      </c>
      <c r="EE7" s="420"/>
      <c r="EF7" s="52"/>
      <c r="EG7" s="361" t="s">
        <v>318</v>
      </c>
      <c r="EH7" s="387" t="s">
        <v>318</v>
      </c>
      <c r="EI7" s="409" t="s">
        <v>62</v>
      </c>
      <c r="EJ7" s="410"/>
      <c r="EK7" s="382"/>
      <c r="EL7" s="383" t="s">
        <v>60</v>
      </c>
      <c r="EM7" s="384">
        <v>1.0249999999999999</v>
      </c>
      <c r="EN7" s="385" t="s">
        <v>43</v>
      </c>
      <c r="EO7" s="368"/>
      <c r="EP7" s="368"/>
      <c r="EQ7" s="361" t="s">
        <v>318</v>
      </c>
      <c r="ER7" s="387" t="s">
        <v>318</v>
      </c>
      <c r="ES7" s="409" t="s">
        <v>62</v>
      </c>
      <c r="ET7" s="410"/>
      <c r="EU7" s="382"/>
      <c r="EV7" s="383" t="s">
        <v>60</v>
      </c>
      <c r="EW7" s="384">
        <v>1.0249999999999999</v>
      </c>
      <c r="EX7" s="385" t="s">
        <v>43</v>
      </c>
      <c r="EY7" s="51"/>
      <c r="EZ7" s="52"/>
      <c r="FA7" s="361" t="s">
        <v>318</v>
      </c>
      <c r="FB7" s="387" t="s">
        <v>318</v>
      </c>
      <c r="FC7" s="409" t="s">
        <v>62</v>
      </c>
      <c r="FD7" s="410"/>
      <c r="FE7" s="382"/>
      <c r="FF7" s="383" t="s">
        <v>60</v>
      </c>
      <c r="FG7" s="384">
        <v>1.0249999999999999</v>
      </c>
      <c r="FH7" s="385" t="s">
        <v>43</v>
      </c>
      <c r="FI7" s="51"/>
      <c r="FJ7" s="52"/>
      <c r="FK7" s="361" t="s">
        <v>318</v>
      </c>
      <c r="FL7" s="387" t="s">
        <v>318</v>
      </c>
      <c r="FM7" s="409" t="s">
        <v>62</v>
      </c>
      <c r="FN7" s="410"/>
      <c r="FO7" s="382"/>
      <c r="FP7" s="383" t="s">
        <v>60</v>
      </c>
      <c r="FQ7" s="384">
        <v>1.0249999999999999</v>
      </c>
      <c r="FR7" s="385" t="s">
        <v>43</v>
      </c>
      <c r="FS7" s="52"/>
      <c r="FT7" s="52"/>
      <c r="FU7" s="361" t="s">
        <v>318</v>
      </c>
      <c r="FV7" s="387" t="s">
        <v>318</v>
      </c>
      <c r="FW7" s="409" t="s">
        <v>62</v>
      </c>
      <c r="FX7" s="410"/>
      <c r="FY7" s="382"/>
      <c r="FZ7" s="383" t="s">
        <v>60</v>
      </c>
      <c r="GA7" s="384">
        <v>1.0249999999999999</v>
      </c>
      <c r="GB7" s="385" t="s">
        <v>43</v>
      </c>
      <c r="GC7" s="51"/>
      <c r="GD7" s="52"/>
      <c r="GE7" s="361" t="s">
        <v>318</v>
      </c>
      <c r="GF7" s="387" t="s">
        <v>318</v>
      </c>
      <c r="GG7" s="409" t="s">
        <v>62</v>
      </c>
      <c r="GH7" s="410"/>
      <c r="GI7" s="382"/>
      <c r="GJ7" s="383" t="s">
        <v>60</v>
      </c>
      <c r="GK7" s="384">
        <v>1.0249999999999999</v>
      </c>
      <c r="GL7" s="385" t="s">
        <v>43</v>
      </c>
      <c r="GM7" s="51"/>
      <c r="GN7" s="52"/>
      <c r="GO7" s="361" t="s">
        <v>318</v>
      </c>
      <c r="GP7" s="387" t="s">
        <v>318</v>
      </c>
      <c r="GQ7" s="409" t="s">
        <v>62</v>
      </c>
      <c r="GR7" s="410"/>
      <c r="GS7" s="382"/>
      <c r="GT7" s="383" t="s">
        <v>60</v>
      </c>
      <c r="GU7" s="384">
        <v>1.0249999999999999</v>
      </c>
      <c r="GV7" s="385" t="s">
        <v>43</v>
      </c>
      <c r="GW7" s="52"/>
      <c r="GX7" s="52"/>
      <c r="GY7" s="361" t="s">
        <v>318</v>
      </c>
      <c r="GZ7" s="387" t="s">
        <v>318</v>
      </c>
      <c r="HA7" s="409" t="s">
        <v>62</v>
      </c>
      <c r="HB7" s="410"/>
      <c r="HC7" s="382"/>
      <c r="HD7" s="383" t="s">
        <v>60</v>
      </c>
      <c r="HE7" s="384">
        <v>1.0249999999999999</v>
      </c>
      <c r="HF7" s="385" t="s">
        <v>43</v>
      </c>
      <c r="HH7" s="52"/>
      <c r="HI7" s="361" t="s">
        <v>318</v>
      </c>
      <c r="HJ7" s="387" t="s">
        <v>318</v>
      </c>
      <c r="HK7" s="409" t="s">
        <v>62</v>
      </c>
      <c r="HL7" s="410"/>
      <c r="HM7" s="382"/>
      <c r="HN7" s="383" t="s">
        <v>60</v>
      </c>
      <c r="HO7" s="384">
        <v>1.0249999999999999</v>
      </c>
      <c r="HP7" s="385" t="s">
        <v>43</v>
      </c>
      <c r="HQ7" s="51"/>
      <c r="HR7" s="52"/>
      <c r="HS7" s="361" t="s">
        <v>318</v>
      </c>
      <c r="HT7" s="387" t="s">
        <v>318</v>
      </c>
      <c r="HU7" s="409" t="s">
        <v>62</v>
      </c>
      <c r="HV7" s="410"/>
      <c r="HW7" s="382"/>
      <c r="HX7" s="383" t="s">
        <v>60</v>
      </c>
      <c r="HY7" s="384">
        <v>1.0249999999999999</v>
      </c>
      <c r="HZ7" s="385" t="s">
        <v>43</v>
      </c>
      <c r="IA7" s="51"/>
      <c r="IB7" s="52"/>
      <c r="IC7" s="361" t="s">
        <v>318</v>
      </c>
      <c r="ID7" s="387" t="s">
        <v>318</v>
      </c>
      <c r="IE7" s="409" t="s">
        <v>62</v>
      </c>
      <c r="IF7" s="410"/>
      <c r="IG7" s="382"/>
      <c r="IH7" s="383" t="s">
        <v>60</v>
      </c>
      <c r="II7" s="384">
        <v>1.0249999999999999</v>
      </c>
      <c r="IJ7" s="385" t="s">
        <v>43</v>
      </c>
      <c r="IK7" s="52"/>
      <c r="IL7" s="52"/>
      <c r="IM7" s="361" t="s">
        <v>318</v>
      </c>
      <c r="IN7" s="387" t="s">
        <v>318</v>
      </c>
      <c r="IO7" s="409" t="s">
        <v>62</v>
      </c>
      <c r="IP7" s="410"/>
      <c r="IQ7" s="382"/>
      <c r="IR7" s="383" t="s">
        <v>60</v>
      </c>
      <c r="IS7" s="384">
        <v>1.0249999999999999</v>
      </c>
      <c r="IT7" s="385" t="s">
        <v>43</v>
      </c>
      <c r="IU7" s="52"/>
      <c r="IV7" s="52"/>
      <c r="IW7" s="361" t="s">
        <v>318</v>
      </c>
      <c r="IX7" s="387" t="s">
        <v>318</v>
      </c>
      <c r="IY7" s="409" t="s">
        <v>62</v>
      </c>
      <c r="IZ7" s="410"/>
      <c r="JA7" s="382"/>
      <c r="JB7" s="383" t="s">
        <v>60</v>
      </c>
      <c r="JC7" s="384">
        <v>1.0249999999999999</v>
      </c>
      <c r="JD7" s="385" t="s">
        <v>43</v>
      </c>
      <c r="JE7" s="52"/>
      <c r="JF7" s="52"/>
      <c r="JG7" s="361" t="s">
        <v>318</v>
      </c>
      <c r="JH7" s="387" t="s">
        <v>318</v>
      </c>
      <c r="JI7" s="409" t="s">
        <v>62</v>
      </c>
      <c r="JJ7" s="410"/>
      <c r="JK7" s="382"/>
      <c r="JL7" s="383" t="s">
        <v>60</v>
      </c>
      <c r="JM7" s="384">
        <v>1.0249999999999999</v>
      </c>
      <c r="JN7" s="385" t="s">
        <v>43</v>
      </c>
      <c r="JO7" s="52"/>
      <c r="JP7" s="52"/>
      <c r="JQ7" s="361" t="s">
        <v>318</v>
      </c>
      <c r="JR7" s="387" t="s">
        <v>318</v>
      </c>
      <c r="JS7" s="409" t="s">
        <v>62</v>
      </c>
      <c r="JT7" s="410"/>
      <c r="JU7" s="382"/>
      <c r="JV7" s="383" t="s">
        <v>60</v>
      </c>
      <c r="JW7" s="384">
        <v>1.0249999999999999</v>
      </c>
      <c r="JX7" s="385" t="s">
        <v>43</v>
      </c>
      <c r="JY7" s="52"/>
      <c r="JZ7" s="52"/>
      <c r="KA7" s="361" t="s">
        <v>318</v>
      </c>
      <c r="KB7" s="387" t="s">
        <v>318</v>
      </c>
      <c r="KC7" s="409" t="s">
        <v>62</v>
      </c>
      <c r="KD7" s="410"/>
      <c r="KE7" s="382"/>
      <c r="KF7" s="383" t="s">
        <v>60</v>
      </c>
      <c r="KG7" s="384">
        <v>1.0249999999999999</v>
      </c>
      <c r="KH7" s="385" t="s">
        <v>43</v>
      </c>
      <c r="KI7" s="52"/>
      <c r="KJ7" s="52"/>
      <c r="KK7" s="361" t="s">
        <v>318</v>
      </c>
      <c r="KL7" s="387" t="s">
        <v>318</v>
      </c>
      <c r="KM7" s="409" t="s">
        <v>62</v>
      </c>
      <c r="KN7" s="410"/>
      <c r="KO7" s="382"/>
      <c r="KP7" s="383" t="s">
        <v>60</v>
      </c>
      <c r="KQ7" s="384">
        <v>1.0249999999999999</v>
      </c>
      <c r="KR7" s="385" t="s">
        <v>43</v>
      </c>
      <c r="KS7" s="52"/>
      <c r="KT7" s="52"/>
      <c r="KU7" s="361" t="s">
        <v>318</v>
      </c>
      <c r="KV7" s="387" t="s">
        <v>318</v>
      </c>
      <c r="KW7" s="409" t="s">
        <v>62</v>
      </c>
      <c r="KX7" s="410"/>
      <c r="KY7" s="382"/>
      <c r="KZ7" s="383" t="s">
        <v>60</v>
      </c>
      <c r="LA7" s="384">
        <v>1.0249999999999999</v>
      </c>
      <c r="LB7" s="385" t="s">
        <v>43</v>
      </c>
      <c r="LC7" s="52"/>
    </row>
    <row r="8" spans="1:315" x14ac:dyDescent="0.25">
      <c r="B8" s="55"/>
      <c r="C8" s="55"/>
      <c r="D8" s="468">
        <f ca="1">COUNTIF(Tbl_Ballasts[Line check],"OK")</f>
        <v>22</v>
      </c>
      <c r="E8" s="1101">
        <v>10</v>
      </c>
      <c r="F8" s="1102"/>
      <c r="G8" s="1103"/>
      <c r="H8" s="471"/>
      <c r="I8" s="471"/>
      <c r="J8" s="77"/>
      <c r="K8" s="1091" t="s">
        <v>3</v>
      </c>
      <c r="L8" s="1092"/>
      <c r="M8" s="1093"/>
      <c r="N8" s="125"/>
      <c r="O8" s="1076" t="s">
        <v>150</v>
      </c>
      <c r="P8" s="1077"/>
      <c r="Q8" s="1074" t="s">
        <v>149</v>
      </c>
      <c r="R8" s="1075"/>
      <c r="S8" s="78" t="s">
        <v>151</v>
      </c>
      <c r="T8" s="1080" t="s">
        <v>219</v>
      </c>
      <c r="U8" s="1081"/>
      <c r="V8" s="146" t="s">
        <v>152</v>
      </c>
      <c r="W8" s="1094" t="s">
        <v>151</v>
      </c>
      <c r="X8" s="1077"/>
      <c r="AA8" s="407">
        <v>1.7769999999999999</v>
      </c>
      <c r="AB8" s="408">
        <v>0</v>
      </c>
      <c r="AC8" s="411" t="s">
        <v>12</v>
      </c>
      <c r="AD8" s="405" t="s">
        <v>11</v>
      </c>
      <c r="AE8" s="405" t="s">
        <v>12</v>
      </c>
      <c r="AF8" s="405" t="s">
        <v>12</v>
      </c>
      <c r="AG8" s="405" t="s">
        <v>12</v>
      </c>
      <c r="AH8" s="406" t="s">
        <v>47</v>
      </c>
      <c r="AI8" s="352"/>
      <c r="AJ8" s="352"/>
      <c r="AK8" s="407">
        <v>0</v>
      </c>
      <c r="AL8" s="408">
        <v>0</v>
      </c>
      <c r="AM8" s="411" t="s">
        <v>12</v>
      </c>
      <c r="AN8" s="405" t="s">
        <v>11</v>
      </c>
      <c r="AO8" s="405" t="s">
        <v>12</v>
      </c>
      <c r="AP8" s="405" t="s">
        <v>12</v>
      </c>
      <c r="AQ8" s="405" t="s">
        <v>12</v>
      </c>
      <c r="AR8" s="406" t="s">
        <v>47</v>
      </c>
      <c r="AS8" s="352"/>
      <c r="AT8" s="352"/>
      <c r="AU8" s="407">
        <v>0</v>
      </c>
      <c r="AV8" s="408">
        <v>0</v>
      </c>
      <c r="AW8" s="411" t="s">
        <v>12</v>
      </c>
      <c r="AX8" s="405" t="s">
        <v>11</v>
      </c>
      <c r="AY8" s="405" t="s">
        <v>12</v>
      </c>
      <c r="AZ8" s="405" t="s">
        <v>12</v>
      </c>
      <c r="BA8" s="405" t="s">
        <v>12</v>
      </c>
      <c r="BB8" s="406" t="s">
        <v>47</v>
      </c>
      <c r="BC8" s="52"/>
      <c r="BD8" s="52"/>
      <c r="BE8" s="407">
        <v>0</v>
      </c>
      <c r="BF8" s="408">
        <v>0</v>
      </c>
      <c r="BG8" s="411" t="s">
        <v>12</v>
      </c>
      <c r="BH8" s="405" t="s">
        <v>11</v>
      </c>
      <c r="BI8" s="405" t="s">
        <v>12</v>
      </c>
      <c r="BJ8" s="405" t="s">
        <v>12</v>
      </c>
      <c r="BK8" s="405" t="s">
        <v>12</v>
      </c>
      <c r="BL8" s="406" t="s">
        <v>47</v>
      </c>
      <c r="BM8" s="52"/>
      <c r="BN8" s="52"/>
      <c r="BO8" s="407">
        <v>0</v>
      </c>
      <c r="BP8" s="408">
        <v>0</v>
      </c>
      <c r="BQ8" s="411" t="s">
        <v>12</v>
      </c>
      <c r="BR8" s="405" t="s">
        <v>11</v>
      </c>
      <c r="BS8" s="405" t="s">
        <v>12</v>
      </c>
      <c r="BT8" s="405" t="s">
        <v>12</v>
      </c>
      <c r="BU8" s="405" t="s">
        <v>12</v>
      </c>
      <c r="BV8" s="406" t="s">
        <v>47</v>
      </c>
      <c r="BW8" s="52"/>
      <c r="BX8" s="52"/>
      <c r="BY8" s="407">
        <v>0</v>
      </c>
      <c r="BZ8" s="408">
        <v>0</v>
      </c>
      <c r="CA8" s="411" t="s">
        <v>12</v>
      </c>
      <c r="CB8" s="405" t="s">
        <v>11</v>
      </c>
      <c r="CC8" s="405" t="s">
        <v>12</v>
      </c>
      <c r="CD8" s="405" t="s">
        <v>12</v>
      </c>
      <c r="CE8" s="405" t="s">
        <v>12</v>
      </c>
      <c r="CF8" s="406" t="s">
        <v>47</v>
      </c>
      <c r="CG8" s="52"/>
      <c r="CH8" s="52"/>
      <c r="CI8" s="407">
        <v>0</v>
      </c>
      <c r="CJ8" s="408">
        <v>0</v>
      </c>
      <c r="CK8" s="411" t="s">
        <v>12</v>
      </c>
      <c r="CL8" s="405" t="s">
        <v>11</v>
      </c>
      <c r="CM8" s="405" t="s">
        <v>12</v>
      </c>
      <c r="CN8" s="405" t="s">
        <v>12</v>
      </c>
      <c r="CO8" s="405" t="s">
        <v>12</v>
      </c>
      <c r="CP8" s="406" t="s">
        <v>47</v>
      </c>
      <c r="CQ8" s="52"/>
      <c r="CS8" s="407">
        <v>0</v>
      </c>
      <c r="CT8" s="408">
        <v>0</v>
      </c>
      <c r="CU8" s="411" t="s">
        <v>12</v>
      </c>
      <c r="CV8" s="405" t="s">
        <v>11</v>
      </c>
      <c r="CW8" s="405" t="s">
        <v>12</v>
      </c>
      <c r="CX8" s="405" t="s">
        <v>12</v>
      </c>
      <c r="CY8" s="405" t="s">
        <v>12</v>
      </c>
      <c r="CZ8" s="406" t="s">
        <v>47</v>
      </c>
      <c r="DA8" s="52"/>
      <c r="DB8" s="52"/>
      <c r="DC8" s="407">
        <v>0</v>
      </c>
      <c r="DD8" s="408">
        <v>0</v>
      </c>
      <c r="DE8" s="411" t="s">
        <v>12</v>
      </c>
      <c r="DF8" s="405" t="s">
        <v>11</v>
      </c>
      <c r="DG8" s="405" t="s">
        <v>12</v>
      </c>
      <c r="DH8" s="405" t="s">
        <v>12</v>
      </c>
      <c r="DI8" s="405" t="s">
        <v>12</v>
      </c>
      <c r="DJ8" s="406" t="s">
        <v>47</v>
      </c>
      <c r="DK8" s="52"/>
      <c r="DM8" s="407">
        <v>0</v>
      </c>
      <c r="DN8" s="408">
        <v>0</v>
      </c>
      <c r="DO8" s="411" t="s">
        <v>12</v>
      </c>
      <c r="DP8" s="405" t="s">
        <v>11</v>
      </c>
      <c r="DQ8" s="405" t="s">
        <v>12</v>
      </c>
      <c r="DR8" s="405" t="s">
        <v>12</v>
      </c>
      <c r="DS8" s="405" t="s">
        <v>12</v>
      </c>
      <c r="DT8" s="406" t="s">
        <v>47</v>
      </c>
      <c r="DU8" s="52"/>
      <c r="DV8" s="52"/>
      <c r="DW8" s="407">
        <v>0</v>
      </c>
      <c r="DX8" s="408">
        <v>0</v>
      </c>
      <c r="DY8" s="411" t="s">
        <v>12</v>
      </c>
      <c r="DZ8" s="405" t="s">
        <v>11</v>
      </c>
      <c r="EA8" s="405" t="s">
        <v>12</v>
      </c>
      <c r="EB8" s="405" t="s">
        <v>12</v>
      </c>
      <c r="EC8" s="405" t="s">
        <v>12</v>
      </c>
      <c r="ED8" s="406" t="s">
        <v>47</v>
      </c>
      <c r="EE8" s="52"/>
      <c r="EF8" s="52"/>
      <c r="EG8" s="407">
        <v>0</v>
      </c>
      <c r="EH8" s="408">
        <v>0</v>
      </c>
      <c r="EI8" s="411" t="s">
        <v>12</v>
      </c>
      <c r="EJ8" s="405" t="s">
        <v>11</v>
      </c>
      <c r="EK8" s="405" t="s">
        <v>12</v>
      </c>
      <c r="EL8" s="405" t="s">
        <v>12</v>
      </c>
      <c r="EM8" s="405" t="s">
        <v>12</v>
      </c>
      <c r="EN8" s="406" t="s">
        <v>47</v>
      </c>
      <c r="EO8" s="352"/>
      <c r="EP8" s="352"/>
      <c r="EQ8" s="407">
        <v>0</v>
      </c>
      <c r="ER8" s="408">
        <v>0</v>
      </c>
      <c r="ES8" s="411" t="s">
        <v>12</v>
      </c>
      <c r="ET8" s="405" t="s">
        <v>11</v>
      </c>
      <c r="EU8" s="405" t="s">
        <v>12</v>
      </c>
      <c r="EV8" s="405" t="s">
        <v>12</v>
      </c>
      <c r="EW8" s="405" t="s">
        <v>12</v>
      </c>
      <c r="EX8" s="406" t="s">
        <v>47</v>
      </c>
      <c r="EY8" s="52"/>
      <c r="EZ8" s="52"/>
      <c r="FA8" s="407">
        <v>0</v>
      </c>
      <c r="FB8" s="408">
        <v>0</v>
      </c>
      <c r="FC8" s="411" t="s">
        <v>12</v>
      </c>
      <c r="FD8" s="405" t="s">
        <v>11</v>
      </c>
      <c r="FE8" s="405" t="s">
        <v>12</v>
      </c>
      <c r="FF8" s="405" t="s">
        <v>12</v>
      </c>
      <c r="FG8" s="405" t="s">
        <v>12</v>
      </c>
      <c r="FH8" s="406" t="s">
        <v>47</v>
      </c>
      <c r="FI8" s="52"/>
      <c r="FJ8" s="52"/>
      <c r="FK8" s="407">
        <v>0</v>
      </c>
      <c r="FL8" s="408">
        <v>0</v>
      </c>
      <c r="FM8" s="411" t="s">
        <v>12</v>
      </c>
      <c r="FN8" s="405" t="s">
        <v>11</v>
      </c>
      <c r="FO8" s="405" t="s">
        <v>12</v>
      </c>
      <c r="FP8" s="405" t="s">
        <v>12</v>
      </c>
      <c r="FQ8" s="405" t="s">
        <v>12</v>
      </c>
      <c r="FR8" s="406" t="s">
        <v>47</v>
      </c>
      <c r="FS8" s="52"/>
      <c r="FT8" s="52"/>
      <c r="FU8" s="407">
        <v>0</v>
      </c>
      <c r="FV8" s="408">
        <v>0</v>
      </c>
      <c r="FW8" s="411" t="s">
        <v>12</v>
      </c>
      <c r="FX8" s="405" t="s">
        <v>11</v>
      </c>
      <c r="FY8" s="405" t="s">
        <v>12</v>
      </c>
      <c r="FZ8" s="405" t="s">
        <v>12</v>
      </c>
      <c r="GA8" s="405" t="s">
        <v>12</v>
      </c>
      <c r="GB8" s="406" t="s">
        <v>47</v>
      </c>
      <c r="GC8" s="52"/>
      <c r="GD8" s="52"/>
      <c r="GE8" s="407">
        <v>0</v>
      </c>
      <c r="GF8" s="408">
        <v>0</v>
      </c>
      <c r="GG8" s="411" t="s">
        <v>12</v>
      </c>
      <c r="GH8" s="405" t="s">
        <v>11</v>
      </c>
      <c r="GI8" s="405" t="s">
        <v>12</v>
      </c>
      <c r="GJ8" s="405" t="s">
        <v>12</v>
      </c>
      <c r="GK8" s="405" t="s">
        <v>12</v>
      </c>
      <c r="GL8" s="406" t="s">
        <v>47</v>
      </c>
      <c r="GM8" s="52"/>
      <c r="GN8" s="52"/>
      <c r="GO8" s="407">
        <v>0</v>
      </c>
      <c r="GP8" s="408">
        <v>0</v>
      </c>
      <c r="GQ8" s="411" t="s">
        <v>12</v>
      </c>
      <c r="GR8" s="405" t="s">
        <v>11</v>
      </c>
      <c r="GS8" s="405" t="s">
        <v>12</v>
      </c>
      <c r="GT8" s="405" t="s">
        <v>12</v>
      </c>
      <c r="GU8" s="405" t="s">
        <v>12</v>
      </c>
      <c r="GV8" s="406" t="s">
        <v>47</v>
      </c>
      <c r="GW8" s="52"/>
      <c r="GX8" s="52"/>
      <c r="GY8" s="407">
        <v>0</v>
      </c>
      <c r="GZ8" s="408">
        <v>0</v>
      </c>
      <c r="HA8" s="411" t="s">
        <v>12</v>
      </c>
      <c r="HB8" s="405" t="s">
        <v>11</v>
      </c>
      <c r="HC8" s="405" t="s">
        <v>12</v>
      </c>
      <c r="HD8" s="405" t="s">
        <v>12</v>
      </c>
      <c r="HE8" s="405" t="s">
        <v>12</v>
      </c>
      <c r="HF8" s="406" t="s">
        <v>47</v>
      </c>
      <c r="HH8" s="52"/>
      <c r="HI8" s="407">
        <v>0</v>
      </c>
      <c r="HJ8" s="408">
        <v>0</v>
      </c>
      <c r="HK8" s="411" t="s">
        <v>12</v>
      </c>
      <c r="HL8" s="405" t="s">
        <v>11</v>
      </c>
      <c r="HM8" s="405" t="s">
        <v>12</v>
      </c>
      <c r="HN8" s="405" t="s">
        <v>12</v>
      </c>
      <c r="HO8" s="405" t="s">
        <v>12</v>
      </c>
      <c r="HP8" s="406" t="s">
        <v>47</v>
      </c>
      <c r="HQ8" s="52"/>
      <c r="HR8" s="52"/>
      <c r="HS8" s="407">
        <v>0</v>
      </c>
      <c r="HT8" s="408">
        <v>0</v>
      </c>
      <c r="HU8" s="411" t="s">
        <v>12</v>
      </c>
      <c r="HV8" s="405" t="s">
        <v>11</v>
      </c>
      <c r="HW8" s="405" t="s">
        <v>12</v>
      </c>
      <c r="HX8" s="405" t="s">
        <v>12</v>
      </c>
      <c r="HY8" s="405" t="s">
        <v>12</v>
      </c>
      <c r="HZ8" s="406" t="s">
        <v>47</v>
      </c>
      <c r="IA8" s="52"/>
      <c r="IB8" s="52"/>
      <c r="IC8" s="407">
        <v>1.77</v>
      </c>
      <c r="ID8" s="408">
        <v>0</v>
      </c>
      <c r="IE8" s="411" t="s">
        <v>12</v>
      </c>
      <c r="IF8" s="405" t="s">
        <v>11</v>
      </c>
      <c r="IG8" s="405" t="s">
        <v>12</v>
      </c>
      <c r="IH8" s="405" t="s">
        <v>12</v>
      </c>
      <c r="II8" s="405" t="s">
        <v>12</v>
      </c>
      <c r="IJ8" s="406" t="s">
        <v>47</v>
      </c>
      <c r="IK8" s="52"/>
      <c r="IL8" s="52"/>
      <c r="IM8" s="407">
        <v>2.5</v>
      </c>
      <c r="IN8" s="408">
        <v>0</v>
      </c>
      <c r="IO8" s="411" t="s">
        <v>12</v>
      </c>
      <c r="IP8" s="405" t="s">
        <v>11</v>
      </c>
      <c r="IQ8" s="405" t="s">
        <v>12</v>
      </c>
      <c r="IR8" s="405" t="s">
        <v>12</v>
      </c>
      <c r="IS8" s="405" t="s">
        <v>12</v>
      </c>
      <c r="IT8" s="406" t="s">
        <v>47</v>
      </c>
      <c r="IU8" s="52"/>
      <c r="IV8" s="52"/>
      <c r="IW8" s="407">
        <v>2.5</v>
      </c>
      <c r="IX8" s="408">
        <v>0</v>
      </c>
      <c r="IY8" s="411" t="s">
        <v>12</v>
      </c>
      <c r="IZ8" s="405" t="s">
        <v>11</v>
      </c>
      <c r="JA8" s="405" t="s">
        <v>12</v>
      </c>
      <c r="JB8" s="405" t="s">
        <v>12</v>
      </c>
      <c r="JC8" s="405" t="s">
        <v>12</v>
      </c>
      <c r="JD8" s="406" t="s">
        <v>47</v>
      </c>
      <c r="JE8" s="52"/>
      <c r="JF8" s="52"/>
      <c r="JG8" s="407">
        <v>2.5</v>
      </c>
      <c r="JH8" s="408">
        <v>0</v>
      </c>
      <c r="JI8" s="411" t="s">
        <v>12</v>
      </c>
      <c r="JJ8" s="405" t="s">
        <v>11</v>
      </c>
      <c r="JK8" s="405" t="s">
        <v>12</v>
      </c>
      <c r="JL8" s="405" t="s">
        <v>12</v>
      </c>
      <c r="JM8" s="405" t="s">
        <v>12</v>
      </c>
      <c r="JN8" s="406" t="s">
        <v>47</v>
      </c>
      <c r="JO8" s="52"/>
      <c r="JP8" s="52"/>
      <c r="JQ8" s="407">
        <v>2.5</v>
      </c>
      <c r="JR8" s="408">
        <v>0</v>
      </c>
      <c r="JS8" s="411" t="s">
        <v>12</v>
      </c>
      <c r="JT8" s="405" t="s">
        <v>11</v>
      </c>
      <c r="JU8" s="405" t="s">
        <v>12</v>
      </c>
      <c r="JV8" s="405" t="s">
        <v>12</v>
      </c>
      <c r="JW8" s="405" t="s">
        <v>12</v>
      </c>
      <c r="JX8" s="406" t="s">
        <v>47</v>
      </c>
      <c r="JY8" s="52"/>
      <c r="JZ8" s="52"/>
      <c r="KA8" s="407">
        <v>2.5</v>
      </c>
      <c r="KB8" s="408">
        <v>0</v>
      </c>
      <c r="KC8" s="411" t="s">
        <v>12</v>
      </c>
      <c r="KD8" s="405" t="s">
        <v>11</v>
      </c>
      <c r="KE8" s="405" t="s">
        <v>12</v>
      </c>
      <c r="KF8" s="405" t="s">
        <v>12</v>
      </c>
      <c r="KG8" s="405" t="s">
        <v>12</v>
      </c>
      <c r="KH8" s="406" t="s">
        <v>47</v>
      </c>
      <c r="KI8" s="52"/>
      <c r="KJ8" s="52"/>
      <c r="KK8" s="407">
        <v>2.5</v>
      </c>
      <c r="KL8" s="408">
        <v>0</v>
      </c>
      <c r="KM8" s="411" t="s">
        <v>12</v>
      </c>
      <c r="KN8" s="405" t="s">
        <v>11</v>
      </c>
      <c r="KO8" s="405" t="s">
        <v>12</v>
      </c>
      <c r="KP8" s="405" t="s">
        <v>12</v>
      </c>
      <c r="KQ8" s="405" t="s">
        <v>12</v>
      </c>
      <c r="KR8" s="406" t="s">
        <v>47</v>
      </c>
      <c r="KS8" s="52"/>
      <c r="KT8" s="52"/>
      <c r="KU8" s="407">
        <v>1</v>
      </c>
      <c r="KV8" s="408">
        <v>0</v>
      </c>
      <c r="KW8" s="411" t="s">
        <v>12</v>
      </c>
      <c r="KX8" s="405" t="s">
        <v>11</v>
      </c>
      <c r="KY8" s="405" t="s">
        <v>12</v>
      </c>
      <c r="KZ8" s="405" t="s">
        <v>12</v>
      </c>
      <c r="LA8" s="405" t="s">
        <v>12</v>
      </c>
      <c r="LB8" s="406" t="s">
        <v>47</v>
      </c>
      <c r="LC8" s="52"/>
    </row>
    <row r="9" spans="1:315" ht="33.75" customHeight="1" x14ac:dyDescent="0.25">
      <c r="B9" s="358" t="s">
        <v>179</v>
      </c>
      <c r="C9" s="455" t="s">
        <v>16</v>
      </c>
      <c r="D9" s="457" t="s">
        <v>326</v>
      </c>
      <c r="E9" s="456" t="s">
        <v>308</v>
      </c>
      <c r="F9" s="351" t="s">
        <v>307</v>
      </c>
      <c r="G9" s="586" t="s">
        <v>419</v>
      </c>
      <c r="H9" s="761" t="s">
        <v>309</v>
      </c>
      <c r="I9" s="492" t="s">
        <v>377</v>
      </c>
      <c r="J9" s="81" t="s">
        <v>195</v>
      </c>
      <c r="K9" s="88" t="s">
        <v>7</v>
      </c>
      <c r="L9" s="89" t="s">
        <v>8</v>
      </c>
      <c r="M9" s="89" t="s">
        <v>9</v>
      </c>
      <c r="N9" s="92" t="s">
        <v>161</v>
      </c>
      <c r="O9" s="92" t="s">
        <v>198</v>
      </c>
      <c r="P9" s="93" t="s">
        <v>199</v>
      </c>
      <c r="Q9" s="90" t="s">
        <v>196</v>
      </c>
      <c r="R9" s="91" t="s">
        <v>197</v>
      </c>
      <c r="S9" s="92" t="s">
        <v>183</v>
      </c>
      <c r="T9" s="126" t="s">
        <v>217</v>
      </c>
      <c r="U9" s="127" t="s">
        <v>218</v>
      </c>
      <c r="V9" s="128" t="s">
        <v>153</v>
      </c>
      <c r="W9" s="92" t="s">
        <v>224</v>
      </c>
      <c r="X9" s="849" t="s">
        <v>428</v>
      </c>
      <c r="Z9" s="487"/>
      <c r="AA9" s="403" t="s">
        <v>317</v>
      </c>
      <c r="AB9" s="404" t="s">
        <v>319</v>
      </c>
      <c r="AC9" s="394" t="s">
        <v>168</v>
      </c>
      <c r="AD9" s="394" t="s">
        <v>42</v>
      </c>
      <c r="AE9" s="394" t="s">
        <v>61</v>
      </c>
      <c r="AF9" s="394" t="s">
        <v>14</v>
      </c>
      <c r="AG9" s="394" t="s">
        <v>15</v>
      </c>
      <c r="AH9" s="395" t="s">
        <v>169</v>
      </c>
      <c r="AI9" s="352"/>
      <c r="AJ9" s="352"/>
      <c r="AK9" s="403" t="s">
        <v>317</v>
      </c>
      <c r="AL9" s="404" t="s">
        <v>319</v>
      </c>
      <c r="AM9" s="394" t="s">
        <v>168</v>
      </c>
      <c r="AN9" s="394" t="s">
        <v>42</v>
      </c>
      <c r="AO9" s="394" t="s">
        <v>61</v>
      </c>
      <c r="AP9" s="394" t="s">
        <v>14</v>
      </c>
      <c r="AQ9" s="394" t="s">
        <v>15</v>
      </c>
      <c r="AR9" s="395" t="s">
        <v>169</v>
      </c>
      <c r="AS9" s="352"/>
      <c r="AT9" s="352"/>
      <c r="AU9" s="403" t="s">
        <v>317</v>
      </c>
      <c r="AV9" s="404" t="s">
        <v>319</v>
      </c>
      <c r="AW9" s="394" t="s">
        <v>168</v>
      </c>
      <c r="AX9" s="394" t="s">
        <v>42</v>
      </c>
      <c r="AY9" s="394" t="s">
        <v>61</v>
      </c>
      <c r="AZ9" s="394" t="s">
        <v>14</v>
      </c>
      <c r="BA9" s="394" t="s">
        <v>15</v>
      </c>
      <c r="BB9" s="395" t="s">
        <v>169</v>
      </c>
      <c r="BC9" s="52"/>
      <c r="BD9" s="52"/>
      <c r="BE9" s="403" t="s">
        <v>317</v>
      </c>
      <c r="BF9" s="404" t="s">
        <v>319</v>
      </c>
      <c r="BG9" s="394" t="s">
        <v>168</v>
      </c>
      <c r="BH9" s="394" t="s">
        <v>42</v>
      </c>
      <c r="BI9" s="394" t="s">
        <v>61</v>
      </c>
      <c r="BJ9" s="394" t="s">
        <v>14</v>
      </c>
      <c r="BK9" s="394" t="s">
        <v>15</v>
      </c>
      <c r="BL9" s="395" t="s">
        <v>169</v>
      </c>
      <c r="BM9" s="52"/>
      <c r="BN9" s="52"/>
      <c r="BO9" s="403" t="s">
        <v>317</v>
      </c>
      <c r="BP9" s="404" t="s">
        <v>319</v>
      </c>
      <c r="BQ9" s="394" t="s">
        <v>168</v>
      </c>
      <c r="BR9" s="394" t="s">
        <v>42</v>
      </c>
      <c r="BS9" s="394" t="s">
        <v>61</v>
      </c>
      <c r="BT9" s="394" t="s">
        <v>14</v>
      </c>
      <c r="BU9" s="394" t="s">
        <v>15</v>
      </c>
      <c r="BV9" s="395" t="s">
        <v>169</v>
      </c>
      <c r="BW9" s="52"/>
      <c r="BX9" s="52"/>
      <c r="BY9" s="403" t="s">
        <v>317</v>
      </c>
      <c r="BZ9" s="404" t="s">
        <v>319</v>
      </c>
      <c r="CA9" s="394" t="s">
        <v>168</v>
      </c>
      <c r="CB9" s="394" t="s">
        <v>42</v>
      </c>
      <c r="CC9" s="394" t="s">
        <v>61</v>
      </c>
      <c r="CD9" s="394" t="s">
        <v>14</v>
      </c>
      <c r="CE9" s="394" t="s">
        <v>15</v>
      </c>
      <c r="CF9" s="395" t="s">
        <v>169</v>
      </c>
      <c r="CG9" s="52"/>
      <c r="CH9" s="52"/>
      <c r="CI9" s="403" t="s">
        <v>317</v>
      </c>
      <c r="CJ9" s="404" t="s">
        <v>319</v>
      </c>
      <c r="CK9" s="394" t="s">
        <v>168</v>
      </c>
      <c r="CL9" s="394" t="s">
        <v>42</v>
      </c>
      <c r="CM9" s="394" t="s">
        <v>61</v>
      </c>
      <c r="CN9" s="394" t="s">
        <v>14</v>
      </c>
      <c r="CO9" s="394" t="s">
        <v>15</v>
      </c>
      <c r="CP9" s="395" t="s">
        <v>169</v>
      </c>
      <c r="CQ9" s="52"/>
      <c r="CS9" s="403" t="s">
        <v>317</v>
      </c>
      <c r="CT9" s="404" t="s">
        <v>319</v>
      </c>
      <c r="CU9" s="394" t="s">
        <v>168</v>
      </c>
      <c r="CV9" s="394" t="s">
        <v>42</v>
      </c>
      <c r="CW9" s="394" t="s">
        <v>61</v>
      </c>
      <c r="CX9" s="394" t="s">
        <v>14</v>
      </c>
      <c r="CY9" s="394" t="s">
        <v>15</v>
      </c>
      <c r="CZ9" s="395" t="s">
        <v>169</v>
      </c>
      <c r="DA9" s="52"/>
      <c r="DB9" s="52"/>
      <c r="DC9" s="403" t="s">
        <v>317</v>
      </c>
      <c r="DD9" s="404" t="s">
        <v>319</v>
      </c>
      <c r="DE9" s="394" t="s">
        <v>168</v>
      </c>
      <c r="DF9" s="394" t="s">
        <v>42</v>
      </c>
      <c r="DG9" s="394" t="s">
        <v>61</v>
      </c>
      <c r="DH9" s="394" t="s">
        <v>14</v>
      </c>
      <c r="DI9" s="394" t="s">
        <v>15</v>
      </c>
      <c r="DJ9" s="395" t="s">
        <v>169</v>
      </c>
      <c r="DK9" s="52"/>
      <c r="DM9" s="403" t="s">
        <v>317</v>
      </c>
      <c r="DN9" s="404" t="s">
        <v>319</v>
      </c>
      <c r="DO9" s="394" t="s">
        <v>168</v>
      </c>
      <c r="DP9" s="394" t="s">
        <v>42</v>
      </c>
      <c r="DQ9" s="394" t="s">
        <v>61</v>
      </c>
      <c r="DR9" s="394" t="s">
        <v>14</v>
      </c>
      <c r="DS9" s="394" t="s">
        <v>15</v>
      </c>
      <c r="DT9" s="395" t="s">
        <v>169</v>
      </c>
      <c r="DU9" s="52"/>
      <c r="DV9" s="52"/>
      <c r="DW9" s="403" t="s">
        <v>317</v>
      </c>
      <c r="DX9" s="404" t="s">
        <v>319</v>
      </c>
      <c r="DY9" s="394" t="s">
        <v>168</v>
      </c>
      <c r="DZ9" s="394" t="s">
        <v>42</v>
      </c>
      <c r="EA9" s="394" t="s">
        <v>61</v>
      </c>
      <c r="EB9" s="394" t="s">
        <v>14</v>
      </c>
      <c r="EC9" s="394" t="s">
        <v>15</v>
      </c>
      <c r="ED9" s="395" t="s">
        <v>169</v>
      </c>
      <c r="EE9" s="52"/>
      <c r="EF9" s="52"/>
      <c r="EG9" s="403" t="s">
        <v>317</v>
      </c>
      <c r="EH9" s="404" t="s">
        <v>319</v>
      </c>
      <c r="EI9" s="394" t="s">
        <v>168</v>
      </c>
      <c r="EJ9" s="394" t="s">
        <v>42</v>
      </c>
      <c r="EK9" s="394" t="s">
        <v>61</v>
      </c>
      <c r="EL9" s="394" t="s">
        <v>14</v>
      </c>
      <c r="EM9" s="394" t="s">
        <v>15</v>
      </c>
      <c r="EN9" s="395" t="s">
        <v>169</v>
      </c>
      <c r="EO9" s="352"/>
      <c r="EP9" s="352"/>
      <c r="EQ9" s="403" t="s">
        <v>317</v>
      </c>
      <c r="ER9" s="404" t="s">
        <v>319</v>
      </c>
      <c r="ES9" s="394" t="s">
        <v>168</v>
      </c>
      <c r="ET9" s="394" t="s">
        <v>42</v>
      </c>
      <c r="EU9" s="394" t="s">
        <v>61</v>
      </c>
      <c r="EV9" s="394" t="s">
        <v>14</v>
      </c>
      <c r="EW9" s="394" t="s">
        <v>15</v>
      </c>
      <c r="EX9" s="395" t="s">
        <v>169</v>
      </c>
      <c r="EY9" s="52"/>
      <c r="EZ9" s="52"/>
      <c r="FA9" s="403" t="s">
        <v>317</v>
      </c>
      <c r="FB9" s="404" t="s">
        <v>319</v>
      </c>
      <c r="FC9" s="394" t="s">
        <v>168</v>
      </c>
      <c r="FD9" s="394" t="s">
        <v>42</v>
      </c>
      <c r="FE9" s="394" t="s">
        <v>61</v>
      </c>
      <c r="FF9" s="394" t="s">
        <v>14</v>
      </c>
      <c r="FG9" s="394" t="s">
        <v>15</v>
      </c>
      <c r="FH9" s="395" t="s">
        <v>169</v>
      </c>
      <c r="FI9" s="52"/>
      <c r="FJ9" s="52"/>
      <c r="FK9" s="403" t="s">
        <v>317</v>
      </c>
      <c r="FL9" s="404" t="s">
        <v>319</v>
      </c>
      <c r="FM9" s="394" t="s">
        <v>168</v>
      </c>
      <c r="FN9" s="394" t="s">
        <v>42</v>
      </c>
      <c r="FO9" s="394" t="s">
        <v>61</v>
      </c>
      <c r="FP9" s="394" t="s">
        <v>14</v>
      </c>
      <c r="FQ9" s="394" t="s">
        <v>15</v>
      </c>
      <c r="FR9" s="395" t="s">
        <v>169</v>
      </c>
      <c r="FS9" s="52"/>
      <c r="FT9" s="52"/>
      <c r="FU9" s="403" t="s">
        <v>317</v>
      </c>
      <c r="FV9" s="404" t="s">
        <v>319</v>
      </c>
      <c r="FW9" s="394" t="s">
        <v>168</v>
      </c>
      <c r="FX9" s="394" t="s">
        <v>42</v>
      </c>
      <c r="FY9" s="394" t="s">
        <v>61</v>
      </c>
      <c r="FZ9" s="394" t="s">
        <v>14</v>
      </c>
      <c r="GA9" s="394" t="s">
        <v>15</v>
      </c>
      <c r="GB9" s="395" t="s">
        <v>169</v>
      </c>
      <c r="GC9" s="52"/>
      <c r="GD9" s="52"/>
      <c r="GE9" s="403" t="s">
        <v>317</v>
      </c>
      <c r="GF9" s="404" t="s">
        <v>319</v>
      </c>
      <c r="GG9" s="394" t="s">
        <v>168</v>
      </c>
      <c r="GH9" s="394" t="s">
        <v>42</v>
      </c>
      <c r="GI9" s="394" t="s">
        <v>61</v>
      </c>
      <c r="GJ9" s="394" t="s">
        <v>14</v>
      </c>
      <c r="GK9" s="394" t="s">
        <v>15</v>
      </c>
      <c r="GL9" s="395" t="s">
        <v>169</v>
      </c>
      <c r="GM9" s="52"/>
      <c r="GN9" s="52"/>
      <c r="GO9" s="403" t="s">
        <v>317</v>
      </c>
      <c r="GP9" s="404" t="s">
        <v>319</v>
      </c>
      <c r="GQ9" s="394" t="s">
        <v>168</v>
      </c>
      <c r="GR9" s="394" t="s">
        <v>42</v>
      </c>
      <c r="GS9" s="394" t="s">
        <v>61</v>
      </c>
      <c r="GT9" s="394" t="s">
        <v>14</v>
      </c>
      <c r="GU9" s="394" t="s">
        <v>15</v>
      </c>
      <c r="GV9" s="395" t="s">
        <v>169</v>
      </c>
      <c r="GW9" s="52"/>
      <c r="GX9" s="52"/>
      <c r="GY9" s="403" t="s">
        <v>317</v>
      </c>
      <c r="GZ9" s="404" t="s">
        <v>319</v>
      </c>
      <c r="HA9" s="394" t="s">
        <v>168</v>
      </c>
      <c r="HB9" s="394" t="s">
        <v>42</v>
      </c>
      <c r="HC9" s="394" t="s">
        <v>61</v>
      </c>
      <c r="HD9" s="394" t="s">
        <v>14</v>
      </c>
      <c r="HE9" s="394" t="s">
        <v>15</v>
      </c>
      <c r="HF9" s="395" t="s">
        <v>169</v>
      </c>
      <c r="HH9" s="52"/>
      <c r="HI9" s="403" t="s">
        <v>317</v>
      </c>
      <c r="HJ9" s="404" t="s">
        <v>319</v>
      </c>
      <c r="HK9" s="394" t="s">
        <v>168</v>
      </c>
      <c r="HL9" s="394" t="s">
        <v>42</v>
      </c>
      <c r="HM9" s="394" t="s">
        <v>61</v>
      </c>
      <c r="HN9" s="394" t="s">
        <v>14</v>
      </c>
      <c r="HO9" s="394" t="s">
        <v>15</v>
      </c>
      <c r="HP9" s="395" t="s">
        <v>169</v>
      </c>
      <c r="HQ9" s="52"/>
      <c r="HR9" s="52"/>
      <c r="HS9" s="403" t="s">
        <v>317</v>
      </c>
      <c r="HT9" s="404" t="s">
        <v>319</v>
      </c>
      <c r="HU9" s="394" t="s">
        <v>168</v>
      </c>
      <c r="HV9" s="394" t="s">
        <v>42</v>
      </c>
      <c r="HW9" s="394" t="s">
        <v>61</v>
      </c>
      <c r="HX9" s="394" t="s">
        <v>14</v>
      </c>
      <c r="HY9" s="394" t="s">
        <v>15</v>
      </c>
      <c r="HZ9" s="395" t="s">
        <v>169</v>
      </c>
      <c r="IA9" s="52"/>
      <c r="IB9" s="52"/>
      <c r="IC9" s="403" t="s">
        <v>317</v>
      </c>
      <c r="ID9" s="404" t="s">
        <v>319</v>
      </c>
      <c r="IE9" s="394" t="s">
        <v>168</v>
      </c>
      <c r="IF9" s="394" t="s">
        <v>42</v>
      </c>
      <c r="IG9" s="394" t="s">
        <v>61</v>
      </c>
      <c r="IH9" s="394" t="s">
        <v>14</v>
      </c>
      <c r="II9" s="394" t="s">
        <v>15</v>
      </c>
      <c r="IJ9" s="395" t="s">
        <v>169</v>
      </c>
      <c r="IK9" s="52"/>
      <c r="IL9" s="52"/>
      <c r="IM9" s="403" t="s">
        <v>317</v>
      </c>
      <c r="IN9" s="404" t="s">
        <v>319</v>
      </c>
      <c r="IO9" s="394" t="s">
        <v>168</v>
      </c>
      <c r="IP9" s="394" t="s">
        <v>42</v>
      </c>
      <c r="IQ9" s="394" t="s">
        <v>61</v>
      </c>
      <c r="IR9" s="394" t="s">
        <v>14</v>
      </c>
      <c r="IS9" s="394" t="s">
        <v>15</v>
      </c>
      <c r="IT9" s="395" t="s">
        <v>169</v>
      </c>
      <c r="IU9" s="52"/>
      <c r="IV9" s="52"/>
      <c r="IW9" s="403" t="s">
        <v>317</v>
      </c>
      <c r="IX9" s="404" t="s">
        <v>319</v>
      </c>
      <c r="IY9" s="394" t="s">
        <v>168</v>
      </c>
      <c r="IZ9" s="394" t="s">
        <v>42</v>
      </c>
      <c r="JA9" s="394" t="s">
        <v>61</v>
      </c>
      <c r="JB9" s="394" t="s">
        <v>14</v>
      </c>
      <c r="JC9" s="394" t="s">
        <v>15</v>
      </c>
      <c r="JD9" s="395" t="s">
        <v>169</v>
      </c>
      <c r="JE9" s="52"/>
      <c r="JF9" s="52"/>
      <c r="JG9" s="403" t="s">
        <v>317</v>
      </c>
      <c r="JH9" s="404" t="s">
        <v>319</v>
      </c>
      <c r="JI9" s="394" t="s">
        <v>168</v>
      </c>
      <c r="JJ9" s="394" t="s">
        <v>42</v>
      </c>
      <c r="JK9" s="394" t="s">
        <v>61</v>
      </c>
      <c r="JL9" s="394" t="s">
        <v>14</v>
      </c>
      <c r="JM9" s="394" t="s">
        <v>15</v>
      </c>
      <c r="JN9" s="395" t="s">
        <v>169</v>
      </c>
      <c r="JO9" s="52"/>
      <c r="JP9" s="52"/>
      <c r="JQ9" s="403" t="s">
        <v>317</v>
      </c>
      <c r="JR9" s="404" t="s">
        <v>319</v>
      </c>
      <c r="JS9" s="394" t="s">
        <v>168</v>
      </c>
      <c r="JT9" s="394" t="s">
        <v>42</v>
      </c>
      <c r="JU9" s="394" t="s">
        <v>61</v>
      </c>
      <c r="JV9" s="394" t="s">
        <v>14</v>
      </c>
      <c r="JW9" s="394" t="s">
        <v>15</v>
      </c>
      <c r="JX9" s="395" t="s">
        <v>169</v>
      </c>
      <c r="JY9" s="52"/>
      <c r="JZ9" s="52"/>
      <c r="KA9" s="403" t="s">
        <v>317</v>
      </c>
      <c r="KB9" s="404" t="s">
        <v>319</v>
      </c>
      <c r="KC9" s="394" t="s">
        <v>168</v>
      </c>
      <c r="KD9" s="394" t="s">
        <v>42</v>
      </c>
      <c r="KE9" s="394" t="s">
        <v>61</v>
      </c>
      <c r="KF9" s="394" t="s">
        <v>14</v>
      </c>
      <c r="KG9" s="394" t="s">
        <v>15</v>
      </c>
      <c r="KH9" s="395" t="s">
        <v>169</v>
      </c>
      <c r="KI9" s="52"/>
      <c r="KJ9" s="52"/>
      <c r="KK9" s="403" t="s">
        <v>317</v>
      </c>
      <c r="KL9" s="404" t="s">
        <v>319</v>
      </c>
      <c r="KM9" s="394" t="s">
        <v>168</v>
      </c>
      <c r="KN9" s="394" t="s">
        <v>42</v>
      </c>
      <c r="KO9" s="394" t="s">
        <v>61</v>
      </c>
      <c r="KP9" s="394" t="s">
        <v>14</v>
      </c>
      <c r="KQ9" s="394" t="s">
        <v>15</v>
      </c>
      <c r="KR9" s="395" t="s">
        <v>169</v>
      </c>
      <c r="KS9" s="52"/>
      <c r="KT9" s="52"/>
      <c r="KU9" s="403" t="s">
        <v>317</v>
      </c>
      <c r="KV9" s="404" t="s">
        <v>319</v>
      </c>
      <c r="KW9" s="394" t="s">
        <v>168</v>
      </c>
      <c r="KX9" s="394" t="s">
        <v>42</v>
      </c>
      <c r="KY9" s="394" t="s">
        <v>61</v>
      </c>
      <c r="KZ9" s="394" t="s">
        <v>14</v>
      </c>
      <c r="LA9" s="394" t="s">
        <v>15</v>
      </c>
      <c r="LB9" s="395" t="s">
        <v>169</v>
      </c>
      <c r="LC9" s="52"/>
    </row>
    <row r="10" spans="1:315" s="67" customFormat="1" ht="15" customHeight="1" x14ac:dyDescent="0.25">
      <c r="A10" s="481"/>
      <c r="B10" s="73">
        <f t="shared" ref="B10:B31" si="0">IF(ISNUMBER($B9),B9+1,0)</f>
        <v>0</v>
      </c>
      <c r="C10" s="347" t="str">
        <f>INDEX($AA$1:$LC$6,C$5,C$6+Tbl_Ballasts[[#This Row],[Index]]*Ballasts_columns_step)</f>
        <v>WB1A</v>
      </c>
      <c r="D10" s="114" t="str">
        <f ca="1">IFERROR(OFFSET($AA$1,D$5,D$6+Tbl_Ballasts[[#This Row],[Index]]*Ballasts_columns_step),0)</f>
        <v>OK</v>
      </c>
      <c r="E10" s="348">
        <v>7</v>
      </c>
      <c r="F10" s="349">
        <v>1</v>
      </c>
      <c r="G10" s="762" t="str">
        <f>TEXT(Tbl_Ballasts[[#This Row],[Recap Row]],"00")&amp;TEXT(Tbl_Ballasts[[#This Row],[Recap Col]],"00")</f>
        <v>0701</v>
      </c>
      <c r="H10" s="760">
        <f>INDEX(Recap_Ballasts,Tbl_Ballasts[[#This Row],[Recap Row]],Tbl_Ballasts[[#This Row],[Recap Col]])</f>
        <v>0</v>
      </c>
      <c r="I10" s="493">
        <f ca="1">IFERROR(OFFSET($AA$1,I$5,I$6+Tbl_Ballasts[[#This Row],[Index]]*Ballasts_columns_step),0)</f>
        <v>0</v>
      </c>
      <c r="J10" s="103">
        <f ca="1">IFERROR(OFFSET($AA$1,J$5,J$6+Tbl_Ballasts[[#This Row],[Index]]*Ballasts_columns_step),0)</f>
        <v>0</v>
      </c>
      <c r="K10" s="427">
        <f ca="1">IFERROR(OFFSET($AA$1,K$5,K$6+Tbl_Ballasts[[#This Row],[Index]]*Ballasts_columns_step),0)</f>
        <v>5</v>
      </c>
      <c r="L10" s="428">
        <f ca="1">IFERROR(OFFSET($AA$1,L$5,L$6+Tbl_Ballasts[[#This Row],[Index]]*Ballasts_columns_step),0)</f>
        <v>0</v>
      </c>
      <c r="M10" s="429">
        <f ca="1">IFERROR(OFFSET($AA$1,M$5,M$6+Tbl_Ballasts[[#This Row],[Index]]*Ballasts_columns_step),0)</f>
        <v>0</v>
      </c>
      <c r="N10" s="438">
        <f ca="1">IFERROR(OFFSET($AA$1,N$5,N$6+Tbl_Ballasts[[#This Row],[Index]]*Ballasts_columns_step),0)</f>
        <v>0</v>
      </c>
      <c r="O10" s="437" t="str">
        <f ca="1">IF(Tbl_Ballasts[[#This Row],[Weight Fact]],Tbl_Ballasts[[#This Row],[COG x ]]-Tbl_Ballasts[[#This Row],[Distrib]]/2,"")</f>
        <v/>
      </c>
      <c r="P10" s="439" t="str">
        <f ca="1">IF(Tbl_Ballasts[[#This Row],[Weight Fact]],Tbl_Ballasts[[#This Row],[COG x ]]+Tbl_Ballasts[[#This Row],[Distrib]]/2,"")</f>
        <v/>
      </c>
      <c r="Q10" s="440" t="str">
        <f ca="1">IF(Tbl_Ballasts[[#This Row],[Weight Fact]],ROUND(Tbl_Ballasts[[#This Row],[AP from]]/FE_size,0),"")</f>
        <v/>
      </c>
      <c r="R10" s="441" t="str">
        <f ca="1">IF(Tbl_Ballasts[[#This Row],[Weight Fact]],ROUND(Tbl_Ballasts[[#This Row],[AP to]]/FE_size,0),"")</f>
        <v/>
      </c>
      <c r="S10" s="114" t="str">
        <f ca="1">IF(Tbl_Ballasts[[#This Row],[Weight Fact]]=0,"",IF(AND(Tbl_Ballasts[[#This Row],[COG x ]]&gt;=(Tbl_Ballasts[[#This Row],[L to]]-Tbl_Ballasts[[#This Row],[L from]])/3+Tbl_Ballasts[[#This Row],[L from]],Tbl_Ballasts[[#This Row],[COG x ]]&lt;=(Tbl_Ballasts[[#This Row],[L to]]-Tbl_Ballasts[[#This Row],[L from]])*2/3+Tbl_Ballasts[[#This Row],[L from]],Tbl_Ballasts[[#This Row],[L to]]&gt;Tbl_Ballasts[[#This Row],[L from]]),"OK","KO"))</f>
        <v/>
      </c>
      <c r="T10" s="442" t="str">
        <f ca="1">IF(Tbl_Ballasts[[#This Row],[Weight Fact]],IF(Tbl_Ballasts[[#This Row],[Fr from]]*FE_size&lt;0,0,Tbl_Ballasts[[#This Row],[Fr from]]*FE_size),"")</f>
        <v/>
      </c>
      <c r="U10" s="443" t="str">
        <f ca="1">IF(Tbl_Ballasts[[#This Row],[Weight Fact]],IF(Tbl_Ballasts[[#This Row],[Fr to]]*FE_size=Tbl_Ballasts[[#This Row],[L from]],Tbl_Ballasts[[#This Row],[L from]]+FE_size,IF(Tbl_Ballasts[[#This Row],[Fr to]]*FE_size&gt;Lpp,Lpp,Tbl_Ballasts[[#This Row],[Fr to]]*FE_size)),"")</f>
        <v/>
      </c>
      <c r="V10" s="444" t="str">
        <f ca="1">IFERROR(Tbl_Ballasts[[#This Row],[Weight Fact]]/(Tbl_Ballasts[[#This Row],[L to]]-Tbl_Ballasts[[#This Row],[L from]]),"")</f>
        <v/>
      </c>
      <c r="W10" s="145" t="str">
        <f ca="1">IF(Tbl_Ballasts[[#This Row],[Weight Fact]],Tbl_Ballasts[[#This Row],[Spread]]*(Tbl_Ballasts[[#This Row],[L to]]-Tbl_Ballasts[[#This Row],[L from]])-Tbl_Ballasts[[#This Row],[Weight Fact]],"")</f>
        <v/>
      </c>
      <c r="X10" s="141" t="str">
        <f ca="1">IF(AND(ISNUMBER(Tbl_Ballasts[[#This Row],[L from]]),ISNUMBER(Tbl_Ballasts[[#This Row],[L to]])),IF(AND(Tbl_Ballasts[[#This Row],[L from]]&gt;=0,Tbl_Ballasts[[#This Row],[L to]]&lt;=Lpp),"OK","KO"),"OK")</f>
        <v>OK</v>
      </c>
      <c r="Y10" s="481"/>
      <c r="Z10" s="413"/>
      <c r="AA10" s="396">
        <f t="shared" ref="AA10:AA38" si="1">IF(ISTEXT(AA9),AG$2,IF(AA9+AA$8*(AC10-AC9)&gt;AG$3,AG$3,AA9+AA$8*(AC10-AC9)))</f>
        <v>0</v>
      </c>
      <c r="AB10" s="397">
        <f t="shared" ref="AB10:AB38" si="2">IF(ISTEXT(AB9),AH$2,IF(AB9+AB$8*(AC10-AC9)&gt;AH$3,AH$3,AB9+AB$8*(AC10-AC9)))</f>
        <v>20</v>
      </c>
      <c r="AC10" s="398">
        <f t="shared" ref="AC10:AC41" si="3">IF(ISTEXT(AC9),0,IF(AC9+Δ_hba&gt;AD$3,NA(),AC9+Δ_hba))</f>
        <v>0</v>
      </c>
      <c r="AD10" s="398">
        <f>IF(ISTEXT(AC9),0,AD9+(AC10-AC9)/3*(AA9*AB9+AA10*AB10+SQRT(AA9*AB9*AA10*AB10)))</f>
        <v>0</v>
      </c>
      <c r="AE10" s="398">
        <f t="shared" ref="AE10:AE38" si="4">IF(ISTEXT(AE9),AE$2,(AD9*AE9+(AD10-AD9)*IF(AE$2=AE$3,AE$2,IF(AE$2&gt;AE$3,AE$2-(AA10+AA9)/4,AE$2+(AA10+AA9)/4)))/AD10)</f>
        <v>5</v>
      </c>
      <c r="AF10" s="398">
        <f t="shared" ref="AF10:AF38" si="5">IF(ISTEXT(AF9),AF$2,(AD9*AF9+(AD10-AD9)*IF(AF$2&gt;0,AF$2-AH$2/2+(AB10+AB9)/4,AF$2+AH$2/2-(AB10+AB9)/4))/AD10)</f>
        <v>0</v>
      </c>
      <c r="AG10" s="398">
        <f>IF(ISTEXT(AG9),AD$2,(AD9*AG9+(AD10-AD9)*(AC10+AC9)/2)/AD10)</f>
        <v>0</v>
      </c>
      <c r="AH10" s="399">
        <f>IF(ISNA(AA11),IF(AH9=0,NA(),0),IF(ISNUMBER(AH9),AA10*AB10^3/12/AG$7,0))</f>
        <v>0</v>
      </c>
      <c r="AI10" s="367"/>
      <c r="AJ10" s="66"/>
      <c r="AK10" s="396">
        <f t="shared" ref="AK10:AK38" si="6">IF(ISTEXT(AK9),AQ$2,IF(AK9+AK$8*(AM10-AM9)&gt;AQ$3,AQ$3,AK9+AK$8*(AM10-AM9)))</f>
        <v>10</v>
      </c>
      <c r="AL10" s="397">
        <f t="shared" ref="AL10:AL38" si="7">IF(ISTEXT(AL9),AR$2,IF(AL9+AL$8*(AM10-AM9)&gt;AR$3,AR$3,AL9+AL$8*(AM10-AM9)))</f>
        <v>5</v>
      </c>
      <c r="AM10" s="398">
        <f t="shared" ref="AM10:AM41" si="8">IF(ISTEXT(AM9),0,IF(AM9+Δ_hba&gt;AN$3,NA(),AM9+Δ_hba))</f>
        <v>0</v>
      </c>
      <c r="AN10" s="398">
        <f>IF(ISTEXT(AM9),0,AN9+(AM10-AM9)/3*(AK9*AL9+AK10*AL10+SQRT(AK9*AL9*AK10*AL10)))</f>
        <v>0</v>
      </c>
      <c r="AO10" s="398">
        <f t="shared" ref="AO10:AO38" si="9">IF(ISTEXT(AO9),AO$2,(AN9*AO9+(AN10-AN9)*IF(AO$2=AO$3,AO$2,IF(AO$2&gt;AO$3,AO$2-(AK10+AK9)/4,AO$2+(AK10+AK9)/4)))/AN10)</f>
        <v>10</v>
      </c>
      <c r="AP10" s="398">
        <f t="shared" ref="AP10:AP38" si="10">IF(ISTEXT(AP9),AP$2,(AN9*AP9+(AN10-AN9)*IF(AP$2&gt;0,AP$2-AR$2/2+(AL10+AL9)/4,AP$2+AR$2/2-(AL10+AL9)/4))/AN10)</f>
        <v>7.5</v>
      </c>
      <c r="AQ10" s="398">
        <f>IF(ISTEXT(AQ9),AN$2,(AN9*AQ9+(AN10-AN9)*(AM10+AM9)/2)/AN10)</f>
        <v>0</v>
      </c>
      <c r="AR10" s="399">
        <f>IF(ISNA(AK11),IF(AR9=0,NA(),0),IF(ISNUMBER(AR9),AK10*AL10^3/12/AQ$7,0))</f>
        <v>0</v>
      </c>
      <c r="AS10" s="66"/>
      <c r="AT10" s="66"/>
      <c r="AU10" s="396">
        <f t="shared" ref="AU10:AU38" si="11">IF(ISTEXT(AU9),BA$2,IF(AU9+AU$8*(AW10-AW9)&gt;BA$3,BA$3,AU9+AU$8*(AW10-AW9)))</f>
        <v>10</v>
      </c>
      <c r="AV10" s="397">
        <f t="shared" ref="AV10:AV38" si="12">IF(ISTEXT(AV9),BB$2,IF(AV9+AV$8*(AW10-AW9)&gt;BB$3,BB$3,AV9+AV$8*(AW10-AW9)))</f>
        <v>5</v>
      </c>
      <c r="AW10" s="398">
        <f t="shared" ref="AW10:AW41" si="13">IF(ISTEXT(AW9),0,IF(AW9+Δ_hba&gt;AX$3,NA(),AW9+Δ_hba))</f>
        <v>0</v>
      </c>
      <c r="AX10" s="398">
        <f>IF(ISTEXT(AW9),0,AX9+(AW10-AW9)/3*(AU9*AV9+AU10*AV10+SQRT(AU9*AV9*AU10*AV10)))</f>
        <v>0</v>
      </c>
      <c r="AY10" s="398">
        <f t="shared" ref="AY10:AY38" si="14">IF(ISTEXT(AY9),AY$2,(AX9*AY9+(AX10-AX9)*IF(AY$2=AY$3,AY$2,IF(AY$2&gt;AY$3,AY$2-(AU10+AU9)/4,AY$2+(AU10+AU9)/4)))/AX10)</f>
        <v>10</v>
      </c>
      <c r="AZ10" s="398">
        <f t="shared" ref="AZ10:AZ38" si="15">IF(ISTEXT(AZ9),AZ$2,(AX9*AZ9+(AX10-AX9)*IF(AZ$2&gt;0,AZ$2-BB$2/2+(AV10+AV9)/4,AZ$2+BB$2/2-(AV10+AV9)/4))/AX10)</f>
        <v>2.5</v>
      </c>
      <c r="BA10" s="398">
        <f>IF(ISTEXT(BA9),AX$2,(AX9*BA9+(AX10-AX9)*(AW10+AW9)/2)/AX10)</f>
        <v>0</v>
      </c>
      <c r="BB10" s="399">
        <f>IF(ISNA(AU11),IF(BB9=0,NA(),0),IF(ISNUMBER(BB9),AU10*AV10^3/12/BA$7,0))</f>
        <v>0</v>
      </c>
      <c r="BC10" s="66"/>
      <c r="BD10" s="66"/>
      <c r="BE10" s="396">
        <f t="shared" ref="BE10:BE38" si="16">IF(ISTEXT(BE9),BK$2,IF(BE9+BE$8*(BG10-BG9)&gt;BK$3,BK$3,BE9+BE$8*(BG10-BG9)))</f>
        <v>10</v>
      </c>
      <c r="BF10" s="397">
        <f t="shared" ref="BF10:BF38" si="17">IF(ISTEXT(BF9),BL$2,IF(BF9+BF$8*(BG10-BG9)&gt;BL$3,BL$3,BF9+BF$8*(BG10-BG9)))</f>
        <v>5</v>
      </c>
      <c r="BG10" s="398">
        <f t="shared" ref="BG10:BG41" si="18">IF(ISTEXT(BG9),0,IF(BG9+Δ_hba&gt;BH$3,NA(),BG9+Δ_hba))</f>
        <v>0</v>
      </c>
      <c r="BH10" s="398">
        <f>IF(ISTEXT(BG9),0,BH9+(BG10-BG9)/3*(BE9*BF9+BE10*BF10+SQRT(BE9*BF9*BE10*BF10)))</f>
        <v>0</v>
      </c>
      <c r="BI10" s="398">
        <f t="shared" ref="BI10:BI38" si="19">IF(ISTEXT(BI9),BI$2,(BH9*BI9+(BH10-BH9)*IF(BI$2=BI$3,BI$2,IF(BI$2&gt;BI$3,BI$2-(BE10+BE9)/4,BI$2+(BE10+BE9)/4)))/BH10)</f>
        <v>10</v>
      </c>
      <c r="BJ10" s="398">
        <f t="shared" ref="BJ10:BJ38" si="20">IF(ISTEXT(BJ9),BJ$2,(BH9*BJ9+(BH10-BH9)*IF(BJ$2&gt;0,BJ$2-BL$2/2+(BF10+BF9)/4,BJ$2+BL$2/2-(BF10+BF9)/4))/BH10)</f>
        <v>-2.5</v>
      </c>
      <c r="BK10" s="398">
        <f>IF(ISTEXT(BK9),BH$2,(BH9*BK9+(BH10-BH9)*(BG10+BG9)/2)/BH10)</f>
        <v>0</v>
      </c>
      <c r="BL10" s="399">
        <f>IF(ISNA(BE11),IF(BL9=0,NA(),0),IF(ISNUMBER(BL9),BE10*BF10^3/12/BK$7,0))</f>
        <v>0</v>
      </c>
      <c r="BM10" s="66"/>
      <c r="BN10" s="66"/>
      <c r="BO10" s="396">
        <f t="shared" ref="BO10:BO38" si="21">IF(ISTEXT(BO9),BU$2,IF(BO9+BO$8*(BQ10-BQ9)&gt;BU$3,BU$3,BO9+BO$8*(BQ10-BQ9)))</f>
        <v>10</v>
      </c>
      <c r="BP10" s="397">
        <f t="shared" ref="BP10:BP38" si="22">IF(ISTEXT(BP9),BV$2,IF(BP9+BP$8*(BQ10-BQ9)&gt;BV$3,BV$3,BP9+BP$8*(BQ10-BQ9)))</f>
        <v>5</v>
      </c>
      <c r="BQ10" s="398">
        <f t="shared" ref="BQ10:BQ41" si="23">IF(ISTEXT(BQ9),0,IF(BQ9+Δ_hba&gt;BR$3,NA(),BQ9+Δ_hba))</f>
        <v>0</v>
      </c>
      <c r="BR10" s="398">
        <f>IF(ISTEXT(BQ9),0,BR9+(BQ10-BQ9)/3*(BO9*BP9+BO10*BP10+SQRT(BO9*BP9*BO10*BP10)))</f>
        <v>0</v>
      </c>
      <c r="BS10" s="398">
        <f t="shared" ref="BS10:BS38" si="24">IF(ISTEXT(BS9),BS$2,(BR9*BS9+(BR10-BR9)*IF(BS$2=BS$3,BS$2,IF(BS$2&gt;BS$3,BS$2-(BO10+BO9)/4,BS$2+(BO10+BO9)/4)))/BR10)</f>
        <v>10</v>
      </c>
      <c r="BT10" s="398">
        <f t="shared" ref="BT10:BT38" si="25">IF(ISTEXT(BT9),BT$2,(BR9*BT9+(BR10-BR9)*IF(BT$2&gt;0,BT$2-BV$2/2+(BP10+BP9)/4,BT$2+BV$2/2-(BP10+BP9)/4))/BR10)</f>
        <v>-7.5</v>
      </c>
      <c r="BU10" s="398">
        <f>IF(ISTEXT(BU9),BR$2,(BR9*BU9+(BR10-BR9)*(BQ10+BQ9)/2)/BR10)</f>
        <v>0</v>
      </c>
      <c r="BV10" s="399">
        <f>IF(ISNA(BO11),IF(BV9=0,NA(),0),IF(ISNUMBER(BV9),BO10*BP10^3/12/BU$7,0))</f>
        <v>0</v>
      </c>
      <c r="BW10" s="66"/>
      <c r="BX10" s="66"/>
      <c r="BY10" s="396">
        <f t="shared" ref="BY10:BY38" si="26">IF(ISTEXT(BY9),CE$2,IF(BY9+BY$8*(CA10-CA9)&gt;CE$3,CE$3,BY9+BY$8*(CA10-CA9)))</f>
        <v>10</v>
      </c>
      <c r="BZ10" s="397">
        <f t="shared" ref="BZ10:BZ38" si="27">IF(ISTEXT(BZ9),CF$2,IF(BZ9+BZ$8*(CA10-CA9)&gt;CF$3,CF$3,BZ9+BZ$8*(CA10-CA9)))</f>
        <v>5</v>
      </c>
      <c r="CA10" s="398">
        <f t="shared" ref="CA10:CA41" si="28">IF(ISTEXT(CA9),0,IF(CA9+Δ_hba&gt;CB$3,NA(),CA9+Δ_hba))</f>
        <v>0</v>
      </c>
      <c r="CB10" s="398">
        <f>IF(ISTEXT(CA9),0,CB9+(CA10-CA9)/3*(BY9*BZ9+BY10*BZ10+SQRT(BY9*BZ9*BY10*BZ10)))</f>
        <v>0</v>
      </c>
      <c r="CC10" s="398">
        <f t="shared" ref="CC10:CC38" si="29">IF(ISTEXT(CC9),CC$2,(CB9*CC9+(CB10-CB9)*IF(CC$2=CC$3,CC$2,IF(CC$2&gt;CC$3,CC$2-(BY10+BY9)/4,CC$2+(BY10+BY9)/4)))/CB10)</f>
        <v>20</v>
      </c>
      <c r="CD10" s="398">
        <f t="shared" ref="CD10:CD38" si="30">IF(ISTEXT(CD9),CD$2,(CB9*CD9+(CB10-CB9)*IF(CD$2&gt;0,CD$2-CF$2/2+(BZ10+BZ9)/4,CD$2+CF$2/2-(BZ10+BZ9)/4))/CB10)</f>
        <v>7.5</v>
      </c>
      <c r="CE10" s="398">
        <f>IF(ISTEXT(CE9),CB$2,(CB9*CE9+(CB10-CB9)*(CA10+CA9)/2)/CB10)</f>
        <v>0</v>
      </c>
      <c r="CF10" s="399">
        <f>IF(ISNA(BY11),IF(CF9=0,NA(),0),IF(ISNUMBER(CF9),BY10*BZ10^3/12/CE$7,0))</f>
        <v>0</v>
      </c>
      <c r="CG10" s="66"/>
      <c r="CH10" s="66"/>
      <c r="CI10" s="396">
        <f t="shared" ref="CI10:CI38" si="31">IF(ISTEXT(CI9),CO$2,IF(CI9+CI$8*(CK10-CK9)&gt;CO$3,CO$3,CI9+CI$8*(CK10-CK9)))</f>
        <v>10</v>
      </c>
      <c r="CJ10" s="397">
        <f t="shared" ref="CJ10:CJ38" si="32">IF(ISTEXT(CJ9),CP$2,IF(CJ9+CJ$8*(CK10-CK9)&gt;CP$3,CP$3,CJ9+CJ$8*(CK10-CK9)))</f>
        <v>5</v>
      </c>
      <c r="CK10" s="398">
        <f t="shared" ref="CK10:CK41" si="33">IF(ISTEXT(CK9),0,IF(CK9+Δ_hba&gt;CL$3,NA(),CK9+Δ_hba))</f>
        <v>0</v>
      </c>
      <c r="CL10" s="398">
        <f>IF(ISTEXT(CK9),0,CL9+(CK10-CK9)/3*(CI9*CJ9+CI10*CJ10+SQRT(CI9*CJ9*CI10*CJ10)))</f>
        <v>0</v>
      </c>
      <c r="CM10" s="398">
        <f t="shared" ref="CM10:CM38" si="34">IF(ISTEXT(CM9),CM$2,(CL9*CM9+(CL10-CL9)*IF(CM$2=CM$3,CM$2,IF(CM$2&gt;CM$3,CM$2-(CI10+CI9)/4,CM$2+(CI10+CI9)/4)))/CL10)</f>
        <v>20</v>
      </c>
      <c r="CN10" s="398">
        <f t="shared" ref="CN10:CN38" si="35">IF(ISTEXT(CN9),CN$2,(CL9*CN9+(CL10-CL9)*IF(CN$2&gt;0,CN$2-CP$2/2+(CJ10+CJ9)/4,CN$2+CP$2/2-(CJ10+CJ9)/4))/CL10)</f>
        <v>2.5</v>
      </c>
      <c r="CO10" s="398">
        <f>IF(ISTEXT(CO9),CL$2,(CL9*CO9+(CL10-CL9)*(CK10+CK9)/2)/CL10)</f>
        <v>0</v>
      </c>
      <c r="CP10" s="399">
        <f>IF(ISNA(CI11),IF(CP9=0,NA(),0),IF(ISNUMBER(CP9),CI10*CJ10^3/12/CO$7,0))</f>
        <v>0</v>
      </c>
      <c r="CQ10" s="66"/>
      <c r="CS10" s="396">
        <f t="shared" ref="CS10:CS38" si="36">IF(ISTEXT(CS9),CY$2,IF(CS9+CS$8*(CU10-CU9)&gt;CY$3,CY$3,CS9+CS$8*(CU10-CU9)))</f>
        <v>10</v>
      </c>
      <c r="CT10" s="397">
        <f t="shared" ref="CT10:CT38" si="37">IF(ISTEXT(CT9),CZ$2,IF(CT9+CT$8*(CU10-CU9)&gt;CZ$3,CZ$3,CT9+CT$8*(CU10-CU9)))</f>
        <v>5</v>
      </c>
      <c r="CU10" s="398">
        <f t="shared" ref="CU10:CU41" si="38">IF(ISTEXT(CU9),0,IF(CU9+Δ_hba&gt;CV$3,NA(),CU9+Δ_hba))</f>
        <v>0</v>
      </c>
      <c r="CV10" s="398">
        <f>IF(ISTEXT(CU9),0,CV9+(CU10-CU9)/3*(CS9*CT9+CS10*CT10+SQRT(CS9*CT9*CS10*CT10)))</f>
        <v>0</v>
      </c>
      <c r="CW10" s="398">
        <f t="shared" ref="CW10:CW38" si="39">IF(ISTEXT(CW9),CW$2,(CV9*CW9+(CV10-CV9)*IF(CW$2=CW$3,CW$2,IF(CW$2&gt;CW$3,CW$2-(CS10+CS9)/4,CW$2+(CS10+CS9)/4)))/CV10)</f>
        <v>20</v>
      </c>
      <c r="CX10" s="398">
        <f t="shared" ref="CX10:CX38" si="40">IF(ISTEXT(CX9),CX$2,(CV9*CX9+(CV10-CV9)*IF(CX$2&gt;0,CX$2-CZ$2/2+(CT10+CT9)/4,CX$2+CZ$2/2-(CT10+CT9)/4))/CV10)</f>
        <v>-2.5</v>
      </c>
      <c r="CY10" s="398">
        <f>IF(ISTEXT(CY9),CV$2,(CV9*CY9+(CV10-CV9)*(CU10+CU9)/2)/CV10)</f>
        <v>0</v>
      </c>
      <c r="CZ10" s="399">
        <f>IF(ISNA(CS11),IF(CZ9=0,NA(),0),IF(ISNUMBER(CZ9),CS10*CT10^3/12/CY$7,0))</f>
        <v>0</v>
      </c>
      <c r="DA10" s="66"/>
      <c r="DB10" s="66"/>
      <c r="DC10" s="396">
        <f t="shared" ref="DC10:DC38" si="41">IF(ISTEXT(DC9),DI$2,IF(DC9+DC$8*(DE10-DE9)&gt;DI$3,DI$3,DC9+DC$8*(DE10-DE9)))</f>
        <v>10</v>
      </c>
      <c r="DD10" s="397">
        <f t="shared" ref="DD10:DD38" si="42">IF(ISTEXT(DD9),DJ$2,IF(DD9+DD$8*(DE10-DE9)&gt;DJ$3,DJ$3,DD9+DD$8*(DE10-DE9)))</f>
        <v>5</v>
      </c>
      <c r="DE10" s="398">
        <f t="shared" ref="DE10:DE41" si="43">IF(ISTEXT(DE9),0,IF(DE9+Δ_hba&gt;DF$3,NA(),DE9+Δ_hba))</f>
        <v>0</v>
      </c>
      <c r="DF10" s="398">
        <f>IF(ISTEXT(DE9),0,DF9+(DE10-DE9)/3*(DC9*DD9+DC10*DD10+SQRT(DC9*DD9*DC10*DD10)))</f>
        <v>0</v>
      </c>
      <c r="DG10" s="398">
        <f t="shared" ref="DG10:DG38" si="44">IF(ISTEXT(DG9),DG$2,(DF9*DG9+(DF10-DF9)*IF(DG$2=DG$3,DG$2,IF(DG$2&gt;DG$3,DG$2-(DC10+DC9)/4,DG$2+(DC10+DC9)/4)))/DF10)</f>
        <v>20</v>
      </c>
      <c r="DH10" s="398">
        <f t="shared" ref="DH10:DH38" si="45">IF(ISTEXT(DH9),DH$2,(DF9*DH9+(DF10-DF9)*IF(DH$2&gt;0,DH$2-DJ$2/2+(DD10+DD9)/4,DH$2+DJ$2/2-(DD10+DD9)/4))/DF10)</f>
        <v>-7.5</v>
      </c>
      <c r="DI10" s="398">
        <f>IF(ISTEXT(DI9),DF$2,(DF9*DI9+(DF10-DF9)*(DE10+DE9)/2)/DF10)</f>
        <v>0</v>
      </c>
      <c r="DJ10" s="399">
        <f>IF(ISNA(DC11),IF(DJ9=0,NA(),0),IF(ISNUMBER(DJ9),DC10*DD10^3/12/DI$7,0))</f>
        <v>0</v>
      </c>
      <c r="DK10" s="66"/>
      <c r="DM10" s="396">
        <f t="shared" ref="DM10:DM38" si="46">IF(ISTEXT(DM9),DS$2,IF(DM9+DM$8*(DO10-DO9)&gt;DS$3,DS$3,DM9+DM$8*(DO10-DO9)))</f>
        <v>10</v>
      </c>
      <c r="DN10" s="397">
        <f t="shared" ref="DN10:DN38" si="47">IF(ISTEXT(DN9),DT$2,IF(DN9+DN$8*(DO10-DO9)&gt;DT$3,DT$3,DN9+DN$8*(DO10-DO9)))</f>
        <v>5</v>
      </c>
      <c r="DO10" s="398">
        <f t="shared" ref="DO10:DO41" si="48">IF(ISTEXT(DO9),0,IF(DO9+Δ_hba&gt;DP$3,NA(),DO9+Δ_hba))</f>
        <v>0</v>
      </c>
      <c r="DP10" s="398">
        <f>IF(ISTEXT(DO9),0,DP9+(DO10-DO9)/3*(DM9*DN9+DM10*DN10+SQRT(DM9*DN9*DM10*DN10)))</f>
        <v>0</v>
      </c>
      <c r="DQ10" s="398">
        <f t="shared" ref="DQ10:DQ38" si="49">IF(ISTEXT(DQ9),DQ$2,(DP9*DQ9+(DP10-DP9)*IF(DQ$2=DQ$3,DQ$2,IF(DQ$2&gt;DQ$3,DQ$2-(DM10+DM9)/4,DQ$2+(DM10+DM9)/4)))/DP10)</f>
        <v>30</v>
      </c>
      <c r="DR10" s="398">
        <f t="shared" ref="DR10:DR38" si="50">IF(ISTEXT(DR9),DR$2,(DP9*DR9+(DP10-DP9)*IF(DR$2&gt;0,DR$2-DT$2/2+(DN10+DN9)/4,DR$2+DT$2/2-(DN10+DN9)/4))/DP10)</f>
        <v>7.5</v>
      </c>
      <c r="DS10" s="398">
        <f>IF(ISTEXT(DS9),DP$2,(DP9*DS9+(DP10-DP9)*(DO10+DO9)/2)/DP10)</f>
        <v>0</v>
      </c>
      <c r="DT10" s="399">
        <f>IF(ISNA(DM11),IF(DT9=0,NA(),0),IF(ISNUMBER(DT9),DM10*DN10^3/12/DS$7,0))</f>
        <v>0</v>
      </c>
      <c r="DU10" s="66"/>
      <c r="DV10" s="66"/>
      <c r="DW10" s="396">
        <f t="shared" ref="DW10:DW38" si="51">IF(ISTEXT(DW9),EC$2,IF(DW9+DW$8*(DY10-DY9)&gt;EC$3,EC$3,DW9+DW$8*(DY10-DY9)))</f>
        <v>10</v>
      </c>
      <c r="DX10" s="397">
        <f t="shared" ref="DX10:DX38" si="52">IF(ISTEXT(DX9),ED$2,IF(DX9+DX$8*(DY10-DY9)&gt;ED$3,ED$3,DX9+DX$8*(DY10-DY9)))</f>
        <v>5</v>
      </c>
      <c r="DY10" s="398">
        <f t="shared" ref="DY10:DY41" si="53">IF(ISTEXT(DY9),0,IF(DY9+Δ_hba&gt;DZ$3,NA(),DY9+Δ_hba))</f>
        <v>0</v>
      </c>
      <c r="DZ10" s="398">
        <f>IF(ISTEXT(DY9),0,DZ9+(DY10-DY9)/3*(DW9*DX9+DW10*DX10+SQRT(DW9*DX9*DW10*DX10)))</f>
        <v>0</v>
      </c>
      <c r="EA10" s="398">
        <f t="shared" ref="EA10:EA38" si="54">IF(ISTEXT(EA9),EA$2,(DZ9*EA9+(DZ10-DZ9)*IF(EA$2=EA$3,EA$2,IF(EA$2&gt;EA$3,EA$2-(DW10+DW9)/4,EA$2+(DW10+DW9)/4)))/DZ10)</f>
        <v>30</v>
      </c>
      <c r="EB10" s="398">
        <f t="shared" ref="EB10:EB38" si="55">IF(ISTEXT(EB9),EB$2,(DZ9*EB9+(DZ10-DZ9)*IF(EB$2&gt;0,EB$2-ED$2/2+(DX10+DX9)/4,EB$2+ED$2/2-(DX10+DX9)/4))/DZ10)</f>
        <v>2.5</v>
      </c>
      <c r="EC10" s="398">
        <f>IF(ISTEXT(EC9),DZ$2,(DZ9*EC9+(DZ10-DZ9)*(DY10+DY9)/2)/DZ10)</f>
        <v>0</v>
      </c>
      <c r="ED10" s="399">
        <f>IF(ISNA(DW11),IF(ED9=0,NA(),0),IF(ISNUMBER(ED9),DW10*DX10^3/12/EC$7,0))</f>
        <v>0</v>
      </c>
      <c r="EE10" s="66"/>
      <c r="EF10" s="66"/>
      <c r="EG10" s="396">
        <f t="shared" ref="EG10:EG38" si="56">IF(ISTEXT(EG9),EM$2,IF(EG9+EG$8*(EI10-EI9)&gt;EM$3,EM$3,EG9+EG$8*(EI10-EI9)))</f>
        <v>10</v>
      </c>
      <c r="EH10" s="397">
        <f t="shared" ref="EH10:EH38" si="57">IF(ISTEXT(EH9),EN$2,IF(EH9+EH$8*(EI10-EI9)&gt;EN$3,EN$3,EH9+EH$8*(EI10-EI9)))</f>
        <v>5</v>
      </c>
      <c r="EI10" s="398">
        <f t="shared" ref="EI10:EI41" si="58">IF(ISTEXT(EI9),0,IF(EI9+Δ_hba&gt;EJ$3,NA(),EI9+Δ_hba))</f>
        <v>0</v>
      </c>
      <c r="EJ10" s="398">
        <f>IF(ISTEXT(EI9),0,EJ9+(EI10-EI9)/3*(EG9*EH9+EG10*EH10+SQRT(EG9*EH9*EG10*EH10)))</f>
        <v>0</v>
      </c>
      <c r="EK10" s="398">
        <f t="shared" ref="EK10:EK38" si="59">IF(ISTEXT(EK9),EK$2,(EJ9*EK9+(EJ10-EJ9)*IF(EK$2=EK$3,EK$2,IF(EK$2&gt;EK$3,EK$2-(EG10+EG9)/4,EK$2+(EG10+EG9)/4)))/EJ10)</f>
        <v>30</v>
      </c>
      <c r="EL10" s="398">
        <f t="shared" ref="EL10:EL38" si="60">IF(ISTEXT(EL9),EL$2,(EJ9*EL9+(EJ10-EJ9)*IF(EL$2&gt;0,EL$2-EN$2/2+(EH10+EH9)/4,EL$2+EN$2/2-(EH10+EH9)/4))/EJ10)</f>
        <v>-2.5</v>
      </c>
      <c r="EM10" s="398">
        <f>IF(ISTEXT(EM9),EJ$2,(EJ9*EM9+(EJ10-EJ9)*(EI10+EI9)/2)/EJ10)</f>
        <v>0</v>
      </c>
      <c r="EN10" s="399">
        <f>IF(ISNA(EG11),IF(EN9=0,NA(),0),IF(ISNUMBER(EN9),EG10*EH10^3/12/EM$7,0))</f>
        <v>0</v>
      </c>
      <c r="EO10" s="66"/>
      <c r="EP10" s="66"/>
      <c r="EQ10" s="396">
        <f t="shared" ref="EQ10:EQ38" si="61">IF(ISTEXT(EQ9),EW$2,IF(EQ9+EQ$8*(ES10-ES9)&gt;EW$3,EW$3,EQ9+EQ$8*(ES10-ES9)))</f>
        <v>10</v>
      </c>
      <c r="ER10" s="397">
        <f t="shared" ref="ER10:ER38" si="62">IF(ISTEXT(ER9),EX$2,IF(ER9+ER$8*(ES10-ES9)&gt;EX$3,EX$3,ER9+ER$8*(ES10-ES9)))</f>
        <v>5</v>
      </c>
      <c r="ES10" s="398">
        <f t="shared" ref="ES10:ES41" si="63">IF(ISTEXT(ES9),0,IF(ES9+Δ_hba&gt;ET$3,NA(),ES9+Δ_hba))</f>
        <v>0</v>
      </c>
      <c r="ET10" s="398">
        <f>IF(ISTEXT(ES9),0,ET9+(ES10-ES9)/3*(EQ9*ER9+EQ10*ER10+SQRT(EQ9*ER9*EQ10*ER10)))</f>
        <v>0</v>
      </c>
      <c r="EU10" s="398">
        <f t="shared" ref="EU10:EU38" si="64">IF(ISTEXT(EU9),EU$2,(ET9*EU9+(ET10-ET9)*IF(EU$2=EU$3,EU$2,IF(EU$2&gt;EU$3,EU$2-(EQ10+EQ9)/4,EU$2+(EQ10+EQ9)/4)))/ET10)</f>
        <v>30</v>
      </c>
      <c r="EV10" s="398">
        <f t="shared" ref="EV10:EV38" si="65">IF(ISTEXT(EV9),EV$2,(ET9*EV9+(ET10-ET9)*IF(EV$2&gt;0,EV$2-EX$2/2+(ER10+ER9)/4,EV$2+EX$2/2-(ER10+ER9)/4))/ET10)</f>
        <v>-7.5</v>
      </c>
      <c r="EW10" s="398">
        <f>IF(ISTEXT(EW9),ET$2,(ET9*EW9+(ET10-ET9)*(ES10+ES9)/2)/ET10)</f>
        <v>0</v>
      </c>
      <c r="EX10" s="399">
        <f>IF(ISNA(EQ11),IF(EX9=0,NA(),0),IF(ISNUMBER(EX9),EQ10*ER10^3/12/EW$7,0))</f>
        <v>0</v>
      </c>
      <c r="EY10" s="66"/>
      <c r="EZ10" s="66"/>
      <c r="FA10" s="396">
        <f t="shared" ref="FA10:FA38" si="66">IF(ISTEXT(FA9),FG$2,IF(FA9+FA$8*(FC10-FC9)&gt;FG$3,FG$3,FA9+FA$8*(FC10-FC9)))</f>
        <v>10</v>
      </c>
      <c r="FB10" s="397">
        <f t="shared" ref="FB10:FB38" si="67">IF(ISTEXT(FB9),FH$2,IF(FB9+FB$8*(FC10-FC9)&gt;FH$3,FH$3,FB9+FB$8*(FC10-FC9)))</f>
        <v>5</v>
      </c>
      <c r="FC10" s="398">
        <f t="shared" ref="FC10:FC41" si="68">IF(ISTEXT(FC9),0,IF(FC9+Δ_hba&gt;FD$3,NA(),FC9+Δ_hba))</f>
        <v>0</v>
      </c>
      <c r="FD10" s="398">
        <f>IF(ISTEXT(FC9),0,FD9+(FC10-FC9)/3*(FA9*FB9+FA10*FB10+SQRT(FA9*FB9*FA10*FB10)))</f>
        <v>0</v>
      </c>
      <c r="FE10" s="398">
        <f t="shared" ref="FE10:FE38" si="69">IF(ISTEXT(FE9),FE$2,(FD9*FE9+(FD10-FD9)*IF(FE$2=FE$3,FE$2,IF(FE$2&gt;FE$3,FE$2-(FA10+FA9)/4,FE$2+(FA10+FA9)/4)))/FD10)</f>
        <v>40</v>
      </c>
      <c r="FF10" s="398">
        <f t="shared" ref="FF10:FF38" si="70">IF(ISTEXT(FF9),FF$2,(FD9*FF9+(FD10-FD9)*IF(FF$2&gt;0,FF$2-FH$2/2+(FB10+FB9)/4,FF$2+FH$2/2-(FB10+FB9)/4))/FD10)</f>
        <v>7.5</v>
      </c>
      <c r="FG10" s="398">
        <f>IF(ISTEXT(FG9),FD$2,(FD9*FG9+(FD10-FD9)*(FC10+FC9)/2)/FD10)</f>
        <v>0</v>
      </c>
      <c r="FH10" s="399">
        <f>IF(ISNA(FA11),IF(FH9=0,NA(),0),IF(ISNUMBER(FH9),FA10*FB10^3/12/FG$7,0))</f>
        <v>0</v>
      </c>
      <c r="FI10" s="66"/>
      <c r="FJ10" s="66"/>
      <c r="FK10" s="396">
        <f t="shared" ref="FK10:FK38" si="71">IF(ISTEXT(FK9),FQ$2,IF(FK9+FK$8*(FM10-FM9)&gt;FQ$3,FQ$3,FK9+FK$8*(FM10-FM9)))</f>
        <v>10</v>
      </c>
      <c r="FL10" s="397">
        <f t="shared" ref="FL10:FL38" si="72">IF(ISTEXT(FL9),FR$2,IF(FL9+FL$8*(FM10-FM9)&gt;FR$3,FR$3,FL9+FL$8*(FM10-FM9)))</f>
        <v>5</v>
      </c>
      <c r="FM10" s="398">
        <f t="shared" ref="FM10:FM41" si="73">IF(ISTEXT(FM9),0,IF(FM9+Δ_hba&gt;FN$3,NA(),FM9+Δ_hba))</f>
        <v>0</v>
      </c>
      <c r="FN10" s="398">
        <f>IF(ISTEXT(FM9),0,FN9+(FM10-FM9)/3*(FK9*FL9+FK10*FL10+SQRT(FK9*FL9*FK10*FL10)))</f>
        <v>0</v>
      </c>
      <c r="FO10" s="398">
        <f t="shared" ref="FO10:FO38" si="74">IF(ISTEXT(FO9),FO$2,(FN9*FO9+(FN10-FN9)*IF(FO$2=FO$3,FO$2,IF(FO$2&gt;FO$3,FO$2-(FK10+FK9)/4,FO$2+(FK10+FK9)/4)))/FN10)</f>
        <v>40</v>
      </c>
      <c r="FP10" s="398">
        <f t="shared" ref="FP10:FP38" si="75">IF(ISTEXT(FP9),FP$2,(FN9*FP9+(FN10-FN9)*IF(FP$2&gt;0,FP$2-FR$2/2+(FL10+FL9)/4,FP$2+FR$2/2-(FL10+FL9)/4))/FN10)</f>
        <v>2.5</v>
      </c>
      <c r="FQ10" s="398">
        <f>IF(ISTEXT(FQ9),FN$2,(FN9*FQ9+(FN10-FN9)*(FM10+FM9)/2)/FN10)</f>
        <v>0</v>
      </c>
      <c r="FR10" s="399">
        <f>IF(ISNA(FK11),IF(FR9=0,NA(),0),IF(ISNUMBER(FR9),FK10*FL10^3/12/FQ$7,0))</f>
        <v>0</v>
      </c>
      <c r="FS10" s="66"/>
      <c r="FT10" s="66"/>
      <c r="FU10" s="396">
        <f t="shared" ref="FU10:FU38" si="76">IF(ISTEXT(FU9),GA$2,IF(FU9+FU$8*(FW10-FW9)&gt;GA$3,GA$3,FU9+FU$8*(FW10-FW9)))</f>
        <v>10</v>
      </c>
      <c r="FV10" s="397">
        <f t="shared" ref="FV10:FV38" si="77">IF(ISTEXT(FV9),GB$2,IF(FV9+FV$8*(FW10-FW9)&gt;GB$3,GB$3,FV9+FV$8*(FW10-FW9)))</f>
        <v>5</v>
      </c>
      <c r="FW10" s="398">
        <f t="shared" ref="FW10:FW41" si="78">IF(ISTEXT(FW9),0,IF(FW9+Δ_hba&gt;FX$3,NA(),FW9+Δ_hba))</f>
        <v>0</v>
      </c>
      <c r="FX10" s="398">
        <f>IF(ISTEXT(FW9),0,FX9+(FW10-FW9)/3*(FU9*FV9+FU10*FV10+SQRT(FU9*FV9*FU10*FV10)))</f>
        <v>0</v>
      </c>
      <c r="FY10" s="398">
        <f t="shared" ref="FY10:FY38" si="79">IF(ISTEXT(FY9),FY$2,(FX9*FY9+(FX10-FX9)*IF(FY$2=FY$3,FY$2,IF(FY$2&gt;FY$3,FY$2-(FU10+FU9)/4,FY$2+(FU10+FU9)/4)))/FX10)</f>
        <v>40</v>
      </c>
      <c r="FZ10" s="398">
        <f t="shared" ref="FZ10:FZ38" si="80">IF(ISTEXT(FZ9),FZ$2,(FX9*FZ9+(FX10-FX9)*IF(FZ$2&gt;0,FZ$2-GB$2/2+(FV10+FV9)/4,FZ$2+GB$2/2-(FV10+FV9)/4))/FX10)</f>
        <v>-2.5</v>
      </c>
      <c r="GA10" s="398">
        <f>IF(ISTEXT(GA9),FX$2,(FX9*GA9+(FX10-FX9)*(FW10+FW9)/2)/FX10)</f>
        <v>0</v>
      </c>
      <c r="GB10" s="399">
        <f>IF(ISNA(FU11),IF(GB9=0,NA(),0),IF(ISNUMBER(GB9),FU10*FV10^3/12/GA$7,0))</f>
        <v>0</v>
      </c>
      <c r="GC10" s="66"/>
      <c r="GD10" s="66"/>
      <c r="GE10" s="396">
        <f t="shared" ref="GE10:GE38" si="81">IF(ISTEXT(GE9),GK$2,IF(GE9+GE$8*(GG10-GG9)&gt;GK$3,GK$3,GE9+GE$8*(GG10-GG9)))</f>
        <v>10</v>
      </c>
      <c r="GF10" s="397">
        <f t="shared" ref="GF10:GF38" si="82">IF(ISTEXT(GF9),GL$2,IF(GF9+GF$8*(GG10-GG9)&gt;GL$3,GL$3,GF9+GF$8*(GG10-GG9)))</f>
        <v>5</v>
      </c>
      <c r="GG10" s="398">
        <f t="shared" ref="GG10:GG41" si="83">IF(ISTEXT(GG9),0,IF(GG9+Δ_hba&gt;GH$3,NA(),GG9+Δ_hba))</f>
        <v>0</v>
      </c>
      <c r="GH10" s="398">
        <f>IF(ISTEXT(GG9),0,GH9+(GG10-GG9)/3*(GE9*GF9+GE10*GF10+SQRT(GE9*GF9*GE10*GF10)))</f>
        <v>0</v>
      </c>
      <c r="GI10" s="398">
        <f t="shared" ref="GI10:GI38" si="84">IF(ISTEXT(GI9),GI$2,(GH9*GI9+(GH10-GH9)*IF(GI$2=GI$3,GI$2,IF(GI$2&gt;GI$3,GI$2-(GE10+GE9)/4,GI$2+(GE10+GE9)/4)))/GH10)</f>
        <v>40</v>
      </c>
      <c r="GJ10" s="398">
        <f t="shared" ref="GJ10:GJ38" si="85">IF(ISTEXT(GJ9),GJ$2,(GH9*GJ9+(GH10-GH9)*IF(GJ$2&gt;0,GJ$2-GL$2/2+(GF10+GF9)/4,GJ$2+GL$2/2-(GF10+GF9)/4))/GH10)</f>
        <v>-7.5</v>
      </c>
      <c r="GK10" s="398">
        <f>IF(ISTEXT(GK9),GH$2,(GH9*GK9+(GH10-GH9)*(GG10+GG9)/2)/GH10)</f>
        <v>0</v>
      </c>
      <c r="GL10" s="399">
        <f>IF(ISNA(GE11),IF(GL9=0,NA(),0),IF(ISNUMBER(GL9),GE10*GF10^3/12/GK$7,0))</f>
        <v>0</v>
      </c>
      <c r="GM10" s="66"/>
      <c r="GN10" s="66"/>
      <c r="GO10" s="396">
        <f t="shared" ref="GO10:GO38" si="86">IF(ISTEXT(GO9),GU$2,IF(GO9+GO$8*(GQ10-GQ9)&gt;GU$3,GU$3,GO9+GO$8*(GQ10-GQ9)))</f>
        <v>10</v>
      </c>
      <c r="GP10" s="397">
        <f t="shared" ref="GP10:GP38" si="87">IF(ISTEXT(GP9),GV$2,IF(GP9+GP$8*(GQ10-GQ9)&gt;GV$3,GV$3,GP9+GP$8*(GQ10-GQ9)))</f>
        <v>5</v>
      </c>
      <c r="GQ10" s="398">
        <f t="shared" ref="GQ10:GQ41" si="88">IF(ISTEXT(GQ9),0,IF(GQ9+Δ_hba&gt;GR$3,NA(),GQ9+Δ_hba))</f>
        <v>0</v>
      </c>
      <c r="GR10" s="398">
        <f>IF(ISTEXT(GQ9),0,GR9+(GQ10-GQ9)/3*(GO9*GP9+GO10*GP10+SQRT(GO9*GP9*GO10*GP10)))</f>
        <v>0</v>
      </c>
      <c r="GS10" s="398">
        <f t="shared" ref="GS10:GS38" si="89">IF(ISTEXT(GS9),GS$2,(GR9*GS9+(GR10-GR9)*IF(GS$2=GS$3,GS$2,IF(GS$2&gt;GS$3,GS$2-(GO10+GO9)/4,GS$2+(GO10+GO9)/4)))/GR10)</f>
        <v>50</v>
      </c>
      <c r="GT10" s="398">
        <f t="shared" ref="GT10:GT38" si="90">IF(ISTEXT(GT9),GT$2,(GR9*GT9+(GR10-GR9)*IF(GT$2&gt;0,GT$2-GV$2/2+(GP10+GP9)/4,GT$2+GV$2/2-(GP10+GP9)/4))/GR10)</f>
        <v>7.5</v>
      </c>
      <c r="GU10" s="398">
        <f>IF(ISTEXT(GU9),GR$2,(GR9*GU9+(GR10-GR9)*(GQ10+GQ9)/2)/GR10)</f>
        <v>0</v>
      </c>
      <c r="GV10" s="399">
        <f>IF(ISNA(GO11),IF(GV9=0,NA(),0),IF(ISNUMBER(GV9),GO10*GP10^3/12/GU$7,0))</f>
        <v>0</v>
      </c>
      <c r="GW10" s="66"/>
      <c r="GX10" s="66"/>
      <c r="GY10" s="396">
        <f t="shared" ref="GY10:GY38" si="91">IF(ISTEXT(GY9),HE$2,IF(GY9+GY$8*(HA10-HA9)&gt;HE$3,HE$3,GY9+GY$8*(HA10-HA9)))</f>
        <v>10</v>
      </c>
      <c r="GZ10" s="397">
        <f t="shared" ref="GZ10:GZ38" si="92">IF(ISTEXT(GZ9),HF$2,IF(GZ9+GZ$8*(HA10-HA9)&gt;HF$3,HF$3,GZ9+GZ$8*(HA10-HA9)))</f>
        <v>5</v>
      </c>
      <c r="HA10" s="398">
        <f t="shared" ref="HA10:HA41" si="93">IF(ISTEXT(HA9),0,IF(HA9+Δ_hba&gt;HB$3,NA(),HA9+Δ_hba))</f>
        <v>0</v>
      </c>
      <c r="HB10" s="398">
        <f>IF(ISTEXT(HA9),0,HB9+(HA10-HA9)/3*(GY9*GZ9+GY10*GZ10+SQRT(GY9*GZ9*GY10*GZ10)))</f>
        <v>0</v>
      </c>
      <c r="HC10" s="398">
        <f t="shared" ref="HC10:HC38" si="94">IF(ISTEXT(HC9),HC$2,(HB9*HC9+(HB10-HB9)*IF(HC$2=HC$3,HC$2,IF(HC$2&gt;HC$3,HC$2-(GY10+GY9)/4,HC$2+(GY10+GY9)/4)))/HB10)</f>
        <v>50</v>
      </c>
      <c r="HD10" s="398">
        <f t="shared" ref="HD10:HD38" si="95">IF(ISTEXT(HD9),HD$2,(HB9*HD9+(HB10-HB9)*IF(HD$2&gt;0,HD$2-HF$2/2+(GZ10+GZ9)/4,HD$2+HF$2/2-(GZ10+GZ9)/4))/HB10)</f>
        <v>2.5</v>
      </c>
      <c r="HE10" s="398">
        <f>IF(ISTEXT(HE9),HB$2,(HB9*HE9+(HB10-HB9)*(HA10+HA9)/2)/HB10)</f>
        <v>0</v>
      </c>
      <c r="HF10" s="399">
        <f>IF(ISNA(GY11),IF(HF9=0,NA(),0),IF(ISNUMBER(HF9),GY10*GZ10^3/12/HE$7,0))</f>
        <v>0</v>
      </c>
      <c r="HH10" s="66"/>
      <c r="HI10" s="396">
        <f t="shared" ref="HI10:HI38" si="96">IF(ISTEXT(HI9),HO$2,IF(HI9+HI$8*(HK10-HK9)&gt;HO$3,HO$3,HI9+HI$8*(HK10-HK9)))</f>
        <v>10</v>
      </c>
      <c r="HJ10" s="397">
        <f t="shared" ref="HJ10:HJ38" si="97">IF(ISTEXT(HJ9),HP$2,IF(HJ9+HJ$8*(HK10-HK9)&gt;HP$3,HP$3,HJ9+HJ$8*(HK10-HK9)))</f>
        <v>5</v>
      </c>
      <c r="HK10" s="398">
        <f t="shared" ref="HK10:HK41" si="98">IF(ISTEXT(HK9),0,IF(HK9+Δ_hba&gt;HL$3,NA(),HK9+Δ_hba))</f>
        <v>0</v>
      </c>
      <c r="HL10" s="398">
        <f>IF(ISTEXT(HK9),0,HL9+(HK10-HK9)/3*(HI9*HJ9+HI10*HJ10+SQRT(HI9*HJ9*HI10*HJ10)))</f>
        <v>0</v>
      </c>
      <c r="HM10" s="398">
        <f t="shared" ref="HM10:HM38" si="99">IF(ISTEXT(HM9),HM$2,(HL9*HM9+(HL10-HL9)*IF(HM$2=HM$3,HM$2,IF(HM$2&gt;HM$3,HM$2-(HI10+HI9)/4,HM$2+(HI10+HI9)/4)))/HL10)</f>
        <v>50</v>
      </c>
      <c r="HN10" s="398">
        <f t="shared" ref="HN10:HN38" si="100">IF(ISTEXT(HN9),HN$2,(HL9*HN9+(HL10-HL9)*IF(HN$2&gt;0,HN$2-HP$2/2+(HJ10+HJ9)/4,HN$2+HP$2/2-(HJ10+HJ9)/4))/HL10)</f>
        <v>-2.5</v>
      </c>
      <c r="HO10" s="398">
        <f>IF(ISTEXT(HO9),HL$2,(HL9*HO9+(HL10-HL9)*(HK10+HK9)/2)/HL10)</f>
        <v>0</v>
      </c>
      <c r="HP10" s="399">
        <f>IF(ISNA(HI11),IF(HP9=0,NA(),0),IF(ISNUMBER(HP9),HI10*HJ10^3/12/HO$7,0))</f>
        <v>0</v>
      </c>
      <c r="HQ10" s="66"/>
      <c r="HR10" s="66"/>
      <c r="HS10" s="396">
        <f t="shared" ref="HS10:HS38" si="101">IF(ISTEXT(HS9),HY$2,IF(HS9+HS$8*(HU10-HU9)&gt;HY$3,HY$3,HS9+HS$8*(HU10-HU9)))</f>
        <v>10</v>
      </c>
      <c r="HT10" s="397">
        <f t="shared" ref="HT10:HT38" si="102">IF(ISTEXT(HT9),HZ$2,IF(HT9+HT$8*(HU10-HU9)&gt;HZ$3,HZ$3,HT9+HT$8*(HU10-HU9)))</f>
        <v>5</v>
      </c>
      <c r="HU10" s="398">
        <f t="shared" ref="HU10:HU41" si="103">IF(ISTEXT(HU9),0,IF(HU9+Δ_hba&gt;HV$3,NA(),HU9+Δ_hba))</f>
        <v>0</v>
      </c>
      <c r="HV10" s="398">
        <f>IF(ISTEXT(HU9),0,HV9+(HU10-HU9)/3*(HS9*HT9+HS10*HT10+SQRT(HS9*HT9*HS10*HT10)))</f>
        <v>0</v>
      </c>
      <c r="HW10" s="398">
        <f t="shared" ref="HW10:HW38" si="104">IF(ISTEXT(HW9),HW$2,(HV9*HW9+(HV10-HV9)*IF(HW$2=HW$3,HW$2,IF(HW$2&gt;HW$3,HW$2-(HS10+HS9)/4,HW$2+(HS10+HS9)/4)))/HV10)</f>
        <v>50</v>
      </c>
      <c r="HX10" s="398">
        <f t="shared" ref="HX10:HX38" si="105">IF(ISTEXT(HX9),HX$2,(HV9*HX9+(HV10-HV9)*IF(HX$2&gt;0,HX$2-HZ$2/2+(HT10+HT9)/4,HX$2+HZ$2/2-(HT10+HT9)/4))/HV10)</f>
        <v>-7.5</v>
      </c>
      <c r="HY10" s="398">
        <f>IF(ISTEXT(HY9),HV$2,(HV9*HY9+(HV10-HV9)*(HU10+HU9)/2)/HV10)</f>
        <v>0</v>
      </c>
      <c r="HZ10" s="399">
        <f>IF(ISNA(HS11),IF(HZ9=0,NA(),0),IF(ISNUMBER(HZ9),HS10*HT10^3/12/HY$7,0))</f>
        <v>0</v>
      </c>
      <c r="IA10" s="66"/>
      <c r="IB10" s="66"/>
      <c r="IC10" s="396">
        <f t="shared" ref="IC10:IC38" si="106">IF(ISTEXT(IC9),II$2,IF(IC9+IC$8*(IE10-IE9)&gt;II$3,II$3,IC9+IC$8*(IE10-IE9)))</f>
        <v>0</v>
      </c>
      <c r="ID10" s="397">
        <f t="shared" ref="ID10:ID38" si="107">IF(ISTEXT(ID9),IJ$2,IF(ID9+ID$8*(IE10-IE9)&gt;IJ$3,IJ$3,ID9+ID$8*(IE10-IE9)))</f>
        <v>20</v>
      </c>
      <c r="IE10" s="398">
        <f t="shared" ref="IE10:IE41" si="108">IF(ISTEXT(IE9),0,IF(IE9+Δ_hba&gt;IF$3,NA(),IE9+Δ_hba))</f>
        <v>0</v>
      </c>
      <c r="IF10" s="398">
        <f>IF(ISTEXT(IE9),0,IF9+(IE10-IE9)/3*(IC9*ID9+IC10*ID10+SQRT(IC9*ID9*IC10*ID10)))</f>
        <v>0</v>
      </c>
      <c r="IG10" s="398">
        <f t="shared" ref="IG10:IG38" si="109">IF(ISTEXT(IG9),IG$2,(IF9*IG9+(IF10-IF9)*IF(IG$2=IG$3,IG$2,IF(IG$2&gt;IG$3,IG$2-(IC10+IC9)/4,IG$2+(IC10+IC9)/4)))/IF10)</f>
        <v>55</v>
      </c>
      <c r="IH10" s="398">
        <f t="shared" ref="IH10:IH38" si="110">IF(ISTEXT(IH9),IH$2,(IF9*IH9+(IF10-IF9)*IF(IH$2&gt;0,IH$2-IJ$2/2+(ID10+ID9)/4,IH$2+IJ$2/2-(ID10+ID9)/4))/IF10)</f>
        <v>0</v>
      </c>
      <c r="II10" s="398">
        <f>IF(ISTEXT(II9),IF$2,(IF9*II9+(IF10-IF9)*(IE10+IE9)/2)/IF10)</f>
        <v>0</v>
      </c>
      <c r="IJ10" s="399">
        <f>IF(ISNA(IC11),IF(IJ9=0,NA(),0),IF(ISNUMBER(IJ9),IC10*ID10^3/12/II$7,0))</f>
        <v>0</v>
      </c>
      <c r="IK10" s="66"/>
      <c r="IL10" s="66"/>
      <c r="IM10" s="396">
        <f t="shared" ref="IM10:IM38" si="111">IF(ISTEXT(IM9),IS$2,IF(IM9+IM$8*(IO10-IO9)&gt;IS$3,IS$3,IM9+IM$8*(IO10-IO9)))</f>
        <v>8.01</v>
      </c>
      <c r="IN10" s="397">
        <f t="shared" ref="IN10:IN38" si="112">IF(ISTEXT(IN9),IT$2,IF(IN9+IN$8*(IO10-IO9)&gt;IT$3,IT$3,IN9+IN$8*(IO10-IO9)))</f>
        <v>13.75</v>
      </c>
      <c r="IO10" s="398">
        <f t="shared" ref="IO10:IO41" si="113">IF(ISTEXT(IO9),0,IF(IO9+Δ_hba&gt;IP$3,NA(),IO9+Δ_hba))</f>
        <v>0</v>
      </c>
      <c r="IP10" s="398">
        <f>IF(ISTEXT(IO9),0,IP9+(IO10-IO9)/3*(IM9*IN9+IM10*IN10+SQRT(IM9*IN9*IM10*IN10)))</f>
        <v>0</v>
      </c>
      <c r="IQ10" s="398">
        <f t="shared" ref="IQ10:IQ38" si="114">IF(ISTEXT(IQ9),IQ$2,(IP9*IQ9+(IP10-IP9)*IF(IQ$2=IQ$3,IQ$2,IF(IQ$2&gt;IQ$3,IQ$2-(IM10+IM9)/4,IQ$2+(IM10+IM9)/4)))/IP10)</f>
        <v>62.604999999999997</v>
      </c>
      <c r="IR10" s="398">
        <f t="shared" ref="IR10:IR38" si="115">IF(ISTEXT(IR9),IR$2,(IP9*IR9+(IP10-IP9)*IF(IR$2&gt;0,IR$2-IT$2/2+(IN10+IN9)/4,IR$2+IT$2/2-(IN10+IN9)/4))/IP10)</f>
        <v>6.875</v>
      </c>
      <c r="IS10" s="398">
        <f>IF(ISTEXT(IS9),IP$2,(IP9*IS9+(IP10-IP9)*(IO10+IO9)/2)/IP10)</f>
        <v>0</v>
      </c>
      <c r="IT10" s="399">
        <f>IF(ISNA(IM11),IF(IT9=0,NA(),0),IF(ISNUMBER(IT9),IM10*IN10^3/12/IS$7,0))</f>
        <v>0</v>
      </c>
      <c r="IU10" s="66"/>
      <c r="IV10" s="66"/>
      <c r="IW10" s="396">
        <f t="shared" ref="IW10:IW73" si="116">IF(ISTEXT(IW9),JC$2,IF(IW9+IW$8*(IY10-IY9)&gt;JC$3,JC$3,IW9+IW$8*(IY10-IY9)))</f>
        <v>8.01</v>
      </c>
      <c r="IX10" s="397">
        <f t="shared" ref="IX10:IX73" si="117">IF(ISTEXT(IX9),JD$2,IF(IX9+IX$8*(IY10-IY9)&gt;JD$3,JD$3,IX9+IX$8*(IY10-IY9)))</f>
        <v>13.75</v>
      </c>
      <c r="IY10" s="398">
        <f t="shared" ref="IY10:IY73" si="118">IF(ISTEXT(IY9),0,IF(IY9+Δ_hba&gt;IZ$3,NA(),IY9+Δ_hba))</f>
        <v>0</v>
      </c>
      <c r="IZ10" s="398">
        <f>IF(ISTEXT(IY9),0,IZ9+(IY10-IY9)/3*(IW9*IX9+IW10*IX10+SQRT(IW9*IX9*IW10*IX10)))</f>
        <v>0</v>
      </c>
      <c r="JA10" s="398">
        <f t="shared" ref="JA10:JA73" si="119">IF(ISTEXT(JA9),JA$2,(IZ9*JA9+(IZ10-IZ9)*IF(JA$2=JA$3,JA$2,IF(JA$2&gt;JA$3,JA$2-(IW10+IW9)/4,JA$2+(IW10+IW9)/4)))/IZ10)</f>
        <v>62.604999999999997</v>
      </c>
      <c r="JB10" s="398">
        <f t="shared" ref="JB10:JB73" si="120">IF(ISTEXT(JB9),JB$2,(IZ9*JB9+(IZ10-IZ9)*IF(JB$2&gt;0,JB$2-JD$2/2+(IX10+IX9)/4,JB$2+JD$2/2-(IX10+IX9)/4))/IZ10)</f>
        <v>-6.875</v>
      </c>
      <c r="JC10" s="398">
        <f>IF(ISTEXT(JC9),IZ$2,(IZ9*JC9+(IZ10-IZ9)*(IY10+IY9)/2)/IZ10)</f>
        <v>0</v>
      </c>
      <c r="JD10" s="399">
        <f>IF(ISNA(IW11),IF(JD9=0,NA(),0),IF(ISNUMBER(JD9),IW10*IX10^3/12/JC$7,0))</f>
        <v>0</v>
      </c>
      <c r="JE10" s="66"/>
      <c r="JF10" s="66"/>
      <c r="JG10" s="396">
        <f t="shared" ref="JG10:JG73" si="121">IF(ISTEXT(JG9),JM$2,IF(JG9+JG$8*(JI10-JI9)&gt;JM$3,JM$3,JG9+JG$8*(JI10-JI9)))</f>
        <v>0</v>
      </c>
      <c r="JH10" s="397">
        <f t="shared" ref="JH10:JH73" si="122">IF(ISTEXT(JH9),JN$2,IF(JH9+JH$8*(JI10-JI9)&gt;JN$3,JN$3,JH9+JH$8*(JI10-JI9)))</f>
        <v>6.875</v>
      </c>
      <c r="JI10" s="398">
        <f t="shared" ref="JI10:JI73" si="123">IF(ISTEXT(JI9),0,IF(JI9+Δ_hba&gt;JJ$3,NA(),JI9+Δ_hba))</f>
        <v>0</v>
      </c>
      <c r="JJ10" s="398">
        <f>IF(ISTEXT(JI9),0,JJ9+(JI10-JI9)/3*(JG9*JH9+JG10*JH10+SQRT(JG9*JH9*JG10*JH10)))</f>
        <v>0</v>
      </c>
      <c r="JK10" s="398">
        <f t="shared" ref="JK10:JK73" si="124">IF(ISTEXT(JK9),JK$2,(JJ9*JK9+(JJ10-JJ9)*IF(JK$2=JK$3,JK$2,IF(JK$2&gt;JK$3,JK$2-(JG10+JG9)/4,JK$2+(JG10+JG9)/4)))/JJ10)</f>
        <v>69.599999999999994</v>
      </c>
      <c r="JL10" s="398">
        <f t="shared" ref="JL10:JL73" si="125">IF(ISTEXT(JL9),JL$2,(JJ9*JL9+(JJ10-JJ9)*IF(JL$2&gt;0,JL$2-JN$2/2+(JH10+JH9)/4,JL$2+JN$2/2-(JH10+JH9)/4))/JJ10)</f>
        <v>10.3125</v>
      </c>
      <c r="JM10" s="398">
        <f>IF(ISTEXT(JM9),JJ$2,(JJ9*JM9+(JJ10-JJ9)*(JI10+JI9)/2)/JJ10)</f>
        <v>1.196</v>
      </c>
      <c r="JN10" s="399">
        <f>IF(ISNA(JG11),IF(JN9=0,NA(),0),IF(ISNUMBER(JN9),JG10*JH10^3/12/JM$7,0))</f>
        <v>0</v>
      </c>
      <c r="JO10" s="66"/>
      <c r="JP10" s="66"/>
      <c r="JQ10" s="396">
        <f t="shared" ref="JQ10:JQ73" si="126">IF(ISTEXT(JQ9),JW$2,IF(JQ9+JQ$8*(JS10-JS9)&gt;JW$3,JW$3,JQ9+JQ$8*(JS10-JS9)))</f>
        <v>0</v>
      </c>
      <c r="JR10" s="397">
        <f t="shared" ref="JR10:JR73" si="127">IF(ISTEXT(JR9),JX$2,IF(JR9+JR$8*(JS10-JS9)&gt;JX$3,JX$3,JR9+JR$8*(JS10-JS9)))</f>
        <v>6.875</v>
      </c>
      <c r="JS10" s="398">
        <f t="shared" ref="JS10:JS73" si="128">IF(ISTEXT(JS9),0,IF(JS9+Δ_hba&gt;JT$3,NA(),JS9+Δ_hba))</f>
        <v>0</v>
      </c>
      <c r="JT10" s="398">
        <f>IF(ISTEXT(JS9),0,JT9+(JS10-JS9)/3*(JQ9*JR9+JQ10*JR10+SQRT(JQ9*JR9*JQ10*JR10)))</f>
        <v>0</v>
      </c>
      <c r="JU10" s="398">
        <f t="shared" ref="JU10:JU73" si="129">IF(ISTEXT(JU9),JU$2,(JT9*JU9+(JT10-JT9)*IF(JU$2=JU$3,JU$2,IF(JU$2&gt;JU$3,JU$2-(JQ10+JQ9)/4,JU$2+(JQ10+JQ9)/4)))/JT10)</f>
        <v>69.599999999999994</v>
      </c>
      <c r="JV10" s="398">
        <f t="shared" ref="JV10:JV73" si="130">IF(ISTEXT(JV9),JV$2,(JT9*JV9+(JT10-JT9)*IF(JV$2&gt;0,JV$2-JX$2/2+(JR10+JR9)/4,JV$2+JX$2/2-(JR10+JR9)/4))/JT10)</f>
        <v>3.4375</v>
      </c>
      <c r="JW10" s="398">
        <f>IF(ISTEXT(JW9),JT$2,(JT9*JW9+(JT10-JT9)*(JS10+JS9)/2)/JT10)</f>
        <v>1.196</v>
      </c>
      <c r="JX10" s="399">
        <f>IF(ISNA(JQ11),IF(JX9=0,NA(),0),IF(ISNUMBER(JX9),JQ10*JR10^3/12/JW$7,0))</f>
        <v>0</v>
      </c>
      <c r="JY10" s="66"/>
      <c r="JZ10" s="66"/>
      <c r="KA10" s="396">
        <f t="shared" ref="KA10:KA73" si="131">IF(ISTEXT(KA9),KG$2,IF(KA9+KA$8*(KC10-KC9)&gt;KG$3,KG$3,KA9+KA$8*(KC10-KC9)))</f>
        <v>0</v>
      </c>
      <c r="KB10" s="397">
        <f t="shared" ref="KB10:KB73" si="132">IF(ISTEXT(KB9),KH$2,IF(KB9+KB$8*(KC10-KC9)&gt;KH$3,KH$3,KB9+KB$8*(KC10-KC9)))</f>
        <v>6.875</v>
      </c>
      <c r="KC10" s="398">
        <f t="shared" ref="KC10:KC73" si="133">IF(ISTEXT(KC9),0,IF(KC9+Δ_hba&gt;KD$3,NA(),KC9+Δ_hba))</f>
        <v>0</v>
      </c>
      <c r="KD10" s="398">
        <f>IF(ISTEXT(KC9),0,KD9+(KC10-KC9)/3*(KA9*KB9+KA10*KB10+SQRT(KA9*KB9*KA10*KB10)))</f>
        <v>0</v>
      </c>
      <c r="KE10" s="398">
        <f t="shared" ref="KE10:KE73" si="134">IF(ISTEXT(KE9),KE$2,(KD9*KE9+(KD10-KD9)*IF(KE$2=KE$3,KE$2,IF(KE$2&gt;KE$3,KE$2-(KA10+KA9)/4,KE$2+(KA10+KA9)/4)))/KD10)</f>
        <v>69.599999999999994</v>
      </c>
      <c r="KF10" s="398">
        <f t="shared" ref="KF10:KF73" si="135">IF(ISTEXT(KF9),KF$2,(KD9*KF9+(KD10-KD9)*IF(KF$2&gt;0,KF$2-KH$2/2+(KB10+KB9)/4,KF$2+KH$2/2-(KB10+KB9)/4))/KD10)</f>
        <v>-3.4375</v>
      </c>
      <c r="KG10" s="398">
        <f>IF(ISTEXT(KG9),KD$2,(KD9*KG9+(KD10-KD9)*(KC10+KC9)/2)/KD10)</f>
        <v>1.196</v>
      </c>
      <c r="KH10" s="399">
        <f>IF(ISNA(KA11),IF(KH9=0,NA(),0),IF(ISNUMBER(KH9),KA10*KB10^3/12/KG$7,0))</f>
        <v>0</v>
      </c>
      <c r="KI10" s="66"/>
      <c r="KJ10" s="66"/>
      <c r="KK10" s="396">
        <f t="shared" ref="KK10:KK73" si="136">IF(ISTEXT(KK9),KQ$2,IF(KK9+KK$8*(KM10-KM9)&gt;KQ$3,KQ$3,KK9+KK$8*(KM10-KM9)))</f>
        <v>0</v>
      </c>
      <c r="KL10" s="397">
        <f t="shared" ref="KL10:KL73" si="137">IF(ISTEXT(KL9),KR$2,IF(KL9+KL$8*(KM10-KM9)&gt;KR$3,KR$3,KL9+KL$8*(KM10-KM9)))</f>
        <v>6.875</v>
      </c>
      <c r="KM10" s="398">
        <f t="shared" ref="KM10:KM73" si="138">IF(ISTEXT(KM9),0,IF(KM9+Δ_hba&gt;KN$3,NA(),KM9+Δ_hba))</f>
        <v>0</v>
      </c>
      <c r="KN10" s="398">
        <f>IF(ISTEXT(KM9),0,KN9+(KM10-KM9)/3*(KK9*KL9+KK10*KL10+SQRT(KK9*KL9*KK10*KL10)))</f>
        <v>0</v>
      </c>
      <c r="KO10" s="398">
        <f t="shared" ref="KO10:KO73" si="139">IF(ISTEXT(KO9),KO$2,(KN9*KO9+(KN10-KN9)*IF(KO$2=KO$3,KO$2,IF(KO$2&gt;KO$3,KO$2-(KK10+KK9)/4,KO$2+(KK10+KK9)/4)))/KN10)</f>
        <v>69.599999999999994</v>
      </c>
      <c r="KP10" s="398">
        <f t="shared" ref="KP10:KP73" si="140">IF(ISTEXT(KP9),KP$2,(KN9*KP9+(KN10-KN9)*IF(KP$2&gt;0,KP$2-KR$2/2+(KL10+KL9)/4,KP$2+KR$2/2-(KL10+KL9)/4))/KN10)</f>
        <v>-10.3125</v>
      </c>
      <c r="KQ10" s="398">
        <f>IF(ISTEXT(KQ9),KN$2,(KN9*KQ9+(KN10-KN9)*(KM10+KM9)/2)/KN10)</f>
        <v>1.196</v>
      </c>
      <c r="KR10" s="399">
        <f>IF(ISNA(KK11),IF(KR9=0,NA(),0),IF(ISNUMBER(KR9),KK10*KL10^3/12/KQ$7,0))</f>
        <v>0</v>
      </c>
      <c r="KS10" s="66"/>
      <c r="KT10" s="66"/>
      <c r="KU10" s="396">
        <f t="shared" ref="KU10:KU38" si="141">IF(ISTEXT(KU9),LA$2,IF(KU9+KU$8*(KW10-KW9)&gt;LA$3,LA$3,KU9+KU$8*(KW10-KW9)))</f>
        <v>5</v>
      </c>
      <c r="KV10" s="397">
        <f t="shared" ref="KV10:KV38" si="142">IF(ISTEXT(KV9),LB$2,IF(KV9+KV$8*(KW10-KW9)&gt;LB$3,LB$3,KV9+KV$8*(KW10-KW9)))</f>
        <v>5</v>
      </c>
      <c r="KW10" s="398">
        <f t="shared" ref="KW10:KW41" si="143">IF(ISTEXT(KW9),0,IF(KW9+Δ_hba&gt;KX$3,NA(),KW9+Δ_hba))</f>
        <v>0</v>
      </c>
      <c r="KX10" s="398">
        <f>IF(ISTEXT(KW9),0,KX9+(KW10-KW9)/3*(KU9*KV9+KU10*KV10+SQRT(KU9*KV9*KU10*KV10)))</f>
        <v>0</v>
      </c>
      <c r="KY10" s="398">
        <f t="shared" ref="KY10:KY38" si="144">IF(ISTEXT(KY9),KY$2,(KX9*KY9+(KX10-KX9)*IF(KY$2=KY$3,KY$2,IF(KY$2&gt;KY$3,KY$2-(KU10+KU9)/4,KY$2+(KU10+KU9)/4)))/KX10)</f>
        <v>55</v>
      </c>
      <c r="KZ10" s="398">
        <f t="shared" ref="KZ10:KZ38" si="145">IF(ISTEXT(KZ9),KZ$2,(KX9*KZ9+(KX10-KX9)*IF(KZ$2&gt;0,KZ$2-LB$2/2+(KV10+KV9)/4,KZ$2+LB$2/2-(KV10+KV9)/4))/KX10)</f>
        <v>0</v>
      </c>
      <c r="LA10" s="398">
        <f>IF(ISTEXT(LA9),KX$2,(KX9*LA9+(KX10-KX9)*(KW10+KW9)/2)/KX10)</f>
        <v>0</v>
      </c>
      <c r="LB10" s="399">
        <f>IF(ISNA(KU11),IF(LB9=0,NA(),0),IF(ISNUMBER(LB9),KU10*KV10^3/12/LA$7,0))</f>
        <v>0</v>
      </c>
      <c r="LC10" s="66"/>
    </row>
    <row r="11" spans="1:315" s="67" customFormat="1" ht="15" customHeight="1" x14ac:dyDescent="0.25">
      <c r="A11" s="481"/>
      <c r="B11" s="73">
        <f t="shared" si="0"/>
        <v>1</v>
      </c>
      <c r="C11" s="347" t="str">
        <f>INDEX($AA$1:$LC$6,C$5,C$6+Tbl_Ballasts[[#This Row],[Index]]*Ballasts_columns_step)</f>
        <v>WB6Ps</v>
      </c>
      <c r="D11" s="114" t="str">
        <f ca="1">IFERROR(OFFSET($AA$1,D$5,D$6+Tbl_Ballasts[[#This Row],[Index]]*Ballasts_columns_step),0)</f>
        <v>OK</v>
      </c>
      <c r="E11" s="348">
        <v>6</v>
      </c>
      <c r="F11" s="349">
        <v>1</v>
      </c>
      <c r="G11" s="762" t="str">
        <f>TEXT(Tbl_Ballasts[[#This Row],[Recap Row]],"00")&amp;TEXT(Tbl_Ballasts[[#This Row],[Recap Col]],"00")</f>
        <v>0601</v>
      </c>
      <c r="H11" s="760">
        <f>INDEX(Recap_Ballasts,Tbl_Ballasts[[#This Row],[Recap Row]],Tbl_Ballasts[[#This Row],[Recap Col]])</f>
        <v>0</v>
      </c>
      <c r="I11" s="493">
        <f ca="1">IFERROR(OFFSET($AA$1,I$5,I$6+Tbl_Ballasts[[#This Row],[Index]]*Ballasts_columns_step),0)</f>
        <v>0</v>
      </c>
      <c r="J11" s="103">
        <f ca="1">IFERROR(OFFSET($AA$1,J$5,J$6+Tbl_Ballasts[[#This Row],[Index]]*Ballasts_columns_step),0)</f>
        <v>0</v>
      </c>
      <c r="K11" s="427">
        <f ca="1">IFERROR(OFFSET($AA$1,K$5,K$6+Tbl_Ballasts[[#This Row],[Index]]*Ballasts_columns_step),0)</f>
        <v>10</v>
      </c>
      <c r="L11" s="428">
        <f ca="1">IFERROR(OFFSET($AA$1,L$5,L$6+Tbl_Ballasts[[#This Row],[Index]]*Ballasts_columns_step),0)</f>
        <v>7.5</v>
      </c>
      <c r="M11" s="429">
        <f ca="1">IFERROR(OFFSET($AA$1,M$5,M$6+Tbl_Ballasts[[#This Row],[Index]]*Ballasts_columns_step),0)</f>
        <v>0</v>
      </c>
      <c r="N11" s="438">
        <f ca="1">IFERROR(OFFSET($AA$1,N$5,N$6+Tbl_Ballasts[[#This Row],[Index]]*Ballasts_columns_step),0)</f>
        <v>10</v>
      </c>
      <c r="O11" s="437" t="str">
        <f ca="1">IF(Tbl_Ballasts[[#This Row],[Weight Fact]],Tbl_Ballasts[[#This Row],[COG x ]]-Tbl_Ballasts[[#This Row],[Distrib]]/2,"")</f>
        <v/>
      </c>
      <c r="P11" s="439" t="str">
        <f ca="1">IF(Tbl_Ballasts[[#This Row],[Weight Fact]],Tbl_Ballasts[[#This Row],[COG x ]]+Tbl_Ballasts[[#This Row],[Distrib]]/2,"")</f>
        <v/>
      </c>
      <c r="Q11" s="440" t="str">
        <f ca="1">IF(Tbl_Ballasts[[#This Row],[Weight Fact]],ROUND(Tbl_Ballasts[[#This Row],[AP from]]/FE_size,0),"")</f>
        <v/>
      </c>
      <c r="R11" s="441" t="str">
        <f ca="1">IF(Tbl_Ballasts[[#This Row],[Weight Fact]],ROUND(Tbl_Ballasts[[#This Row],[AP to]]/FE_size,0),"")</f>
        <v/>
      </c>
      <c r="S11" s="114" t="str">
        <f ca="1">IF(Tbl_Ballasts[[#This Row],[Weight Fact]]=0,"",IF(AND(Tbl_Ballasts[[#This Row],[COG x ]]&gt;=(Tbl_Ballasts[[#This Row],[L to]]-Tbl_Ballasts[[#This Row],[L from]])/3+Tbl_Ballasts[[#This Row],[L from]],Tbl_Ballasts[[#This Row],[COG x ]]&lt;=(Tbl_Ballasts[[#This Row],[L to]]-Tbl_Ballasts[[#This Row],[L from]])*2/3+Tbl_Ballasts[[#This Row],[L from]],Tbl_Ballasts[[#This Row],[L to]]&gt;Tbl_Ballasts[[#This Row],[L from]]),"OK","KO"))</f>
        <v/>
      </c>
      <c r="T11" s="442" t="str">
        <f ca="1">IF(Tbl_Ballasts[[#This Row],[Weight Fact]],IF(Tbl_Ballasts[[#This Row],[Fr from]]*FE_size&lt;0,0,Tbl_Ballasts[[#This Row],[Fr from]]*FE_size),"")</f>
        <v/>
      </c>
      <c r="U11" s="443" t="str">
        <f ca="1">IF(Tbl_Ballasts[[#This Row],[Weight Fact]],IF(Tbl_Ballasts[[#This Row],[Fr to]]*FE_size=Tbl_Ballasts[[#This Row],[L from]],Tbl_Ballasts[[#This Row],[L from]]+FE_size,IF(Tbl_Ballasts[[#This Row],[Fr to]]*FE_size&gt;Lpp,Lpp,Tbl_Ballasts[[#This Row],[Fr to]]*FE_size)),"")</f>
        <v/>
      </c>
      <c r="V11" s="444" t="str">
        <f ca="1">IFERROR(Tbl_Ballasts[[#This Row],[Weight Fact]]/(Tbl_Ballasts[[#This Row],[L to]]-Tbl_Ballasts[[#This Row],[L from]]),"")</f>
        <v/>
      </c>
      <c r="W11" s="145" t="str">
        <f ca="1">IF(Tbl_Ballasts[[#This Row],[Weight Fact]],Tbl_Ballasts[[#This Row],[Spread]]*(Tbl_Ballasts[[#This Row],[L to]]-Tbl_Ballasts[[#This Row],[L from]])-Tbl_Ballasts[[#This Row],[Weight Fact]],"")</f>
        <v/>
      </c>
      <c r="X11" s="141" t="str">
        <f ca="1">IF(AND(ISNUMBER(Tbl_Ballasts[[#This Row],[L from]]),ISNUMBER(Tbl_Ballasts[[#This Row],[L to]])),IF(AND(Tbl_Ballasts[[#This Row],[L from]]&gt;=0,Tbl_Ballasts[[#This Row],[L to]]&lt;=Lpp),"OK","KO"),"OK")</f>
        <v>OK</v>
      </c>
      <c r="Y11" s="481"/>
      <c r="Z11" s="413"/>
      <c r="AA11" s="396">
        <f t="shared" si="1"/>
        <v>0.1777</v>
      </c>
      <c r="AB11" s="397">
        <f t="shared" si="2"/>
        <v>20</v>
      </c>
      <c r="AC11" s="398">
        <f t="shared" si="3"/>
        <v>0.1</v>
      </c>
      <c r="AD11" s="398">
        <f t="shared" ref="AD11:AD74" si="146">IF(ISTEXT(AC10),0,AD10+(AC11-AC10)/3*(AA10*AB10+AA11*AB11+SQRT(AA10*AB10*AA11*AB11)))</f>
        <v>0.11846666666666666</v>
      </c>
      <c r="AE11" s="398">
        <f t="shared" si="4"/>
        <v>4.9555749999999996</v>
      </c>
      <c r="AF11" s="398">
        <f t="shared" si="5"/>
        <v>0</v>
      </c>
      <c r="AG11" s="398">
        <f t="shared" ref="AG11:AG38" si="147">IF(ISTEXT(AG10),AD$2,(AD10*AG10+(AD11-AD10)*(AD$2+(AC11+AC10)/2))/AD11)</f>
        <v>0.05</v>
      </c>
      <c r="AH11" s="399">
        <f t="shared" ref="AH11:AH74" si="148">IF(ISNA(AA12),IF(AH10=0,NA(),0),IF(ISNUMBER(AH10),AA11*AB11^3/12/AG$7,0))</f>
        <v>115.57723577235772</v>
      </c>
      <c r="AI11" s="66"/>
      <c r="AJ11" s="66"/>
      <c r="AK11" s="396">
        <f t="shared" si="6"/>
        <v>10</v>
      </c>
      <c r="AL11" s="397">
        <f t="shared" si="7"/>
        <v>5</v>
      </c>
      <c r="AM11" s="398">
        <f t="shared" si="8"/>
        <v>0.1</v>
      </c>
      <c r="AN11" s="398">
        <f t="shared" ref="AN11:AN74" si="149">IF(ISTEXT(AM10),0,AN10+(AM11-AM10)/3*(AK10*AL10+AK11*AL11+SQRT(AK10*AL10*AK11*AL11)))</f>
        <v>5</v>
      </c>
      <c r="AO11" s="398">
        <f t="shared" si="9"/>
        <v>10</v>
      </c>
      <c r="AP11" s="398">
        <f t="shared" si="10"/>
        <v>7.5</v>
      </c>
      <c r="AQ11" s="398">
        <f t="shared" ref="AQ11:AQ38" si="150">IF(ISTEXT(AQ10),AN$2,(AN10*AQ10+(AN11-AN10)*(AN$2+(AM11+AM10)/2))/AN11)</f>
        <v>0.05</v>
      </c>
      <c r="AR11" s="399">
        <f t="shared" ref="AR11:AR74" si="151">IF(ISNA(AK12),IF(AR10=0,NA(),0),IF(ISNUMBER(AR10),AK11*AL11^3/12/AQ$7,0))</f>
        <v>101.62601626016261</v>
      </c>
      <c r="AS11" s="66"/>
      <c r="AT11" s="66"/>
      <c r="AU11" s="396">
        <f t="shared" si="11"/>
        <v>10</v>
      </c>
      <c r="AV11" s="397">
        <f t="shared" si="12"/>
        <v>5</v>
      </c>
      <c r="AW11" s="398">
        <f t="shared" si="13"/>
        <v>0.1</v>
      </c>
      <c r="AX11" s="398">
        <f t="shared" ref="AX11:AX74" si="152">IF(ISTEXT(AW10),0,AX10+(AW11-AW10)/3*(AU10*AV10+AU11*AV11+SQRT(AU10*AV10*AU11*AV11)))</f>
        <v>5</v>
      </c>
      <c r="AY11" s="398">
        <f t="shared" si="14"/>
        <v>10</v>
      </c>
      <c r="AZ11" s="398">
        <f t="shared" si="15"/>
        <v>2.5</v>
      </c>
      <c r="BA11" s="398">
        <f t="shared" ref="BA11:BA38" si="153">IF(ISTEXT(BA10),AX$2,(AX10*BA10+(AX11-AX10)*(AX$2+(AW11+AW10)/2))/AX11)</f>
        <v>0.05</v>
      </c>
      <c r="BB11" s="399">
        <f t="shared" ref="BB11:BB74" si="154">IF(ISNA(AU12),IF(BB10=0,NA(),0),IF(ISNUMBER(BB10),AU11*AV11^3/12/BA$7,0))</f>
        <v>101.62601626016261</v>
      </c>
      <c r="BC11" s="66"/>
      <c r="BD11" s="66"/>
      <c r="BE11" s="396">
        <f t="shared" si="16"/>
        <v>10</v>
      </c>
      <c r="BF11" s="397">
        <f t="shared" si="17"/>
        <v>5</v>
      </c>
      <c r="BG11" s="398">
        <f t="shared" si="18"/>
        <v>0.1</v>
      </c>
      <c r="BH11" s="398">
        <f t="shared" ref="BH11:BH74" si="155">IF(ISTEXT(BG10),0,BH10+(BG11-BG10)/3*(BE10*BF10+BE11*BF11+SQRT(BE10*BF10*BE11*BF11)))</f>
        <v>5</v>
      </c>
      <c r="BI11" s="398">
        <f t="shared" si="19"/>
        <v>10</v>
      </c>
      <c r="BJ11" s="398">
        <f t="shared" si="20"/>
        <v>-2.5</v>
      </c>
      <c r="BK11" s="398">
        <f t="shared" ref="BK11:BK38" si="156">IF(ISTEXT(BK10),BH$2,(BH10*BK10+(BH11-BH10)*(BH$2+(BG11+BG10)/2))/BH11)</f>
        <v>0.05</v>
      </c>
      <c r="BL11" s="399">
        <f t="shared" ref="BL11:BL74" si="157">IF(ISNA(BE12),IF(BL10=0,NA(),0),IF(ISNUMBER(BL10),BE11*BF11^3/12/BK$7,0))</f>
        <v>101.62601626016261</v>
      </c>
      <c r="BM11" s="66"/>
      <c r="BN11" s="66"/>
      <c r="BO11" s="396">
        <f t="shared" si="21"/>
        <v>10</v>
      </c>
      <c r="BP11" s="397">
        <f t="shared" si="22"/>
        <v>5</v>
      </c>
      <c r="BQ11" s="398">
        <f t="shared" si="23"/>
        <v>0.1</v>
      </c>
      <c r="BR11" s="398">
        <f t="shared" ref="BR11:BR74" si="158">IF(ISTEXT(BQ10),0,BR10+(BQ11-BQ10)/3*(BO10*BP10+BO11*BP11+SQRT(BO10*BP10*BO11*BP11)))</f>
        <v>5</v>
      </c>
      <c r="BS11" s="398">
        <f t="shared" si="24"/>
        <v>10</v>
      </c>
      <c r="BT11" s="398">
        <f t="shared" si="25"/>
        <v>-7.5</v>
      </c>
      <c r="BU11" s="398">
        <f t="shared" ref="BU11:BU38" si="159">IF(ISTEXT(BU10),BR$2,(BR10*BU10+(BR11-BR10)*(BR$2+(BQ11+BQ10)/2))/BR11)</f>
        <v>0.05</v>
      </c>
      <c r="BV11" s="399">
        <f t="shared" ref="BV11:BV74" si="160">IF(ISNA(BO12),IF(BV10=0,NA(),0),IF(ISNUMBER(BV10),BO11*BP11^3/12/BU$7,0))</f>
        <v>101.62601626016261</v>
      </c>
      <c r="BW11" s="66"/>
      <c r="BX11" s="66"/>
      <c r="BY11" s="396">
        <f t="shared" si="26"/>
        <v>10</v>
      </c>
      <c r="BZ11" s="397">
        <f t="shared" si="27"/>
        <v>5</v>
      </c>
      <c r="CA11" s="398">
        <f t="shared" si="28"/>
        <v>0.1</v>
      </c>
      <c r="CB11" s="398">
        <f t="shared" ref="CB11:CB74" si="161">IF(ISTEXT(CA10),0,CB10+(CA11-CA10)/3*(BY10*BZ10+BY11*BZ11+SQRT(BY10*BZ10*BY11*BZ11)))</f>
        <v>5</v>
      </c>
      <c r="CC11" s="398">
        <f t="shared" si="29"/>
        <v>20</v>
      </c>
      <c r="CD11" s="398">
        <f t="shared" si="30"/>
        <v>7.5</v>
      </c>
      <c r="CE11" s="398">
        <f t="shared" ref="CE11:CE38" si="162">IF(ISTEXT(CE10),CB$2,(CB10*CE10+(CB11-CB10)*(CB$2+(CA11+CA10)/2))/CB11)</f>
        <v>0.05</v>
      </c>
      <c r="CF11" s="399">
        <f t="shared" ref="CF11:CF74" si="163">IF(ISNA(BY12),IF(CF10=0,NA(),0),IF(ISNUMBER(CF10),BY11*BZ11^3/12/CE$7,0))</f>
        <v>101.62601626016261</v>
      </c>
      <c r="CG11" s="66"/>
      <c r="CH11" s="66"/>
      <c r="CI11" s="396">
        <f t="shared" si="31"/>
        <v>10</v>
      </c>
      <c r="CJ11" s="397">
        <f t="shared" si="32"/>
        <v>5</v>
      </c>
      <c r="CK11" s="398">
        <f t="shared" si="33"/>
        <v>0.1</v>
      </c>
      <c r="CL11" s="398">
        <f t="shared" ref="CL11:CL74" si="164">IF(ISTEXT(CK10),0,CL10+(CK11-CK10)/3*(CI10*CJ10+CI11*CJ11+SQRT(CI10*CJ10*CI11*CJ11)))</f>
        <v>5</v>
      </c>
      <c r="CM11" s="398">
        <f t="shared" si="34"/>
        <v>20</v>
      </c>
      <c r="CN11" s="398">
        <f t="shared" si="35"/>
        <v>2.5</v>
      </c>
      <c r="CO11" s="398">
        <f t="shared" ref="CO11:CO38" si="165">IF(ISTEXT(CO10),CL$2,(CL10*CO10+(CL11-CL10)*(CL$2+(CK11+CK10)/2))/CL11)</f>
        <v>0.05</v>
      </c>
      <c r="CP11" s="399">
        <f t="shared" ref="CP11:CP74" si="166">IF(ISNA(CI12),IF(CP10=0,NA(),0),IF(ISNUMBER(CP10),CI11*CJ11^3/12/CO$7,0))</f>
        <v>101.62601626016261</v>
      </c>
      <c r="CQ11" s="66"/>
      <c r="CS11" s="396">
        <f t="shared" si="36"/>
        <v>10</v>
      </c>
      <c r="CT11" s="397">
        <f t="shared" si="37"/>
        <v>5</v>
      </c>
      <c r="CU11" s="398">
        <f t="shared" si="38"/>
        <v>0.1</v>
      </c>
      <c r="CV11" s="398">
        <f t="shared" ref="CV11:CV74" si="167">IF(ISTEXT(CU10),0,CV10+(CU11-CU10)/3*(CS10*CT10+CS11*CT11+SQRT(CS10*CT10*CS11*CT11)))</f>
        <v>5</v>
      </c>
      <c r="CW11" s="398">
        <f t="shared" si="39"/>
        <v>20</v>
      </c>
      <c r="CX11" s="398">
        <f t="shared" si="40"/>
        <v>-2.5</v>
      </c>
      <c r="CY11" s="398">
        <f t="shared" ref="CY11:CY38" si="168">IF(ISTEXT(CY10),CV$2,(CV10*CY10+(CV11-CV10)*(CV$2+(CU11+CU10)/2))/CV11)</f>
        <v>0.05</v>
      </c>
      <c r="CZ11" s="399">
        <f t="shared" ref="CZ11:CZ74" si="169">IF(ISNA(CS12),IF(CZ10=0,NA(),0),IF(ISNUMBER(CZ10),CS11*CT11^3/12/CY$7,0))</f>
        <v>101.62601626016261</v>
      </c>
      <c r="DA11" s="66"/>
      <c r="DB11" s="66"/>
      <c r="DC11" s="396">
        <f t="shared" si="41"/>
        <v>10</v>
      </c>
      <c r="DD11" s="397">
        <f t="shared" si="42"/>
        <v>5</v>
      </c>
      <c r="DE11" s="398">
        <f t="shared" si="43"/>
        <v>0.1</v>
      </c>
      <c r="DF11" s="398">
        <f t="shared" ref="DF11:DF74" si="170">IF(ISTEXT(DE10),0,DF10+(DE11-DE10)/3*(DC10*DD10+DC11*DD11+SQRT(DC10*DD10*DC11*DD11)))</f>
        <v>5</v>
      </c>
      <c r="DG11" s="398">
        <f t="shared" si="44"/>
        <v>20</v>
      </c>
      <c r="DH11" s="398">
        <f t="shared" si="45"/>
        <v>-7.5</v>
      </c>
      <c r="DI11" s="398">
        <f t="shared" ref="DI11:DI38" si="171">IF(ISTEXT(DI10),DF$2,(DF10*DI10+(DF11-DF10)*(DF$2+(DE11+DE10)/2))/DF11)</f>
        <v>0.05</v>
      </c>
      <c r="DJ11" s="399">
        <f t="shared" ref="DJ11:DJ74" si="172">IF(ISNA(DC12),IF(DJ10=0,NA(),0),IF(ISNUMBER(DJ10),DC11*DD11^3/12/DI$7,0))</f>
        <v>101.62601626016261</v>
      </c>
      <c r="DK11" s="66"/>
      <c r="DM11" s="396">
        <f t="shared" si="46"/>
        <v>10</v>
      </c>
      <c r="DN11" s="397">
        <f t="shared" si="47"/>
        <v>5</v>
      </c>
      <c r="DO11" s="398">
        <f t="shared" si="48"/>
        <v>0.1</v>
      </c>
      <c r="DP11" s="398">
        <f t="shared" ref="DP11:DP74" si="173">IF(ISTEXT(DO10),0,DP10+(DO11-DO10)/3*(DM10*DN10+DM11*DN11+SQRT(DM10*DN10*DM11*DN11)))</f>
        <v>5</v>
      </c>
      <c r="DQ11" s="398">
        <f t="shared" si="49"/>
        <v>30</v>
      </c>
      <c r="DR11" s="398">
        <f t="shared" si="50"/>
        <v>7.5</v>
      </c>
      <c r="DS11" s="398">
        <f t="shared" ref="DS11:DS38" si="174">IF(ISTEXT(DS10),DP$2,(DP10*DS10+(DP11-DP10)*(DP$2+(DO11+DO10)/2))/DP11)</f>
        <v>0.05</v>
      </c>
      <c r="DT11" s="399">
        <f t="shared" ref="DT11:DT74" si="175">IF(ISNA(DM12),IF(DT10=0,NA(),0),IF(ISNUMBER(DT10),DM11*DN11^3/12/DS$7,0))</f>
        <v>101.62601626016261</v>
      </c>
      <c r="DU11" s="66"/>
      <c r="DV11" s="66"/>
      <c r="DW11" s="396">
        <f t="shared" si="51"/>
        <v>10</v>
      </c>
      <c r="DX11" s="397">
        <f t="shared" si="52"/>
        <v>5</v>
      </c>
      <c r="DY11" s="398">
        <f t="shared" si="53"/>
        <v>0.1</v>
      </c>
      <c r="DZ11" s="398">
        <f t="shared" ref="DZ11:DZ74" si="176">IF(ISTEXT(DY10),0,DZ10+(DY11-DY10)/3*(DW10*DX10+DW11*DX11+SQRT(DW10*DX10*DW11*DX11)))</f>
        <v>5</v>
      </c>
      <c r="EA11" s="398">
        <f t="shared" si="54"/>
        <v>30</v>
      </c>
      <c r="EB11" s="398">
        <f t="shared" si="55"/>
        <v>2.5</v>
      </c>
      <c r="EC11" s="398">
        <f t="shared" ref="EC11:EC38" si="177">IF(ISTEXT(EC10),DZ$2,(DZ10*EC10+(DZ11-DZ10)*(DZ$2+(DY11+DY10)/2))/DZ11)</f>
        <v>0.05</v>
      </c>
      <c r="ED11" s="399">
        <f t="shared" ref="ED11:ED74" si="178">IF(ISNA(DW12),IF(ED10=0,NA(),0),IF(ISNUMBER(ED10),DW11*DX11^3/12/EC$7,0))</f>
        <v>101.62601626016261</v>
      </c>
      <c r="EE11" s="66"/>
      <c r="EF11" s="66"/>
      <c r="EG11" s="396">
        <f t="shared" si="56"/>
        <v>10</v>
      </c>
      <c r="EH11" s="397">
        <f t="shared" si="57"/>
        <v>5</v>
      </c>
      <c r="EI11" s="398">
        <f t="shared" si="58"/>
        <v>0.1</v>
      </c>
      <c r="EJ11" s="398">
        <f t="shared" ref="EJ11:EJ74" si="179">IF(ISTEXT(EI10),0,EJ10+(EI11-EI10)/3*(EG10*EH10+EG11*EH11+SQRT(EG10*EH10*EG11*EH11)))</f>
        <v>5</v>
      </c>
      <c r="EK11" s="398">
        <f t="shared" si="59"/>
        <v>30</v>
      </c>
      <c r="EL11" s="398">
        <f t="shared" si="60"/>
        <v>-2.5</v>
      </c>
      <c r="EM11" s="398">
        <f t="shared" ref="EM11:EM38" si="180">IF(ISTEXT(EM10),EJ$2,(EJ10*EM10+(EJ11-EJ10)*(EJ$2+(EI11+EI10)/2))/EJ11)</f>
        <v>0.05</v>
      </c>
      <c r="EN11" s="399">
        <f t="shared" ref="EN11:EN74" si="181">IF(ISNA(EG12),IF(EN10=0,NA(),0),IF(ISNUMBER(EN10),EG11*EH11^3/12/EM$7,0))</f>
        <v>101.62601626016261</v>
      </c>
      <c r="EO11" s="66"/>
      <c r="EP11" s="66"/>
      <c r="EQ11" s="396">
        <f t="shared" si="61"/>
        <v>10</v>
      </c>
      <c r="ER11" s="397">
        <f t="shared" si="62"/>
        <v>5</v>
      </c>
      <c r="ES11" s="398">
        <f t="shared" si="63"/>
        <v>0.1</v>
      </c>
      <c r="ET11" s="398">
        <f t="shared" ref="ET11:ET74" si="182">IF(ISTEXT(ES10),0,ET10+(ES11-ES10)/3*(EQ10*ER10+EQ11*ER11+SQRT(EQ10*ER10*EQ11*ER11)))</f>
        <v>5</v>
      </c>
      <c r="EU11" s="398">
        <f t="shared" si="64"/>
        <v>30</v>
      </c>
      <c r="EV11" s="398">
        <f t="shared" si="65"/>
        <v>-7.5</v>
      </c>
      <c r="EW11" s="398">
        <f t="shared" ref="EW11:EW38" si="183">IF(ISTEXT(EW10),ET$2,(ET10*EW10+(ET11-ET10)*(ET$2+(ES11+ES10)/2))/ET11)</f>
        <v>0.05</v>
      </c>
      <c r="EX11" s="399">
        <f t="shared" ref="EX11:EX74" si="184">IF(ISNA(EQ12),IF(EX10=0,NA(),0),IF(ISNUMBER(EX10),EQ11*ER11^3/12/EW$7,0))</f>
        <v>101.62601626016261</v>
      </c>
      <c r="EY11" s="66"/>
      <c r="EZ11" s="66"/>
      <c r="FA11" s="396">
        <f t="shared" si="66"/>
        <v>10</v>
      </c>
      <c r="FB11" s="397">
        <f t="shared" si="67"/>
        <v>5</v>
      </c>
      <c r="FC11" s="398">
        <f t="shared" si="68"/>
        <v>0.1</v>
      </c>
      <c r="FD11" s="398">
        <f t="shared" ref="FD11:FD74" si="185">IF(ISTEXT(FC10),0,FD10+(FC11-FC10)/3*(FA10*FB10+FA11*FB11+SQRT(FA10*FB10*FA11*FB11)))</f>
        <v>5</v>
      </c>
      <c r="FE11" s="398">
        <f t="shared" si="69"/>
        <v>40</v>
      </c>
      <c r="FF11" s="398">
        <f t="shared" si="70"/>
        <v>7.5</v>
      </c>
      <c r="FG11" s="398">
        <f t="shared" ref="FG11:FG38" si="186">IF(ISTEXT(FG10),FD$2,(FD10*FG10+(FD11-FD10)*(FD$2+(FC11+FC10)/2))/FD11)</f>
        <v>0.05</v>
      </c>
      <c r="FH11" s="399">
        <f t="shared" ref="FH11:FH74" si="187">IF(ISNA(FA12),IF(FH10=0,NA(),0),IF(ISNUMBER(FH10),FA11*FB11^3/12/FG$7,0))</f>
        <v>101.62601626016261</v>
      </c>
      <c r="FI11" s="66"/>
      <c r="FJ11" s="66"/>
      <c r="FK11" s="396">
        <f t="shared" si="71"/>
        <v>10</v>
      </c>
      <c r="FL11" s="397">
        <f t="shared" si="72"/>
        <v>5</v>
      </c>
      <c r="FM11" s="398">
        <f t="shared" si="73"/>
        <v>0.1</v>
      </c>
      <c r="FN11" s="398">
        <f t="shared" ref="FN11:FN74" si="188">IF(ISTEXT(FM10),0,FN10+(FM11-FM10)/3*(FK10*FL10+FK11*FL11+SQRT(FK10*FL10*FK11*FL11)))</f>
        <v>5</v>
      </c>
      <c r="FO11" s="398">
        <f t="shared" si="74"/>
        <v>40</v>
      </c>
      <c r="FP11" s="398">
        <f t="shared" si="75"/>
        <v>2.5</v>
      </c>
      <c r="FQ11" s="398">
        <f t="shared" ref="FQ11:FQ38" si="189">IF(ISTEXT(FQ10),FN$2,(FN10*FQ10+(FN11-FN10)*(FN$2+(FM11+FM10)/2))/FN11)</f>
        <v>0.05</v>
      </c>
      <c r="FR11" s="399">
        <f t="shared" ref="FR11:FR74" si="190">IF(ISNA(FK12),IF(FR10=0,NA(),0),IF(ISNUMBER(FR10),FK11*FL11^3/12/FQ$7,0))</f>
        <v>101.62601626016261</v>
      </c>
      <c r="FS11" s="66"/>
      <c r="FT11" s="66"/>
      <c r="FU11" s="396">
        <f t="shared" si="76"/>
        <v>10</v>
      </c>
      <c r="FV11" s="397">
        <f t="shared" si="77"/>
        <v>5</v>
      </c>
      <c r="FW11" s="398">
        <f t="shared" si="78"/>
        <v>0.1</v>
      </c>
      <c r="FX11" s="398">
        <f t="shared" ref="FX11:FX74" si="191">IF(ISTEXT(FW10),0,FX10+(FW11-FW10)/3*(FU10*FV10+FU11*FV11+SQRT(FU10*FV10*FU11*FV11)))</f>
        <v>5</v>
      </c>
      <c r="FY11" s="398">
        <f t="shared" si="79"/>
        <v>40</v>
      </c>
      <c r="FZ11" s="398">
        <f t="shared" si="80"/>
        <v>-2.5</v>
      </c>
      <c r="GA11" s="398">
        <f t="shared" ref="GA11:GA38" si="192">IF(ISTEXT(GA10),FX$2,(FX10*GA10+(FX11-FX10)*(FX$2+(FW11+FW10)/2))/FX11)</f>
        <v>0.05</v>
      </c>
      <c r="GB11" s="399">
        <f t="shared" ref="GB11:GB74" si="193">IF(ISNA(FU12),IF(GB10=0,NA(),0),IF(ISNUMBER(GB10),FU11*FV11^3/12/GA$7,0))</f>
        <v>101.62601626016261</v>
      </c>
      <c r="GC11" s="66"/>
      <c r="GD11" s="66"/>
      <c r="GE11" s="396">
        <f t="shared" si="81"/>
        <v>10</v>
      </c>
      <c r="GF11" s="397">
        <f t="shared" si="82"/>
        <v>5</v>
      </c>
      <c r="GG11" s="398">
        <f t="shared" si="83"/>
        <v>0.1</v>
      </c>
      <c r="GH11" s="398">
        <f t="shared" ref="GH11:GH74" si="194">IF(ISTEXT(GG10),0,GH10+(GG11-GG10)/3*(GE10*GF10+GE11*GF11+SQRT(GE10*GF10*GE11*GF11)))</f>
        <v>5</v>
      </c>
      <c r="GI11" s="398">
        <f t="shared" si="84"/>
        <v>40</v>
      </c>
      <c r="GJ11" s="398">
        <f t="shared" si="85"/>
        <v>-7.5</v>
      </c>
      <c r="GK11" s="398">
        <f t="shared" ref="GK11:GK38" si="195">IF(ISTEXT(GK10),GH$2,(GH10*GK10+(GH11-GH10)*(GH$2+(GG11+GG10)/2))/GH11)</f>
        <v>0.05</v>
      </c>
      <c r="GL11" s="399">
        <f t="shared" ref="GL11:GL74" si="196">IF(ISNA(GE12),IF(GL10=0,NA(),0),IF(ISNUMBER(GL10),GE11*GF11^3/12/GK$7,0))</f>
        <v>101.62601626016261</v>
      </c>
      <c r="GM11" s="66"/>
      <c r="GN11" s="66"/>
      <c r="GO11" s="396">
        <f t="shared" si="86"/>
        <v>10</v>
      </c>
      <c r="GP11" s="397">
        <f t="shared" si="87"/>
        <v>5</v>
      </c>
      <c r="GQ11" s="398">
        <f t="shared" si="88"/>
        <v>0.1</v>
      </c>
      <c r="GR11" s="398">
        <f t="shared" ref="GR11:GR74" si="197">IF(ISTEXT(GQ10),0,GR10+(GQ11-GQ10)/3*(GO10*GP10+GO11*GP11+SQRT(GO10*GP10*GO11*GP11)))</f>
        <v>5</v>
      </c>
      <c r="GS11" s="398">
        <f t="shared" si="89"/>
        <v>50</v>
      </c>
      <c r="GT11" s="398">
        <f t="shared" si="90"/>
        <v>7.5</v>
      </c>
      <c r="GU11" s="398">
        <f t="shared" ref="GU11:GU38" si="198">IF(ISTEXT(GU10),GR$2,(GR10*GU10+(GR11-GR10)*(GR$2+(GQ11+GQ10)/2))/GR11)</f>
        <v>0.05</v>
      </c>
      <c r="GV11" s="399">
        <f t="shared" ref="GV11:GV74" si="199">IF(ISNA(GO12),IF(GV10=0,NA(),0),IF(ISNUMBER(GV10),GO11*GP11^3/12/GU$7,0))</f>
        <v>101.62601626016261</v>
      </c>
      <c r="GW11" s="66"/>
      <c r="GX11" s="66"/>
      <c r="GY11" s="396">
        <f t="shared" si="91"/>
        <v>10</v>
      </c>
      <c r="GZ11" s="397">
        <f t="shared" si="92"/>
        <v>5</v>
      </c>
      <c r="HA11" s="398">
        <f t="shared" si="93"/>
        <v>0.1</v>
      </c>
      <c r="HB11" s="398">
        <f t="shared" ref="HB11:HB74" si="200">IF(ISTEXT(HA10),0,HB10+(HA11-HA10)/3*(GY10*GZ10+GY11*GZ11+SQRT(GY10*GZ10*GY11*GZ11)))</f>
        <v>5</v>
      </c>
      <c r="HC11" s="398">
        <f t="shared" si="94"/>
        <v>50</v>
      </c>
      <c r="HD11" s="398">
        <f t="shared" si="95"/>
        <v>2.5</v>
      </c>
      <c r="HE11" s="398">
        <f t="shared" ref="HE11:HE38" si="201">IF(ISTEXT(HE10),HB$2,(HB10*HE10+(HB11-HB10)*(HB$2+(HA11+HA10)/2))/HB11)</f>
        <v>0.05</v>
      </c>
      <c r="HF11" s="399">
        <f t="shared" ref="HF11:HF74" si="202">IF(ISNA(GY12),IF(HF10=0,NA(),0),IF(ISNUMBER(HF10),GY11*GZ11^3/12/HE$7,0))</f>
        <v>101.62601626016261</v>
      </c>
      <c r="HH11" s="66"/>
      <c r="HI11" s="396">
        <f t="shared" si="96"/>
        <v>10</v>
      </c>
      <c r="HJ11" s="397">
        <f t="shared" si="97"/>
        <v>5</v>
      </c>
      <c r="HK11" s="398">
        <f t="shared" si="98"/>
        <v>0.1</v>
      </c>
      <c r="HL11" s="398">
        <f t="shared" ref="HL11:HL74" si="203">IF(ISTEXT(HK10),0,HL10+(HK11-HK10)/3*(HI10*HJ10+HI11*HJ11+SQRT(HI10*HJ10*HI11*HJ11)))</f>
        <v>5</v>
      </c>
      <c r="HM11" s="398">
        <f t="shared" si="99"/>
        <v>50</v>
      </c>
      <c r="HN11" s="398">
        <f t="shared" si="100"/>
        <v>-2.5</v>
      </c>
      <c r="HO11" s="398">
        <f t="shared" ref="HO11:HO38" si="204">IF(ISTEXT(HO10),HL$2,(HL10*HO10+(HL11-HL10)*(HL$2+(HK11+HK10)/2))/HL11)</f>
        <v>0.05</v>
      </c>
      <c r="HP11" s="399">
        <f t="shared" ref="HP11:HP74" si="205">IF(ISNA(HI12),IF(HP10=0,NA(),0),IF(ISNUMBER(HP10),HI11*HJ11^3/12/HO$7,0))</f>
        <v>101.62601626016261</v>
      </c>
      <c r="HQ11" s="66"/>
      <c r="HR11" s="66"/>
      <c r="HS11" s="396">
        <f t="shared" si="101"/>
        <v>10</v>
      </c>
      <c r="HT11" s="397">
        <f t="shared" si="102"/>
        <v>5</v>
      </c>
      <c r="HU11" s="398">
        <f t="shared" si="103"/>
        <v>0.1</v>
      </c>
      <c r="HV11" s="398">
        <f t="shared" ref="HV11:HV74" si="206">IF(ISTEXT(HU10),0,HV10+(HU11-HU10)/3*(HS10*HT10+HS11*HT11+SQRT(HS10*HT10*HS11*HT11)))</f>
        <v>5</v>
      </c>
      <c r="HW11" s="398">
        <f t="shared" si="104"/>
        <v>50</v>
      </c>
      <c r="HX11" s="398">
        <f t="shared" si="105"/>
        <v>-7.5</v>
      </c>
      <c r="HY11" s="398">
        <f t="shared" ref="HY11:HY38" si="207">IF(ISTEXT(HY10),HV$2,(HV10*HY10+(HV11-HV10)*(HV$2+(HU11+HU10)/2))/HV11)</f>
        <v>0.05</v>
      </c>
      <c r="HZ11" s="399">
        <f t="shared" ref="HZ11:HZ74" si="208">IF(ISNA(HS12),IF(HZ10=0,NA(),0),IF(ISNUMBER(HZ10),HS11*HT11^3/12/HY$7,0))</f>
        <v>101.62601626016261</v>
      </c>
      <c r="IA11" s="66"/>
      <c r="IB11" s="66"/>
      <c r="IC11" s="396">
        <f t="shared" si="106"/>
        <v>0.17700000000000002</v>
      </c>
      <c r="ID11" s="397">
        <f t="shared" si="107"/>
        <v>20</v>
      </c>
      <c r="IE11" s="398">
        <f t="shared" si="108"/>
        <v>0.1</v>
      </c>
      <c r="IF11" s="398">
        <f t="shared" ref="IF11:IF74" si="209">IF(ISTEXT(IE10),0,IF10+(IE11-IE10)/3*(IC10*ID10+IC11*ID11+SQRT(IC10*ID10*IC11*ID11)))</f>
        <v>0.11800000000000001</v>
      </c>
      <c r="IG11" s="398">
        <f t="shared" si="109"/>
        <v>55.044249999999998</v>
      </c>
      <c r="IH11" s="398">
        <f t="shared" si="110"/>
        <v>0</v>
      </c>
      <c r="II11" s="398">
        <f t="shared" ref="II11:II38" si="210">IF(ISTEXT(II10),IF$2,(IF10*II10+(IF11-IF10)*(IF$2+(IE11+IE10)/2))/IF11)</f>
        <v>0.05</v>
      </c>
      <c r="IJ11" s="399">
        <f t="shared" ref="IJ11:IJ74" si="211">IF(ISNA(IC12),IF(IJ10=0,NA(),0),IF(ISNUMBER(IJ10),IC11*ID11^3/12/II$7,0))</f>
        <v>115.12195121951221</v>
      </c>
      <c r="IK11" s="66"/>
      <c r="IL11" s="66"/>
      <c r="IM11" s="396">
        <f t="shared" si="111"/>
        <v>8.26</v>
      </c>
      <c r="IN11" s="397">
        <f t="shared" si="112"/>
        <v>13.75</v>
      </c>
      <c r="IO11" s="398">
        <f t="shared" si="113"/>
        <v>0.1</v>
      </c>
      <c r="IP11" s="398">
        <f t="shared" ref="IP11:IP74" si="212">IF(ISTEXT(IO10),0,IP10+(IO11-IO10)/3*(IM10*IN10+IM11*IN11+SQRT(IM10*IN10*IM11*IN11)))</f>
        <v>11.185184810627105</v>
      </c>
      <c r="IQ11" s="398">
        <f t="shared" si="114"/>
        <v>66.672499999999999</v>
      </c>
      <c r="IR11" s="398">
        <f t="shared" si="115"/>
        <v>6.875</v>
      </c>
      <c r="IS11" s="398">
        <f t="shared" ref="IS11:IS38" si="213">IF(ISTEXT(IS10),IP$2,(IP10*IS10+(IP11-IP10)*(IP$2+(IO11+IO10)/2))/IP11)</f>
        <v>0.05</v>
      </c>
      <c r="IT11" s="399">
        <f t="shared" ref="IT11:IT74" si="214">IF(ISNA(IM12),IF(IT10=0,NA(),0),IF(ISNUMBER(IT10),IM11*IN11^3/12/IS$7,0))</f>
        <v>1745.7539380081303</v>
      </c>
      <c r="IU11" s="66"/>
      <c r="IV11" s="66"/>
      <c r="IW11" s="396">
        <f t="shared" si="116"/>
        <v>8.26</v>
      </c>
      <c r="IX11" s="397">
        <f t="shared" si="117"/>
        <v>13.75</v>
      </c>
      <c r="IY11" s="398">
        <f t="shared" si="118"/>
        <v>0.1</v>
      </c>
      <c r="IZ11" s="398">
        <f t="shared" ref="IZ11:IZ37" si="215">IF(ISTEXT(IY10),0,IZ10+(IY11-IY10)/3*(IW10*IX10+IW11*IX11+SQRT(IW10*IX10*IW11*IX11)))</f>
        <v>11.185184810627105</v>
      </c>
      <c r="JA11" s="398">
        <f t="shared" si="119"/>
        <v>66.672499999999999</v>
      </c>
      <c r="JB11" s="398">
        <f t="shared" si="120"/>
        <v>-6.875</v>
      </c>
      <c r="JC11" s="398">
        <f t="shared" ref="JC11:JC74" si="216">IF(ISTEXT(JC10),IZ$2,(IZ10*JC10+(IZ11-IZ10)*(IZ$2+(IY11+IY10)/2))/IZ11)</f>
        <v>0.05</v>
      </c>
      <c r="JD11" s="399">
        <f t="shared" ref="JD11:JD74" si="217">IF(ISNA(IW12),IF(JD10=0,NA(),0),IF(ISNUMBER(JD10),IW11*IX11^3/12/JC$7,0))</f>
        <v>1745.7539380081303</v>
      </c>
      <c r="JE11" s="66"/>
      <c r="JF11" s="66"/>
      <c r="JG11" s="396">
        <f t="shared" si="121"/>
        <v>0.25</v>
      </c>
      <c r="JH11" s="397">
        <f t="shared" si="122"/>
        <v>6.875</v>
      </c>
      <c r="JI11" s="398">
        <f t="shared" si="123"/>
        <v>0.1</v>
      </c>
      <c r="JJ11" s="398">
        <f t="shared" ref="JJ11:JJ37" si="218">IF(ISTEXT(JI10),0,JJ10+(JI11-JI10)/3*(JG10*JH10+JG11*JH11+SQRT(JG10*JH10*JG11*JH11)))</f>
        <v>5.7291666666666664E-2</v>
      </c>
      <c r="JK11" s="398">
        <f t="shared" si="124"/>
        <v>69.662499999999994</v>
      </c>
      <c r="JL11" s="398">
        <f t="shared" si="125"/>
        <v>10.3125</v>
      </c>
      <c r="JM11" s="398">
        <f t="shared" ref="JM11:JM74" si="219">IF(ISTEXT(JM10),JJ$2,(JJ10*JM10+(JJ11-JJ10)*(JJ$2+(JI11+JI10)/2))/JJ11)</f>
        <v>1.246</v>
      </c>
      <c r="JN11" s="399">
        <f t="shared" ref="JN11:JN74" si="220">IF(ISNA(JG12),IF(JN10=0,NA(),0),IF(ISNUMBER(JN10),JG11*JH11^3/12/JM$7,0))</f>
        <v>6.6046986153455292</v>
      </c>
      <c r="JO11" s="66"/>
      <c r="JP11" s="66"/>
      <c r="JQ11" s="396">
        <f t="shared" si="126"/>
        <v>0.25</v>
      </c>
      <c r="JR11" s="397">
        <f t="shared" si="127"/>
        <v>6.875</v>
      </c>
      <c r="JS11" s="398">
        <f t="shared" si="128"/>
        <v>0.1</v>
      </c>
      <c r="JT11" s="398">
        <f t="shared" ref="JT11:JT37" si="221">IF(ISTEXT(JS10),0,JT10+(JS11-JS10)/3*(JQ10*JR10+JQ11*JR11+SQRT(JQ10*JR10*JQ11*JR11)))</f>
        <v>5.7291666666666664E-2</v>
      </c>
      <c r="JU11" s="398">
        <f t="shared" si="129"/>
        <v>69.662499999999994</v>
      </c>
      <c r="JV11" s="398">
        <f t="shared" si="130"/>
        <v>3.4375</v>
      </c>
      <c r="JW11" s="398">
        <f t="shared" ref="JW11:JW74" si="222">IF(ISTEXT(JW10),JT$2,(JT10*JW10+(JT11-JT10)*(JT$2+(JS11+JS10)/2))/JT11)</f>
        <v>1.246</v>
      </c>
      <c r="JX11" s="399">
        <f t="shared" ref="JX11:JX74" si="223">IF(ISNA(JQ12),IF(JX10=0,NA(),0),IF(ISNUMBER(JX10),JQ11*JR11^3/12/JW$7,0))</f>
        <v>6.6046986153455292</v>
      </c>
      <c r="JY11" s="66"/>
      <c r="JZ11" s="66"/>
      <c r="KA11" s="396">
        <f t="shared" si="131"/>
        <v>0.25</v>
      </c>
      <c r="KB11" s="397">
        <f t="shared" si="132"/>
        <v>6.875</v>
      </c>
      <c r="KC11" s="398">
        <f t="shared" si="133"/>
        <v>0.1</v>
      </c>
      <c r="KD11" s="398">
        <f t="shared" ref="KD11:KD37" si="224">IF(ISTEXT(KC10),0,KD10+(KC11-KC10)/3*(KA10*KB10+KA11*KB11+SQRT(KA10*KB10*KA11*KB11)))</f>
        <v>5.7291666666666664E-2</v>
      </c>
      <c r="KE11" s="398">
        <f t="shared" si="134"/>
        <v>69.662499999999994</v>
      </c>
      <c r="KF11" s="398">
        <f t="shared" si="135"/>
        <v>-3.4375</v>
      </c>
      <c r="KG11" s="398">
        <f t="shared" ref="KG11:KG74" si="225">IF(ISTEXT(KG10),KD$2,(KD10*KG10+(KD11-KD10)*(KD$2+(KC11+KC10)/2))/KD11)</f>
        <v>1.246</v>
      </c>
      <c r="KH11" s="399">
        <f t="shared" ref="KH11:KH74" si="226">IF(ISNA(KA12),IF(KH10=0,NA(),0),IF(ISNUMBER(KH10),KA11*KB11^3/12/KG$7,0))</f>
        <v>6.6046986153455292</v>
      </c>
      <c r="KI11" s="66"/>
      <c r="KJ11" s="66"/>
      <c r="KK11" s="396">
        <f t="shared" si="136"/>
        <v>0.25</v>
      </c>
      <c r="KL11" s="397">
        <f t="shared" si="137"/>
        <v>6.875</v>
      </c>
      <c r="KM11" s="398">
        <f t="shared" si="138"/>
        <v>0.1</v>
      </c>
      <c r="KN11" s="398">
        <f t="shared" ref="KN11:KN37" si="227">IF(ISTEXT(KM10),0,KN10+(KM11-KM10)/3*(KK10*KL10+KK11*KL11+SQRT(KK10*KL10*KK11*KL11)))</f>
        <v>5.7291666666666664E-2</v>
      </c>
      <c r="KO11" s="398">
        <f t="shared" si="139"/>
        <v>69.662499999999994</v>
      </c>
      <c r="KP11" s="398">
        <f t="shared" si="140"/>
        <v>-10.3125</v>
      </c>
      <c r="KQ11" s="398">
        <f t="shared" ref="KQ11:KQ74" si="228">IF(ISTEXT(KQ10),KN$2,(KN10*KQ10+(KN11-KN10)*(KN$2+(KM11+KM10)/2))/KN11)</f>
        <v>1.246</v>
      </c>
      <c r="KR11" s="399">
        <f t="shared" ref="KR11:KR74" si="229">IF(ISNA(KK12),IF(KR10=0,NA(),0),IF(ISNUMBER(KR10),KK11*KL11^3/12/KQ$7,0))</f>
        <v>6.6046986153455292</v>
      </c>
      <c r="KS11" s="66"/>
      <c r="KT11" s="66"/>
      <c r="KU11" s="396">
        <f t="shared" si="141"/>
        <v>5</v>
      </c>
      <c r="KV11" s="397">
        <f t="shared" si="142"/>
        <v>5</v>
      </c>
      <c r="KW11" s="398">
        <f t="shared" si="143"/>
        <v>0.1</v>
      </c>
      <c r="KX11" s="398">
        <f t="shared" ref="KX11:KX74" si="230">IF(ISTEXT(KW10),0,KX10+(KW11-KW10)/3*(KU10*KV10+KU11*KV11+SQRT(KU10*KV10*KU11*KV11)))</f>
        <v>2.5</v>
      </c>
      <c r="KY11" s="398">
        <f t="shared" si="144"/>
        <v>57.5</v>
      </c>
      <c r="KZ11" s="398">
        <f t="shared" si="145"/>
        <v>0</v>
      </c>
      <c r="LA11" s="398">
        <f t="shared" ref="LA11:LA38" si="231">IF(ISTEXT(LA10),KX$2,(KX10*LA10+(KX11-KX10)*(KX$2+(KW11+KW10)/2))/KX11)</f>
        <v>0.05</v>
      </c>
      <c r="LB11" s="399">
        <f t="shared" ref="LB11:LB74" si="232">IF(ISNA(KU12),IF(LB10=0,NA(),0),IF(ISNUMBER(LB10),KU11*KV11^3/12/LA$7,0))</f>
        <v>50.813008130081307</v>
      </c>
      <c r="LC11" s="66"/>
    </row>
    <row r="12" spans="1:315" s="67" customFormat="1" ht="15" customHeight="1" x14ac:dyDescent="0.25">
      <c r="A12" s="481"/>
      <c r="B12" s="73">
        <f t="shared" si="0"/>
        <v>2</v>
      </c>
      <c r="C12" s="347" t="str">
        <f>INDEX($AA$1:$LC$6,C$5,C$6+Tbl_Ballasts[[#This Row],[Index]]*Ballasts_columns_step)</f>
        <v>WB6Cp</v>
      </c>
      <c r="D12" s="114" t="str">
        <f ca="1">IFERROR(OFFSET($AA$1,D$5,D$6+Tbl_Ballasts[[#This Row],[Index]]*Ballasts_columns_step),0)</f>
        <v>OK</v>
      </c>
      <c r="E12" s="348">
        <v>6</v>
      </c>
      <c r="F12" s="349">
        <v>2</v>
      </c>
      <c r="G12" s="762" t="str">
        <f>TEXT(Tbl_Ballasts[[#This Row],[Recap Row]],"00")&amp;TEXT(Tbl_Ballasts[[#This Row],[Recap Col]],"00")</f>
        <v>0602</v>
      </c>
      <c r="H12" s="760">
        <f>INDEX(Recap_Ballasts,Tbl_Ballasts[[#This Row],[Recap Row]],Tbl_Ballasts[[#This Row],[Recap Col]])</f>
        <v>0</v>
      </c>
      <c r="I12" s="493">
        <f ca="1">IFERROR(OFFSET($AA$1,I$5,I$6+Tbl_Ballasts[[#This Row],[Index]]*Ballasts_columns_step),0)</f>
        <v>0</v>
      </c>
      <c r="J12" s="103">
        <f ca="1">IFERROR(OFFSET($AA$1,J$5,J$6+Tbl_Ballasts[[#This Row],[Index]]*Ballasts_columns_step),0)</f>
        <v>0</v>
      </c>
      <c r="K12" s="427">
        <f ca="1">IFERROR(OFFSET($AA$1,K$5,K$6+Tbl_Ballasts[[#This Row],[Index]]*Ballasts_columns_step),0)</f>
        <v>10</v>
      </c>
      <c r="L12" s="428">
        <f ca="1">IFERROR(OFFSET($AA$1,L$5,L$6+Tbl_Ballasts[[#This Row],[Index]]*Ballasts_columns_step),0)</f>
        <v>2.5</v>
      </c>
      <c r="M12" s="429">
        <f ca="1">IFERROR(OFFSET($AA$1,M$5,M$6+Tbl_Ballasts[[#This Row],[Index]]*Ballasts_columns_step),0)</f>
        <v>0</v>
      </c>
      <c r="N12" s="438">
        <f ca="1">IFERROR(OFFSET($AA$1,N$5,N$6+Tbl_Ballasts[[#This Row],[Index]]*Ballasts_columns_step),0)</f>
        <v>10</v>
      </c>
      <c r="O12" s="437" t="str">
        <f ca="1">IF(Tbl_Ballasts[[#This Row],[Weight Fact]],Tbl_Ballasts[[#This Row],[COG x ]]-Tbl_Ballasts[[#This Row],[Distrib]]/2,"")</f>
        <v/>
      </c>
      <c r="P12" s="439" t="str">
        <f ca="1">IF(Tbl_Ballasts[[#This Row],[Weight Fact]],Tbl_Ballasts[[#This Row],[COG x ]]+Tbl_Ballasts[[#This Row],[Distrib]]/2,"")</f>
        <v/>
      </c>
      <c r="Q12" s="440" t="str">
        <f ca="1">IF(Tbl_Ballasts[[#This Row],[Weight Fact]],ROUND(Tbl_Ballasts[[#This Row],[AP from]]/FE_size,0),"")</f>
        <v/>
      </c>
      <c r="R12" s="441" t="str">
        <f ca="1">IF(Tbl_Ballasts[[#This Row],[Weight Fact]],ROUND(Tbl_Ballasts[[#This Row],[AP to]]/FE_size,0),"")</f>
        <v/>
      </c>
      <c r="S12" s="114" t="str">
        <f ca="1">IF(Tbl_Ballasts[[#This Row],[Weight Fact]]=0,"",IF(AND(Tbl_Ballasts[[#This Row],[COG x ]]&gt;=(Tbl_Ballasts[[#This Row],[L to]]-Tbl_Ballasts[[#This Row],[L from]])/3+Tbl_Ballasts[[#This Row],[L from]],Tbl_Ballasts[[#This Row],[COG x ]]&lt;=(Tbl_Ballasts[[#This Row],[L to]]-Tbl_Ballasts[[#This Row],[L from]])*2/3+Tbl_Ballasts[[#This Row],[L from]],Tbl_Ballasts[[#This Row],[L to]]&gt;Tbl_Ballasts[[#This Row],[L from]]),"OK","KO"))</f>
        <v/>
      </c>
      <c r="T12" s="442" t="str">
        <f ca="1">IF(Tbl_Ballasts[[#This Row],[Weight Fact]],IF(Tbl_Ballasts[[#This Row],[Fr from]]*FE_size&lt;0,0,Tbl_Ballasts[[#This Row],[Fr from]]*FE_size),"")</f>
        <v/>
      </c>
      <c r="U12" s="443" t="str">
        <f ca="1">IF(Tbl_Ballasts[[#This Row],[Weight Fact]],IF(Tbl_Ballasts[[#This Row],[Fr to]]*FE_size=Tbl_Ballasts[[#This Row],[L from]],Tbl_Ballasts[[#This Row],[L from]]+FE_size,IF(Tbl_Ballasts[[#This Row],[Fr to]]*FE_size&gt;Lpp,Lpp,Tbl_Ballasts[[#This Row],[Fr to]]*FE_size)),"")</f>
        <v/>
      </c>
      <c r="V12" s="444" t="str">
        <f ca="1">IFERROR(Tbl_Ballasts[[#This Row],[Weight Fact]]/(Tbl_Ballasts[[#This Row],[L to]]-Tbl_Ballasts[[#This Row],[L from]]),"")</f>
        <v/>
      </c>
      <c r="W12" s="145" t="str">
        <f ca="1">IF(Tbl_Ballasts[[#This Row],[Weight Fact]],Tbl_Ballasts[[#This Row],[Spread]]*(Tbl_Ballasts[[#This Row],[L to]]-Tbl_Ballasts[[#This Row],[L from]])-Tbl_Ballasts[[#This Row],[Weight Fact]],"")</f>
        <v/>
      </c>
      <c r="X12" s="141" t="str">
        <f ca="1">IF(AND(ISNUMBER(Tbl_Ballasts[[#This Row],[L from]]),ISNUMBER(Tbl_Ballasts[[#This Row],[L to]])),IF(AND(Tbl_Ballasts[[#This Row],[L from]]&gt;=0,Tbl_Ballasts[[#This Row],[L to]]&lt;=Lpp),"OK","KO"),"OK")</f>
        <v>OK</v>
      </c>
      <c r="Y12" s="481"/>
      <c r="Z12" s="413"/>
      <c r="AA12" s="396">
        <f t="shared" si="1"/>
        <v>0.35539999999999999</v>
      </c>
      <c r="AB12" s="397">
        <f t="shared" si="2"/>
        <v>20</v>
      </c>
      <c r="AC12" s="398">
        <f t="shared" si="3"/>
        <v>0.2</v>
      </c>
      <c r="AD12" s="398">
        <f t="shared" si="146"/>
        <v>0.6414038333557992</v>
      </c>
      <c r="AE12" s="398">
        <f t="shared" si="4"/>
        <v>4.8831355089273671</v>
      </c>
      <c r="AF12" s="398">
        <f t="shared" si="5"/>
        <v>0</v>
      </c>
      <c r="AG12" s="398">
        <f t="shared" si="147"/>
        <v>0.13153009687409353</v>
      </c>
      <c r="AH12" s="399">
        <f t="shared" si="148"/>
        <v>231.15447154471545</v>
      </c>
      <c r="AI12" s="66"/>
      <c r="AJ12" s="66"/>
      <c r="AK12" s="396">
        <f t="shared" si="6"/>
        <v>10</v>
      </c>
      <c r="AL12" s="397">
        <f t="shared" si="7"/>
        <v>5</v>
      </c>
      <c r="AM12" s="398">
        <f t="shared" si="8"/>
        <v>0.2</v>
      </c>
      <c r="AN12" s="398">
        <f t="shared" si="149"/>
        <v>10</v>
      </c>
      <c r="AO12" s="398">
        <f t="shared" si="9"/>
        <v>10</v>
      </c>
      <c r="AP12" s="398">
        <f t="shared" si="10"/>
        <v>7.5</v>
      </c>
      <c r="AQ12" s="398">
        <f t="shared" si="150"/>
        <v>0.1</v>
      </c>
      <c r="AR12" s="399">
        <f t="shared" si="151"/>
        <v>101.62601626016261</v>
      </c>
      <c r="AS12" s="66"/>
      <c r="AT12" s="66"/>
      <c r="AU12" s="396">
        <f t="shared" si="11"/>
        <v>10</v>
      </c>
      <c r="AV12" s="397">
        <f t="shared" si="12"/>
        <v>5</v>
      </c>
      <c r="AW12" s="398">
        <f t="shared" si="13"/>
        <v>0.2</v>
      </c>
      <c r="AX12" s="398">
        <f t="shared" si="152"/>
        <v>10</v>
      </c>
      <c r="AY12" s="398">
        <f t="shared" si="14"/>
        <v>10</v>
      </c>
      <c r="AZ12" s="398">
        <f t="shared" si="15"/>
        <v>2.5</v>
      </c>
      <c r="BA12" s="398">
        <f t="shared" si="153"/>
        <v>0.1</v>
      </c>
      <c r="BB12" s="399">
        <f t="shared" si="154"/>
        <v>101.62601626016261</v>
      </c>
      <c r="BC12" s="66"/>
      <c r="BD12" s="66"/>
      <c r="BE12" s="396">
        <f t="shared" si="16"/>
        <v>10</v>
      </c>
      <c r="BF12" s="397">
        <f t="shared" si="17"/>
        <v>5</v>
      </c>
      <c r="BG12" s="398">
        <f t="shared" si="18"/>
        <v>0.2</v>
      </c>
      <c r="BH12" s="398">
        <f t="shared" si="155"/>
        <v>10</v>
      </c>
      <c r="BI12" s="398">
        <f t="shared" si="19"/>
        <v>10</v>
      </c>
      <c r="BJ12" s="398">
        <f t="shared" si="20"/>
        <v>-2.5</v>
      </c>
      <c r="BK12" s="398">
        <f t="shared" si="156"/>
        <v>0.1</v>
      </c>
      <c r="BL12" s="399">
        <f t="shared" si="157"/>
        <v>101.62601626016261</v>
      </c>
      <c r="BM12" s="66"/>
      <c r="BN12" s="66"/>
      <c r="BO12" s="396">
        <f t="shared" si="21"/>
        <v>10</v>
      </c>
      <c r="BP12" s="397">
        <f t="shared" si="22"/>
        <v>5</v>
      </c>
      <c r="BQ12" s="398">
        <f t="shared" si="23"/>
        <v>0.2</v>
      </c>
      <c r="BR12" s="398">
        <f t="shared" si="158"/>
        <v>10</v>
      </c>
      <c r="BS12" s="398">
        <f t="shared" si="24"/>
        <v>10</v>
      </c>
      <c r="BT12" s="398">
        <f t="shared" si="25"/>
        <v>-7.5</v>
      </c>
      <c r="BU12" s="398">
        <f t="shared" si="159"/>
        <v>0.1</v>
      </c>
      <c r="BV12" s="399">
        <f t="shared" si="160"/>
        <v>101.62601626016261</v>
      </c>
      <c r="BW12" s="66"/>
      <c r="BX12" s="66"/>
      <c r="BY12" s="396">
        <f t="shared" si="26"/>
        <v>10</v>
      </c>
      <c r="BZ12" s="397">
        <f t="shared" si="27"/>
        <v>5</v>
      </c>
      <c r="CA12" s="398">
        <f t="shared" si="28"/>
        <v>0.2</v>
      </c>
      <c r="CB12" s="398">
        <f t="shared" si="161"/>
        <v>10</v>
      </c>
      <c r="CC12" s="398">
        <f t="shared" si="29"/>
        <v>20</v>
      </c>
      <c r="CD12" s="398">
        <f t="shared" si="30"/>
        <v>7.5</v>
      </c>
      <c r="CE12" s="398">
        <f t="shared" si="162"/>
        <v>0.1</v>
      </c>
      <c r="CF12" s="399">
        <f t="shared" si="163"/>
        <v>101.62601626016261</v>
      </c>
      <c r="CG12" s="66"/>
      <c r="CH12" s="66"/>
      <c r="CI12" s="396">
        <f t="shared" si="31"/>
        <v>10</v>
      </c>
      <c r="CJ12" s="397">
        <f t="shared" si="32"/>
        <v>5</v>
      </c>
      <c r="CK12" s="398">
        <f t="shared" si="33"/>
        <v>0.2</v>
      </c>
      <c r="CL12" s="398">
        <f t="shared" si="164"/>
        <v>10</v>
      </c>
      <c r="CM12" s="398">
        <f t="shared" si="34"/>
        <v>20</v>
      </c>
      <c r="CN12" s="398">
        <f t="shared" si="35"/>
        <v>2.5</v>
      </c>
      <c r="CO12" s="398">
        <f t="shared" si="165"/>
        <v>0.1</v>
      </c>
      <c r="CP12" s="399">
        <f t="shared" si="166"/>
        <v>101.62601626016261</v>
      </c>
      <c r="CQ12" s="66"/>
      <c r="CS12" s="396">
        <f t="shared" si="36"/>
        <v>10</v>
      </c>
      <c r="CT12" s="397">
        <f t="shared" si="37"/>
        <v>5</v>
      </c>
      <c r="CU12" s="398">
        <f t="shared" si="38"/>
        <v>0.2</v>
      </c>
      <c r="CV12" s="398">
        <f t="shared" si="167"/>
        <v>10</v>
      </c>
      <c r="CW12" s="398">
        <f t="shared" si="39"/>
        <v>20</v>
      </c>
      <c r="CX12" s="398">
        <f t="shared" si="40"/>
        <v>-2.5</v>
      </c>
      <c r="CY12" s="398">
        <f t="shared" si="168"/>
        <v>0.1</v>
      </c>
      <c r="CZ12" s="399">
        <f t="shared" si="169"/>
        <v>101.62601626016261</v>
      </c>
      <c r="DA12" s="66"/>
      <c r="DB12" s="66"/>
      <c r="DC12" s="396">
        <f t="shared" si="41"/>
        <v>10</v>
      </c>
      <c r="DD12" s="397">
        <f t="shared" si="42"/>
        <v>5</v>
      </c>
      <c r="DE12" s="398">
        <f t="shared" si="43"/>
        <v>0.2</v>
      </c>
      <c r="DF12" s="398">
        <f t="shared" si="170"/>
        <v>10</v>
      </c>
      <c r="DG12" s="398">
        <f t="shared" si="44"/>
        <v>20</v>
      </c>
      <c r="DH12" s="398">
        <f t="shared" si="45"/>
        <v>-7.5</v>
      </c>
      <c r="DI12" s="398">
        <f t="shared" si="171"/>
        <v>0.1</v>
      </c>
      <c r="DJ12" s="399">
        <f t="shared" si="172"/>
        <v>101.62601626016261</v>
      </c>
      <c r="DK12" s="66"/>
      <c r="DM12" s="396">
        <f t="shared" si="46"/>
        <v>10</v>
      </c>
      <c r="DN12" s="397">
        <f t="shared" si="47"/>
        <v>5</v>
      </c>
      <c r="DO12" s="398">
        <f t="shared" si="48"/>
        <v>0.2</v>
      </c>
      <c r="DP12" s="398">
        <f t="shared" si="173"/>
        <v>10</v>
      </c>
      <c r="DQ12" s="398">
        <f t="shared" si="49"/>
        <v>30</v>
      </c>
      <c r="DR12" s="398">
        <f t="shared" si="50"/>
        <v>7.5</v>
      </c>
      <c r="DS12" s="398">
        <f t="shared" si="174"/>
        <v>0.1</v>
      </c>
      <c r="DT12" s="399">
        <f t="shared" si="175"/>
        <v>101.62601626016261</v>
      </c>
      <c r="DU12" s="66"/>
      <c r="DV12" s="66"/>
      <c r="DW12" s="396">
        <f t="shared" si="51"/>
        <v>10</v>
      </c>
      <c r="DX12" s="397">
        <f t="shared" si="52"/>
        <v>5</v>
      </c>
      <c r="DY12" s="398">
        <f t="shared" si="53"/>
        <v>0.2</v>
      </c>
      <c r="DZ12" s="398">
        <f t="shared" si="176"/>
        <v>10</v>
      </c>
      <c r="EA12" s="398">
        <f t="shared" si="54"/>
        <v>30</v>
      </c>
      <c r="EB12" s="398">
        <f t="shared" si="55"/>
        <v>2.5</v>
      </c>
      <c r="EC12" s="398">
        <f t="shared" si="177"/>
        <v>0.1</v>
      </c>
      <c r="ED12" s="399">
        <f t="shared" si="178"/>
        <v>101.62601626016261</v>
      </c>
      <c r="EE12" s="66"/>
      <c r="EF12" s="66"/>
      <c r="EG12" s="396">
        <f t="shared" si="56"/>
        <v>10</v>
      </c>
      <c r="EH12" s="397">
        <f t="shared" si="57"/>
        <v>5</v>
      </c>
      <c r="EI12" s="398">
        <f t="shared" si="58"/>
        <v>0.2</v>
      </c>
      <c r="EJ12" s="398">
        <f t="shared" si="179"/>
        <v>10</v>
      </c>
      <c r="EK12" s="398">
        <f t="shared" si="59"/>
        <v>30</v>
      </c>
      <c r="EL12" s="398">
        <f t="shared" si="60"/>
        <v>-2.5</v>
      </c>
      <c r="EM12" s="398">
        <f t="shared" si="180"/>
        <v>0.1</v>
      </c>
      <c r="EN12" s="399">
        <f t="shared" si="181"/>
        <v>101.62601626016261</v>
      </c>
      <c r="EO12" s="66"/>
      <c r="EP12" s="66"/>
      <c r="EQ12" s="396">
        <f t="shared" si="61"/>
        <v>10</v>
      </c>
      <c r="ER12" s="397">
        <f t="shared" si="62"/>
        <v>5</v>
      </c>
      <c r="ES12" s="398">
        <f t="shared" si="63"/>
        <v>0.2</v>
      </c>
      <c r="ET12" s="398">
        <f t="shared" si="182"/>
        <v>10</v>
      </c>
      <c r="EU12" s="398">
        <f t="shared" si="64"/>
        <v>30</v>
      </c>
      <c r="EV12" s="398">
        <f t="shared" si="65"/>
        <v>-7.5</v>
      </c>
      <c r="EW12" s="398">
        <f t="shared" si="183"/>
        <v>0.1</v>
      </c>
      <c r="EX12" s="399">
        <f t="shared" si="184"/>
        <v>101.62601626016261</v>
      </c>
      <c r="EY12" s="66"/>
      <c r="EZ12" s="66"/>
      <c r="FA12" s="396">
        <f t="shared" si="66"/>
        <v>10</v>
      </c>
      <c r="FB12" s="397">
        <f t="shared" si="67"/>
        <v>5</v>
      </c>
      <c r="FC12" s="398">
        <f t="shared" si="68"/>
        <v>0.2</v>
      </c>
      <c r="FD12" s="398">
        <f t="shared" si="185"/>
        <v>10</v>
      </c>
      <c r="FE12" s="398">
        <f t="shared" si="69"/>
        <v>40</v>
      </c>
      <c r="FF12" s="398">
        <f t="shared" si="70"/>
        <v>7.5</v>
      </c>
      <c r="FG12" s="398">
        <f t="shared" si="186"/>
        <v>0.1</v>
      </c>
      <c r="FH12" s="399">
        <f t="shared" si="187"/>
        <v>101.62601626016261</v>
      </c>
      <c r="FI12" s="66"/>
      <c r="FJ12" s="66"/>
      <c r="FK12" s="396">
        <f t="shared" si="71"/>
        <v>10</v>
      </c>
      <c r="FL12" s="397">
        <f t="shared" si="72"/>
        <v>5</v>
      </c>
      <c r="FM12" s="398">
        <f t="shared" si="73"/>
        <v>0.2</v>
      </c>
      <c r="FN12" s="398">
        <f t="shared" si="188"/>
        <v>10</v>
      </c>
      <c r="FO12" s="398">
        <f t="shared" si="74"/>
        <v>40</v>
      </c>
      <c r="FP12" s="398">
        <f t="shared" si="75"/>
        <v>2.5</v>
      </c>
      <c r="FQ12" s="398">
        <f t="shared" si="189"/>
        <v>0.1</v>
      </c>
      <c r="FR12" s="399">
        <f t="shared" si="190"/>
        <v>101.62601626016261</v>
      </c>
      <c r="FS12" s="66"/>
      <c r="FT12" s="66"/>
      <c r="FU12" s="396">
        <f t="shared" si="76"/>
        <v>10</v>
      </c>
      <c r="FV12" s="397">
        <f t="shared" si="77"/>
        <v>5</v>
      </c>
      <c r="FW12" s="398">
        <f t="shared" si="78"/>
        <v>0.2</v>
      </c>
      <c r="FX12" s="398">
        <f t="shared" si="191"/>
        <v>10</v>
      </c>
      <c r="FY12" s="398">
        <f t="shared" si="79"/>
        <v>40</v>
      </c>
      <c r="FZ12" s="398">
        <f t="shared" si="80"/>
        <v>-2.5</v>
      </c>
      <c r="GA12" s="398">
        <f t="shared" si="192"/>
        <v>0.1</v>
      </c>
      <c r="GB12" s="399">
        <f t="shared" si="193"/>
        <v>101.62601626016261</v>
      </c>
      <c r="GC12" s="66"/>
      <c r="GD12" s="66"/>
      <c r="GE12" s="396">
        <f t="shared" si="81"/>
        <v>10</v>
      </c>
      <c r="GF12" s="397">
        <f t="shared" si="82"/>
        <v>5</v>
      </c>
      <c r="GG12" s="398">
        <f t="shared" si="83"/>
        <v>0.2</v>
      </c>
      <c r="GH12" s="398">
        <f t="shared" si="194"/>
        <v>10</v>
      </c>
      <c r="GI12" s="398">
        <f t="shared" si="84"/>
        <v>40</v>
      </c>
      <c r="GJ12" s="398">
        <f t="shared" si="85"/>
        <v>-7.5</v>
      </c>
      <c r="GK12" s="398">
        <f t="shared" si="195"/>
        <v>0.1</v>
      </c>
      <c r="GL12" s="399">
        <f t="shared" si="196"/>
        <v>101.62601626016261</v>
      </c>
      <c r="GM12" s="66"/>
      <c r="GN12" s="66"/>
      <c r="GO12" s="396">
        <f t="shared" si="86"/>
        <v>10</v>
      </c>
      <c r="GP12" s="397">
        <f t="shared" si="87"/>
        <v>5</v>
      </c>
      <c r="GQ12" s="398">
        <f t="shared" si="88"/>
        <v>0.2</v>
      </c>
      <c r="GR12" s="398">
        <f t="shared" si="197"/>
        <v>10</v>
      </c>
      <c r="GS12" s="398">
        <f t="shared" si="89"/>
        <v>50</v>
      </c>
      <c r="GT12" s="398">
        <f t="shared" si="90"/>
        <v>7.5</v>
      </c>
      <c r="GU12" s="398">
        <f t="shared" si="198"/>
        <v>0.1</v>
      </c>
      <c r="GV12" s="399">
        <f t="shared" si="199"/>
        <v>101.62601626016261</v>
      </c>
      <c r="GW12" s="66"/>
      <c r="GX12" s="66"/>
      <c r="GY12" s="396">
        <f t="shared" si="91"/>
        <v>10</v>
      </c>
      <c r="GZ12" s="397">
        <f t="shared" si="92"/>
        <v>5</v>
      </c>
      <c r="HA12" s="398">
        <f t="shared" si="93"/>
        <v>0.2</v>
      </c>
      <c r="HB12" s="398">
        <f t="shared" si="200"/>
        <v>10</v>
      </c>
      <c r="HC12" s="398">
        <f t="shared" si="94"/>
        <v>50</v>
      </c>
      <c r="HD12" s="398">
        <f t="shared" si="95"/>
        <v>2.5</v>
      </c>
      <c r="HE12" s="398">
        <f t="shared" si="201"/>
        <v>0.1</v>
      </c>
      <c r="HF12" s="399">
        <f t="shared" si="202"/>
        <v>101.62601626016261</v>
      </c>
      <c r="HH12" s="66"/>
      <c r="HI12" s="396">
        <f t="shared" si="96"/>
        <v>10</v>
      </c>
      <c r="HJ12" s="397">
        <f t="shared" si="97"/>
        <v>5</v>
      </c>
      <c r="HK12" s="398">
        <f t="shared" si="98"/>
        <v>0.2</v>
      </c>
      <c r="HL12" s="398">
        <f t="shared" si="203"/>
        <v>10</v>
      </c>
      <c r="HM12" s="398">
        <f t="shared" si="99"/>
        <v>50</v>
      </c>
      <c r="HN12" s="398">
        <f t="shared" si="100"/>
        <v>-2.5</v>
      </c>
      <c r="HO12" s="398">
        <f t="shared" si="204"/>
        <v>0.1</v>
      </c>
      <c r="HP12" s="399">
        <f t="shared" si="205"/>
        <v>101.62601626016261</v>
      </c>
      <c r="HQ12" s="66"/>
      <c r="HR12" s="66"/>
      <c r="HS12" s="396">
        <f t="shared" si="101"/>
        <v>10</v>
      </c>
      <c r="HT12" s="397">
        <f t="shared" si="102"/>
        <v>5</v>
      </c>
      <c r="HU12" s="398">
        <f t="shared" si="103"/>
        <v>0.2</v>
      </c>
      <c r="HV12" s="398">
        <f t="shared" si="206"/>
        <v>10</v>
      </c>
      <c r="HW12" s="398">
        <f t="shared" si="104"/>
        <v>50</v>
      </c>
      <c r="HX12" s="398">
        <f t="shared" si="105"/>
        <v>-7.5</v>
      </c>
      <c r="HY12" s="398">
        <f t="shared" si="207"/>
        <v>0.1</v>
      </c>
      <c r="HZ12" s="399">
        <f t="shared" si="208"/>
        <v>101.62601626016261</v>
      </c>
      <c r="IA12" s="66"/>
      <c r="IB12" s="66"/>
      <c r="IC12" s="396">
        <f t="shared" si="106"/>
        <v>0.35400000000000004</v>
      </c>
      <c r="ID12" s="397">
        <f t="shared" si="107"/>
        <v>20</v>
      </c>
      <c r="IE12" s="398">
        <f t="shared" si="108"/>
        <v>0.2</v>
      </c>
      <c r="IF12" s="398">
        <f t="shared" si="209"/>
        <v>0.63887720036002527</v>
      </c>
      <c r="IG12" s="398">
        <f t="shared" si="109"/>
        <v>55.116404135733575</v>
      </c>
      <c r="IH12" s="398">
        <f t="shared" si="110"/>
        <v>0</v>
      </c>
      <c r="II12" s="398">
        <f t="shared" si="210"/>
        <v>0.13153009687409356</v>
      </c>
      <c r="IJ12" s="399">
        <f t="shared" si="211"/>
        <v>230.24390243902442</v>
      </c>
      <c r="IK12" s="66"/>
      <c r="IL12" s="66"/>
      <c r="IM12" s="396">
        <f t="shared" si="111"/>
        <v>8.51</v>
      </c>
      <c r="IN12" s="397">
        <f t="shared" si="112"/>
        <v>13.75</v>
      </c>
      <c r="IO12" s="398">
        <f t="shared" si="113"/>
        <v>0.2</v>
      </c>
      <c r="IP12" s="398">
        <f t="shared" si="212"/>
        <v>22.714132747045678</v>
      </c>
      <c r="IQ12" s="398">
        <f t="shared" si="114"/>
        <v>66.735945895474032</v>
      </c>
      <c r="IR12" s="398">
        <f t="shared" si="115"/>
        <v>6.8749999999999991</v>
      </c>
      <c r="IS12" s="398">
        <f t="shared" si="213"/>
        <v>0.1007567163792247</v>
      </c>
      <c r="IT12" s="399">
        <f t="shared" si="214"/>
        <v>1798.5915269308946</v>
      </c>
      <c r="IU12" s="66"/>
      <c r="IV12" s="66"/>
      <c r="IW12" s="396">
        <f t="shared" si="116"/>
        <v>8.51</v>
      </c>
      <c r="IX12" s="397">
        <f t="shared" si="117"/>
        <v>13.75</v>
      </c>
      <c r="IY12" s="398">
        <f t="shared" si="118"/>
        <v>0.2</v>
      </c>
      <c r="IZ12" s="398">
        <f t="shared" si="215"/>
        <v>22.714132747045678</v>
      </c>
      <c r="JA12" s="398">
        <f t="shared" si="119"/>
        <v>66.735945895474032</v>
      </c>
      <c r="JB12" s="398">
        <f t="shared" si="120"/>
        <v>-6.8749999999999991</v>
      </c>
      <c r="JC12" s="398">
        <f t="shared" si="216"/>
        <v>0.1007567163792247</v>
      </c>
      <c r="JD12" s="399">
        <f t="shared" si="217"/>
        <v>1798.5915269308946</v>
      </c>
      <c r="JE12" s="66"/>
      <c r="JF12" s="66"/>
      <c r="JG12" s="396">
        <f t="shared" si="121"/>
        <v>0.5</v>
      </c>
      <c r="JH12" s="397">
        <f t="shared" si="122"/>
        <v>6.875</v>
      </c>
      <c r="JI12" s="398">
        <f t="shared" si="123"/>
        <v>0.2</v>
      </c>
      <c r="JJ12" s="398">
        <f t="shared" si="218"/>
        <v>0.31018931867762528</v>
      </c>
      <c r="JK12" s="398">
        <f t="shared" si="124"/>
        <v>69.764412621092603</v>
      </c>
      <c r="JL12" s="398">
        <f t="shared" si="125"/>
        <v>10.3125</v>
      </c>
      <c r="JM12" s="398">
        <f t="shared" si="219"/>
        <v>1.3275300968740935</v>
      </c>
      <c r="JN12" s="399">
        <f t="shared" si="220"/>
        <v>13.209397230691058</v>
      </c>
      <c r="JO12" s="66"/>
      <c r="JP12" s="66"/>
      <c r="JQ12" s="396">
        <f t="shared" si="126"/>
        <v>0.5</v>
      </c>
      <c r="JR12" s="397">
        <f t="shared" si="127"/>
        <v>6.875</v>
      </c>
      <c r="JS12" s="398">
        <f t="shared" si="128"/>
        <v>0.2</v>
      </c>
      <c r="JT12" s="398">
        <f t="shared" si="221"/>
        <v>0.31018931867762528</v>
      </c>
      <c r="JU12" s="398">
        <f t="shared" si="129"/>
        <v>69.764412621092603</v>
      </c>
      <c r="JV12" s="398">
        <f t="shared" si="130"/>
        <v>3.4374999999999996</v>
      </c>
      <c r="JW12" s="398">
        <f t="shared" si="222"/>
        <v>1.3275300968740935</v>
      </c>
      <c r="JX12" s="399">
        <f t="shared" si="223"/>
        <v>13.209397230691058</v>
      </c>
      <c r="JY12" s="66"/>
      <c r="JZ12" s="66"/>
      <c r="KA12" s="396">
        <f t="shared" si="131"/>
        <v>0.5</v>
      </c>
      <c r="KB12" s="397">
        <f t="shared" si="132"/>
        <v>6.875</v>
      </c>
      <c r="KC12" s="398">
        <f t="shared" si="133"/>
        <v>0.2</v>
      </c>
      <c r="KD12" s="398">
        <f t="shared" si="224"/>
        <v>0.31018931867762528</v>
      </c>
      <c r="KE12" s="398">
        <f t="shared" si="134"/>
        <v>69.764412621092603</v>
      </c>
      <c r="KF12" s="398">
        <f t="shared" si="135"/>
        <v>-3.4374999999999996</v>
      </c>
      <c r="KG12" s="398">
        <f t="shared" si="225"/>
        <v>1.3275300968740935</v>
      </c>
      <c r="KH12" s="399">
        <f t="shared" si="226"/>
        <v>13.209397230691058</v>
      </c>
      <c r="KI12" s="66"/>
      <c r="KJ12" s="66"/>
      <c r="KK12" s="396">
        <f t="shared" si="136"/>
        <v>0.5</v>
      </c>
      <c r="KL12" s="397">
        <f t="shared" si="137"/>
        <v>6.875</v>
      </c>
      <c r="KM12" s="398">
        <f t="shared" si="138"/>
        <v>0.2</v>
      </c>
      <c r="KN12" s="398">
        <f t="shared" si="227"/>
        <v>0.31018931867762528</v>
      </c>
      <c r="KO12" s="398">
        <f t="shared" si="139"/>
        <v>69.764412621092603</v>
      </c>
      <c r="KP12" s="398">
        <f t="shared" si="140"/>
        <v>-10.3125</v>
      </c>
      <c r="KQ12" s="398">
        <f t="shared" si="228"/>
        <v>1.3275300968740935</v>
      </c>
      <c r="KR12" s="399">
        <f t="shared" si="229"/>
        <v>13.209397230691058</v>
      </c>
      <c r="KS12" s="66"/>
      <c r="KT12" s="66"/>
      <c r="KU12" s="396">
        <f t="shared" si="141"/>
        <v>5</v>
      </c>
      <c r="KV12" s="397">
        <f t="shared" si="142"/>
        <v>5</v>
      </c>
      <c r="KW12" s="398">
        <f t="shared" si="143"/>
        <v>0.2</v>
      </c>
      <c r="KX12" s="398">
        <f t="shared" si="230"/>
        <v>5</v>
      </c>
      <c r="KY12" s="398">
        <f t="shared" si="144"/>
        <v>57.5</v>
      </c>
      <c r="KZ12" s="398">
        <f t="shared" si="145"/>
        <v>0</v>
      </c>
      <c r="LA12" s="398">
        <f t="shared" si="231"/>
        <v>0.1</v>
      </c>
      <c r="LB12" s="399">
        <f t="shared" si="232"/>
        <v>50.813008130081307</v>
      </c>
      <c r="LC12" s="66"/>
    </row>
    <row r="13" spans="1:315" s="67" customFormat="1" ht="15" customHeight="1" x14ac:dyDescent="0.25">
      <c r="A13" s="481"/>
      <c r="B13" s="73">
        <f t="shared" si="0"/>
        <v>3</v>
      </c>
      <c r="C13" s="347" t="str">
        <f>INDEX($AA$1:$LC$6,C$5,C$6+Tbl_Ballasts[[#This Row],[Index]]*Ballasts_columns_step)</f>
        <v>WB6Cs</v>
      </c>
      <c r="D13" s="114" t="str">
        <f ca="1">IFERROR(OFFSET($AA$1,D$5,D$6+Tbl_Ballasts[[#This Row],[Index]]*Ballasts_columns_step),0)</f>
        <v>OK</v>
      </c>
      <c r="E13" s="348">
        <v>6</v>
      </c>
      <c r="F13" s="349">
        <v>3</v>
      </c>
      <c r="G13" s="762" t="str">
        <f>TEXT(Tbl_Ballasts[[#This Row],[Recap Row]],"00")&amp;TEXT(Tbl_Ballasts[[#This Row],[Recap Col]],"00")</f>
        <v>0603</v>
      </c>
      <c r="H13" s="760">
        <f>INDEX(Recap_Ballasts,Tbl_Ballasts[[#This Row],[Recap Row]],Tbl_Ballasts[[#This Row],[Recap Col]])</f>
        <v>0</v>
      </c>
      <c r="I13" s="493">
        <f ca="1">IFERROR(OFFSET($AA$1,I$5,I$6+Tbl_Ballasts[[#This Row],[Index]]*Ballasts_columns_step),0)</f>
        <v>0</v>
      </c>
      <c r="J13" s="103">
        <f ca="1">IFERROR(OFFSET($AA$1,J$5,J$6+Tbl_Ballasts[[#This Row],[Index]]*Ballasts_columns_step),0)</f>
        <v>0</v>
      </c>
      <c r="K13" s="427">
        <f ca="1">IFERROR(OFFSET($AA$1,K$5,K$6+Tbl_Ballasts[[#This Row],[Index]]*Ballasts_columns_step),0)</f>
        <v>10</v>
      </c>
      <c r="L13" s="428">
        <f ca="1">IFERROR(OFFSET($AA$1,L$5,L$6+Tbl_Ballasts[[#This Row],[Index]]*Ballasts_columns_step),0)</f>
        <v>-2.5</v>
      </c>
      <c r="M13" s="429">
        <f ca="1">IFERROR(OFFSET($AA$1,M$5,M$6+Tbl_Ballasts[[#This Row],[Index]]*Ballasts_columns_step),0)</f>
        <v>0</v>
      </c>
      <c r="N13" s="438">
        <f ca="1">IFERROR(OFFSET($AA$1,N$5,N$6+Tbl_Ballasts[[#This Row],[Index]]*Ballasts_columns_step),0)</f>
        <v>10</v>
      </c>
      <c r="O13" s="437" t="str">
        <f ca="1">IF(Tbl_Ballasts[[#This Row],[Weight Fact]],Tbl_Ballasts[[#This Row],[COG x ]]-Tbl_Ballasts[[#This Row],[Distrib]]/2,"")</f>
        <v/>
      </c>
      <c r="P13" s="439" t="str">
        <f ca="1">IF(Tbl_Ballasts[[#This Row],[Weight Fact]],Tbl_Ballasts[[#This Row],[COG x ]]+Tbl_Ballasts[[#This Row],[Distrib]]/2,"")</f>
        <v/>
      </c>
      <c r="Q13" s="440" t="str">
        <f ca="1">IF(Tbl_Ballasts[[#This Row],[Weight Fact]],ROUND(Tbl_Ballasts[[#This Row],[AP from]]/FE_size,0),"")</f>
        <v/>
      </c>
      <c r="R13" s="441" t="str">
        <f ca="1">IF(Tbl_Ballasts[[#This Row],[Weight Fact]],ROUND(Tbl_Ballasts[[#This Row],[AP to]]/FE_size,0),"")</f>
        <v/>
      </c>
      <c r="S13" s="114" t="str">
        <f ca="1">IF(Tbl_Ballasts[[#This Row],[Weight Fact]]=0,"",IF(AND(Tbl_Ballasts[[#This Row],[COG x ]]&gt;=(Tbl_Ballasts[[#This Row],[L to]]-Tbl_Ballasts[[#This Row],[L from]])/3+Tbl_Ballasts[[#This Row],[L from]],Tbl_Ballasts[[#This Row],[COG x ]]&lt;=(Tbl_Ballasts[[#This Row],[L to]]-Tbl_Ballasts[[#This Row],[L from]])*2/3+Tbl_Ballasts[[#This Row],[L from]],Tbl_Ballasts[[#This Row],[L to]]&gt;Tbl_Ballasts[[#This Row],[L from]]),"OK","KO"))</f>
        <v/>
      </c>
      <c r="T13" s="442" t="str">
        <f ca="1">IF(Tbl_Ballasts[[#This Row],[Weight Fact]],IF(Tbl_Ballasts[[#This Row],[Fr from]]*FE_size&lt;0,0,Tbl_Ballasts[[#This Row],[Fr from]]*FE_size),"")</f>
        <v/>
      </c>
      <c r="U13" s="443" t="str">
        <f ca="1">IF(Tbl_Ballasts[[#This Row],[Weight Fact]],IF(Tbl_Ballasts[[#This Row],[Fr to]]*FE_size=Tbl_Ballasts[[#This Row],[L from]],Tbl_Ballasts[[#This Row],[L from]]+FE_size,IF(Tbl_Ballasts[[#This Row],[Fr to]]*FE_size&gt;Lpp,Lpp,Tbl_Ballasts[[#This Row],[Fr to]]*FE_size)),"")</f>
        <v/>
      </c>
      <c r="V13" s="444" t="str">
        <f ca="1">IFERROR(Tbl_Ballasts[[#This Row],[Weight Fact]]/(Tbl_Ballasts[[#This Row],[L to]]-Tbl_Ballasts[[#This Row],[L from]]),"")</f>
        <v/>
      </c>
      <c r="W13" s="145" t="str">
        <f ca="1">IF(Tbl_Ballasts[[#This Row],[Weight Fact]],Tbl_Ballasts[[#This Row],[Spread]]*(Tbl_Ballasts[[#This Row],[L to]]-Tbl_Ballasts[[#This Row],[L from]])-Tbl_Ballasts[[#This Row],[Weight Fact]],"")</f>
        <v/>
      </c>
      <c r="X13" s="141" t="str">
        <f ca="1">IF(AND(ISNUMBER(Tbl_Ballasts[[#This Row],[L from]]),ISNUMBER(Tbl_Ballasts[[#This Row],[L to]])),IF(AND(Tbl_Ballasts[[#This Row],[L from]]&gt;=0,Tbl_Ballasts[[#This Row],[L to]]&lt;=Lpp),"OK","KO"),"OK")</f>
        <v>OK</v>
      </c>
      <c r="Y13" s="481"/>
      <c r="Z13" s="413"/>
      <c r="AA13" s="396">
        <f t="shared" si="1"/>
        <v>0.53310000000000002</v>
      </c>
      <c r="AB13" s="397">
        <f t="shared" si="2"/>
        <v>20</v>
      </c>
      <c r="AC13" s="398">
        <f t="shared" si="3"/>
        <v>0.30000000000000004</v>
      </c>
      <c r="AD13" s="398">
        <f t="shared" si="146"/>
        <v>1.5239200515508466</v>
      </c>
      <c r="AE13" s="398">
        <f t="shared" si="4"/>
        <v>4.8221781731607498</v>
      </c>
      <c r="AF13" s="398">
        <f t="shared" si="5"/>
        <v>0</v>
      </c>
      <c r="AG13" s="398">
        <f t="shared" si="147"/>
        <v>0.20013711518204849</v>
      </c>
      <c r="AH13" s="399">
        <f t="shared" si="148"/>
        <v>346.73170731707324</v>
      </c>
      <c r="AI13" s="66"/>
      <c r="AJ13" s="66"/>
      <c r="AK13" s="396">
        <f t="shared" si="6"/>
        <v>10</v>
      </c>
      <c r="AL13" s="397">
        <f t="shared" si="7"/>
        <v>5</v>
      </c>
      <c r="AM13" s="398">
        <f t="shared" si="8"/>
        <v>0.30000000000000004</v>
      </c>
      <c r="AN13" s="398">
        <f t="shared" si="149"/>
        <v>15.000000000000002</v>
      </c>
      <c r="AO13" s="398">
        <f t="shared" si="9"/>
        <v>9.9999999999999982</v>
      </c>
      <c r="AP13" s="398">
        <f t="shared" si="10"/>
        <v>7.5</v>
      </c>
      <c r="AQ13" s="398">
        <f t="shared" si="150"/>
        <v>0.15000000000000002</v>
      </c>
      <c r="AR13" s="399">
        <f t="shared" si="151"/>
        <v>101.62601626016261</v>
      </c>
      <c r="AS13" s="66"/>
      <c r="AT13" s="66"/>
      <c r="AU13" s="396">
        <f t="shared" si="11"/>
        <v>10</v>
      </c>
      <c r="AV13" s="397">
        <f t="shared" si="12"/>
        <v>5</v>
      </c>
      <c r="AW13" s="398">
        <f t="shared" si="13"/>
        <v>0.30000000000000004</v>
      </c>
      <c r="AX13" s="398">
        <f t="shared" si="152"/>
        <v>15.000000000000002</v>
      </c>
      <c r="AY13" s="398">
        <f t="shared" si="14"/>
        <v>9.9999999999999982</v>
      </c>
      <c r="AZ13" s="398">
        <f t="shared" si="15"/>
        <v>2.4999999999999996</v>
      </c>
      <c r="BA13" s="398">
        <f t="shared" si="153"/>
        <v>0.15000000000000002</v>
      </c>
      <c r="BB13" s="399">
        <f t="shared" si="154"/>
        <v>101.62601626016261</v>
      </c>
      <c r="BC13" s="66"/>
      <c r="BD13" s="66"/>
      <c r="BE13" s="396">
        <f t="shared" si="16"/>
        <v>10</v>
      </c>
      <c r="BF13" s="397">
        <f t="shared" si="17"/>
        <v>5</v>
      </c>
      <c r="BG13" s="398">
        <f t="shared" si="18"/>
        <v>0.30000000000000004</v>
      </c>
      <c r="BH13" s="398">
        <f t="shared" si="155"/>
        <v>15.000000000000002</v>
      </c>
      <c r="BI13" s="398">
        <f t="shared" si="19"/>
        <v>9.9999999999999982</v>
      </c>
      <c r="BJ13" s="398">
        <f t="shared" si="20"/>
        <v>-2.4999999999999996</v>
      </c>
      <c r="BK13" s="398">
        <f t="shared" si="156"/>
        <v>0.15000000000000002</v>
      </c>
      <c r="BL13" s="399">
        <f t="shared" si="157"/>
        <v>101.62601626016261</v>
      </c>
      <c r="BM13" s="66"/>
      <c r="BN13" s="66"/>
      <c r="BO13" s="396">
        <f t="shared" si="21"/>
        <v>10</v>
      </c>
      <c r="BP13" s="397">
        <f t="shared" si="22"/>
        <v>5</v>
      </c>
      <c r="BQ13" s="398">
        <f t="shared" si="23"/>
        <v>0.30000000000000004</v>
      </c>
      <c r="BR13" s="398">
        <f t="shared" si="158"/>
        <v>15.000000000000002</v>
      </c>
      <c r="BS13" s="398">
        <f t="shared" si="24"/>
        <v>9.9999999999999982</v>
      </c>
      <c r="BT13" s="398">
        <f t="shared" si="25"/>
        <v>-7.5</v>
      </c>
      <c r="BU13" s="398">
        <f t="shared" si="159"/>
        <v>0.15000000000000002</v>
      </c>
      <c r="BV13" s="399">
        <f t="shared" si="160"/>
        <v>101.62601626016261</v>
      </c>
      <c r="BW13" s="66"/>
      <c r="BX13" s="66"/>
      <c r="BY13" s="396">
        <f t="shared" si="26"/>
        <v>10</v>
      </c>
      <c r="BZ13" s="397">
        <f t="shared" si="27"/>
        <v>5</v>
      </c>
      <c r="CA13" s="398">
        <f t="shared" si="28"/>
        <v>0.30000000000000004</v>
      </c>
      <c r="CB13" s="398">
        <f t="shared" si="161"/>
        <v>15.000000000000002</v>
      </c>
      <c r="CC13" s="398">
        <f t="shared" si="29"/>
        <v>19.999999999999996</v>
      </c>
      <c r="CD13" s="398">
        <f t="shared" si="30"/>
        <v>7.5</v>
      </c>
      <c r="CE13" s="398">
        <f t="shared" si="162"/>
        <v>0.15000000000000002</v>
      </c>
      <c r="CF13" s="399">
        <f t="shared" si="163"/>
        <v>101.62601626016261</v>
      </c>
      <c r="CG13" s="66"/>
      <c r="CH13" s="66"/>
      <c r="CI13" s="396">
        <f t="shared" si="31"/>
        <v>10</v>
      </c>
      <c r="CJ13" s="397">
        <f t="shared" si="32"/>
        <v>5</v>
      </c>
      <c r="CK13" s="398">
        <f t="shared" si="33"/>
        <v>0.30000000000000004</v>
      </c>
      <c r="CL13" s="398">
        <f t="shared" si="164"/>
        <v>15.000000000000002</v>
      </c>
      <c r="CM13" s="398">
        <f t="shared" si="34"/>
        <v>19.999999999999996</v>
      </c>
      <c r="CN13" s="398">
        <f t="shared" si="35"/>
        <v>2.4999999999999996</v>
      </c>
      <c r="CO13" s="398">
        <f t="shared" si="165"/>
        <v>0.15000000000000002</v>
      </c>
      <c r="CP13" s="399">
        <f t="shared" si="166"/>
        <v>101.62601626016261</v>
      </c>
      <c r="CQ13" s="66"/>
      <c r="CS13" s="396">
        <f t="shared" si="36"/>
        <v>10</v>
      </c>
      <c r="CT13" s="397">
        <f t="shared" si="37"/>
        <v>5</v>
      </c>
      <c r="CU13" s="398">
        <f t="shared" si="38"/>
        <v>0.30000000000000004</v>
      </c>
      <c r="CV13" s="398">
        <f t="shared" si="167"/>
        <v>15.000000000000002</v>
      </c>
      <c r="CW13" s="398">
        <f t="shared" si="39"/>
        <v>19.999999999999996</v>
      </c>
      <c r="CX13" s="398">
        <f t="shared" si="40"/>
        <v>-2.4999999999999996</v>
      </c>
      <c r="CY13" s="398">
        <f t="shared" si="168"/>
        <v>0.15000000000000002</v>
      </c>
      <c r="CZ13" s="399">
        <f t="shared" si="169"/>
        <v>101.62601626016261</v>
      </c>
      <c r="DA13" s="66"/>
      <c r="DB13" s="66"/>
      <c r="DC13" s="396">
        <f t="shared" si="41"/>
        <v>10</v>
      </c>
      <c r="DD13" s="397">
        <f t="shared" si="42"/>
        <v>5</v>
      </c>
      <c r="DE13" s="398">
        <f t="shared" si="43"/>
        <v>0.30000000000000004</v>
      </c>
      <c r="DF13" s="398">
        <f t="shared" si="170"/>
        <v>15.000000000000002</v>
      </c>
      <c r="DG13" s="398">
        <f t="shared" si="44"/>
        <v>19.999999999999996</v>
      </c>
      <c r="DH13" s="398">
        <f t="shared" si="45"/>
        <v>-7.5</v>
      </c>
      <c r="DI13" s="398">
        <f t="shared" si="171"/>
        <v>0.15000000000000002</v>
      </c>
      <c r="DJ13" s="399">
        <f t="shared" si="172"/>
        <v>101.62601626016261</v>
      </c>
      <c r="DK13" s="66"/>
      <c r="DM13" s="396">
        <f t="shared" si="46"/>
        <v>10</v>
      </c>
      <c r="DN13" s="397">
        <f t="shared" si="47"/>
        <v>5</v>
      </c>
      <c r="DO13" s="398">
        <f t="shared" si="48"/>
        <v>0.30000000000000004</v>
      </c>
      <c r="DP13" s="398">
        <f t="shared" si="173"/>
        <v>15.000000000000002</v>
      </c>
      <c r="DQ13" s="398">
        <f t="shared" si="49"/>
        <v>30</v>
      </c>
      <c r="DR13" s="398">
        <f t="shared" si="50"/>
        <v>7.5</v>
      </c>
      <c r="DS13" s="398">
        <f t="shared" si="174"/>
        <v>0.15000000000000002</v>
      </c>
      <c r="DT13" s="399">
        <f t="shared" si="175"/>
        <v>101.62601626016261</v>
      </c>
      <c r="DU13" s="66"/>
      <c r="DV13" s="66"/>
      <c r="DW13" s="396">
        <f t="shared" si="51"/>
        <v>10</v>
      </c>
      <c r="DX13" s="397">
        <f t="shared" si="52"/>
        <v>5</v>
      </c>
      <c r="DY13" s="398">
        <f t="shared" si="53"/>
        <v>0.30000000000000004</v>
      </c>
      <c r="DZ13" s="398">
        <f t="shared" si="176"/>
        <v>15.000000000000002</v>
      </c>
      <c r="EA13" s="398">
        <f t="shared" si="54"/>
        <v>30</v>
      </c>
      <c r="EB13" s="398">
        <f t="shared" si="55"/>
        <v>2.4999999999999996</v>
      </c>
      <c r="EC13" s="398">
        <f t="shared" si="177"/>
        <v>0.15000000000000002</v>
      </c>
      <c r="ED13" s="399">
        <f t="shared" si="178"/>
        <v>101.62601626016261</v>
      </c>
      <c r="EE13" s="66"/>
      <c r="EF13" s="66"/>
      <c r="EG13" s="396">
        <f t="shared" si="56"/>
        <v>10</v>
      </c>
      <c r="EH13" s="397">
        <f t="shared" si="57"/>
        <v>5</v>
      </c>
      <c r="EI13" s="398">
        <f t="shared" si="58"/>
        <v>0.30000000000000004</v>
      </c>
      <c r="EJ13" s="398">
        <f t="shared" si="179"/>
        <v>15.000000000000002</v>
      </c>
      <c r="EK13" s="398">
        <f t="shared" si="59"/>
        <v>30</v>
      </c>
      <c r="EL13" s="398">
        <f t="shared" si="60"/>
        <v>-2.4999999999999996</v>
      </c>
      <c r="EM13" s="398">
        <f t="shared" si="180"/>
        <v>0.15000000000000002</v>
      </c>
      <c r="EN13" s="399">
        <f t="shared" si="181"/>
        <v>101.62601626016261</v>
      </c>
      <c r="EO13" s="66"/>
      <c r="EP13" s="66"/>
      <c r="EQ13" s="396">
        <f t="shared" si="61"/>
        <v>10</v>
      </c>
      <c r="ER13" s="397">
        <f t="shared" si="62"/>
        <v>5</v>
      </c>
      <c r="ES13" s="398">
        <f t="shared" si="63"/>
        <v>0.30000000000000004</v>
      </c>
      <c r="ET13" s="398">
        <f t="shared" si="182"/>
        <v>15.000000000000002</v>
      </c>
      <c r="EU13" s="398">
        <f t="shared" si="64"/>
        <v>30</v>
      </c>
      <c r="EV13" s="398">
        <f t="shared" si="65"/>
        <v>-7.5</v>
      </c>
      <c r="EW13" s="398">
        <f t="shared" si="183"/>
        <v>0.15000000000000002</v>
      </c>
      <c r="EX13" s="399">
        <f t="shared" si="184"/>
        <v>101.62601626016261</v>
      </c>
      <c r="EY13" s="66"/>
      <c r="EZ13" s="66"/>
      <c r="FA13" s="396">
        <f t="shared" si="66"/>
        <v>10</v>
      </c>
      <c r="FB13" s="397">
        <f t="shared" si="67"/>
        <v>5</v>
      </c>
      <c r="FC13" s="398">
        <f t="shared" si="68"/>
        <v>0.30000000000000004</v>
      </c>
      <c r="FD13" s="398">
        <f t="shared" si="185"/>
        <v>15.000000000000002</v>
      </c>
      <c r="FE13" s="398">
        <f t="shared" si="69"/>
        <v>39.999999999999993</v>
      </c>
      <c r="FF13" s="398">
        <f t="shared" si="70"/>
        <v>7.5</v>
      </c>
      <c r="FG13" s="398">
        <f t="shared" si="186"/>
        <v>0.15000000000000002</v>
      </c>
      <c r="FH13" s="399">
        <f t="shared" si="187"/>
        <v>101.62601626016261</v>
      </c>
      <c r="FI13" s="66"/>
      <c r="FJ13" s="66"/>
      <c r="FK13" s="396">
        <f t="shared" si="71"/>
        <v>10</v>
      </c>
      <c r="FL13" s="397">
        <f t="shared" si="72"/>
        <v>5</v>
      </c>
      <c r="FM13" s="398">
        <f t="shared" si="73"/>
        <v>0.30000000000000004</v>
      </c>
      <c r="FN13" s="398">
        <f t="shared" si="188"/>
        <v>15.000000000000002</v>
      </c>
      <c r="FO13" s="398">
        <f t="shared" si="74"/>
        <v>39.999999999999993</v>
      </c>
      <c r="FP13" s="398">
        <f t="shared" si="75"/>
        <v>2.4999999999999996</v>
      </c>
      <c r="FQ13" s="398">
        <f t="shared" si="189"/>
        <v>0.15000000000000002</v>
      </c>
      <c r="FR13" s="399">
        <f t="shared" si="190"/>
        <v>101.62601626016261</v>
      </c>
      <c r="FS13" s="66"/>
      <c r="FT13" s="66"/>
      <c r="FU13" s="396">
        <f t="shared" si="76"/>
        <v>10</v>
      </c>
      <c r="FV13" s="397">
        <f t="shared" si="77"/>
        <v>5</v>
      </c>
      <c r="FW13" s="398">
        <f t="shared" si="78"/>
        <v>0.30000000000000004</v>
      </c>
      <c r="FX13" s="398">
        <f t="shared" si="191"/>
        <v>15.000000000000002</v>
      </c>
      <c r="FY13" s="398">
        <f t="shared" si="79"/>
        <v>39.999999999999993</v>
      </c>
      <c r="FZ13" s="398">
        <f t="shared" si="80"/>
        <v>-2.4999999999999996</v>
      </c>
      <c r="GA13" s="398">
        <f t="shared" si="192"/>
        <v>0.15000000000000002</v>
      </c>
      <c r="GB13" s="399">
        <f t="shared" si="193"/>
        <v>101.62601626016261</v>
      </c>
      <c r="GC13" s="66"/>
      <c r="GD13" s="66"/>
      <c r="GE13" s="396">
        <f t="shared" si="81"/>
        <v>10</v>
      </c>
      <c r="GF13" s="397">
        <f t="shared" si="82"/>
        <v>5</v>
      </c>
      <c r="GG13" s="398">
        <f t="shared" si="83"/>
        <v>0.30000000000000004</v>
      </c>
      <c r="GH13" s="398">
        <f t="shared" si="194"/>
        <v>15.000000000000002</v>
      </c>
      <c r="GI13" s="398">
        <f t="shared" si="84"/>
        <v>39.999999999999993</v>
      </c>
      <c r="GJ13" s="398">
        <f t="shared" si="85"/>
        <v>-7.5</v>
      </c>
      <c r="GK13" s="398">
        <f t="shared" si="195"/>
        <v>0.15000000000000002</v>
      </c>
      <c r="GL13" s="399">
        <f t="shared" si="196"/>
        <v>101.62601626016261</v>
      </c>
      <c r="GM13" s="66"/>
      <c r="GN13" s="66"/>
      <c r="GO13" s="396">
        <f t="shared" si="86"/>
        <v>10</v>
      </c>
      <c r="GP13" s="397">
        <f t="shared" si="87"/>
        <v>5</v>
      </c>
      <c r="GQ13" s="398">
        <f t="shared" si="88"/>
        <v>0.30000000000000004</v>
      </c>
      <c r="GR13" s="398">
        <f t="shared" si="197"/>
        <v>15.000000000000002</v>
      </c>
      <c r="GS13" s="398">
        <f t="shared" si="89"/>
        <v>50</v>
      </c>
      <c r="GT13" s="398">
        <f t="shared" si="90"/>
        <v>7.5</v>
      </c>
      <c r="GU13" s="398">
        <f t="shared" si="198"/>
        <v>0.15000000000000002</v>
      </c>
      <c r="GV13" s="399">
        <f t="shared" si="199"/>
        <v>101.62601626016261</v>
      </c>
      <c r="GW13" s="66"/>
      <c r="GX13" s="66"/>
      <c r="GY13" s="396">
        <f t="shared" si="91"/>
        <v>10</v>
      </c>
      <c r="GZ13" s="397">
        <f t="shared" si="92"/>
        <v>5</v>
      </c>
      <c r="HA13" s="398">
        <f t="shared" si="93"/>
        <v>0.30000000000000004</v>
      </c>
      <c r="HB13" s="398">
        <f t="shared" si="200"/>
        <v>15.000000000000002</v>
      </c>
      <c r="HC13" s="398">
        <f t="shared" si="94"/>
        <v>50</v>
      </c>
      <c r="HD13" s="398">
        <f t="shared" si="95"/>
        <v>2.4999999999999996</v>
      </c>
      <c r="HE13" s="398">
        <f t="shared" si="201"/>
        <v>0.15000000000000002</v>
      </c>
      <c r="HF13" s="399">
        <f t="shared" si="202"/>
        <v>101.62601626016261</v>
      </c>
      <c r="HH13" s="66"/>
      <c r="HI13" s="396">
        <f t="shared" si="96"/>
        <v>10</v>
      </c>
      <c r="HJ13" s="397">
        <f t="shared" si="97"/>
        <v>5</v>
      </c>
      <c r="HK13" s="398">
        <f t="shared" si="98"/>
        <v>0.30000000000000004</v>
      </c>
      <c r="HL13" s="398">
        <f t="shared" si="203"/>
        <v>15.000000000000002</v>
      </c>
      <c r="HM13" s="398">
        <f t="shared" si="99"/>
        <v>50</v>
      </c>
      <c r="HN13" s="398">
        <f t="shared" si="100"/>
        <v>-2.4999999999999996</v>
      </c>
      <c r="HO13" s="398">
        <f t="shared" si="204"/>
        <v>0.15000000000000002</v>
      </c>
      <c r="HP13" s="399">
        <f t="shared" si="205"/>
        <v>101.62601626016261</v>
      </c>
      <c r="HQ13" s="66"/>
      <c r="HR13" s="66"/>
      <c r="HS13" s="396">
        <f t="shared" si="101"/>
        <v>10</v>
      </c>
      <c r="HT13" s="397">
        <f t="shared" si="102"/>
        <v>5</v>
      </c>
      <c r="HU13" s="398">
        <f t="shared" si="103"/>
        <v>0.30000000000000004</v>
      </c>
      <c r="HV13" s="398">
        <f t="shared" si="206"/>
        <v>15.000000000000002</v>
      </c>
      <c r="HW13" s="398">
        <f t="shared" si="104"/>
        <v>50</v>
      </c>
      <c r="HX13" s="398">
        <f t="shared" si="105"/>
        <v>-7.5</v>
      </c>
      <c r="HY13" s="398">
        <f t="shared" si="207"/>
        <v>0.15000000000000002</v>
      </c>
      <c r="HZ13" s="399">
        <f t="shared" si="208"/>
        <v>101.62601626016261</v>
      </c>
      <c r="IA13" s="66"/>
      <c r="IB13" s="66"/>
      <c r="IC13" s="396">
        <f t="shared" si="106"/>
        <v>0.53100000000000014</v>
      </c>
      <c r="ID13" s="397">
        <f t="shared" si="107"/>
        <v>20</v>
      </c>
      <c r="IE13" s="398">
        <f t="shared" si="108"/>
        <v>0.30000000000000004</v>
      </c>
      <c r="IF13" s="398">
        <f t="shared" si="209"/>
        <v>1.5179169900084406</v>
      </c>
      <c r="IG13" s="398">
        <f t="shared" si="109"/>
        <v>55.177121346936111</v>
      </c>
      <c r="IH13" s="398">
        <f t="shared" si="110"/>
        <v>0</v>
      </c>
      <c r="II13" s="398">
        <f t="shared" si="210"/>
        <v>0.20013711518204852</v>
      </c>
      <c r="IJ13" s="399">
        <f t="shared" si="211"/>
        <v>345.36585365853665</v>
      </c>
      <c r="IK13" s="66"/>
      <c r="IL13" s="66"/>
      <c r="IM13" s="396">
        <f t="shared" si="111"/>
        <v>8.76</v>
      </c>
      <c r="IN13" s="397">
        <f t="shared" si="112"/>
        <v>13.75</v>
      </c>
      <c r="IO13" s="398">
        <f t="shared" si="113"/>
        <v>0.30000000000000004</v>
      </c>
      <c r="IP13" s="398">
        <f t="shared" si="212"/>
        <v>34.586843049098363</v>
      </c>
      <c r="IQ13" s="398">
        <f t="shared" si="114"/>
        <v>66.799984779726969</v>
      </c>
      <c r="IR13" s="398">
        <f t="shared" si="115"/>
        <v>6.8749999999999991</v>
      </c>
      <c r="IS13" s="398">
        <f t="shared" si="213"/>
        <v>0.1519878237815738</v>
      </c>
      <c r="IT13" s="399">
        <f t="shared" si="214"/>
        <v>1851.4291158536587</v>
      </c>
      <c r="IU13" s="66"/>
      <c r="IV13" s="66"/>
      <c r="IW13" s="396">
        <f t="shared" si="116"/>
        <v>8.76</v>
      </c>
      <c r="IX13" s="397">
        <f t="shared" si="117"/>
        <v>13.75</v>
      </c>
      <c r="IY13" s="398">
        <f t="shared" si="118"/>
        <v>0.30000000000000004</v>
      </c>
      <c r="IZ13" s="398">
        <f t="shared" si="215"/>
        <v>34.586843049098363</v>
      </c>
      <c r="JA13" s="398">
        <f t="shared" si="119"/>
        <v>66.799984779726969</v>
      </c>
      <c r="JB13" s="398">
        <f t="shared" si="120"/>
        <v>-6.8749999999999991</v>
      </c>
      <c r="JC13" s="398">
        <f t="shared" si="216"/>
        <v>0.1519878237815738</v>
      </c>
      <c r="JD13" s="399">
        <f t="shared" si="217"/>
        <v>1851.4291158536587</v>
      </c>
      <c r="JE13" s="66"/>
      <c r="JF13" s="66"/>
      <c r="JG13" s="396">
        <f t="shared" si="121"/>
        <v>0.75000000000000011</v>
      </c>
      <c r="JH13" s="397">
        <f t="shared" si="122"/>
        <v>6.875</v>
      </c>
      <c r="JI13" s="398">
        <f t="shared" si="123"/>
        <v>0.30000000000000004</v>
      </c>
      <c r="JJ13" s="398">
        <f t="shared" si="218"/>
        <v>0.73698300185791177</v>
      </c>
      <c r="JK13" s="398">
        <f t="shared" si="124"/>
        <v>69.850171393977547</v>
      </c>
      <c r="JL13" s="398">
        <f t="shared" si="125"/>
        <v>10.3125</v>
      </c>
      <c r="JM13" s="398">
        <f t="shared" si="219"/>
        <v>1.3961371151820485</v>
      </c>
      <c r="JN13" s="399">
        <f t="shared" si="220"/>
        <v>19.81409584603659</v>
      </c>
      <c r="JO13" s="66"/>
      <c r="JP13" s="66"/>
      <c r="JQ13" s="396">
        <f t="shared" si="126"/>
        <v>0.75000000000000011</v>
      </c>
      <c r="JR13" s="397">
        <f t="shared" si="127"/>
        <v>6.875</v>
      </c>
      <c r="JS13" s="398">
        <f t="shared" si="128"/>
        <v>0.30000000000000004</v>
      </c>
      <c r="JT13" s="398">
        <f t="shared" si="221"/>
        <v>0.73698300185791177</v>
      </c>
      <c r="JU13" s="398">
        <f t="shared" si="129"/>
        <v>69.850171393977547</v>
      </c>
      <c r="JV13" s="398">
        <f t="shared" si="130"/>
        <v>3.4375</v>
      </c>
      <c r="JW13" s="398">
        <f t="shared" si="222"/>
        <v>1.3961371151820485</v>
      </c>
      <c r="JX13" s="399">
        <f t="shared" si="223"/>
        <v>19.81409584603659</v>
      </c>
      <c r="JY13" s="66"/>
      <c r="JZ13" s="66"/>
      <c r="KA13" s="396">
        <f t="shared" si="131"/>
        <v>0.75000000000000011</v>
      </c>
      <c r="KB13" s="397">
        <f t="shared" si="132"/>
        <v>6.875</v>
      </c>
      <c r="KC13" s="398">
        <f t="shared" si="133"/>
        <v>0.30000000000000004</v>
      </c>
      <c r="KD13" s="398">
        <f t="shared" si="224"/>
        <v>0.73698300185791177</v>
      </c>
      <c r="KE13" s="398">
        <f t="shared" si="134"/>
        <v>69.850171393977547</v>
      </c>
      <c r="KF13" s="398">
        <f t="shared" si="135"/>
        <v>-3.4375</v>
      </c>
      <c r="KG13" s="398">
        <f t="shared" si="225"/>
        <v>1.3961371151820485</v>
      </c>
      <c r="KH13" s="399">
        <f t="shared" si="226"/>
        <v>19.81409584603659</v>
      </c>
      <c r="KI13" s="66"/>
      <c r="KJ13" s="66"/>
      <c r="KK13" s="396">
        <f t="shared" si="136"/>
        <v>0.75000000000000011</v>
      </c>
      <c r="KL13" s="397">
        <f t="shared" si="137"/>
        <v>6.875</v>
      </c>
      <c r="KM13" s="398">
        <f t="shared" si="138"/>
        <v>0.30000000000000004</v>
      </c>
      <c r="KN13" s="398">
        <f t="shared" si="227"/>
        <v>0.73698300185791177</v>
      </c>
      <c r="KO13" s="398">
        <f t="shared" si="139"/>
        <v>69.850171393977547</v>
      </c>
      <c r="KP13" s="398">
        <f t="shared" si="140"/>
        <v>-10.3125</v>
      </c>
      <c r="KQ13" s="398">
        <f t="shared" si="228"/>
        <v>1.3961371151820485</v>
      </c>
      <c r="KR13" s="399">
        <f t="shared" si="229"/>
        <v>19.81409584603659</v>
      </c>
      <c r="KS13" s="66"/>
      <c r="KT13" s="66"/>
      <c r="KU13" s="396">
        <f t="shared" si="141"/>
        <v>5</v>
      </c>
      <c r="KV13" s="397">
        <f t="shared" si="142"/>
        <v>5</v>
      </c>
      <c r="KW13" s="398">
        <f t="shared" si="143"/>
        <v>0.30000000000000004</v>
      </c>
      <c r="KX13" s="398">
        <f t="shared" si="230"/>
        <v>7.5000000000000009</v>
      </c>
      <c r="KY13" s="398">
        <f t="shared" si="144"/>
        <v>57.5</v>
      </c>
      <c r="KZ13" s="398">
        <f t="shared" si="145"/>
        <v>0</v>
      </c>
      <c r="LA13" s="398">
        <f t="shared" si="231"/>
        <v>0.15000000000000002</v>
      </c>
      <c r="LB13" s="399">
        <f t="shared" si="232"/>
        <v>50.813008130081307</v>
      </c>
      <c r="LC13" s="66"/>
    </row>
    <row r="14" spans="1:315" s="67" customFormat="1" ht="15" customHeight="1" x14ac:dyDescent="0.25">
      <c r="A14" s="481"/>
      <c r="B14" s="73">
        <f t="shared" si="0"/>
        <v>4</v>
      </c>
      <c r="C14" s="347" t="str">
        <f>INDEX($AA$1:$LC$6,C$5,C$6+Tbl_Ballasts[[#This Row],[Index]]*Ballasts_columns_step)</f>
        <v>WB6Sb</v>
      </c>
      <c r="D14" s="114" t="str">
        <f ca="1">IFERROR(OFFSET($AA$1,D$5,D$6+Tbl_Ballasts[[#This Row],[Index]]*Ballasts_columns_step),0)</f>
        <v>OK</v>
      </c>
      <c r="E14" s="348">
        <v>6</v>
      </c>
      <c r="F14" s="350">
        <v>4</v>
      </c>
      <c r="G14" s="763" t="str">
        <f>TEXT(Tbl_Ballasts[[#This Row],[Recap Row]],"00")&amp;TEXT(Tbl_Ballasts[[#This Row],[Recap Col]],"00")</f>
        <v>0604</v>
      </c>
      <c r="H14" s="760">
        <f>INDEX(Recap_Ballasts,Tbl_Ballasts[[#This Row],[Recap Row]],Tbl_Ballasts[[#This Row],[Recap Col]])</f>
        <v>0</v>
      </c>
      <c r="I14" s="493">
        <f ca="1">IFERROR(OFFSET($AA$1,I$5,I$6+Tbl_Ballasts[[#This Row],[Index]]*Ballasts_columns_step),0)</f>
        <v>0</v>
      </c>
      <c r="J14" s="103">
        <f ca="1">IFERROR(OFFSET($AA$1,J$5,J$6+Tbl_Ballasts[[#This Row],[Index]]*Ballasts_columns_step),0)</f>
        <v>0</v>
      </c>
      <c r="K14" s="427">
        <f ca="1">IFERROR(OFFSET($AA$1,K$5,K$6+Tbl_Ballasts[[#This Row],[Index]]*Ballasts_columns_step),0)</f>
        <v>10</v>
      </c>
      <c r="L14" s="428">
        <f ca="1">IFERROR(OFFSET($AA$1,L$5,L$6+Tbl_Ballasts[[#This Row],[Index]]*Ballasts_columns_step),0)</f>
        <v>-7.5</v>
      </c>
      <c r="M14" s="429">
        <f ca="1">IFERROR(OFFSET($AA$1,M$5,M$6+Tbl_Ballasts[[#This Row],[Index]]*Ballasts_columns_step),0)</f>
        <v>0</v>
      </c>
      <c r="N14" s="438">
        <f ca="1">IFERROR(OFFSET($AA$1,N$5,N$6+Tbl_Ballasts[[#This Row],[Index]]*Ballasts_columns_step),0)</f>
        <v>10</v>
      </c>
      <c r="O14" s="437" t="str">
        <f ca="1">IF(Tbl_Ballasts[[#This Row],[Weight Fact]],Tbl_Ballasts[[#This Row],[COG x ]]-Tbl_Ballasts[[#This Row],[Distrib]]/2,"")</f>
        <v/>
      </c>
      <c r="P14" s="439" t="str">
        <f ca="1">IF(Tbl_Ballasts[[#This Row],[Weight Fact]],Tbl_Ballasts[[#This Row],[COG x ]]+Tbl_Ballasts[[#This Row],[Distrib]]/2,"")</f>
        <v/>
      </c>
      <c r="Q14" s="440" t="str">
        <f ca="1">IF(Tbl_Ballasts[[#This Row],[Weight Fact]],ROUND(Tbl_Ballasts[[#This Row],[AP from]]/FE_size,0),"")</f>
        <v/>
      </c>
      <c r="R14" s="441" t="str">
        <f ca="1">IF(Tbl_Ballasts[[#This Row],[Weight Fact]],ROUND(Tbl_Ballasts[[#This Row],[AP to]]/FE_size,0),"")</f>
        <v/>
      </c>
      <c r="S14" s="114" t="str">
        <f ca="1">IF(Tbl_Ballasts[[#This Row],[Weight Fact]]=0,"",IF(AND(Tbl_Ballasts[[#This Row],[COG x ]]&gt;=(Tbl_Ballasts[[#This Row],[L to]]-Tbl_Ballasts[[#This Row],[L from]])/3+Tbl_Ballasts[[#This Row],[L from]],Tbl_Ballasts[[#This Row],[COG x ]]&lt;=(Tbl_Ballasts[[#This Row],[L to]]-Tbl_Ballasts[[#This Row],[L from]])*2/3+Tbl_Ballasts[[#This Row],[L from]],Tbl_Ballasts[[#This Row],[L to]]&gt;Tbl_Ballasts[[#This Row],[L from]]),"OK","KO"))</f>
        <v/>
      </c>
      <c r="T14" s="442" t="str">
        <f ca="1">IF(Tbl_Ballasts[[#This Row],[Weight Fact]],IF(Tbl_Ballasts[[#This Row],[Fr from]]*FE_size&lt;0,0,Tbl_Ballasts[[#This Row],[Fr from]]*FE_size),"")</f>
        <v/>
      </c>
      <c r="U14" s="443" t="str">
        <f ca="1">IF(Tbl_Ballasts[[#This Row],[Weight Fact]],IF(Tbl_Ballasts[[#This Row],[Fr to]]*FE_size=Tbl_Ballasts[[#This Row],[L from]],Tbl_Ballasts[[#This Row],[L from]]+FE_size,IF(Tbl_Ballasts[[#This Row],[Fr to]]*FE_size&gt;Lpp,Lpp,Tbl_Ballasts[[#This Row],[Fr to]]*FE_size)),"")</f>
        <v/>
      </c>
      <c r="V14" s="444" t="str">
        <f ca="1">IFERROR(Tbl_Ballasts[[#This Row],[Weight Fact]]/(Tbl_Ballasts[[#This Row],[L to]]-Tbl_Ballasts[[#This Row],[L from]]),"")</f>
        <v/>
      </c>
      <c r="W14" s="145" t="str">
        <f ca="1">IF(Tbl_Ballasts[[#This Row],[Weight Fact]],Tbl_Ballasts[[#This Row],[Spread]]*(Tbl_Ballasts[[#This Row],[L to]]-Tbl_Ballasts[[#This Row],[L from]])-Tbl_Ballasts[[#This Row],[Weight Fact]],"")</f>
        <v/>
      </c>
      <c r="X14" s="141" t="str">
        <f ca="1">IF(AND(ISNUMBER(Tbl_Ballasts[[#This Row],[L from]]),ISNUMBER(Tbl_Ballasts[[#This Row],[L to]])),IF(AND(Tbl_Ballasts[[#This Row],[L from]]&gt;=0,Tbl_Ballasts[[#This Row],[L to]]&lt;=Lpp),"OK","KO"),"OK")</f>
        <v>OK</v>
      </c>
      <c r="Y14" s="481"/>
      <c r="Z14" s="413"/>
      <c r="AA14" s="396">
        <f t="shared" si="1"/>
        <v>0.71079999999999999</v>
      </c>
      <c r="AB14" s="397">
        <f t="shared" si="2"/>
        <v>20</v>
      </c>
      <c r="AC14" s="398">
        <f t="shared" si="3"/>
        <v>0.4</v>
      </c>
      <c r="AD14" s="398">
        <f t="shared" si="146"/>
        <v>2.763567289557499</v>
      </c>
      <c r="AE14" s="398">
        <f t="shared" si="4"/>
        <v>4.7624499501627948</v>
      </c>
      <c r="AF14" s="398">
        <f t="shared" si="5"/>
        <v>0</v>
      </c>
      <c r="AG14" s="398">
        <f t="shared" si="147"/>
        <v>0.26736077640653388</v>
      </c>
      <c r="AH14" s="399">
        <f t="shared" si="148"/>
        <v>462.3089430894309</v>
      </c>
      <c r="AI14" s="66"/>
      <c r="AJ14" s="66"/>
      <c r="AK14" s="396">
        <f t="shared" si="6"/>
        <v>10</v>
      </c>
      <c r="AL14" s="397">
        <f t="shared" si="7"/>
        <v>5</v>
      </c>
      <c r="AM14" s="398">
        <f t="shared" si="8"/>
        <v>0.4</v>
      </c>
      <c r="AN14" s="398">
        <f t="shared" si="149"/>
        <v>20</v>
      </c>
      <c r="AO14" s="398">
        <f t="shared" si="9"/>
        <v>10</v>
      </c>
      <c r="AP14" s="398">
        <f t="shared" si="10"/>
        <v>7.5</v>
      </c>
      <c r="AQ14" s="398">
        <f t="shared" si="150"/>
        <v>0.2</v>
      </c>
      <c r="AR14" s="399">
        <f t="shared" si="151"/>
        <v>101.62601626016261</v>
      </c>
      <c r="AS14" s="66"/>
      <c r="AT14" s="66"/>
      <c r="AU14" s="396">
        <f t="shared" si="11"/>
        <v>10</v>
      </c>
      <c r="AV14" s="397">
        <f t="shared" si="12"/>
        <v>5</v>
      </c>
      <c r="AW14" s="398">
        <f t="shared" si="13"/>
        <v>0.4</v>
      </c>
      <c r="AX14" s="398">
        <f t="shared" si="152"/>
        <v>20</v>
      </c>
      <c r="AY14" s="398">
        <f t="shared" si="14"/>
        <v>10</v>
      </c>
      <c r="AZ14" s="398">
        <f t="shared" si="15"/>
        <v>2.5</v>
      </c>
      <c r="BA14" s="398">
        <f t="shared" si="153"/>
        <v>0.2</v>
      </c>
      <c r="BB14" s="399">
        <f t="shared" si="154"/>
        <v>101.62601626016261</v>
      </c>
      <c r="BC14" s="66"/>
      <c r="BD14" s="66"/>
      <c r="BE14" s="396">
        <f t="shared" si="16"/>
        <v>10</v>
      </c>
      <c r="BF14" s="397">
        <f t="shared" si="17"/>
        <v>5</v>
      </c>
      <c r="BG14" s="398">
        <f t="shared" si="18"/>
        <v>0.4</v>
      </c>
      <c r="BH14" s="398">
        <f t="shared" si="155"/>
        <v>20</v>
      </c>
      <c r="BI14" s="398">
        <f t="shared" si="19"/>
        <v>10</v>
      </c>
      <c r="BJ14" s="398">
        <f t="shared" si="20"/>
        <v>-2.5</v>
      </c>
      <c r="BK14" s="398">
        <f t="shared" si="156"/>
        <v>0.2</v>
      </c>
      <c r="BL14" s="399">
        <f t="shared" si="157"/>
        <v>101.62601626016261</v>
      </c>
      <c r="BM14" s="66"/>
      <c r="BN14" s="66"/>
      <c r="BO14" s="396">
        <f t="shared" si="21"/>
        <v>10</v>
      </c>
      <c r="BP14" s="397">
        <f t="shared" si="22"/>
        <v>5</v>
      </c>
      <c r="BQ14" s="398">
        <f t="shared" si="23"/>
        <v>0.4</v>
      </c>
      <c r="BR14" s="398">
        <f t="shared" si="158"/>
        <v>20</v>
      </c>
      <c r="BS14" s="398">
        <f t="shared" si="24"/>
        <v>10</v>
      </c>
      <c r="BT14" s="398">
        <f t="shared" si="25"/>
        <v>-7.5</v>
      </c>
      <c r="BU14" s="398">
        <f t="shared" si="159"/>
        <v>0.2</v>
      </c>
      <c r="BV14" s="399">
        <f t="shared" si="160"/>
        <v>101.62601626016261</v>
      </c>
      <c r="BW14" s="66"/>
      <c r="BX14" s="66"/>
      <c r="BY14" s="396">
        <f t="shared" si="26"/>
        <v>10</v>
      </c>
      <c r="BZ14" s="397">
        <f t="shared" si="27"/>
        <v>5</v>
      </c>
      <c r="CA14" s="398">
        <f t="shared" si="28"/>
        <v>0.4</v>
      </c>
      <c r="CB14" s="398">
        <f t="shared" si="161"/>
        <v>20</v>
      </c>
      <c r="CC14" s="398">
        <f t="shared" si="29"/>
        <v>20</v>
      </c>
      <c r="CD14" s="398">
        <f t="shared" si="30"/>
        <v>7.5</v>
      </c>
      <c r="CE14" s="398">
        <f t="shared" si="162"/>
        <v>0.2</v>
      </c>
      <c r="CF14" s="399">
        <f t="shared" si="163"/>
        <v>101.62601626016261</v>
      </c>
      <c r="CG14" s="66"/>
      <c r="CH14" s="66"/>
      <c r="CI14" s="396">
        <f t="shared" si="31"/>
        <v>10</v>
      </c>
      <c r="CJ14" s="397">
        <f t="shared" si="32"/>
        <v>5</v>
      </c>
      <c r="CK14" s="398">
        <f t="shared" si="33"/>
        <v>0.4</v>
      </c>
      <c r="CL14" s="398">
        <f t="shared" si="164"/>
        <v>20</v>
      </c>
      <c r="CM14" s="398">
        <f t="shared" si="34"/>
        <v>20</v>
      </c>
      <c r="CN14" s="398">
        <f t="shared" si="35"/>
        <v>2.5</v>
      </c>
      <c r="CO14" s="398">
        <f t="shared" si="165"/>
        <v>0.2</v>
      </c>
      <c r="CP14" s="399">
        <f t="shared" si="166"/>
        <v>101.62601626016261</v>
      </c>
      <c r="CQ14" s="66"/>
      <c r="CS14" s="396">
        <f t="shared" si="36"/>
        <v>10</v>
      </c>
      <c r="CT14" s="397">
        <f t="shared" si="37"/>
        <v>5</v>
      </c>
      <c r="CU14" s="398">
        <f t="shared" si="38"/>
        <v>0.4</v>
      </c>
      <c r="CV14" s="398">
        <f t="shared" si="167"/>
        <v>20</v>
      </c>
      <c r="CW14" s="398">
        <f t="shared" si="39"/>
        <v>20</v>
      </c>
      <c r="CX14" s="398">
        <f t="shared" si="40"/>
        <v>-2.5</v>
      </c>
      <c r="CY14" s="398">
        <f t="shared" si="168"/>
        <v>0.2</v>
      </c>
      <c r="CZ14" s="399">
        <f t="shared" si="169"/>
        <v>101.62601626016261</v>
      </c>
      <c r="DA14" s="66"/>
      <c r="DB14" s="66"/>
      <c r="DC14" s="396">
        <f t="shared" si="41"/>
        <v>10</v>
      </c>
      <c r="DD14" s="397">
        <f t="shared" si="42"/>
        <v>5</v>
      </c>
      <c r="DE14" s="398">
        <f t="shared" si="43"/>
        <v>0.4</v>
      </c>
      <c r="DF14" s="398">
        <f t="shared" si="170"/>
        <v>20</v>
      </c>
      <c r="DG14" s="398">
        <f t="shared" si="44"/>
        <v>20</v>
      </c>
      <c r="DH14" s="398">
        <f t="shared" si="45"/>
        <v>-7.5</v>
      </c>
      <c r="DI14" s="398">
        <f t="shared" si="171"/>
        <v>0.2</v>
      </c>
      <c r="DJ14" s="399">
        <f t="shared" si="172"/>
        <v>101.62601626016261</v>
      </c>
      <c r="DK14" s="66"/>
      <c r="DM14" s="396">
        <f t="shared" si="46"/>
        <v>10</v>
      </c>
      <c r="DN14" s="397">
        <f t="shared" si="47"/>
        <v>5</v>
      </c>
      <c r="DO14" s="398">
        <f t="shared" si="48"/>
        <v>0.4</v>
      </c>
      <c r="DP14" s="398">
        <f t="shared" si="173"/>
        <v>20</v>
      </c>
      <c r="DQ14" s="398">
        <f t="shared" si="49"/>
        <v>30</v>
      </c>
      <c r="DR14" s="398">
        <f t="shared" si="50"/>
        <v>7.5</v>
      </c>
      <c r="DS14" s="398">
        <f t="shared" si="174"/>
        <v>0.2</v>
      </c>
      <c r="DT14" s="399">
        <f t="shared" si="175"/>
        <v>101.62601626016261</v>
      </c>
      <c r="DU14" s="66"/>
      <c r="DV14" s="66"/>
      <c r="DW14" s="396">
        <f t="shared" si="51"/>
        <v>10</v>
      </c>
      <c r="DX14" s="397">
        <f t="shared" si="52"/>
        <v>5</v>
      </c>
      <c r="DY14" s="398">
        <f t="shared" si="53"/>
        <v>0.4</v>
      </c>
      <c r="DZ14" s="398">
        <f t="shared" si="176"/>
        <v>20</v>
      </c>
      <c r="EA14" s="398">
        <f t="shared" si="54"/>
        <v>30</v>
      </c>
      <c r="EB14" s="398">
        <f t="shared" si="55"/>
        <v>2.5</v>
      </c>
      <c r="EC14" s="398">
        <f t="shared" si="177"/>
        <v>0.2</v>
      </c>
      <c r="ED14" s="399">
        <f t="shared" si="178"/>
        <v>101.62601626016261</v>
      </c>
      <c r="EE14" s="66"/>
      <c r="EF14" s="66"/>
      <c r="EG14" s="396">
        <f t="shared" si="56"/>
        <v>10</v>
      </c>
      <c r="EH14" s="397">
        <f t="shared" si="57"/>
        <v>5</v>
      </c>
      <c r="EI14" s="398">
        <f t="shared" si="58"/>
        <v>0.4</v>
      </c>
      <c r="EJ14" s="398">
        <f t="shared" si="179"/>
        <v>20</v>
      </c>
      <c r="EK14" s="398">
        <f t="shared" si="59"/>
        <v>30</v>
      </c>
      <c r="EL14" s="398">
        <f t="shared" si="60"/>
        <v>-2.5</v>
      </c>
      <c r="EM14" s="398">
        <f t="shared" si="180"/>
        <v>0.2</v>
      </c>
      <c r="EN14" s="399">
        <f t="shared" si="181"/>
        <v>101.62601626016261</v>
      </c>
      <c r="EO14" s="66"/>
      <c r="EP14" s="66"/>
      <c r="EQ14" s="396">
        <f t="shared" si="61"/>
        <v>10</v>
      </c>
      <c r="ER14" s="397">
        <f t="shared" si="62"/>
        <v>5</v>
      </c>
      <c r="ES14" s="398">
        <f t="shared" si="63"/>
        <v>0.4</v>
      </c>
      <c r="ET14" s="398">
        <f t="shared" si="182"/>
        <v>20</v>
      </c>
      <c r="EU14" s="398">
        <f t="shared" si="64"/>
        <v>30</v>
      </c>
      <c r="EV14" s="398">
        <f t="shared" si="65"/>
        <v>-7.5</v>
      </c>
      <c r="EW14" s="398">
        <f t="shared" si="183"/>
        <v>0.2</v>
      </c>
      <c r="EX14" s="399">
        <f t="shared" si="184"/>
        <v>101.62601626016261</v>
      </c>
      <c r="EY14" s="66"/>
      <c r="EZ14" s="66"/>
      <c r="FA14" s="396">
        <f t="shared" si="66"/>
        <v>10</v>
      </c>
      <c r="FB14" s="397">
        <f t="shared" si="67"/>
        <v>5</v>
      </c>
      <c r="FC14" s="398">
        <f t="shared" si="68"/>
        <v>0.4</v>
      </c>
      <c r="FD14" s="398">
        <f t="shared" si="185"/>
        <v>20</v>
      </c>
      <c r="FE14" s="398">
        <f t="shared" si="69"/>
        <v>40</v>
      </c>
      <c r="FF14" s="398">
        <f t="shared" si="70"/>
        <v>7.5</v>
      </c>
      <c r="FG14" s="398">
        <f t="shared" si="186"/>
        <v>0.2</v>
      </c>
      <c r="FH14" s="399">
        <f t="shared" si="187"/>
        <v>101.62601626016261</v>
      </c>
      <c r="FI14" s="66"/>
      <c r="FJ14" s="66"/>
      <c r="FK14" s="396">
        <f t="shared" si="71"/>
        <v>10</v>
      </c>
      <c r="FL14" s="397">
        <f t="shared" si="72"/>
        <v>5</v>
      </c>
      <c r="FM14" s="398">
        <f t="shared" si="73"/>
        <v>0.4</v>
      </c>
      <c r="FN14" s="398">
        <f t="shared" si="188"/>
        <v>20</v>
      </c>
      <c r="FO14" s="398">
        <f t="shared" si="74"/>
        <v>40</v>
      </c>
      <c r="FP14" s="398">
        <f t="shared" si="75"/>
        <v>2.5</v>
      </c>
      <c r="FQ14" s="398">
        <f t="shared" si="189"/>
        <v>0.2</v>
      </c>
      <c r="FR14" s="399">
        <f t="shared" si="190"/>
        <v>101.62601626016261</v>
      </c>
      <c r="FS14" s="66"/>
      <c r="FT14" s="66"/>
      <c r="FU14" s="396">
        <f t="shared" si="76"/>
        <v>10</v>
      </c>
      <c r="FV14" s="397">
        <f t="shared" si="77"/>
        <v>5</v>
      </c>
      <c r="FW14" s="398">
        <f t="shared" si="78"/>
        <v>0.4</v>
      </c>
      <c r="FX14" s="398">
        <f t="shared" si="191"/>
        <v>20</v>
      </c>
      <c r="FY14" s="398">
        <f t="shared" si="79"/>
        <v>40</v>
      </c>
      <c r="FZ14" s="398">
        <f t="shared" si="80"/>
        <v>-2.5</v>
      </c>
      <c r="GA14" s="398">
        <f t="shared" si="192"/>
        <v>0.2</v>
      </c>
      <c r="GB14" s="399">
        <f t="shared" si="193"/>
        <v>101.62601626016261</v>
      </c>
      <c r="GC14" s="66"/>
      <c r="GD14" s="66"/>
      <c r="GE14" s="396">
        <f t="shared" si="81"/>
        <v>10</v>
      </c>
      <c r="GF14" s="397">
        <f t="shared" si="82"/>
        <v>5</v>
      </c>
      <c r="GG14" s="398">
        <f t="shared" si="83"/>
        <v>0.4</v>
      </c>
      <c r="GH14" s="398">
        <f t="shared" si="194"/>
        <v>20</v>
      </c>
      <c r="GI14" s="398">
        <f t="shared" si="84"/>
        <v>40</v>
      </c>
      <c r="GJ14" s="398">
        <f t="shared" si="85"/>
        <v>-7.5</v>
      </c>
      <c r="GK14" s="398">
        <f t="shared" si="195"/>
        <v>0.2</v>
      </c>
      <c r="GL14" s="399">
        <f t="shared" si="196"/>
        <v>101.62601626016261</v>
      </c>
      <c r="GM14" s="66"/>
      <c r="GN14" s="66"/>
      <c r="GO14" s="396">
        <f t="shared" si="86"/>
        <v>10</v>
      </c>
      <c r="GP14" s="397">
        <f t="shared" si="87"/>
        <v>5</v>
      </c>
      <c r="GQ14" s="398">
        <f t="shared" si="88"/>
        <v>0.4</v>
      </c>
      <c r="GR14" s="398">
        <f t="shared" si="197"/>
        <v>20</v>
      </c>
      <c r="GS14" s="398">
        <f t="shared" si="89"/>
        <v>50</v>
      </c>
      <c r="GT14" s="398">
        <f t="shared" si="90"/>
        <v>7.5</v>
      </c>
      <c r="GU14" s="398">
        <f t="shared" si="198"/>
        <v>0.2</v>
      </c>
      <c r="GV14" s="399">
        <f t="shared" si="199"/>
        <v>101.62601626016261</v>
      </c>
      <c r="GW14" s="66"/>
      <c r="GX14" s="66"/>
      <c r="GY14" s="396">
        <f t="shared" si="91"/>
        <v>10</v>
      </c>
      <c r="GZ14" s="397">
        <f t="shared" si="92"/>
        <v>5</v>
      </c>
      <c r="HA14" s="398">
        <f t="shared" si="93"/>
        <v>0.4</v>
      </c>
      <c r="HB14" s="398">
        <f t="shared" si="200"/>
        <v>20</v>
      </c>
      <c r="HC14" s="398">
        <f t="shared" si="94"/>
        <v>50</v>
      </c>
      <c r="HD14" s="398">
        <f t="shared" si="95"/>
        <v>2.5</v>
      </c>
      <c r="HE14" s="398">
        <f t="shared" si="201"/>
        <v>0.2</v>
      </c>
      <c r="HF14" s="399">
        <f t="shared" si="202"/>
        <v>101.62601626016261</v>
      </c>
      <c r="HH14" s="66"/>
      <c r="HI14" s="396">
        <f t="shared" si="96"/>
        <v>10</v>
      </c>
      <c r="HJ14" s="397">
        <f t="shared" si="97"/>
        <v>5</v>
      </c>
      <c r="HK14" s="398">
        <f t="shared" si="98"/>
        <v>0.4</v>
      </c>
      <c r="HL14" s="398">
        <f t="shared" si="203"/>
        <v>20</v>
      </c>
      <c r="HM14" s="398">
        <f t="shared" si="99"/>
        <v>50</v>
      </c>
      <c r="HN14" s="398">
        <f t="shared" si="100"/>
        <v>-2.5</v>
      </c>
      <c r="HO14" s="398">
        <f t="shared" si="204"/>
        <v>0.2</v>
      </c>
      <c r="HP14" s="399">
        <f t="shared" si="205"/>
        <v>101.62601626016261</v>
      </c>
      <c r="HQ14" s="66"/>
      <c r="HR14" s="66"/>
      <c r="HS14" s="396">
        <f t="shared" si="101"/>
        <v>10</v>
      </c>
      <c r="HT14" s="397">
        <f t="shared" si="102"/>
        <v>5</v>
      </c>
      <c r="HU14" s="398">
        <f t="shared" si="103"/>
        <v>0.4</v>
      </c>
      <c r="HV14" s="398">
        <f t="shared" si="206"/>
        <v>20</v>
      </c>
      <c r="HW14" s="398">
        <f t="shared" si="104"/>
        <v>50</v>
      </c>
      <c r="HX14" s="398">
        <f t="shared" si="105"/>
        <v>-7.5</v>
      </c>
      <c r="HY14" s="398">
        <f t="shared" si="207"/>
        <v>0.2</v>
      </c>
      <c r="HZ14" s="399">
        <f t="shared" si="208"/>
        <v>101.62601626016261</v>
      </c>
      <c r="IA14" s="66"/>
      <c r="IB14" s="66"/>
      <c r="IC14" s="396">
        <f t="shared" si="106"/>
        <v>0.70800000000000007</v>
      </c>
      <c r="ID14" s="397">
        <f t="shared" si="107"/>
        <v>20</v>
      </c>
      <c r="IE14" s="398">
        <f t="shared" si="108"/>
        <v>0.4</v>
      </c>
      <c r="IF14" s="398">
        <f t="shared" si="209"/>
        <v>2.7526809805946959</v>
      </c>
      <c r="IG14" s="398">
        <f t="shared" si="109"/>
        <v>55.236614287119785</v>
      </c>
      <c r="IH14" s="398">
        <f t="shared" si="110"/>
        <v>0</v>
      </c>
      <c r="II14" s="398">
        <f t="shared" si="210"/>
        <v>0.26736077640653394</v>
      </c>
      <c r="IJ14" s="399">
        <f t="shared" si="211"/>
        <v>460.48780487804885</v>
      </c>
      <c r="IK14" s="66"/>
      <c r="IL14" s="66"/>
      <c r="IM14" s="396">
        <f t="shared" si="111"/>
        <v>9.01</v>
      </c>
      <c r="IN14" s="397">
        <f t="shared" si="112"/>
        <v>13.75</v>
      </c>
      <c r="IO14" s="398">
        <f t="shared" si="113"/>
        <v>0.4</v>
      </c>
      <c r="IP14" s="398">
        <f t="shared" si="212"/>
        <v>46.803315020807418</v>
      </c>
      <c r="IQ14" s="398">
        <f t="shared" si="114"/>
        <v>66.864590518651497</v>
      </c>
      <c r="IR14" s="398">
        <f t="shared" si="115"/>
        <v>6.875</v>
      </c>
      <c r="IS14" s="398">
        <f t="shared" si="213"/>
        <v>0.20367241492119917</v>
      </c>
      <c r="IT14" s="399">
        <f t="shared" si="214"/>
        <v>1904.2667047764228</v>
      </c>
      <c r="IU14" s="66"/>
      <c r="IV14" s="66"/>
      <c r="IW14" s="396">
        <f t="shared" si="116"/>
        <v>9.01</v>
      </c>
      <c r="IX14" s="397">
        <f t="shared" si="117"/>
        <v>13.75</v>
      </c>
      <c r="IY14" s="398">
        <f t="shared" si="118"/>
        <v>0.4</v>
      </c>
      <c r="IZ14" s="398">
        <f t="shared" si="215"/>
        <v>46.803315020807418</v>
      </c>
      <c r="JA14" s="398">
        <f t="shared" si="119"/>
        <v>66.864590518651497</v>
      </c>
      <c r="JB14" s="398">
        <f t="shared" si="120"/>
        <v>-6.875</v>
      </c>
      <c r="JC14" s="398">
        <f t="shared" si="216"/>
        <v>0.20367241492119917</v>
      </c>
      <c r="JD14" s="399">
        <f t="shared" si="217"/>
        <v>1904.2667047764228</v>
      </c>
      <c r="JE14" s="66"/>
      <c r="JF14" s="66"/>
      <c r="JG14" s="396">
        <f t="shared" si="121"/>
        <v>1</v>
      </c>
      <c r="JH14" s="397">
        <f t="shared" si="122"/>
        <v>6.875</v>
      </c>
      <c r="JI14" s="398">
        <f t="shared" si="123"/>
        <v>0.4</v>
      </c>
      <c r="JJ14" s="398">
        <f t="shared" si="218"/>
        <v>1.3364888235585122</v>
      </c>
      <c r="JK14" s="398">
        <f t="shared" si="124"/>
        <v>69.934200970508144</v>
      </c>
      <c r="JL14" s="398">
        <f t="shared" si="125"/>
        <v>10.3125</v>
      </c>
      <c r="JM14" s="398">
        <f t="shared" si="219"/>
        <v>1.4633607764065339</v>
      </c>
      <c r="JN14" s="399">
        <f t="shared" si="220"/>
        <v>26.418794461382117</v>
      </c>
      <c r="JO14" s="66"/>
      <c r="JP14" s="66"/>
      <c r="JQ14" s="396">
        <f t="shared" si="126"/>
        <v>1</v>
      </c>
      <c r="JR14" s="397">
        <f t="shared" si="127"/>
        <v>6.875</v>
      </c>
      <c r="JS14" s="398">
        <f t="shared" si="128"/>
        <v>0.4</v>
      </c>
      <c r="JT14" s="398">
        <f t="shared" si="221"/>
        <v>1.3364888235585122</v>
      </c>
      <c r="JU14" s="398">
        <f t="shared" si="129"/>
        <v>69.934200970508144</v>
      </c>
      <c r="JV14" s="398">
        <f t="shared" si="130"/>
        <v>3.4375000000000004</v>
      </c>
      <c r="JW14" s="398">
        <f t="shared" si="222"/>
        <v>1.4633607764065339</v>
      </c>
      <c r="JX14" s="399">
        <f t="shared" si="223"/>
        <v>26.418794461382117</v>
      </c>
      <c r="JY14" s="66"/>
      <c r="JZ14" s="66"/>
      <c r="KA14" s="396">
        <f t="shared" si="131"/>
        <v>1</v>
      </c>
      <c r="KB14" s="397">
        <f t="shared" si="132"/>
        <v>6.875</v>
      </c>
      <c r="KC14" s="398">
        <f t="shared" si="133"/>
        <v>0.4</v>
      </c>
      <c r="KD14" s="398">
        <f t="shared" si="224"/>
        <v>1.3364888235585122</v>
      </c>
      <c r="KE14" s="398">
        <f t="shared" si="134"/>
        <v>69.934200970508144</v>
      </c>
      <c r="KF14" s="398">
        <f t="shared" si="135"/>
        <v>-3.4375000000000004</v>
      </c>
      <c r="KG14" s="398">
        <f t="shared" si="225"/>
        <v>1.4633607764065339</v>
      </c>
      <c r="KH14" s="399">
        <f t="shared" si="226"/>
        <v>26.418794461382117</v>
      </c>
      <c r="KI14" s="66"/>
      <c r="KJ14" s="66"/>
      <c r="KK14" s="396">
        <f t="shared" si="136"/>
        <v>1</v>
      </c>
      <c r="KL14" s="397">
        <f t="shared" si="137"/>
        <v>6.875</v>
      </c>
      <c r="KM14" s="398">
        <f t="shared" si="138"/>
        <v>0.4</v>
      </c>
      <c r="KN14" s="398">
        <f t="shared" si="227"/>
        <v>1.3364888235585122</v>
      </c>
      <c r="KO14" s="398">
        <f t="shared" si="139"/>
        <v>69.934200970508144</v>
      </c>
      <c r="KP14" s="398">
        <f t="shared" si="140"/>
        <v>-10.3125</v>
      </c>
      <c r="KQ14" s="398">
        <f t="shared" si="228"/>
        <v>1.4633607764065339</v>
      </c>
      <c r="KR14" s="399">
        <f t="shared" si="229"/>
        <v>26.418794461382117</v>
      </c>
      <c r="KS14" s="66"/>
      <c r="KT14" s="66"/>
      <c r="KU14" s="396">
        <f t="shared" si="141"/>
        <v>5</v>
      </c>
      <c r="KV14" s="397">
        <f t="shared" si="142"/>
        <v>5</v>
      </c>
      <c r="KW14" s="398">
        <f t="shared" si="143"/>
        <v>0.4</v>
      </c>
      <c r="KX14" s="398">
        <f t="shared" si="230"/>
        <v>10</v>
      </c>
      <c r="KY14" s="398">
        <f t="shared" si="144"/>
        <v>57.5</v>
      </c>
      <c r="KZ14" s="398">
        <f t="shared" si="145"/>
        <v>0</v>
      </c>
      <c r="LA14" s="398">
        <f t="shared" si="231"/>
        <v>0.2</v>
      </c>
      <c r="LB14" s="399">
        <f t="shared" si="232"/>
        <v>50.813008130081307</v>
      </c>
      <c r="LC14" s="66"/>
    </row>
    <row r="15" spans="1:315" s="67" customFormat="1" ht="15" customHeight="1" x14ac:dyDescent="0.25">
      <c r="A15" s="481"/>
      <c r="B15" s="73">
        <f t="shared" si="0"/>
        <v>5</v>
      </c>
      <c r="C15" s="347" t="str">
        <f>INDEX($AA$1:$LC$6,C$5,C$6+Tbl_Ballasts[[#This Row],[Index]]*Ballasts_columns_step)</f>
        <v>WB5Ps</v>
      </c>
      <c r="D15" s="114" t="str">
        <f ca="1">IFERROR(OFFSET($AA$1,D$5,D$6+Tbl_Ballasts[[#This Row],[Index]]*Ballasts_columns_step),0)</f>
        <v>OK</v>
      </c>
      <c r="E15" s="348">
        <v>5</v>
      </c>
      <c r="F15" s="349">
        <v>1</v>
      </c>
      <c r="G15" s="763" t="str">
        <f>TEXT(Tbl_Ballasts[[#This Row],[Recap Row]],"00")&amp;TEXT(Tbl_Ballasts[[#This Row],[Recap Col]],"00")</f>
        <v>0501</v>
      </c>
      <c r="H15" s="760">
        <f>INDEX(Recap_Ballasts,Tbl_Ballasts[[#This Row],[Recap Row]],Tbl_Ballasts[[#This Row],[Recap Col]])</f>
        <v>0</v>
      </c>
      <c r="I15" s="493">
        <f ca="1">IFERROR(OFFSET($AA$1,I$5,I$6+Tbl_Ballasts[[#This Row],[Index]]*Ballasts_columns_step),0)</f>
        <v>0</v>
      </c>
      <c r="J15" s="103">
        <f ca="1">IFERROR(OFFSET($AA$1,J$5,J$6+Tbl_Ballasts[[#This Row],[Index]]*Ballasts_columns_step),0)</f>
        <v>0</v>
      </c>
      <c r="K15" s="427">
        <f ca="1">IFERROR(OFFSET($AA$1,K$5,K$6+Tbl_Ballasts[[#This Row],[Index]]*Ballasts_columns_step),0)</f>
        <v>20</v>
      </c>
      <c r="L15" s="428">
        <f ca="1">IFERROR(OFFSET($AA$1,L$5,L$6+Tbl_Ballasts[[#This Row],[Index]]*Ballasts_columns_step),0)</f>
        <v>7.5</v>
      </c>
      <c r="M15" s="429">
        <f ca="1">IFERROR(OFFSET($AA$1,M$5,M$6+Tbl_Ballasts[[#This Row],[Index]]*Ballasts_columns_step),0)</f>
        <v>0</v>
      </c>
      <c r="N15" s="438">
        <f ca="1">IFERROR(OFFSET($AA$1,N$5,N$6+Tbl_Ballasts[[#This Row],[Index]]*Ballasts_columns_step),0)</f>
        <v>10</v>
      </c>
      <c r="O15" s="437" t="str">
        <f ca="1">IF(Tbl_Ballasts[[#This Row],[Weight Fact]],Tbl_Ballasts[[#This Row],[COG x ]]-Tbl_Ballasts[[#This Row],[Distrib]]/2,"")</f>
        <v/>
      </c>
      <c r="P15" s="439" t="str">
        <f ca="1">IF(Tbl_Ballasts[[#This Row],[Weight Fact]],Tbl_Ballasts[[#This Row],[COG x ]]+Tbl_Ballasts[[#This Row],[Distrib]]/2,"")</f>
        <v/>
      </c>
      <c r="Q15" s="440" t="str">
        <f ca="1">IF(Tbl_Ballasts[[#This Row],[Weight Fact]],ROUND(Tbl_Ballasts[[#This Row],[AP from]]/FE_size,0),"")</f>
        <v/>
      </c>
      <c r="R15" s="441" t="str">
        <f ca="1">IF(Tbl_Ballasts[[#This Row],[Weight Fact]],ROUND(Tbl_Ballasts[[#This Row],[AP to]]/FE_size,0),"")</f>
        <v/>
      </c>
      <c r="S15" s="114" t="str">
        <f ca="1">IF(Tbl_Ballasts[[#This Row],[Weight Fact]]=0,"",IF(AND(Tbl_Ballasts[[#This Row],[COG x ]]&gt;=(Tbl_Ballasts[[#This Row],[L to]]-Tbl_Ballasts[[#This Row],[L from]])/3+Tbl_Ballasts[[#This Row],[L from]],Tbl_Ballasts[[#This Row],[COG x ]]&lt;=(Tbl_Ballasts[[#This Row],[L to]]-Tbl_Ballasts[[#This Row],[L from]])*2/3+Tbl_Ballasts[[#This Row],[L from]],Tbl_Ballasts[[#This Row],[L to]]&gt;Tbl_Ballasts[[#This Row],[L from]]),"OK","KO"))</f>
        <v/>
      </c>
      <c r="T15" s="442" t="str">
        <f ca="1">IF(Tbl_Ballasts[[#This Row],[Weight Fact]],IF(Tbl_Ballasts[[#This Row],[Fr from]]*FE_size&lt;0,0,Tbl_Ballasts[[#This Row],[Fr from]]*FE_size),"")</f>
        <v/>
      </c>
      <c r="U15" s="443" t="str">
        <f ca="1">IF(Tbl_Ballasts[[#This Row],[Weight Fact]],IF(Tbl_Ballasts[[#This Row],[Fr to]]*FE_size=Tbl_Ballasts[[#This Row],[L from]],Tbl_Ballasts[[#This Row],[L from]]+FE_size,IF(Tbl_Ballasts[[#This Row],[Fr to]]*FE_size&gt;Lpp,Lpp,Tbl_Ballasts[[#This Row],[Fr to]]*FE_size)),"")</f>
        <v/>
      </c>
      <c r="V15" s="444" t="str">
        <f ca="1">IFERROR(Tbl_Ballasts[[#This Row],[Weight Fact]]/(Tbl_Ballasts[[#This Row],[L to]]-Tbl_Ballasts[[#This Row],[L from]]),"")</f>
        <v/>
      </c>
      <c r="W15" s="145" t="str">
        <f ca="1">IF(Tbl_Ballasts[[#This Row],[Weight Fact]],Tbl_Ballasts[[#This Row],[Spread]]*(Tbl_Ballasts[[#This Row],[L to]]-Tbl_Ballasts[[#This Row],[L from]])-Tbl_Ballasts[[#This Row],[Weight Fact]],"")</f>
        <v/>
      </c>
      <c r="X15" s="141" t="str">
        <f ca="1">IF(AND(ISNUMBER(Tbl_Ballasts[[#This Row],[L from]]),ISNUMBER(Tbl_Ballasts[[#This Row],[L to]])),IF(AND(Tbl_Ballasts[[#This Row],[L from]]&gt;=0,Tbl_Ballasts[[#This Row],[L to]]&lt;=Lpp),"OK","KO"),"OK")</f>
        <v>OK</v>
      </c>
      <c r="Y15" s="481"/>
      <c r="Z15" s="413"/>
      <c r="AA15" s="396">
        <f t="shared" si="1"/>
        <v>0.88849999999999996</v>
      </c>
      <c r="AB15" s="397">
        <f t="shared" si="2"/>
        <v>20</v>
      </c>
      <c r="AC15" s="398">
        <f t="shared" si="3"/>
        <v>0.5</v>
      </c>
      <c r="AD15" s="398">
        <f t="shared" si="146"/>
        <v>4.3595663290264488</v>
      </c>
      <c r="AE15" s="398">
        <f t="shared" si="4"/>
        <v>4.7030425125777064</v>
      </c>
      <c r="AF15" s="398">
        <f t="shared" si="5"/>
        <v>0</v>
      </c>
      <c r="AG15" s="398">
        <f t="shared" si="147"/>
        <v>0.3342233960858681</v>
      </c>
      <c r="AH15" s="399">
        <f t="shared" si="148"/>
        <v>577.88617886178872</v>
      </c>
      <c r="AI15" s="66"/>
      <c r="AJ15" s="66"/>
      <c r="AK15" s="396">
        <f t="shared" si="6"/>
        <v>10</v>
      </c>
      <c r="AL15" s="397">
        <f t="shared" si="7"/>
        <v>5</v>
      </c>
      <c r="AM15" s="398">
        <f t="shared" si="8"/>
        <v>0.5</v>
      </c>
      <c r="AN15" s="398">
        <f t="shared" si="149"/>
        <v>25</v>
      </c>
      <c r="AO15" s="398">
        <f t="shared" si="9"/>
        <v>10</v>
      </c>
      <c r="AP15" s="398">
        <f t="shared" si="10"/>
        <v>7.5</v>
      </c>
      <c r="AQ15" s="398">
        <f t="shared" si="150"/>
        <v>0.25</v>
      </c>
      <c r="AR15" s="399">
        <f t="shared" si="151"/>
        <v>101.62601626016261</v>
      </c>
      <c r="AS15" s="66"/>
      <c r="AT15" s="66"/>
      <c r="AU15" s="396">
        <f t="shared" si="11"/>
        <v>10</v>
      </c>
      <c r="AV15" s="397">
        <f t="shared" si="12"/>
        <v>5</v>
      </c>
      <c r="AW15" s="398">
        <f t="shared" si="13"/>
        <v>0.5</v>
      </c>
      <c r="AX15" s="398">
        <f t="shared" si="152"/>
        <v>25</v>
      </c>
      <c r="AY15" s="398">
        <f t="shared" si="14"/>
        <v>10</v>
      </c>
      <c r="AZ15" s="398">
        <f t="shared" si="15"/>
        <v>2.5</v>
      </c>
      <c r="BA15" s="398">
        <f t="shared" si="153"/>
        <v>0.25</v>
      </c>
      <c r="BB15" s="399">
        <f t="shared" si="154"/>
        <v>101.62601626016261</v>
      </c>
      <c r="BC15" s="66"/>
      <c r="BD15" s="66"/>
      <c r="BE15" s="396">
        <f t="shared" si="16"/>
        <v>10</v>
      </c>
      <c r="BF15" s="397">
        <f t="shared" si="17"/>
        <v>5</v>
      </c>
      <c r="BG15" s="398">
        <f t="shared" si="18"/>
        <v>0.5</v>
      </c>
      <c r="BH15" s="398">
        <f t="shared" si="155"/>
        <v>25</v>
      </c>
      <c r="BI15" s="398">
        <f t="shared" si="19"/>
        <v>10</v>
      </c>
      <c r="BJ15" s="398">
        <f t="shared" si="20"/>
        <v>-2.5</v>
      </c>
      <c r="BK15" s="398">
        <f t="shared" si="156"/>
        <v>0.25</v>
      </c>
      <c r="BL15" s="399">
        <f t="shared" si="157"/>
        <v>101.62601626016261</v>
      </c>
      <c r="BM15" s="66"/>
      <c r="BN15" s="66"/>
      <c r="BO15" s="396">
        <f t="shared" si="21"/>
        <v>10</v>
      </c>
      <c r="BP15" s="397">
        <f t="shared" si="22"/>
        <v>5</v>
      </c>
      <c r="BQ15" s="398">
        <f t="shared" si="23"/>
        <v>0.5</v>
      </c>
      <c r="BR15" s="398">
        <f t="shared" si="158"/>
        <v>25</v>
      </c>
      <c r="BS15" s="398">
        <f t="shared" si="24"/>
        <v>10</v>
      </c>
      <c r="BT15" s="398">
        <f t="shared" si="25"/>
        <v>-7.5</v>
      </c>
      <c r="BU15" s="398">
        <f t="shared" si="159"/>
        <v>0.25</v>
      </c>
      <c r="BV15" s="399">
        <f t="shared" si="160"/>
        <v>101.62601626016261</v>
      </c>
      <c r="BW15" s="66"/>
      <c r="BX15" s="66"/>
      <c r="BY15" s="396">
        <f t="shared" si="26"/>
        <v>10</v>
      </c>
      <c r="BZ15" s="397">
        <f t="shared" si="27"/>
        <v>5</v>
      </c>
      <c r="CA15" s="398">
        <f t="shared" si="28"/>
        <v>0.5</v>
      </c>
      <c r="CB15" s="398">
        <f t="shared" si="161"/>
        <v>25</v>
      </c>
      <c r="CC15" s="398">
        <f t="shared" si="29"/>
        <v>20</v>
      </c>
      <c r="CD15" s="398">
        <f t="shared" si="30"/>
        <v>7.5</v>
      </c>
      <c r="CE15" s="398">
        <f t="shared" si="162"/>
        <v>0.25</v>
      </c>
      <c r="CF15" s="399">
        <f t="shared" si="163"/>
        <v>101.62601626016261</v>
      </c>
      <c r="CG15" s="66"/>
      <c r="CH15" s="66"/>
      <c r="CI15" s="396">
        <f t="shared" si="31"/>
        <v>10</v>
      </c>
      <c r="CJ15" s="397">
        <f t="shared" si="32"/>
        <v>5</v>
      </c>
      <c r="CK15" s="398">
        <f t="shared" si="33"/>
        <v>0.5</v>
      </c>
      <c r="CL15" s="398">
        <f t="shared" si="164"/>
        <v>25</v>
      </c>
      <c r="CM15" s="398">
        <f t="shared" si="34"/>
        <v>20</v>
      </c>
      <c r="CN15" s="398">
        <f t="shared" si="35"/>
        <v>2.5</v>
      </c>
      <c r="CO15" s="398">
        <f t="shared" si="165"/>
        <v>0.25</v>
      </c>
      <c r="CP15" s="399">
        <f t="shared" si="166"/>
        <v>101.62601626016261</v>
      </c>
      <c r="CQ15" s="66"/>
      <c r="CS15" s="396">
        <f t="shared" si="36"/>
        <v>10</v>
      </c>
      <c r="CT15" s="397">
        <f t="shared" si="37"/>
        <v>5</v>
      </c>
      <c r="CU15" s="398">
        <f t="shared" si="38"/>
        <v>0.5</v>
      </c>
      <c r="CV15" s="398">
        <f t="shared" si="167"/>
        <v>25</v>
      </c>
      <c r="CW15" s="398">
        <f t="shared" si="39"/>
        <v>20</v>
      </c>
      <c r="CX15" s="398">
        <f t="shared" si="40"/>
        <v>-2.5</v>
      </c>
      <c r="CY15" s="398">
        <f t="shared" si="168"/>
        <v>0.25</v>
      </c>
      <c r="CZ15" s="399">
        <f t="shared" si="169"/>
        <v>101.62601626016261</v>
      </c>
      <c r="DA15" s="66"/>
      <c r="DB15" s="66"/>
      <c r="DC15" s="396">
        <f t="shared" si="41"/>
        <v>10</v>
      </c>
      <c r="DD15" s="397">
        <f t="shared" si="42"/>
        <v>5</v>
      </c>
      <c r="DE15" s="398">
        <f t="shared" si="43"/>
        <v>0.5</v>
      </c>
      <c r="DF15" s="398">
        <f t="shared" si="170"/>
        <v>25</v>
      </c>
      <c r="DG15" s="398">
        <f t="shared" si="44"/>
        <v>20</v>
      </c>
      <c r="DH15" s="398">
        <f t="shared" si="45"/>
        <v>-7.5</v>
      </c>
      <c r="DI15" s="398">
        <f t="shared" si="171"/>
        <v>0.25</v>
      </c>
      <c r="DJ15" s="399">
        <f t="shared" si="172"/>
        <v>101.62601626016261</v>
      </c>
      <c r="DK15" s="66"/>
      <c r="DM15" s="396">
        <f t="shared" si="46"/>
        <v>10</v>
      </c>
      <c r="DN15" s="397">
        <f t="shared" si="47"/>
        <v>5</v>
      </c>
      <c r="DO15" s="398">
        <f t="shared" si="48"/>
        <v>0.5</v>
      </c>
      <c r="DP15" s="398">
        <f t="shared" si="173"/>
        <v>25</v>
      </c>
      <c r="DQ15" s="398">
        <f t="shared" si="49"/>
        <v>30</v>
      </c>
      <c r="DR15" s="398">
        <f t="shared" si="50"/>
        <v>7.5</v>
      </c>
      <c r="DS15" s="398">
        <f t="shared" si="174"/>
        <v>0.25</v>
      </c>
      <c r="DT15" s="399">
        <f t="shared" si="175"/>
        <v>101.62601626016261</v>
      </c>
      <c r="DU15" s="66"/>
      <c r="DV15" s="66"/>
      <c r="DW15" s="396">
        <f t="shared" si="51"/>
        <v>10</v>
      </c>
      <c r="DX15" s="397">
        <f t="shared" si="52"/>
        <v>5</v>
      </c>
      <c r="DY15" s="398">
        <f t="shared" si="53"/>
        <v>0.5</v>
      </c>
      <c r="DZ15" s="398">
        <f t="shared" si="176"/>
        <v>25</v>
      </c>
      <c r="EA15" s="398">
        <f t="shared" si="54"/>
        <v>30</v>
      </c>
      <c r="EB15" s="398">
        <f t="shared" si="55"/>
        <v>2.5</v>
      </c>
      <c r="EC15" s="398">
        <f t="shared" si="177"/>
        <v>0.25</v>
      </c>
      <c r="ED15" s="399">
        <f t="shared" si="178"/>
        <v>101.62601626016261</v>
      </c>
      <c r="EE15" s="66"/>
      <c r="EF15" s="66"/>
      <c r="EG15" s="396">
        <f t="shared" si="56"/>
        <v>10</v>
      </c>
      <c r="EH15" s="397">
        <f t="shared" si="57"/>
        <v>5</v>
      </c>
      <c r="EI15" s="398">
        <f t="shared" si="58"/>
        <v>0.5</v>
      </c>
      <c r="EJ15" s="398">
        <f t="shared" si="179"/>
        <v>25</v>
      </c>
      <c r="EK15" s="398">
        <f t="shared" si="59"/>
        <v>30</v>
      </c>
      <c r="EL15" s="398">
        <f t="shared" si="60"/>
        <v>-2.5</v>
      </c>
      <c r="EM15" s="398">
        <f t="shared" si="180"/>
        <v>0.25</v>
      </c>
      <c r="EN15" s="399">
        <f t="shared" si="181"/>
        <v>101.62601626016261</v>
      </c>
      <c r="EO15" s="66"/>
      <c r="EP15" s="66"/>
      <c r="EQ15" s="396">
        <f t="shared" si="61"/>
        <v>10</v>
      </c>
      <c r="ER15" s="397">
        <f t="shared" si="62"/>
        <v>5</v>
      </c>
      <c r="ES15" s="398">
        <f t="shared" si="63"/>
        <v>0.5</v>
      </c>
      <c r="ET15" s="398">
        <f t="shared" si="182"/>
        <v>25</v>
      </c>
      <c r="EU15" s="398">
        <f t="shared" si="64"/>
        <v>30</v>
      </c>
      <c r="EV15" s="398">
        <f t="shared" si="65"/>
        <v>-7.5</v>
      </c>
      <c r="EW15" s="398">
        <f t="shared" si="183"/>
        <v>0.25</v>
      </c>
      <c r="EX15" s="399">
        <f t="shared" si="184"/>
        <v>101.62601626016261</v>
      </c>
      <c r="EY15" s="66"/>
      <c r="EZ15" s="66"/>
      <c r="FA15" s="396">
        <f t="shared" si="66"/>
        <v>10</v>
      </c>
      <c r="FB15" s="397">
        <f t="shared" si="67"/>
        <v>5</v>
      </c>
      <c r="FC15" s="398">
        <f t="shared" si="68"/>
        <v>0.5</v>
      </c>
      <c r="FD15" s="398">
        <f t="shared" si="185"/>
        <v>25</v>
      </c>
      <c r="FE15" s="398">
        <f t="shared" si="69"/>
        <v>40</v>
      </c>
      <c r="FF15" s="398">
        <f t="shared" si="70"/>
        <v>7.5</v>
      </c>
      <c r="FG15" s="398">
        <f t="shared" si="186"/>
        <v>0.25</v>
      </c>
      <c r="FH15" s="399">
        <f t="shared" si="187"/>
        <v>101.62601626016261</v>
      </c>
      <c r="FI15" s="66"/>
      <c r="FJ15" s="66"/>
      <c r="FK15" s="396">
        <f t="shared" si="71"/>
        <v>10</v>
      </c>
      <c r="FL15" s="397">
        <f t="shared" si="72"/>
        <v>5</v>
      </c>
      <c r="FM15" s="398">
        <f t="shared" si="73"/>
        <v>0.5</v>
      </c>
      <c r="FN15" s="398">
        <f t="shared" si="188"/>
        <v>25</v>
      </c>
      <c r="FO15" s="398">
        <f t="shared" si="74"/>
        <v>40</v>
      </c>
      <c r="FP15" s="398">
        <f t="shared" si="75"/>
        <v>2.5</v>
      </c>
      <c r="FQ15" s="398">
        <f t="shared" si="189"/>
        <v>0.25</v>
      </c>
      <c r="FR15" s="399">
        <f t="shared" si="190"/>
        <v>101.62601626016261</v>
      </c>
      <c r="FS15" s="66"/>
      <c r="FT15" s="66"/>
      <c r="FU15" s="396">
        <f t="shared" si="76"/>
        <v>10</v>
      </c>
      <c r="FV15" s="397">
        <f t="shared" si="77"/>
        <v>5</v>
      </c>
      <c r="FW15" s="398">
        <f t="shared" si="78"/>
        <v>0.5</v>
      </c>
      <c r="FX15" s="398">
        <f t="shared" si="191"/>
        <v>25</v>
      </c>
      <c r="FY15" s="398">
        <f t="shared" si="79"/>
        <v>40</v>
      </c>
      <c r="FZ15" s="398">
        <f t="shared" si="80"/>
        <v>-2.5</v>
      </c>
      <c r="GA15" s="398">
        <f t="shared" si="192"/>
        <v>0.25</v>
      </c>
      <c r="GB15" s="399">
        <f t="shared" si="193"/>
        <v>101.62601626016261</v>
      </c>
      <c r="GC15" s="66"/>
      <c r="GD15" s="66"/>
      <c r="GE15" s="396">
        <f t="shared" si="81"/>
        <v>10</v>
      </c>
      <c r="GF15" s="397">
        <f t="shared" si="82"/>
        <v>5</v>
      </c>
      <c r="GG15" s="398">
        <f t="shared" si="83"/>
        <v>0.5</v>
      </c>
      <c r="GH15" s="398">
        <f t="shared" si="194"/>
        <v>25</v>
      </c>
      <c r="GI15" s="398">
        <f t="shared" si="84"/>
        <v>40</v>
      </c>
      <c r="GJ15" s="398">
        <f t="shared" si="85"/>
        <v>-7.5</v>
      </c>
      <c r="GK15" s="398">
        <f t="shared" si="195"/>
        <v>0.25</v>
      </c>
      <c r="GL15" s="399">
        <f t="shared" si="196"/>
        <v>101.62601626016261</v>
      </c>
      <c r="GM15" s="66"/>
      <c r="GN15" s="66"/>
      <c r="GO15" s="396">
        <f t="shared" si="86"/>
        <v>10</v>
      </c>
      <c r="GP15" s="397">
        <f t="shared" si="87"/>
        <v>5</v>
      </c>
      <c r="GQ15" s="398">
        <f t="shared" si="88"/>
        <v>0.5</v>
      </c>
      <c r="GR15" s="398">
        <f t="shared" si="197"/>
        <v>25</v>
      </c>
      <c r="GS15" s="398">
        <f t="shared" si="89"/>
        <v>50</v>
      </c>
      <c r="GT15" s="398">
        <f t="shared" si="90"/>
        <v>7.5</v>
      </c>
      <c r="GU15" s="398">
        <f t="shared" si="198"/>
        <v>0.25</v>
      </c>
      <c r="GV15" s="399">
        <f t="shared" si="199"/>
        <v>101.62601626016261</v>
      </c>
      <c r="GW15" s="66"/>
      <c r="GX15" s="66"/>
      <c r="GY15" s="396">
        <f t="shared" si="91"/>
        <v>10</v>
      </c>
      <c r="GZ15" s="397">
        <f t="shared" si="92"/>
        <v>5</v>
      </c>
      <c r="HA15" s="398">
        <f t="shared" si="93"/>
        <v>0.5</v>
      </c>
      <c r="HB15" s="398">
        <f t="shared" si="200"/>
        <v>25</v>
      </c>
      <c r="HC15" s="398">
        <f t="shared" si="94"/>
        <v>50</v>
      </c>
      <c r="HD15" s="398">
        <f t="shared" si="95"/>
        <v>2.5</v>
      </c>
      <c r="HE15" s="398">
        <f t="shared" si="201"/>
        <v>0.25</v>
      </c>
      <c r="HF15" s="399">
        <f t="shared" si="202"/>
        <v>101.62601626016261</v>
      </c>
      <c r="HH15" s="66"/>
      <c r="HI15" s="396">
        <f t="shared" si="96"/>
        <v>10</v>
      </c>
      <c r="HJ15" s="397">
        <f t="shared" si="97"/>
        <v>5</v>
      </c>
      <c r="HK15" s="398">
        <f t="shared" si="98"/>
        <v>0.5</v>
      </c>
      <c r="HL15" s="398">
        <f t="shared" si="203"/>
        <v>25</v>
      </c>
      <c r="HM15" s="398">
        <f t="shared" si="99"/>
        <v>50</v>
      </c>
      <c r="HN15" s="398">
        <f t="shared" si="100"/>
        <v>-2.5</v>
      </c>
      <c r="HO15" s="398">
        <f t="shared" si="204"/>
        <v>0.25</v>
      </c>
      <c r="HP15" s="399">
        <f t="shared" si="205"/>
        <v>101.62601626016261</v>
      </c>
      <c r="HQ15" s="66"/>
      <c r="HR15" s="66"/>
      <c r="HS15" s="396">
        <f t="shared" si="101"/>
        <v>10</v>
      </c>
      <c r="HT15" s="397">
        <f t="shared" si="102"/>
        <v>5</v>
      </c>
      <c r="HU15" s="398">
        <f t="shared" si="103"/>
        <v>0.5</v>
      </c>
      <c r="HV15" s="398">
        <f t="shared" si="206"/>
        <v>25</v>
      </c>
      <c r="HW15" s="398">
        <f t="shared" si="104"/>
        <v>50</v>
      </c>
      <c r="HX15" s="398">
        <f t="shared" si="105"/>
        <v>-7.5</v>
      </c>
      <c r="HY15" s="398">
        <f t="shared" si="207"/>
        <v>0.25</v>
      </c>
      <c r="HZ15" s="399">
        <f t="shared" si="208"/>
        <v>101.62601626016261</v>
      </c>
      <c r="IA15" s="66"/>
      <c r="IB15" s="66"/>
      <c r="IC15" s="396">
        <f t="shared" si="106"/>
        <v>0.88500000000000001</v>
      </c>
      <c r="ID15" s="397">
        <f t="shared" si="107"/>
        <v>20</v>
      </c>
      <c r="IE15" s="398">
        <f t="shared" si="108"/>
        <v>0.5</v>
      </c>
      <c r="IF15" s="398">
        <f t="shared" si="209"/>
        <v>4.3423930232846457</v>
      </c>
      <c r="IG15" s="398">
        <f t="shared" si="109"/>
        <v>55.295787705535993</v>
      </c>
      <c r="IH15" s="398">
        <f t="shared" si="110"/>
        <v>0</v>
      </c>
      <c r="II15" s="398">
        <f t="shared" si="210"/>
        <v>0.3342233960858681</v>
      </c>
      <c r="IJ15" s="399">
        <f t="shared" si="211"/>
        <v>575.60975609756099</v>
      </c>
      <c r="IK15" s="66"/>
      <c r="IL15" s="66"/>
      <c r="IM15" s="396">
        <f t="shared" si="111"/>
        <v>9.26</v>
      </c>
      <c r="IN15" s="397">
        <f t="shared" si="112"/>
        <v>13.75</v>
      </c>
      <c r="IO15" s="398">
        <f t="shared" si="113"/>
        <v>0.5</v>
      </c>
      <c r="IP15" s="398">
        <f t="shared" si="212"/>
        <v>59.36354802334732</v>
      </c>
      <c r="IQ15" s="398">
        <f t="shared" si="114"/>
        <v>66.929738491746164</v>
      </c>
      <c r="IR15" s="398">
        <f t="shared" si="115"/>
        <v>6.8749999999999991</v>
      </c>
      <c r="IS15" s="398">
        <f t="shared" si="213"/>
        <v>0.25579079339692445</v>
      </c>
      <c r="IT15" s="399">
        <f t="shared" si="214"/>
        <v>1957.1042936991873</v>
      </c>
      <c r="IU15" s="66"/>
      <c r="IV15" s="66"/>
      <c r="IW15" s="396">
        <f t="shared" si="116"/>
        <v>9.26</v>
      </c>
      <c r="IX15" s="397">
        <f t="shared" si="117"/>
        <v>13.75</v>
      </c>
      <c r="IY15" s="398">
        <f t="shared" si="118"/>
        <v>0.5</v>
      </c>
      <c r="IZ15" s="398">
        <f t="shared" si="215"/>
        <v>59.36354802334732</v>
      </c>
      <c r="JA15" s="398">
        <f t="shared" si="119"/>
        <v>66.929738491746164</v>
      </c>
      <c r="JB15" s="398">
        <f t="shared" si="120"/>
        <v>-6.8749999999999991</v>
      </c>
      <c r="JC15" s="398">
        <f t="shared" si="216"/>
        <v>0.25579079339692445</v>
      </c>
      <c r="JD15" s="399">
        <f t="shared" si="217"/>
        <v>1957.1042936991873</v>
      </c>
      <c r="JE15" s="66"/>
      <c r="JF15" s="66"/>
      <c r="JG15" s="396">
        <f t="shared" si="121"/>
        <v>1.25</v>
      </c>
      <c r="JH15" s="397">
        <f t="shared" si="122"/>
        <v>6.875</v>
      </c>
      <c r="JI15" s="398">
        <f t="shared" si="123"/>
        <v>0.5</v>
      </c>
      <c r="JJ15" s="398">
        <f t="shared" si="218"/>
        <v>2.1083299459803628</v>
      </c>
      <c r="JK15" s="398">
        <f t="shared" si="124"/>
        <v>70.017779245107306</v>
      </c>
      <c r="JL15" s="398">
        <f t="shared" si="125"/>
        <v>10.3125</v>
      </c>
      <c r="JM15" s="398">
        <f t="shared" si="219"/>
        <v>1.5302233960858682</v>
      </c>
      <c r="JN15" s="399">
        <f t="shared" si="220"/>
        <v>33.023493076727647</v>
      </c>
      <c r="JO15" s="66"/>
      <c r="JP15" s="66"/>
      <c r="JQ15" s="396">
        <f t="shared" si="126"/>
        <v>1.25</v>
      </c>
      <c r="JR15" s="397">
        <f t="shared" si="127"/>
        <v>6.875</v>
      </c>
      <c r="JS15" s="398">
        <f t="shared" si="128"/>
        <v>0.5</v>
      </c>
      <c r="JT15" s="398">
        <f t="shared" si="221"/>
        <v>2.1083299459803628</v>
      </c>
      <c r="JU15" s="398">
        <f t="shared" si="129"/>
        <v>70.017779245107306</v>
      </c>
      <c r="JV15" s="398">
        <f t="shared" si="130"/>
        <v>3.4375000000000004</v>
      </c>
      <c r="JW15" s="398">
        <f t="shared" si="222"/>
        <v>1.5302233960858682</v>
      </c>
      <c r="JX15" s="399">
        <f t="shared" si="223"/>
        <v>33.023493076727647</v>
      </c>
      <c r="JY15" s="66"/>
      <c r="JZ15" s="66"/>
      <c r="KA15" s="396">
        <f t="shared" si="131"/>
        <v>1.25</v>
      </c>
      <c r="KB15" s="397">
        <f t="shared" si="132"/>
        <v>6.875</v>
      </c>
      <c r="KC15" s="398">
        <f t="shared" si="133"/>
        <v>0.5</v>
      </c>
      <c r="KD15" s="398">
        <f t="shared" si="224"/>
        <v>2.1083299459803628</v>
      </c>
      <c r="KE15" s="398">
        <f t="shared" si="134"/>
        <v>70.017779245107306</v>
      </c>
      <c r="KF15" s="398">
        <f t="shared" si="135"/>
        <v>-3.4375000000000004</v>
      </c>
      <c r="KG15" s="398">
        <f t="shared" si="225"/>
        <v>1.5302233960858682</v>
      </c>
      <c r="KH15" s="399">
        <f t="shared" si="226"/>
        <v>33.023493076727647</v>
      </c>
      <c r="KI15" s="66"/>
      <c r="KJ15" s="66"/>
      <c r="KK15" s="396">
        <f t="shared" si="136"/>
        <v>1.25</v>
      </c>
      <c r="KL15" s="397">
        <f t="shared" si="137"/>
        <v>6.875</v>
      </c>
      <c r="KM15" s="398">
        <f t="shared" si="138"/>
        <v>0.5</v>
      </c>
      <c r="KN15" s="398">
        <f t="shared" si="227"/>
        <v>2.1083299459803628</v>
      </c>
      <c r="KO15" s="398">
        <f t="shared" si="139"/>
        <v>70.017779245107306</v>
      </c>
      <c r="KP15" s="398">
        <f t="shared" si="140"/>
        <v>-10.3125</v>
      </c>
      <c r="KQ15" s="398">
        <f t="shared" si="228"/>
        <v>1.5302233960858682</v>
      </c>
      <c r="KR15" s="399">
        <f t="shared" si="229"/>
        <v>33.023493076727647</v>
      </c>
      <c r="KS15" s="66"/>
      <c r="KT15" s="66"/>
      <c r="KU15" s="396">
        <f t="shared" si="141"/>
        <v>5</v>
      </c>
      <c r="KV15" s="397">
        <f t="shared" si="142"/>
        <v>5</v>
      </c>
      <c r="KW15" s="398">
        <f t="shared" si="143"/>
        <v>0.5</v>
      </c>
      <c r="KX15" s="398">
        <f t="shared" si="230"/>
        <v>12.5</v>
      </c>
      <c r="KY15" s="398">
        <f t="shared" si="144"/>
        <v>57.5</v>
      </c>
      <c r="KZ15" s="398">
        <f t="shared" si="145"/>
        <v>0</v>
      </c>
      <c r="LA15" s="398">
        <f t="shared" si="231"/>
        <v>0.25</v>
      </c>
      <c r="LB15" s="399">
        <f t="shared" si="232"/>
        <v>50.813008130081307</v>
      </c>
      <c r="LC15" s="66"/>
    </row>
    <row r="16" spans="1:315" s="67" customFormat="1" ht="15" customHeight="1" x14ac:dyDescent="0.25">
      <c r="A16" s="481"/>
      <c r="B16" s="73">
        <f t="shared" si="0"/>
        <v>6</v>
      </c>
      <c r="C16" s="347" t="str">
        <f>INDEX($AA$1:$LC$6,C$5,C$6+Tbl_Ballasts[[#This Row],[Index]]*Ballasts_columns_step)</f>
        <v>WB5Cp</v>
      </c>
      <c r="D16" s="114" t="str">
        <f ca="1">IFERROR(OFFSET($AA$1,D$5,D$6+Tbl_Ballasts[[#This Row],[Index]]*Ballasts_columns_step),0)</f>
        <v>OK</v>
      </c>
      <c r="E16" s="348">
        <v>5</v>
      </c>
      <c r="F16" s="349">
        <v>2</v>
      </c>
      <c r="G16" s="763" t="str">
        <f>TEXT(Tbl_Ballasts[[#This Row],[Recap Row]],"00")&amp;TEXT(Tbl_Ballasts[[#This Row],[Recap Col]],"00")</f>
        <v>0502</v>
      </c>
      <c r="H16" s="760">
        <f>INDEX(Recap_Ballasts,Tbl_Ballasts[[#This Row],[Recap Row]],Tbl_Ballasts[[#This Row],[Recap Col]])</f>
        <v>0</v>
      </c>
      <c r="I16" s="493">
        <f ca="1">IFERROR(OFFSET($AA$1,I$5,I$6+Tbl_Ballasts[[#This Row],[Index]]*Ballasts_columns_step),0)</f>
        <v>0</v>
      </c>
      <c r="J16" s="103">
        <f ca="1">IFERROR(OFFSET($AA$1,J$5,J$6+Tbl_Ballasts[[#This Row],[Index]]*Ballasts_columns_step),0)</f>
        <v>0</v>
      </c>
      <c r="K16" s="427">
        <f ca="1">IFERROR(OFFSET($AA$1,K$5,K$6+Tbl_Ballasts[[#This Row],[Index]]*Ballasts_columns_step),0)</f>
        <v>20</v>
      </c>
      <c r="L16" s="428">
        <f ca="1">IFERROR(OFFSET($AA$1,L$5,L$6+Tbl_Ballasts[[#This Row],[Index]]*Ballasts_columns_step),0)</f>
        <v>2.5</v>
      </c>
      <c r="M16" s="429">
        <f ca="1">IFERROR(OFFSET($AA$1,M$5,M$6+Tbl_Ballasts[[#This Row],[Index]]*Ballasts_columns_step),0)</f>
        <v>0</v>
      </c>
      <c r="N16" s="438">
        <f ca="1">IFERROR(OFFSET($AA$1,N$5,N$6+Tbl_Ballasts[[#This Row],[Index]]*Ballasts_columns_step),0)</f>
        <v>10</v>
      </c>
      <c r="O16" s="437" t="str">
        <f ca="1">IF(Tbl_Ballasts[[#This Row],[Weight Fact]],Tbl_Ballasts[[#This Row],[COG x ]]-Tbl_Ballasts[[#This Row],[Distrib]]/2,"")</f>
        <v/>
      </c>
      <c r="P16" s="439" t="str">
        <f ca="1">IF(Tbl_Ballasts[[#This Row],[Weight Fact]],Tbl_Ballasts[[#This Row],[COG x ]]+Tbl_Ballasts[[#This Row],[Distrib]]/2,"")</f>
        <v/>
      </c>
      <c r="Q16" s="440" t="str">
        <f ca="1">IF(Tbl_Ballasts[[#This Row],[Weight Fact]],ROUND(Tbl_Ballasts[[#This Row],[AP from]]/FE_size,0),"")</f>
        <v/>
      </c>
      <c r="R16" s="441" t="str">
        <f ca="1">IF(Tbl_Ballasts[[#This Row],[Weight Fact]],ROUND(Tbl_Ballasts[[#This Row],[AP to]]/FE_size,0),"")</f>
        <v/>
      </c>
      <c r="S16" s="114" t="str">
        <f ca="1">IF(Tbl_Ballasts[[#This Row],[Weight Fact]]=0,"",IF(AND(Tbl_Ballasts[[#This Row],[COG x ]]&gt;=(Tbl_Ballasts[[#This Row],[L to]]-Tbl_Ballasts[[#This Row],[L from]])/3+Tbl_Ballasts[[#This Row],[L from]],Tbl_Ballasts[[#This Row],[COG x ]]&lt;=(Tbl_Ballasts[[#This Row],[L to]]-Tbl_Ballasts[[#This Row],[L from]])*2/3+Tbl_Ballasts[[#This Row],[L from]],Tbl_Ballasts[[#This Row],[L to]]&gt;Tbl_Ballasts[[#This Row],[L from]]),"OK","KO"))</f>
        <v/>
      </c>
      <c r="T16" s="442" t="str">
        <f ca="1">IF(Tbl_Ballasts[[#This Row],[Weight Fact]],IF(Tbl_Ballasts[[#This Row],[Fr from]]*FE_size&lt;0,0,Tbl_Ballasts[[#This Row],[Fr from]]*FE_size),"")</f>
        <v/>
      </c>
      <c r="U16" s="443" t="str">
        <f ca="1">IF(Tbl_Ballasts[[#This Row],[Weight Fact]],IF(Tbl_Ballasts[[#This Row],[Fr to]]*FE_size=Tbl_Ballasts[[#This Row],[L from]],Tbl_Ballasts[[#This Row],[L from]]+FE_size,IF(Tbl_Ballasts[[#This Row],[Fr to]]*FE_size&gt;Lpp,Lpp,Tbl_Ballasts[[#This Row],[Fr to]]*FE_size)),"")</f>
        <v/>
      </c>
      <c r="V16" s="444" t="str">
        <f ca="1">IFERROR(Tbl_Ballasts[[#This Row],[Weight Fact]]/(Tbl_Ballasts[[#This Row],[L to]]-Tbl_Ballasts[[#This Row],[L from]]),"")</f>
        <v/>
      </c>
      <c r="W16" s="145" t="str">
        <f ca="1">IF(Tbl_Ballasts[[#This Row],[Weight Fact]],Tbl_Ballasts[[#This Row],[Spread]]*(Tbl_Ballasts[[#This Row],[L to]]-Tbl_Ballasts[[#This Row],[L from]])-Tbl_Ballasts[[#This Row],[Weight Fact]],"")</f>
        <v/>
      </c>
      <c r="X16" s="141" t="str">
        <f ca="1">IF(AND(ISNUMBER(Tbl_Ballasts[[#This Row],[L from]]),ISNUMBER(Tbl_Ballasts[[#This Row],[L to]])),IF(AND(Tbl_Ballasts[[#This Row],[L from]]&gt;=0,Tbl_Ballasts[[#This Row],[L to]]&lt;=Lpp),"OK","KO"),"OK")</f>
        <v>OK</v>
      </c>
      <c r="Y16" s="481"/>
      <c r="Z16" s="413"/>
      <c r="AA16" s="396">
        <f t="shared" si="1"/>
        <v>1.0661999999999998</v>
      </c>
      <c r="AB16" s="397">
        <f t="shared" si="2"/>
        <v>20</v>
      </c>
      <c r="AC16" s="398">
        <f t="shared" si="3"/>
        <v>0.6</v>
      </c>
      <c r="AD16" s="398">
        <f t="shared" si="146"/>
        <v>6.3115683188175682</v>
      </c>
      <c r="AE16" s="398">
        <f t="shared" si="4"/>
        <v>4.643749331053594</v>
      </c>
      <c r="AF16" s="398">
        <f t="shared" si="5"/>
        <v>0</v>
      </c>
      <c r="AG16" s="398">
        <f t="shared" si="147"/>
        <v>0.40095742143658547</v>
      </c>
      <c r="AH16" s="399">
        <f t="shared" si="148"/>
        <v>693.46341463414626</v>
      </c>
      <c r="AI16" s="66"/>
      <c r="AJ16" s="66"/>
      <c r="AK16" s="396">
        <f t="shared" si="6"/>
        <v>10</v>
      </c>
      <c r="AL16" s="397">
        <f t="shared" si="7"/>
        <v>5</v>
      </c>
      <c r="AM16" s="398">
        <f t="shared" si="8"/>
        <v>0.6</v>
      </c>
      <c r="AN16" s="398">
        <f t="shared" si="149"/>
        <v>30</v>
      </c>
      <c r="AO16" s="398">
        <f t="shared" si="9"/>
        <v>10</v>
      </c>
      <c r="AP16" s="398">
        <f t="shared" si="10"/>
        <v>7.5</v>
      </c>
      <c r="AQ16" s="398">
        <f t="shared" si="150"/>
        <v>0.3</v>
      </c>
      <c r="AR16" s="399">
        <f t="shared" si="151"/>
        <v>101.62601626016261</v>
      </c>
      <c r="AS16" s="66"/>
      <c r="AT16" s="66"/>
      <c r="AU16" s="396">
        <f t="shared" si="11"/>
        <v>10</v>
      </c>
      <c r="AV16" s="397">
        <f t="shared" si="12"/>
        <v>5</v>
      </c>
      <c r="AW16" s="398">
        <f t="shared" si="13"/>
        <v>0.6</v>
      </c>
      <c r="AX16" s="398">
        <f t="shared" si="152"/>
        <v>30</v>
      </c>
      <c r="AY16" s="398">
        <f t="shared" si="14"/>
        <v>10</v>
      </c>
      <c r="AZ16" s="398">
        <f t="shared" si="15"/>
        <v>2.5</v>
      </c>
      <c r="BA16" s="398">
        <f t="shared" si="153"/>
        <v>0.3</v>
      </c>
      <c r="BB16" s="399">
        <f t="shared" si="154"/>
        <v>101.62601626016261</v>
      </c>
      <c r="BC16" s="66"/>
      <c r="BD16" s="66"/>
      <c r="BE16" s="396">
        <f t="shared" si="16"/>
        <v>10</v>
      </c>
      <c r="BF16" s="397">
        <f t="shared" si="17"/>
        <v>5</v>
      </c>
      <c r="BG16" s="398">
        <f t="shared" si="18"/>
        <v>0.6</v>
      </c>
      <c r="BH16" s="398">
        <f t="shared" si="155"/>
        <v>30</v>
      </c>
      <c r="BI16" s="398">
        <f t="shared" si="19"/>
        <v>10</v>
      </c>
      <c r="BJ16" s="398">
        <f t="shared" si="20"/>
        <v>-2.5</v>
      </c>
      <c r="BK16" s="398">
        <f t="shared" si="156"/>
        <v>0.3</v>
      </c>
      <c r="BL16" s="399">
        <f t="shared" si="157"/>
        <v>101.62601626016261</v>
      </c>
      <c r="BM16" s="66"/>
      <c r="BN16" s="66"/>
      <c r="BO16" s="396">
        <f t="shared" si="21"/>
        <v>10</v>
      </c>
      <c r="BP16" s="397">
        <f t="shared" si="22"/>
        <v>5</v>
      </c>
      <c r="BQ16" s="398">
        <f t="shared" si="23"/>
        <v>0.6</v>
      </c>
      <c r="BR16" s="398">
        <f t="shared" si="158"/>
        <v>30</v>
      </c>
      <c r="BS16" s="398">
        <f t="shared" si="24"/>
        <v>10</v>
      </c>
      <c r="BT16" s="398">
        <f t="shared" si="25"/>
        <v>-7.5</v>
      </c>
      <c r="BU16" s="398">
        <f t="shared" si="159"/>
        <v>0.3</v>
      </c>
      <c r="BV16" s="399">
        <f t="shared" si="160"/>
        <v>101.62601626016261</v>
      </c>
      <c r="BW16" s="66"/>
      <c r="BX16" s="66"/>
      <c r="BY16" s="396">
        <f t="shared" si="26"/>
        <v>10</v>
      </c>
      <c r="BZ16" s="397">
        <f t="shared" si="27"/>
        <v>5</v>
      </c>
      <c r="CA16" s="398">
        <f t="shared" si="28"/>
        <v>0.6</v>
      </c>
      <c r="CB16" s="398">
        <f t="shared" si="161"/>
        <v>30</v>
      </c>
      <c r="CC16" s="398">
        <f t="shared" si="29"/>
        <v>20</v>
      </c>
      <c r="CD16" s="398">
        <f t="shared" si="30"/>
        <v>7.5</v>
      </c>
      <c r="CE16" s="398">
        <f t="shared" si="162"/>
        <v>0.3</v>
      </c>
      <c r="CF16" s="399">
        <f t="shared" si="163"/>
        <v>101.62601626016261</v>
      </c>
      <c r="CG16" s="66"/>
      <c r="CH16" s="66"/>
      <c r="CI16" s="396">
        <f t="shared" si="31"/>
        <v>10</v>
      </c>
      <c r="CJ16" s="397">
        <f t="shared" si="32"/>
        <v>5</v>
      </c>
      <c r="CK16" s="398">
        <f t="shared" si="33"/>
        <v>0.6</v>
      </c>
      <c r="CL16" s="398">
        <f t="shared" si="164"/>
        <v>30</v>
      </c>
      <c r="CM16" s="398">
        <f t="shared" si="34"/>
        <v>20</v>
      </c>
      <c r="CN16" s="398">
        <f t="shared" si="35"/>
        <v>2.5</v>
      </c>
      <c r="CO16" s="398">
        <f t="shared" si="165"/>
        <v>0.3</v>
      </c>
      <c r="CP16" s="399">
        <f t="shared" si="166"/>
        <v>101.62601626016261</v>
      </c>
      <c r="CQ16" s="66"/>
      <c r="CS16" s="396">
        <f t="shared" si="36"/>
        <v>10</v>
      </c>
      <c r="CT16" s="397">
        <f t="shared" si="37"/>
        <v>5</v>
      </c>
      <c r="CU16" s="398">
        <f t="shared" si="38"/>
        <v>0.6</v>
      </c>
      <c r="CV16" s="398">
        <f t="shared" si="167"/>
        <v>30</v>
      </c>
      <c r="CW16" s="398">
        <f t="shared" si="39"/>
        <v>20</v>
      </c>
      <c r="CX16" s="398">
        <f t="shared" si="40"/>
        <v>-2.5</v>
      </c>
      <c r="CY16" s="398">
        <f t="shared" si="168"/>
        <v>0.3</v>
      </c>
      <c r="CZ16" s="399">
        <f t="shared" si="169"/>
        <v>101.62601626016261</v>
      </c>
      <c r="DA16" s="66"/>
      <c r="DB16" s="66"/>
      <c r="DC16" s="396">
        <f t="shared" si="41"/>
        <v>10</v>
      </c>
      <c r="DD16" s="397">
        <f t="shared" si="42"/>
        <v>5</v>
      </c>
      <c r="DE16" s="398">
        <f t="shared" si="43"/>
        <v>0.6</v>
      </c>
      <c r="DF16" s="398">
        <f t="shared" si="170"/>
        <v>30</v>
      </c>
      <c r="DG16" s="398">
        <f t="shared" si="44"/>
        <v>20</v>
      </c>
      <c r="DH16" s="398">
        <f t="shared" si="45"/>
        <v>-7.5</v>
      </c>
      <c r="DI16" s="398">
        <f t="shared" si="171"/>
        <v>0.3</v>
      </c>
      <c r="DJ16" s="399">
        <f t="shared" si="172"/>
        <v>101.62601626016261</v>
      </c>
      <c r="DK16" s="66"/>
      <c r="DM16" s="396">
        <f t="shared" si="46"/>
        <v>10</v>
      </c>
      <c r="DN16" s="397">
        <f t="shared" si="47"/>
        <v>5</v>
      </c>
      <c r="DO16" s="398">
        <f t="shared" si="48"/>
        <v>0.6</v>
      </c>
      <c r="DP16" s="398">
        <f t="shared" si="173"/>
        <v>30</v>
      </c>
      <c r="DQ16" s="398">
        <f t="shared" si="49"/>
        <v>30</v>
      </c>
      <c r="DR16" s="398">
        <f t="shared" si="50"/>
        <v>7.5</v>
      </c>
      <c r="DS16" s="398">
        <f t="shared" si="174"/>
        <v>0.3</v>
      </c>
      <c r="DT16" s="399">
        <f t="shared" si="175"/>
        <v>101.62601626016261</v>
      </c>
      <c r="DU16" s="66"/>
      <c r="DV16" s="66"/>
      <c r="DW16" s="396">
        <f t="shared" si="51"/>
        <v>10</v>
      </c>
      <c r="DX16" s="397">
        <f t="shared" si="52"/>
        <v>5</v>
      </c>
      <c r="DY16" s="398">
        <f t="shared" si="53"/>
        <v>0.6</v>
      </c>
      <c r="DZ16" s="398">
        <f t="shared" si="176"/>
        <v>30</v>
      </c>
      <c r="EA16" s="398">
        <f t="shared" si="54"/>
        <v>30</v>
      </c>
      <c r="EB16" s="398">
        <f t="shared" si="55"/>
        <v>2.5</v>
      </c>
      <c r="EC16" s="398">
        <f t="shared" si="177"/>
        <v>0.3</v>
      </c>
      <c r="ED16" s="399">
        <f t="shared" si="178"/>
        <v>101.62601626016261</v>
      </c>
      <c r="EE16" s="66"/>
      <c r="EF16" s="66"/>
      <c r="EG16" s="396">
        <f t="shared" si="56"/>
        <v>10</v>
      </c>
      <c r="EH16" s="397">
        <f t="shared" si="57"/>
        <v>5</v>
      </c>
      <c r="EI16" s="398">
        <f t="shared" si="58"/>
        <v>0.6</v>
      </c>
      <c r="EJ16" s="398">
        <f t="shared" si="179"/>
        <v>30</v>
      </c>
      <c r="EK16" s="398">
        <f t="shared" si="59"/>
        <v>30</v>
      </c>
      <c r="EL16" s="398">
        <f t="shared" si="60"/>
        <v>-2.5</v>
      </c>
      <c r="EM16" s="398">
        <f t="shared" si="180"/>
        <v>0.3</v>
      </c>
      <c r="EN16" s="399">
        <f t="shared" si="181"/>
        <v>101.62601626016261</v>
      </c>
      <c r="EO16" s="66"/>
      <c r="EP16" s="66"/>
      <c r="EQ16" s="396">
        <f t="shared" si="61"/>
        <v>10</v>
      </c>
      <c r="ER16" s="397">
        <f t="shared" si="62"/>
        <v>5</v>
      </c>
      <c r="ES16" s="398">
        <f t="shared" si="63"/>
        <v>0.6</v>
      </c>
      <c r="ET16" s="398">
        <f t="shared" si="182"/>
        <v>30</v>
      </c>
      <c r="EU16" s="398">
        <f t="shared" si="64"/>
        <v>30</v>
      </c>
      <c r="EV16" s="398">
        <f t="shared" si="65"/>
        <v>-7.5</v>
      </c>
      <c r="EW16" s="398">
        <f t="shared" si="183"/>
        <v>0.3</v>
      </c>
      <c r="EX16" s="399">
        <f t="shared" si="184"/>
        <v>101.62601626016261</v>
      </c>
      <c r="EY16" s="66"/>
      <c r="EZ16" s="66"/>
      <c r="FA16" s="396">
        <f t="shared" si="66"/>
        <v>10</v>
      </c>
      <c r="FB16" s="397">
        <f t="shared" si="67"/>
        <v>5</v>
      </c>
      <c r="FC16" s="398">
        <f t="shared" si="68"/>
        <v>0.6</v>
      </c>
      <c r="FD16" s="398">
        <f t="shared" si="185"/>
        <v>30</v>
      </c>
      <c r="FE16" s="398">
        <f t="shared" si="69"/>
        <v>40</v>
      </c>
      <c r="FF16" s="398">
        <f t="shared" si="70"/>
        <v>7.5</v>
      </c>
      <c r="FG16" s="398">
        <f t="shared" si="186"/>
        <v>0.3</v>
      </c>
      <c r="FH16" s="399">
        <f t="shared" si="187"/>
        <v>101.62601626016261</v>
      </c>
      <c r="FI16" s="66"/>
      <c r="FJ16" s="66"/>
      <c r="FK16" s="396">
        <f t="shared" si="71"/>
        <v>10</v>
      </c>
      <c r="FL16" s="397">
        <f t="shared" si="72"/>
        <v>5</v>
      </c>
      <c r="FM16" s="398">
        <f t="shared" si="73"/>
        <v>0.6</v>
      </c>
      <c r="FN16" s="398">
        <f t="shared" si="188"/>
        <v>30</v>
      </c>
      <c r="FO16" s="398">
        <f t="shared" si="74"/>
        <v>40</v>
      </c>
      <c r="FP16" s="398">
        <f t="shared" si="75"/>
        <v>2.5</v>
      </c>
      <c r="FQ16" s="398">
        <f t="shared" si="189"/>
        <v>0.3</v>
      </c>
      <c r="FR16" s="399">
        <f t="shared" si="190"/>
        <v>101.62601626016261</v>
      </c>
      <c r="FS16" s="66"/>
      <c r="FT16" s="66"/>
      <c r="FU16" s="396">
        <f t="shared" si="76"/>
        <v>10</v>
      </c>
      <c r="FV16" s="397">
        <f t="shared" si="77"/>
        <v>5</v>
      </c>
      <c r="FW16" s="398">
        <f t="shared" si="78"/>
        <v>0.6</v>
      </c>
      <c r="FX16" s="398">
        <f t="shared" si="191"/>
        <v>30</v>
      </c>
      <c r="FY16" s="398">
        <f t="shared" si="79"/>
        <v>40</v>
      </c>
      <c r="FZ16" s="398">
        <f t="shared" si="80"/>
        <v>-2.5</v>
      </c>
      <c r="GA16" s="398">
        <f t="shared" si="192"/>
        <v>0.3</v>
      </c>
      <c r="GB16" s="399">
        <f t="shared" si="193"/>
        <v>101.62601626016261</v>
      </c>
      <c r="GC16" s="66"/>
      <c r="GD16" s="66"/>
      <c r="GE16" s="396">
        <f t="shared" si="81"/>
        <v>10</v>
      </c>
      <c r="GF16" s="397">
        <f t="shared" si="82"/>
        <v>5</v>
      </c>
      <c r="GG16" s="398">
        <f t="shared" si="83"/>
        <v>0.6</v>
      </c>
      <c r="GH16" s="398">
        <f t="shared" si="194"/>
        <v>30</v>
      </c>
      <c r="GI16" s="398">
        <f t="shared" si="84"/>
        <v>40</v>
      </c>
      <c r="GJ16" s="398">
        <f t="shared" si="85"/>
        <v>-7.5</v>
      </c>
      <c r="GK16" s="398">
        <f t="shared" si="195"/>
        <v>0.3</v>
      </c>
      <c r="GL16" s="399">
        <f t="shared" si="196"/>
        <v>101.62601626016261</v>
      </c>
      <c r="GM16" s="66"/>
      <c r="GN16" s="66"/>
      <c r="GO16" s="396">
        <f t="shared" si="86"/>
        <v>10</v>
      </c>
      <c r="GP16" s="397">
        <f t="shared" si="87"/>
        <v>5</v>
      </c>
      <c r="GQ16" s="398">
        <f t="shared" si="88"/>
        <v>0.6</v>
      </c>
      <c r="GR16" s="398">
        <f t="shared" si="197"/>
        <v>30</v>
      </c>
      <c r="GS16" s="398">
        <f t="shared" si="89"/>
        <v>50</v>
      </c>
      <c r="GT16" s="398">
        <f t="shared" si="90"/>
        <v>7.5</v>
      </c>
      <c r="GU16" s="398">
        <f t="shared" si="198"/>
        <v>0.3</v>
      </c>
      <c r="GV16" s="399">
        <f t="shared" si="199"/>
        <v>101.62601626016261</v>
      </c>
      <c r="GW16" s="66"/>
      <c r="GX16" s="66"/>
      <c r="GY16" s="396">
        <f t="shared" si="91"/>
        <v>10</v>
      </c>
      <c r="GZ16" s="397">
        <f t="shared" si="92"/>
        <v>5</v>
      </c>
      <c r="HA16" s="398">
        <f t="shared" si="93"/>
        <v>0.6</v>
      </c>
      <c r="HB16" s="398">
        <f t="shared" si="200"/>
        <v>30</v>
      </c>
      <c r="HC16" s="398">
        <f t="shared" si="94"/>
        <v>50</v>
      </c>
      <c r="HD16" s="398">
        <f t="shared" si="95"/>
        <v>2.5</v>
      </c>
      <c r="HE16" s="398">
        <f t="shared" si="201"/>
        <v>0.3</v>
      </c>
      <c r="HF16" s="399">
        <f t="shared" si="202"/>
        <v>101.62601626016261</v>
      </c>
      <c r="HH16" s="66"/>
      <c r="HI16" s="396">
        <f t="shared" si="96"/>
        <v>10</v>
      </c>
      <c r="HJ16" s="397">
        <f t="shared" si="97"/>
        <v>5</v>
      </c>
      <c r="HK16" s="398">
        <f t="shared" si="98"/>
        <v>0.6</v>
      </c>
      <c r="HL16" s="398">
        <f t="shared" si="203"/>
        <v>30</v>
      </c>
      <c r="HM16" s="398">
        <f t="shared" si="99"/>
        <v>50</v>
      </c>
      <c r="HN16" s="398">
        <f t="shared" si="100"/>
        <v>-2.5</v>
      </c>
      <c r="HO16" s="398">
        <f t="shared" si="204"/>
        <v>0.3</v>
      </c>
      <c r="HP16" s="399">
        <f t="shared" si="205"/>
        <v>101.62601626016261</v>
      </c>
      <c r="HQ16" s="66"/>
      <c r="HR16" s="66"/>
      <c r="HS16" s="396">
        <f t="shared" si="101"/>
        <v>10</v>
      </c>
      <c r="HT16" s="397">
        <f t="shared" si="102"/>
        <v>5</v>
      </c>
      <c r="HU16" s="398">
        <f t="shared" si="103"/>
        <v>0.6</v>
      </c>
      <c r="HV16" s="398">
        <f t="shared" si="206"/>
        <v>30</v>
      </c>
      <c r="HW16" s="398">
        <f t="shared" si="104"/>
        <v>50</v>
      </c>
      <c r="HX16" s="398">
        <f t="shared" si="105"/>
        <v>-7.5</v>
      </c>
      <c r="HY16" s="398">
        <f t="shared" si="207"/>
        <v>0.3</v>
      </c>
      <c r="HZ16" s="399">
        <f t="shared" si="208"/>
        <v>101.62601626016261</v>
      </c>
      <c r="IA16" s="66"/>
      <c r="IB16" s="66"/>
      <c r="IC16" s="396">
        <f t="shared" si="106"/>
        <v>1.0620000000000001</v>
      </c>
      <c r="ID16" s="397">
        <f t="shared" si="107"/>
        <v>20</v>
      </c>
      <c r="IE16" s="398">
        <f t="shared" si="108"/>
        <v>0.6</v>
      </c>
      <c r="IF16" s="398">
        <f t="shared" si="209"/>
        <v>6.2867056411407409</v>
      </c>
      <c r="IG16" s="398">
        <f t="shared" si="109"/>
        <v>55.354847317971377</v>
      </c>
      <c r="IH16" s="398">
        <f t="shared" si="110"/>
        <v>0</v>
      </c>
      <c r="II16" s="398">
        <f t="shared" si="210"/>
        <v>0.40095742143658542</v>
      </c>
      <c r="IJ16" s="399">
        <f t="shared" si="211"/>
        <v>690.73170731707319</v>
      </c>
      <c r="IK16" s="66"/>
      <c r="IL16" s="66"/>
      <c r="IM16" s="396">
        <f t="shared" si="111"/>
        <v>9.51</v>
      </c>
      <c r="IN16" s="397">
        <f t="shared" si="112"/>
        <v>13.75</v>
      </c>
      <c r="IO16" s="398">
        <f t="shared" si="113"/>
        <v>0.6</v>
      </c>
      <c r="IP16" s="398">
        <f t="shared" si="212"/>
        <v>72.267541468953567</v>
      </c>
      <c r="IQ16" s="398">
        <f t="shared" si="114"/>
        <v>66.995405484085907</v>
      </c>
      <c r="IR16" s="398">
        <f t="shared" si="115"/>
        <v>6.8749999999999991</v>
      </c>
      <c r="IS16" s="398">
        <f t="shared" si="213"/>
        <v>0.3083243872687193</v>
      </c>
      <c r="IT16" s="399">
        <f t="shared" si="214"/>
        <v>2009.9418826219514</v>
      </c>
      <c r="IU16" s="66"/>
      <c r="IV16" s="66"/>
      <c r="IW16" s="396">
        <f t="shared" si="116"/>
        <v>9.51</v>
      </c>
      <c r="IX16" s="397">
        <f t="shared" si="117"/>
        <v>13.75</v>
      </c>
      <c r="IY16" s="398">
        <f t="shared" si="118"/>
        <v>0.6</v>
      </c>
      <c r="IZ16" s="398">
        <f t="shared" si="215"/>
        <v>72.267541468953567</v>
      </c>
      <c r="JA16" s="398">
        <f t="shared" si="119"/>
        <v>66.995405484085907</v>
      </c>
      <c r="JB16" s="398">
        <f t="shared" si="120"/>
        <v>-6.8749999999999991</v>
      </c>
      <c r="JC16" s="398">
        <f t="shared" si="216"/>
        <v>0.3083243872687193</v>
      </c>
      <c r="JD16" s="399">
        <f t="shared" si="217"/>
        <v>2009.9418826219514</v>
      </c>
      <c r="JE16" s="66"/>
      <c r="JF16" s="66"/>
      <c r="JG16" s="396">
        <f t="shared" si="121"/>
        <v>1.5</v>
      </c>
      <c r="JH16" s="397">
        <f t="shared" si="122"/>
        <v>6.875</v>
      </c>
      <c r="JI16" s="398">
        <f t="shared" si="123"/>
        <v>0.6</v>
      </c>
      <c r="JJ16" s="398">
        <f t="shared" si="218"/>
        <v>3.0523376612176976</v>
      </c>
      <c r="JK16" s="398">
        <f t="shared" si="124"/>
        <v>70.101196776795717</v>
      </c>
      <c r="JL16" s="398">
        <f t="shared" si="125"/>
        <v>10.3125</v>
      </c>
      <c r="JM16" s="398">
        <f t="shared" si="219"/>
        <v>1.5969574214365854</v>
      </c>
      <c r="JN16" s="399">
        <f t="shared" si="220"/>
        <v>39.628191692073173</v>
      </c>
      <c r="JO16" s="66"/>
      <c r="JP16" s="66"/>
      <c r="JQ16" s="396">
        <f t="shared" si="126"/>
        <v>1.5</v>
      </c>
      <c r="JR16" s="397">
        <f t="shared" si="127"/>
        <v>6.875</v>
      </c>
      <c r="JS16" s="398">
        <f t="shared" si="128"/>
        <v>0.6</v>
      </c>
      <c r="JT16" s="398">
        <f t="shared" si="221"/>
        <v>3.0523376612176976</v>
      </c>
      <c r="JU16" s="398">
        <f t="shared" si="129"/>
        <v>70.101196776795717</v>
      </c>
      <c r="JV16" s="398">
        <f t="shared" si="130"/>
        <v>3.4375</v>
      </c>
      <c r="JW16" s="398">
        <f t="shared" si="222"/>
        <v>1.5969574214365854</v>
      </c>
      <c r="JX16" s="399">
        <f t="shared" si="223"/>
        <v>39.628191692073173</v>
      </c>
      <c r="JY16" s="66"/>
      <c r="JZ16" s="66"/>
      <c r="KA16" s="396">
        <f t="shared" si="131"/>
        <v>1.5</v>
      </c>
      <c r="KB16" s="397">
        <f t="shared" si="132"/>
        <v>6.875</v>
      </c>
      <c r="KC16" s="398">
        <f t="shared" si="133"/>
        <v>0.6</v>
      </c>
      <c r="KD16" s="398">
        <f t="shared" si="224"/>
        <v>3.0523376612176976</v>
      </c>
      <c r="KE16" s="398">
        <f t="shared" si="134"/>
        <v>70.101196776795717</v>
      </c>
      <c r="KF16" s="398">
        <f t="shared" si="135"/>
        <v>-3.4375</v>
      </c>
      <c r="KG16" s="398">
        <f t="shared" si="225"/>
        <v>1.5969574214365854</v>
      </c>
      <c r="KH16" s="399">
        <f t="shared" si="226"/>
        <v>39.628191692073173</v>
      </c>
      <c r="KI16" s="66"/>
      <c r="KJ16" s="66"/>
      <c r="KK16" s="396">
        <f t="shared" si="136"/>
        <v>1.5</v>
      </c>
      <c r="KL16" s="397">
        <f t="shared" si="137"/>
        <v>6.875</v>
      </c>
      <c r="KM16" s="398">
        <f t="shared" si="138"/>
        <v>0.6</v>
      </c>
      <c r="KN16" s="398">
        <f t="shared" si="227"/>
        <v>3.0523376612176976</v>
      </c>
      <c r="KO16" s="398">
        <f t="shared" si="139"/>
        <v>70.101196776795717</v>
      </c>
      <c r="KP16" s="398">
        <f t="shared" si="140"/>
        <v>-10.3125</v>
      </c>
      <c r="KQ16" s="398">
        <f t="shared" si="228"/>
        <v>1.5969574214365854</v>
      </c>
      <c r="KR16" s="399">
        <f t="shared" si="229"/>
        <v>39.628191692073173</v>
      </c>
      <c r="KS16" s="66"/>
      <c r="KT16" s="66"/>
      <c r="KU16" s="396">
        <f t="shared" si="141"/>
        <v>5</v>
      </c>
      <c r="KV16" s="397">
        <f t="shared" si="142"/>
        <v>5</v>
      </c>
      <c r="KW16" s="398">
        <f t="shared" si="143"/>
        <v>0.6</v>
      </c>
      <c r="KX16" s="398">
        <f t="shared" si="230"/>
        <v>15</v>
      </c>
      <c r="KY16" s="398">
        <f t="shared" si="144"/>
        <v>57.5</v>
      </c>
      <c r="KZ16" s="398">
        <f t="shared" si="145"/>
        <v>0</v>
      </c>
      <c r="LA16" s="398">
        <f t="shared" si="231"/>
        <v>0.3</v>
      </c>
      <c r="LB16" s="399">
        <f t="shared" si="232"/>
        <v>50.813008130081307</v>
      </c>
      <c r="LC16" s="66"/>
    </row>
    <row r="17" spans="1:315" s="67" customFormat="1" ht="15" customHeight="1" x14ac:dyDescent="0.25">
      <c r="A17" s="481"/>
      <c r="B17" s="73">
        <f t="shared" si="0"/>
        <v>7</v>
      </c>
      <c r="C17" s="347" t="str">
        <f>INDEX($AA$1:$LC$6,C$5,C$6+Tbl_Ballasts[[#This Row],[Index]]*Ballasts_columns_step)</f>
        <v>WB5Cs</v>
      </c>
      <c r="D17" s="114" t="str">
        <f ca="1">IFERROR(OFFSET($AA$1,D$5,D$6+Tbl_Ballasts[[#This Row],[Index]]*Ballasts_columns_step),0)</f>
        <v>OK</v>
      </c>
      <c r="E17" s="348">
        <v>5</v>
      </c>
      <c r="F17" s="349">
        <v>3</v>
      </c>
      <c r="G17" s="763" t="str">
        <f>TEXT(Tbl_Ballasts[[#This Row],[Recap Row]],"00")&amp;TEXT(Tbl_Ballasts[[#This Row],[Recap Col]],"00")</f>
        <v>0503</v>
      </c>
      <c r="H17" s="760">
        <f>INDEX(Recap_Ballasts,Tbl_Ballasts[[#This Row],[Recap Row]],Tbl_Ballasts[[#This Row],[Recap Col]])</f>
        <v>0</v>
      </c>
      <c r="I17" s="493">
        <f ca="1">IFERROR(OFFSET($AA$1,I$5,I$6+Tbl_Ballasts[[#This Row],[Index]]*Ballasts_columns_step),0)</f>
        <v>0</v>
      </c>
      <c r="J17" s="103">
        <f ca="1">IFERROR(OFFSET($AA$1,J$5,J$6+Tbl_Ballasts[[#This Row],[Index]]*Ballasts_columns_step),0)</f>
        <v>0</v>
      </c>
      <c r="K17" s="427">
        <f ca="1">IFERROR(OFFSET($AA$1,K$5,K$6+Tbl_Ballasts[[#This Row],[Index]]*Ballasts_columns_step),0)</f>
        <v>20</v>
      </c>
      <c r="L17" s="428">
        <f ca="1">IFERROR(OFFSET($AA$1,L$5,L$6+Tbl_Ballasts[[#This Row],[Index]]*Ballasts_columns_step),0)</f>
        <v>-2.5</v>
      </c>
      <c r="M17" s="429">
        <f ca="1">IFERROR(OFFSET($AA$1,M$5,M$6+Tbl_Ballasts[[#This Row],[Index]]*Ballasts_columns_step),0)</f>
        <v>0</v>
      </c>
      <c r="N17" s="438">
        <f ca="1">IFERROR(OFFSET($AA$1,N$5,N$6+Tbl_Ballasts[[#This Row],[Index]]*Ballasts_columns_step),0)</f>
        <v>10</v>
      </c>
      <c r="O17" s="437" t="str">
        <f ca="1">IF(Tbl_Ballasts[[#This Row],[Weight Fact]],Tbl_Ballasts[[#This Row],[COG x ]]-Tbl_Ballasts[[#This Row],[Distrib]]/2,"")</f>
        <v/>
      </c>
      <c r="P17" s="439" t="str">
        <f ca="1">IF(Tbl_Ballasts[[#This Row],[Weight Fact]],Tbl_Ballasts[[#This Row],[COG x ]]+Tbl_Ballasts[[#This Row],[Distrib]]/2,"")</f>
        <v/>
      </c>
      <c r="Q17" s="440" t="str">
        <f ca="1">IF(Tbl_Ballasts[[#This Row],[Weight Fact]],ROUND(Tbl_Ballasts[[#This Row],[AP from]]/FE_size,0),"")</f>
        <v/>
      </c>
      <c r="R17" s="441" t="str">
        <f ca="1">IF(Tbl_Ballasts[[#This Row],[Weight Fact]],ROUND(Tbl_Ballasts[[#This Row],[AP to]]/FE_size,0),"")</f>
        <v/>
      </c>
      <c r="S17" s="114" t="str">
        <f ca="1">IF(Tbl_Ballasts[[#This Row],[Weight Fact]]=0,"",IF(AND(Tbl_Ballasts[[#This Row],[COG x ]]&gt;=(Tbl_Ballasts[[#This Row],[L to]]-Tbl_Ballasts[[#This Row],[L from]])/3+Tbl_Ballasts[[#This Row],[L from]],Tbl_Ballasts[[#This Row],[COG x ]]&lt;=(Tbl_Ballasts[[#This Row],[L to]]-Tbl_Ballasts[[#This Row],[L from]])*2/3+Tbl_Ballasts[[#This Row],[L from]],Tbl_Ballasts[[#This Row],[L to]]&gt;Tbl_Ballasts[[#This Row],[L from]]),"OK","KO"))</f>
        <v/>
      </c>
      <c r="T17" s="442" t="str">
        <f ca="1">IF(Tbl_Ballasts[[#This Row],[Weight Fact]],IF(Tbl_Ballasts[[#This Row],[Fr from]]*FE_size&lt;0,0,Tbl_Ballasts[[#This Row],[Fr from]]*FE_size),"")</f>
        <v/>
      </c>
      <c r="U17" s="443" t="str">
        <f ca="1">IF(Tbl_Ballasts[[#This Row],[Weight Fact]],IF(Tbl_Ballasts[[#This Row],[Fr to]]*FE_size=Tbl_Ballasts[[#This Row],[L from]],Tbl_Ballasts[[#This Row],[L from]]+FE_size,IF(Tbl_Ballasts[[#This Row],[Fr to]]*FE_size&gt;Lpp,Lpp,Tbl_Ballasts[[#This Row],[Fr to]]*FE_size)),"")</f>
        <v/>
      </c>
      <c r="V17" s="444" t="str">
        <f ca="1">IFERROR(Tbl_Ballasts[[#This Row],[Weight Fact]]/(Tbl_Ballasts[[#This Row],[L to]]-Tbl_Ballasts[[#This Row],[L from]]),"")</f>
        <v/>
      </c>
      <c r="W17" s="145" t="str">
        <f ca="1">IF(Tbl_Ballasts[[#This Row],[Weight Fact]],Tbl_Ballasts[[#This Row],[Spread]]*(Tbl_Ballasts[[#This Row],[L to]]-Tbl_Ballasts[[#This Row],[L from]])-Tbl_Ballasts[[#This Row],[Weight Fact]],"")</f>
        <v/>
      </c>
      <c r="X17" s="141" t="str">
        <f ca="1">IF(AND(ISNUMBER(Tbl_Ballasts[[#This Row],[L from]]),ISNUMBER(Tbl_Ballasts[[#This Row],[L to]])),IF(AND(Tbl_Ballasts[[#This Row],[L from]]&gt;=0,Tbl_Ballasts[[#This Row],[L to]]&lt;=Lpp),"OK","KO"),"OK")</f>
        <v>OK</v>
      </c>
      <c r="Y17" s="481"/>
      <c r="Z17" s="413"/>
      <c r="AA17" s="396">
        <f t="shared" si="1"/>
        <v>1.2438999999999998</v>
      </c>
      <c r="AB17" s="397">
        <f t="shared" si="2"/>
        <v>20</v>
      </c>
      <c r="AC17" s="398">
        <f t="shared" si="3"/>
        <v>0.7</v>
      </c>
      <c r="AD17" s="398">
        <f t="shared" si="146"/>
        <v>8.6193867335556185</v>
      </c>
      <c r="AE17" s="398">
        <f t="shared" si="4"/>
        <v>4.5845037035281102</v>
      </c>
      <c r="AF17" s="398">
        <f t="shared" si="5"/>
        <v>0</v>
      </c>
      <c r="AG17" s="398">
        <f t="shared" si="147"/>
        <v>0.46763792512311692</v>
      </c>
      <c r="AH17" s="399">
        <f t="shared" si="148"/>
        <v>809.04065040650403</v>
      </c>
      <c r="AI17" s="66"/>
      <c r="AJ17" s="66"/>
      <c r="AK17" s="396">
        <f t="shared" si="6"/>
        <v>10</v>
      </c>
      <c r="AL17" s="397">
        <f t="shared" si="7"/>
        <v>5</v>
      </c>
      <c r="AM17" s="398">
        <f t="shared" si="8"/>
        <v>0.7</v>
      </c>
      <c r="AN17" s="398">
        <f t="shared" si="149"/>
        <v>35</v>
      </c>
      <c r="AO17" s="398">
        <f t="shared" si="9"/>
        <v>10</v>
      </c>
      <c r="AP17" s="398">
        <f t="shared" si="10"/>
        <v>7.5</v>
      </c>
      <c r="AQ17" s="398">
        <f t="shared" si="150"/>
        <v>0.35</v>
      </c>
      <c r="AR17" s="399">
        <f t="shared" si="151"/>
        <v>101.62601626016261</v>
      </c>
      <c r="AS17" s="66"/>
      <c r="AT17" s="66"/>
      <c r="AU17" s="396">
        <f t="shared" si="11"/>
        <v>10</v>
      </c>
      <c r="AV17" s="397">
        <f t="shared" si="12"/>
        <v>5</v>
      </c>
      <c r="AW17" s="398">
        <f t="shared" si="13"/>
        <v>0.7</v>
      </c>
      <c r="AX17" s="398">
        <f t="shared" si="152"/>
        <v>35</v>
      </c>
      <c r="AY17" s="398">
        <f t="shared" si="14"/>
        <v>10</v>
      </c>
      <c r="AZ17" s="398">
        <f t="shared" si="15"/>
        <v>2.5</v>
      </c>
      <c r="BA17" s="398">
        <f t="shared" si="153"/>
        <v>0.35</v>
      </c>
      <c r="BB17" s="399">
        <f t="shared" si="154"/>
        <v>101.62601626016261</v>
      </c>
      <c r="BC17" s="66"/>
      <c r="BD17" s="66"/>
      <c r="BE17" s="396">
        <f t="shared" si="16"/>
        <v>10</v>
      </c>
      <c r="BF17" s="397">
        <f t="shared" si="17"/>
        <v>5</v>
      </c>
      <c r="BG17" s="398">
        <f t="shared" si="18"/>
        <v>0.7</v>
      </c>
      <c r="BH17" s="398">
        <f t="shared" si="155"/>
        <v>35</v>
      </c>
      <c r="BI17" s="398">
        <f t="shared" si="19"/>
        <v>10</v>
      </c>
      <c r="BJ17" s="398">
        <f t="shared" si="20"/>
        <v>-2.5</v>
      </c>
      <c r="BK17" s="398">
        <f t="shared" si="156"/>
        <v>0.35</v>
      </c>
      <c r="BL17" s="399">
        <f t="shared" si="157"/>
        <v>101.62601626016261</v>
      </c>
      <c r="BM17" s="66"/>
      <c r="BN17" s="66"/>
      <c r="BO17" s="396">
        <f t="shared" si="21"/>
        <v>10</v>
      </c>
      <c r="BP17" s="397">
        <f t="shared" si="22"/>
        <v>5</v>
      </c>
      <c r="BQ17" s="398">
        <f t="shared" si="23"/>
        <v>0.7</v>
      </c>
      <c r="BR17" s="398">
        <f t="shared" si="158"/>
        <v>35</v>
      </c>
      <c r="BS17" s="398">
        <f t="shared" si="24"/>
        <v>10</v>
      </c>
      <c r="BT17" s="398">
        <f t="shared" si="25"/>
        <v>-7.5</v>
      </c>
      <c r="BU17" s="398">
        <f t="shared" si="159"/>
        <v>0.35</v>
      </c>
      <c r="BV17" s="399">
        <f t="shared" si="160"/>
        <v>101.62601626016261</v>
      </c>
      <c r="BW17" s="66"/>
      <c r="BX17" s="66"/>
      <c r="BY17" s="396">
        <f t="shared" si="26"/>
        <v>10</v>
      </c>
      <c r="BZ17" s="397">
        <f t="shared" si="27"/>
        <v>5</v>
      </c>
      <c r="CA17" s="398">
        <f t="shared" si="28"/>
        <v>0.7</v>
      </c>
      <c r="CB17" s="398">
        <f t="shared" si="161"/>
        <v>35</v>
      </c>
      <c r="CC17" s="398">
        <f t="shared" si="29"/>
        <v>20</v>
      </c>
      <c r="CD17" s="398">
        <f t="shared" si="30"/>
        <v>7.5</v>
      </c>
      <c r="CE17" s="398">
        <f t="shared" si="162"/>
        <v>0.35</v>
      </c>
      <c r="CF17" s="399">
        <f t="shared" si="163"/>
        <v>101.62601626016261</v>
      </c>
      <c r="CG17" s="66"/>
      <c r="CH17" s="66"/>
      <c r="CI17" s="396">
        <f t="shared" si="31"/>
        <v>10</v>
      </c>
      <c r="CJ17" s="397">
        <f t="shared" si="32"/>
        <v>5</v>
      </c>
      <c r="CK17" s="398">
        <f t="shared" si="33"/>
        <v>0.7</v>
      </c>
      <c r="CL17" s="398">
        <f t="shared" si="164"/>
        <v>35</v>
      </c>
      <c r="CM17" s="398">
        <f t="shared" si="34"/>
        <v>20</v>
      </c>
      <c r="CN17" s="398">
        <f t="shared" si="35"/>
        <v>2.5</v>
      </c>
      <c r="CO17" s="398">
        <f t="shared" si="165"/>
        <v>0.35</v>
      </c>
      <c r="CP17" s="399">
        <f t="shared" si="166"/>
        <v>101.62601626016261</v>
      </c>
      <c r="CQ17" s="66"/>
      <c r="CS17" s="396">
        <f t="shared" si="36"/>
        <v>10</v>
      </c>
      <c r="CT17" s="397">
        <f t="shared" si="37"/>
        <v>5</v>
      </c>
      <c r="CU17" s="398">
        <f t="shared" si="38"/>
        <v>0.7</v>
      </c>
      <c r="CV17" s="398">
        <f t="shared" si="167"/>
        <v>35</v>
      </c>
      <c r="CW17" s="398">
        <f t="shared" si="39"/>
        <v>20</v>
      </c>
      <c r="CX17" s="398">
        <f t="shared" si="40"/>
        <v>-2.5</v>
      </c>
      <c r="CY17" s="398">
        <f t="shared" si="168"/>
        <v>0.35</v>
      </c>
      <c r="CZ17" s="399">
        <f t="shared" si="169"/>
        <v>101.62601626016261</v>
      </c>
      <c r="DA17" s="66"/>
      <c r="DB17" s="66"/>
      <c r="DC17" s="396">
        <f t="shared" si="41"/>
        <v>10</v>
      </c>
      <c r="DD17" s="397">
        <f t="shared" si="42"/>
        <v>5</v>
      </c>
      <c r="DE17" s="398">
        <f t="shared" si="43"/>
        <v>0.7</v>
      </c>
      <c r="DF17" s="398">
        <f t="shared" si="170"/>
        <v>35</v>
      </c>
      <c r="DG17" s="398">
        <f t="shared" si="44"/>
        <v>20</v>
      </c>
      <c r="DH17" s="398">
        <f t="shared" si="45"/>
        <v>-7.5</v>
      </c>
      <c r="DI17" s="398">
        <f t="shared" si="171"/>
        <v>0.35</v>
      </c>
      <c r="DJ17" s="399">
        <f t="shared" si="172"/>
        <v>101.62601626016261</v>
      </c>
      <c r="DK17" s="66"/>
      <c r="DM17" s="396">
        <f t="shared" si="46"/>
        <v>10</v>
      </c>
      <c r="DN17" s="397">
        <f t="shared" si="47"/>
        <v>5</v>
      </c>
      <c r="DO17" s="398">
        <f t="shared" si="48"/>
        <v>0.7</v>
      </c>
      <c r="DP17" s="398">
        <f t="shared" si="173"/>
        <v>35</v>
      </c>
      <c r="DQ17" s="398">
        <f t="shared" si="49"/>
        <v>30</v>
      </c>
      <c r="DR17" s="398">
        <f t="shared" si="50"/>
        <v>7.5</v>
      </c>
      <c r="DS17" s="398">
        <f t="shared" si="174"/>
        <v>0.35</v>
      </c>
      <c r="DT17" s="399">
        <f t="shared" si="175"/>
        <v>101.62601626016261</v>
      </c>
      <c r="DU17" s="66"/>
      <c r="DV17" s="66"/>
      <c r="DW17" s="396">
        <f t="shared" si="51"/>
        <v>10</v>
      </c>
      <c r="DX17" s="397">
        <f t="shared" si="52"/>
        <v>5</v>
      </c>
      <c r="DY17" s="398">
        <f t="shared" si="53"/>
        <v>0.7</v>
      </c>
      <c r="DZ17" s="398">
        <f t="shared" si="176"/>
        <v>35</v>
      </c>
      <c r="EA17" s="398">
        <f t="shared" si="54"/>
        <v>30</v>
      </c>
      <c r="EB17" s="398">
        <f t="shared" si="55"/>
        <v>2.5</v>
      </c>
      <c r="EC17" s="398">
        <f t="shared" si="177"/>
        <v>0.35</v>
      </c>
      <c r="ED17" s="399">
        <f t="shared" si="178"/>
        <v>101.62601626016261</v>
      </c>
      <c r="EE17" s="66"/>
      <c r="EF17" s="66"/>
      <c r="EG17" s="396">
        <f t="shared" si="56"/>
        <v>10</v>
      </c>
      <c r="EH17" s="397">
        <f t="shared" si="57"/>
        <v>5</v>
      </c>
      <c r="EI17" s="398">
        <f t="shared" si="58"/>
        <v>0.7</v>
      </c>
      <c r="EJ17" s="398">
        <f t="shared" si="179"/>
        <v>35</v>
      </c>
      <c r="EK17" s="398">
        <f t="shared" si="59"/>
        <v>30</v>
      </c>
      <c r="EL17" s="398">
        <f t="shared" si="60"/>
        <v>-2.5</v>
      </c>
      <c r="EM17" s="398">
        <f t="shared" si="180"/>
        <v>0.35</v>
      </c>
      <c r="EN17" s="399">
        <f t="shared" si="181"/>
        <v>101.62601626016261</v>
      </c>
      <c r="EO17" s="66"/>
      <c r="EP17" s="66"/>
      <c r="EQ17" s="396">
        <f t="shared" si="61"/>
        <v>10</v>
      </c>
      <c r="ER17" s="397">
        <f t="shared" si="62"/>
        <v>5</v>
      </c>
      <c r="ES17" s="398">
        <f t="shared" si="63"/>
        <v>0.7</v>
      </c>
      <c r="ET17" s="398">
        <f t="shared" si="182"/>
        <v>35</v>
      </c>
      <c r="EU17" s="398">
        <f t="shared" si="64"/>
        <v>30</v>
      </c>
      <c r="EV17" s="398">
        <f t="shared" si="65"/>
        <v>-7.5</v>
      </c>
      <c r="EW17" s="398">
        <f t="shared" si="183"/>
        <v>0.35</v>
      </c>
      <c r="EX17" s="399">
        <f t="shared" si="184"/>
        <v>101.62601626016261</v>
      </c>
      <c r="EY17" s="66"/>
      <c r="EZ17" s="66"/>
      <c r="FA17" s="396">
        <f t="shared" si="66"/>
        <v>10</v>
      </c>
      <c r="FB17" s="397">
        <f t="shared" si="67"/>
        <v>5</v>
      </c>
      <c r="FC17" s="398">
        <f t="shared" si="68"/>
        <v>0.7</v>
      </c>
      <c r="FD17" s="398">
        <f t="shared" si="185"/>
        <v>35</v>
      </c>
      <c r="FE17" s="398">
        <f t="shared" si="69"/>
        <v>40</v>
      </c>
      <c r="FF17" s="398">
        <f t="shared" si="70"/>
        <v>7.5</v>
      </c>
      <c r="FG17" s="398">
        <f t="shared" si="186"/>
        <v>0.35</v>
      </c>
      <c r="FH17" s="399">
        <f t="shared" si="187"/>
        <v>101.62601626016261</v>
      </c>
      <c r="FI17" s="66"/>
      <c r="FJ17" s="66"/>
      <c r="FK17" s="396">
        <f t="shared" si="71"/>
        <v>10</v>
      </c>
      <c r="FL17" s="397">
        <f t="shared" si="72"/>
        <v>5</v>
      </c>
      <c r="FM17" s="398">
        <f t="shared" si="73"/>
        <v>0.7</v>
      </c>
      <c r="FN17" s="398">
        <f t="shared" si="188"/>
        <v>35</v>
      </c>
      <c r="FO17" s="398">
        <f t="shared" si="74"/>
        <v>40</v>
      </c>
      <c r="FP17" s="398">
        <f t="shared" si="75"/>
        <v>2.5</v>
      </c>
      <c r="FQ17" s="398">
        <f t="shared" si="189"/>
        <v>0.35</v>
      </c>
      <c r="FR17" s="399">
        <f t="shared" si="190"/>
        <v>101.62601626016261</v>
      </c>
      <c r="FS17" s="66"/>
      <c r="FT17" s="66"/>
      <c r="FU17" s="396">
        <f t="shared" si="76"/>
        <v>10</v>
      </c>
      <c r="FV17" s="397">
        <f t="shared" si="77"/>
        <v>5</v>
      </c>
      <c r="FW17" s="398">
        <f t="shared" si="78"/>
        <v>0.7</v>
      </c>
      <c r="FX17" s="398">
        <f t="shared" si="191"/>
        <v>35</v>
      </c>
      <c r="FY17" s="398">
        <f t="shared" si="79"/>
        <v>40</v>
      </c>
      <c r="FZ17" s="398">
        <f t="shared" si="80"/>
        <v>-2.5</v>
      </c>
      <c r="GA17" s="398">
        <f t="shared" si="192"/>
        <v>0.35</v>
      </c>
      <c r="GB17" s="399">
        <f t="shared" si="193"/>
        <v>101.62601626016261</v>
      </c>
      <c r="GC17" s="66"/>
      <c r="GD17" s="66"/>
      <c r="GE17" s="396">
        <f t="shared" si="81"/>
        <v>10</v>
      </c>
      <c r="GF17" s="397">
        <f t="shared" si="82"/>
        <v>5</v>
      </c>
      <c r="GG17" s="398">
        <f t="shared" si="83"/>
        <v>0.7</v>
      </c>
      <c r="GH17" s="398">
        <f t="shared" si="194"/>
        <v>35</v>
      </c>
      <c r="GI17" s="398">
        <f t="shared" si="84"/>
        <v>40</v>
      </c>
      <c r="GJ17" s="398">
        <f t="shared" si="85"/>
        <v>-7.5</v>
      </c>
      <c r="GK17" s="398">
        <f t="shared" si="195"/>
        <v>0.35</v>
      </c>
      <c r="GL17" s="399">
        <f t="shared" si="196"/>
        <v>101.62601626016261</v>
      </c>
      <c r="GM17" s="66"/>
      <c r="GN17" s="66"/>
      <c r="GO17" s="396">
        <f t="shared" si="86"/>
        <v>10</v>
      </c>
      <c r="GP17" s="397">
        <f t="shared" si="87"/>
        <v>5</v>
      </c>
      <c r="GQ17" s="398">
        <f t="shared" si="88"/>
        <v>0.7</v>
      </c>
      <c r="GR17" s="398">
        <f t="shared" si="197"/>
        <v>35</v>
      </c>
      <c r="GS17" s="398">
        <f t="shared" si="89"/>
        <v>50</v>
      </c>
      <c r="GT17" s="398">
        <f t="shared" si="90"/>
        <v>7.5</v>
      </c>
      <c r="GU17" s="398">
        <f t="shared" si="198"/>
        <v>0.35</v>
      </c>
      <c r="GV17" s="399">
        <f t="shared" si="199"/>
        <v>101.62601626016261</v>
      </c>
      <c r="GW17" s="66"/>
      <c r="GX17" s="66"/>
      <c r="GY17" s="396">
        <f t="shared" si="91"/>
        <v>10</v>
      </c>
      <c r="GZ17" s="397">
        <f t="shared" si="92"/>
        <v>5</v>
      </c>
      <c r="HA17" s="398">
        <f t="shared" si="93"/>
        <v>0.7</v>
      </c>
      <c r="HB17" s="398">
        <f t="shared" si="200"/>
        <v>35</v>
      </c>
      <c r="HC17" s="398">
        <f t="shared" si="94"/>
        <v>50</v>
      </c>
      <c r="HD17" s="398">
        <f t="shared" si="95"/>
        <v>2.5</v>
      </c>
      <c r="HE17" s="398">
        <f t="shared" si="201"/>
        <v>0.35</v>
      </c>
      <c r="HF17" s="399">
        <f t="shared" si="202"/>
        <v>101.62601626016261</v>
      </c>
      <c r="HH17" s="66"/>
      <c r="HI17" s="396">
        <f t="shared" si="96"/>
        <v>10</v>
      </c>
      <c r="HJ17" s="397">
        <f t="shared" si="97"/>
        <v>5</v>
      </c>
      <c r="HK17" s="398">
        <f t="shared" si="98"/>
        <v>0.7</v>
      </c>
      <c r="HL17" s="398">
        <f t="shared" si="203"/>
        <v>35</v>
      </c>
      <c r="HM17" s="398">
        <f t="shared" si="99"/>
        <v>50</v>
      </c>
      <c r="HN17" s="398">
        <f t="shared" si="100"/>
        <v>-2.5</v>
      </c>
      <c r="HO17" s="398">
        <f t="shared" si="204"/>
        <v>0.35</v>
      </c>
      <c r="HP17" s="399">
        <f t="shared" si="205"/>
        <v>101.62601626016261</v>
      </c>
      <c r="HQ17" s="66"/>
      <c r="HR17" s="66"/>
      <c r="HS17" s="396">
        <f t="shared" si="101"/>
        <v>10</v>
      </c>
      <c r="HT17" s="397">
        <f t="shared" si="102"/>
        <v>5</v>
      </c>
      <c r="HU17" s="398">
        <f t="shared" si="103"/>
        <v>0.7</v>
      </c>
      <c r="HV17" s="398">
        <f t="shared" si="206"/>
        <v>35</v>
      </c>
      <c r="HW17" s="398">
        <f t="shared" si="104"/>
        <v>50</v>
      </c>
      <c r="HX17" s="398">
        <f t="shared" si="105"/>
        <v>-7.5</v>
      </c>
      <c r="HY17" s="398">
        <f t="shared" si="207"/>
        <v>0.35</v>
      </c>
      <c r="HZ17" s="399">
        <f t="shared" si="208"/>
        <v>101.62601626016261</v>
      </c>
      <c r="IA17" s="66"/>
      <c r="IB17" s="66"/>
      <c r="IC17" s="396">
        <f t="shared" si="106"/>
        <v>1.2390000000000001</v>
      </c>
      <c r="ID17" s="397">
        <f t="shared" si="107"/>
        <v>20</v>
      </c>
      <c r="IE17" s="398">
        <f t="shared" si="108"/>
        <v>0.7</v>
      </c>
      <c r="IF17" s="398">
        <f t="shared" si="209"/>
        <v>8.5854330435528681</v>
      </c>
      <c r="IG17" s="398">
        <f t="shared" si="109"/>
        <v>55.413859563733958</v>
      </c>
      <c r="IH17" s="398">
        <f t="shared" si="110"/>
        <v>0</v>
      </c>
      <c r="II17" s="398">
        <f t="shared" si="210"/>
        <v>0.46763792512311686</v>
      </c>
      <c r="IJ17" s="399">
        <f t="shared" si="211"/>
        <v>805.85365853658539</v>
      </c>
      <c r="IK17" s="66"/>
      <c r="IL17" s="66"/>
      <c r="IM17" s="396">
        <f t="shared" si="111"/>
        <v>9.76</v>
      </c>
      <c r="IN17" s="397">
        <f t="shared" si="112"/>
        <v>13.75</v>
      </c>
      <c r="IO17" s="398">
        <f t="shared" si="113"/>
        <v>0.7</v>
      </c>
      <c r="IP17" s="398">
        <f t="shared" si="212"/>
        <v>85.515294815621985</v>
      </c>
      <c r="IQ17" s="398">
        <f t="shared" si="114"/>
        <v>67.061569587416713</v>
      </c>
      <c r="IR17" s="398">
        <f t="shared" si="115"/>
        <v>6.8749999999999991</v>
      </c>
      <c r="IS17" s="398">
        <f t="shared" si="213"/>
        <v>0.36125566993336045</v>
      </c>
      <c r="IT17" s="399">
        <f t="shared" si="214"/>
        <v>2062.7794715447158</v>
      </c>
      <c r="IU17" s="66"/>
      <c r="IV17" s="66"/>
      <c r="IW17" s="396">
        <f t="shared" si="116"/>
        <v>9.76</v>
      </c>
      <c r="IX17" s="397">
        <f t="shared" si="117"/>
        <v>13.75</v>
      </c>
      <c r="IY17" s="398">
        <f t="shared" si="118"/>
        <v>0.7</v>
      </c>
      <c r="IZ17" s="398">
        <f t="shared" si="215"/>
        <v>85.515294815621985</v>
      </c>
      <c r="JA17" s="398">
        <f t="shared" si="119"/>
        <v>67.061569587416713</v>
      </c>
      <c r="JB17" s="398">
        <f t="shared" si="120"/>
        <v>-6.8749999999999991</v>
      </c>
      <c r="JC17" s="398">
        <f t="shared" si="216"/>
        <v>0.36125566993336045</v>
      </c>
      <c r="JD17" s="399">
        <f t="shared" si="217"/>
        <v>2062.7794715447158</v>
      </c>
      <c r="JE17" s="66"/>
      <c r="JF17" s="66"/>
      <c r="JG17" s="396">
        <f t="shared" si="121"/>
        <v>1.75</v>
      </c>
      <c r="JH17" s="397">
        <f t="shared" si="122"/>
        <v>6.875</v>
      </c>
      <c r="JI17" s="398">
        <f t="shared" si="123"/>
        <v>0.7</v>
      </c>
      <c r="JJ17" s="398">
        <f t="shared" si="218"/>
        <v>4.168421763730648</v>
      </c>
      <c r="JK17" s="398">
        <f t="shared" si="124"/>
        <v>70.184547406403894</v>
      </c>
      <c r="JL17" s="398">
        <f t="shared" si="125"/>
        <v>10.3125</v>
      </c>
      <c r="JM17" s="398">
        <f t="shared" si="219"/>
        <v>1.6636379251231168</v>
      </c>
      <c r="JN17" s="399">
        <f t="shared" si="220"/>
        <v>46.2328903074187</v>
      </c>
      <c r="JO17" s="66"/>
      <c r="JP17" s="66"/>
      <c r="JQ17" s="396">
        <f t="shared" si="126"/>
        <v>1.75</v>
      </c>
      <c r="JR17" s="397">
        <f t="shared" si="127"/>
        <v>6.875</v>
      </c>
      <c r="JS17" s="398">
        <f t="shared" si="128"/>
        <v>0.7</v>
      </c>
      <c r="JT17" s="398">
        <f t="shared" si="221"/>
        <v>4.168421763730648</v>
      </c>
      <c r="JU17" s="398">
        <f t="shared" si="129"/>
        <v>70.184547406403894</v>
      </c>
      <c r="JV17" s="398">
        <f t="shared" si="130"/>
        <v>3.4375</v>
      </c>
      <c r="JW17" s="398">
        <f t="shared" si="222"/>
        <v>1.6636379251231168</v>
      </c>
      <c r="JX17" s="399">
        <f t="shared" si="223"/>
        <v>46.2328903074187</v>
      </c>
      <c r="JY17" s="66"/>
      <c r="JZ17" s="66"/>
      <c r="KA17" s="396">
        <f t="shared" si="131"/>
        <v>1.75</v>
      </c>
      <c r="KB17" s="397">
        <f t="shared" si="132"/>
        <v>6.875</v>
      </c>
      <c r="KC17" s="398">
        <f t="shared" si="133"/>
        <v>0.7</v>
      </c>
      <c r="KD17" s="398">
        <f t="shared" si="224"/>
        <v>4.168421763730648</v>
      </c>
      <c r="KE17" s="398">
        <f t="shared" si="134"/>
        <v>70.184547406403894</v>
      </c>
      <c r="KF17" s="398">
        <f t="shared" si="135"/>
        <v>-3.4375</v>
      </c>
      <c r="KG17" s="398">
        <f t="shared" si="225"/>
        <v>1.6636379251231168</v>
      </c>
      <c r="KH17" s="399">
        <f t="shared" si="226"/>
        <v>46.2328903074187</v>
      </c>
      <c r="KI17" s="66"/>
      <c r="KJ17" s="66"/>
      <c r="KK17" s="396">
        <f t="shared" si="136"/>
        <v>1.75</v>
      </c>
      <c r="KL17" s="397">
        <f t="shared" si="137"/>
        <v>6.875</v>
      </c>
      <c r="KM17" s="398">
        <f t="shared" si="138"/>
        <v>0.7</v>
      </c>
      <c r="KN17" s="398">
        <f t="shared" si="227"/>
        <v>4.168421763730648</v>
      </c>
      <c r="KO17" s="398">
        <f t="shared" si="139"/>
        <v>70.184547406403894</v>
      </c>
      <c r="KP17" s="398">
        <f t="shared" si="140"/>
        <v>-10.3125</v>
      </c>
      <c r="KQ17" s="398">
        <f t="shared" si="228"/>
        <v>1.6636379251231168</v>
      </c>
      <c r="KR17" s="399">
        <f t="shared" si="229"/>
        <v>46.2328903074187</v>
      </c>
      <c r="KS17" s="66"/>
      <c r="KT17" s="66"/>
      <c r="KU17" s="396">
        <f t="shared" si="141"/>
        <v>5</v>
      </c>
      <c r="KV17" s="397">
        <f t="shared" si="142"/>
        <v>5</v>
      </c>
      <c r="KW17" s="398">
        <f t="shared" si="143"/>
        <v>0.7</v>
      </c>
      <c r="KX17" s="398">
        <f t="shared" si="230"/>
        <v>17.5</v>
      </c>
      <c r="KY17" s="398">
        <f t="shared" si="144"/>
        <v>57.5</v>
      </c>
      <c r="KZ17" s="398">
        <f t="shared" si="145"/>
        <v>0</v>
      </c>
      <c r="LA17" s="398">
        <f t="shared" si="231"/>
        <v>0.35</v>
      </c>
      <c r="LB17" s="399">
        <f t="shared" si="232"/>
        <v>50.813008130081307</v>
      </c>
      <c r="LC17" s="66"/>
    </row>
    <row r="18" spans="1:315" s="67" customFormat="1" ht="15" customHeight="1" x14ac:dyDescent="0.25">
      <c r="A18" s="481"/>
      <c r="B18" s="73">
        <f t="shared" si="0"/>
        <v>8</v>
      </c>
      <c r="C18" s="347" t="str">
        <f>INDEX($AA$1:$LC$6,C$5,C$6+Tbl_Ballasts[[#This Row],[Index]]*Ballasts_columns_step)</f>
        <v>WB5Sb</v>
      </c>
      <c r="D18" s="114" t="str">
        <f ca="1">IFERROR(OFFSET($AA$1,D$5,D$6+Tbl_Ballasts[[#This Row],[Index]]*Ballasts_columns_step),0)</f>
        <v>OK</v>
      </c>
      <c r="E18" s="348">
        <v>5</v>
      </c>
      <c r="F18" s="350">
        <v>4</v>
      </c>
      <c r="G18" s="763" t="str">
        <f>TEXT(Tbl_Ballasts[[#This Row],[Recap Row]],"00")&amp;TEXT(Tbl_Ballasts[[#This Row],[Recap Col]],"00")</f>
        <v>0504</v>
      </c>
      <c r="H18" s="760">
        <f>INDEX(Recap_Ballasts,Tbl_Ballasts[[#This Row],[Recap Row]],Tbl_Ballasts[[#This Row],[Recap Col]])</f>
        <v>0</v>
      </c>
      <c r="I18" s="493">
        <f ca="1">IFERROR(OFFSET($AA$1,I$5,I$6+Tbl_Ballasts[[#This Row],[Index]]*Ballasts_columns_step),0)</f>
        <v>0</v>
      </c>
      <c r="J18" s="103">
        <f ca="1">IFERROR(OFFSET($AA$1,J$5,J$6+Tbl_Ballasts[[#This Row],[Index]]*Ballasts_columns_step),0)</f>
        <v>0</v>
      </c>
      <c r="K18" s="427">
        <f ca="1">IFERROR(OFFSET($AA$1,K$5,K$6+Tbl_Ballasts[[#This Row],[Index]]*Ballasts_columns_step),0)</f>
        <v>20</v>
      </c>
      <c r="L18" s="428">
        <f ca="1">IFERROR(OFFSET($AA$1,L$5,L$6+Tbl_Ballasts[[#This Row],[Index]]*Ballasts_columns_step),0)</f>
        <v>-7.5</v>
      </c>
      <c r="M18" s="429">
        <f ca="1">IFERROR(OFFSET($AA$1,M$5,M$6+Tbl_Ballasts[[#This Row],[Index]]*Ballasts_columns_step),0)</f>
        <v>0</v>
      </c>
      <c r="N18" s="438">
        <f ca="1">IFERROR(OFFSET($AA$1,N$5,N$6+Tbl_Ballasts[[#This Row],[Index]]*Ballasts_columns_step),0)</f>
        <v>10</v>
      </c>
      <c r="O18" s="437" t="str">
        <f ca="1">IF(Tbl_Ballasts[[#This Row],[Weight Fact]],Tbl_Ballasts[[#This Row],[COG x ]]-Tbl_Ballasts[[#This Row],[Distrib]]/2,"")</f>
        <v/>
      </c>
      <c r="P18" s="439" t="str">
        <f ca="1">IF(Tbl_Ballasts[[#This Row],[Weight Fact]],Tbl_Ballasts[[#This Row],[COG x ]]+Tbl_Ballasts[[#This Row],[Distrib]]/2,"")</f>
        <v/>
      </c>
      <c r="Q18" s="440" t="str">
        <f ca="1">IF(Tbl_Ballasts[[#This Row],[Weight Fact]],ROUND(Tbl_Ballasts[[#This Row],[AP from]]/FE_size,0),"")</f>
        <v/>
      </c>
      <c r="R18" s="441" t="str">
        <f ca="1">IF(Tbl_Ballasts[[#This Row],[Weight Fact]],ROUND(Tbl_Ballasts[[#This Row],[AP to]]/FE_size,0),"")</f>
        <v/>
      </c>
      <c r="S18" s="114" t="str">
        <f ca="1">IF(Tbl_Ballasts[[#This Row],[Weight Fact]]=0,"",IF(AND(Tbl_Ballasts[[#This Row],[COG x ]]&gt;=(Tbl_Ballasts[[#This Row],[L to]]-Tbl_Ballasts[[#This Row],[L from]])/3+Tbl_Ballasts[[#This Row],[L from]],Tbl_Ballasts[[#This Row],[COG x ]]&lt;=(Tbl_Ballasts[[#This Row],[L to]]-Tbl_Ballasts[[#This Row],[L from]])*2/3+Tbl_Ballasts[[#This Row],[L from]],Tbl_Ballasts[[#This Row],[L to]]&gt;Tbl_Ballasts[[#This Row],[L from]]),"OK","KO"))</f>
        <v/>
      </c>
      <c r="T18" s="442" t="str">
        <f ca="1">IF(Tbl_Ballasts[[#This Row],[Weight Fact]],IF(Tbl_Ballasts[[#This Row],[Fr from]]*FE_size&lt;0,0,Tbl_Ballasts[[#This Row],[Fr from]]*FE_size),"")</f>
        <v/>
      </c>
      <c r="U18" s="443" t="str">
        <f ca="1">IF(Tbl_Ballasts[[#This Row],[Weight Fact]],IF(Tbl_Ballasts[[#This Row],[Fr to]]*FE_size=Tbl_Ballasts[[#This Row],[L from]],Tbl_Ballasts[[#This Row],[L from]]+FE_size,IF(Tbl_Ballasts[[#This Row],[Fr to]]*FE_size&gt;Lpp,Lpp,Tbl_Ballasts[[#This Row],[Fr to]]*FE_size)),"")</f>
        <v/>
      </c>
      <c r="V18" s="444" t="str">
        <f ca="1">IFERROR(Tbl_Ballasts[[#This Row],[Weight Fact]]/(Tbl_Ballasts[[#This Row],[L to]]-Tbl_Ballasts[[#This Row],[L from]]),"")</f>
        <v/>
      </c>
      <c r="W18" s="145" t="str">
        <f ca="1">IF(Tbl_Ballasts[[#This Row],[Weight Fact]],Tbl_Ballasts[[#This Row],[Spread]]*(Tbl_Ballasts[[#This Row],[L to]]-Tbl_Ballasts[[#This Row],[L from]])-Tbl_Ballasts[[#This Row],[Weight Fact]],"")</f>
        <v/>
      </c>
      <c r="X18" s="141" t="str">
        <f ca="1">IF(AND(ISNUMBER(Tbl_Ballasts[[#This Row],[L from]]),ISNUMBER(Tbl_Ballasts[[#This Row],[L to]])),IF(AND(Tbl_Ballasts[[#This Row],[L from]]&gt;=0,Tbl_Ballasts[[#This Row],[L to]]&lt;=Lpp),"OK","KO"),"OK")</f>
        <v>OK</v>
      </c>
      <c r="Y18" s="481"/>
      <c r="Z18" s="413"/>
      <c r="AA18" s="396">
        <f t="shared" si="1"/>
        <v>1.4215999999999998</v>
      </c>
      <c r="AB18" s="397">
        <f t="shared" si="2"/>
        <v>20</v>
      </c>
      <c r="AC18" s="398">
        <f t="shared" si="3"/>
        <v>0.79999999999999993</v>
      </c>
      <c r="AD18" s="398">
        <f t="shared" si="146"/>
        <v>11.282910090395257</v>
      </c>
      <c r="AE18" s="398">
        <f t="shared" si="4"/>
        <v>4.5252795068246723</v>
      </c>
      <c r="AF18" s="398">
        <f t="shared" si="5"/>
        <v>0</v>
      </c>
      <c r="AG18" s="398">
        <f t="shared" si="147"/>
        <v>0.53429430858224758</v>
      </c>
      <c r="AH18" s="399">
        <f t="shared" si="148"/>
        <v>924.61788617886168</v>
      </c>
      <c r="AI18" s="367"/>
      <c r="AJ18" s="66"/>
      <c r="AK18" s="396">
        <f t="shared" si="6"/>
        <v>10</v>
      </c>
      <c r="AL18" s="397">
        <f t="shared" si="7"/>
        <v>5</v>
      </c>
      <c r="AM18" s="398">
        <f t="shared" si="8"/>
        <v>0.79999999999999993</v>
      </c>
      <c r="AN18" s="398">
        <f t="shared" si="149"/>
        <v>40</v>
      </c>
      <c r="AO18" s="398">
        <f t="shared" si="9"/>
        <v>10</v>
      </c>
      <c r="AP18" s="398">
        <f t="shared" si="10"/>
        <v>7.5</v>
      </c>
      <c r="AQ18" s="398">
        <f t="shared" si="150"/>
        <v>0.4</v>
      </c>
      <c r="AR18" s="399">
        <f t="shared" si="151"/>
        <v>101.62601626016261</v>
      </c>
      <c r="AS18" s="66"/>
      <c r="AT18" s="66"/>
      <c r="AU18" s="396">
        <f t="shared" si="11"/>
        <v>10</v>
      </c>
      <c r="AV18" s="397">
        <f t="shared" si="12"/>
        <v>5</v>
      </c>
      <c r="AW18" s="398">
        <f t="shared" si="13"/>
        <v>0.79999999999999993</v>
      </c>
      <c r="AX18" s="398">
        <f t="shared" si="152"/>
        <v>40</v>
      </c>
      <c r="AY18" s="398">
        <f t="shared" si="14"/>
        <v>10</v>
      </c>
      <c r="AZ18" s="398">
        <f t="shared" si="15"/>
        <v>2.5</v>
      </c>
      <c r="BA18" s="398">
        <f t="shared" si="153"/>
        <v>0.4</v>
      </c>
      <c r="BB18" s="399">
        <f t="shared" si="154"/>
        <v>101.62601626016261</v>
      </c>
      <c r="BC18" s="66"/>
      <c r="BD18" s="66"/>
      <c r="BE18" s="396">
        <f t="shared" si="16"/>
        <v>10</v>
      </c>
      <c r="BF18" s="397">
        <f t="shared" si="17"/>
        <v>5</v>
      </c>
      <c r="BG18" s="398">
        <f t="shared" si="18"/>
        <v>0.79999999999999993</v>
      </c>
      <c r="BH18" s="398">
        <f t="shared" si="155"/>
        <v>40</v>
      </c>
      <c r="BI18" s="398">
        <f t="shared" si="19"/>
        <v>10</v>
      </c>
      <c r="BJ18" s="398">
        <f t="shared" si="20"/>
        <v>-2.5</v>
      </c>
      <c r="BK18" s="398">
        <f t="shared" si="156"/>
        <v>0.4</v>
      </c>
      <c r="BL18" s="399">
        <f t="shared" si="157"/>
        <v>101.62601626016261</v>
      </c>
      <c r="BM18" s="66"/>
      <c r="BN18" s="66"/>
      <c r="BO18" s="396">
        <f t="shared" si="21"/>
        <v>10</v>
      </c>
      <c r="BP18" s="397">
        <f t="shared" si="22"/>
        <v>5</v>
      </c>
      <c r="BQ18" s="398">
        <f t="shared" si="23"/>
        <v>0.79999999999999993</v>
      </c>
      <c r="BR18" s="398">
        <f t="shared" si="158"/>
        <v>40</v>
      </c>
      <c r="BS18" s="398">
        <f t="shared" si="24"/>
        <v>10</v>
      </c>
      <c r="BT18" s="398">
        <f t="shared" si="25"/>
        <v>-7.5</v>
      </c>
      <c r="BU18" s="398">
        <f t="shared" si="159"/>
        <v>0.4</v>
      </c>
      <c r="BV18" s="399">
        <f t="shared" si="160"/>
        <v>101.62601626016261</v>
      </c>
      <c r="BW18" s="66"/>
      <c r="BX18" s="66"/>
      <c r="BY18" s="396">
        <f t="shared" si="26"/>
        <v>10</v>
      </c>
      <c r="BZ18" s="397">
        <f t="shared" si="27"/>
        <v>5</v>
      </c>
      <c r="CA18" s="398">
        <f t="shared" si="28"/>
        <v>0.79999999999999993</v>
      </c>
      <c r="CB18" s="398">
        <f t="shared" si="161"/>
        <v>40</v>
      </c>
      <c r="CC18" s="398">
        <f t="shared" si="29"/>
        <v>20</v>
      </c>
      <c r="CD18" s="398">
        <f t="shared" si="30"/>
        <v>7.5</v>
      </c>
      <c r="CE18" s="398">
        <f t="shared" si="162"/>
        <v>0.4</v>
      </c>
      <c r="CF18" s="399">
        <f t="shared" si="163"/>
        <v>101.62601626016261</v>
      </c>
      <c r="CG18" s="66"/>
      <c r="CH18" s="66"/>
      <c r="CI18" s="396">
        <f t="shared" si="31"/>
        <v>10</v>
      </c>
      <c r="CJ18" s="397">
        <f t="shared" si="32"/>
        <v>5</v>
      </c>
      <c r="CK18" s="398">
        <f t="shared" si="33"/>
        <v>0.79999999999999993</v>
      </c>
      <c r="CL18" s="398">
        <f t="shared" si="164"/>
        <v>40</v>
      </c>
      <c r="CM18" s="398">
        <f t="shared" si="34"/>
        <v>20</v>
      </c>
      <c r="CN18" s="398">
        <f t="shared" si="35"/>
        <v>2.5</v>
      </c>
      <c r="CO18" s="398">
        <f t="shared" si="165"/>
        <v>0.4</v>
      </c>
      <c r="CP18" s="399">
        <f t="shared" si="166"/>
        <v>101.62601626016261</v>
      </c>
      <c r="CQ18" s="66"/>
      <c r="CS18" s="396">
        <f t="shared" si="36"/>
        <v>10</v>
      </c>
      <c r="CT18" s="397">
        <f t="shared" si="37"/>
        <v>5</v>
      </c>
      <c r="CU18" s="398">
        <f t="shared" si="38"/>
        <v>0.79999999999999993</v>
      </c>
      <c r="CV18" s="398">
        <f t="shared" si="167"/>
        <v>40</v>
      </c>
      <c r="CW18" s="398">
        <f t="shared" si="39"/>
        <v>20</v>
      </c>
      <c r="CX18" s="398">
        <f t="shared" si="40"/>
        <v>-2.5</v>
      </c>
      <c r="CY18" s="398">
        <f t="shared" si="168"/>
        <v>0.4</v>
      </c>
      <c r="CZ18" s="399">
        <f t="shared" si="169"/>
        <v>101.62601626016261</v>
      </c>
      <c r="DA18" s="66"/>
      <c r="DB18" s="66"/>
      <c r="DC18" s="396">
        <f t="shared" si="41"/>
        <v>10</v>
      </c>
      <c r="DD18" s="397">
        <f t="shared" si="42"/>
        <v>5</v>
      </c>
      <c r="DE18" s="398">
        <f t="shared" si="43"/>
        <v>0.79999999999999993</v>
      </c>
      <c r="DF18" s="398">
        <f t="shared" si="170"/>
        <v>40</v>
      </c>
      <c r="DG18" s="398">
        <f t="shared" si="44"/>
        <v>20</v>
      </c>
      <c r="DH18" s="398">
        <f t="shared" si="45"/>
        <v>-7.5</v>
      </c>
      <c r="DI18" s="398">
        <f t="shared" si="171"/>
        <v>0.4</v>
      </c>
      <c r="DJ18" s="399">
        <f t="shared" si="172"/>
        <v>101.62601626016261</v>
      </c>
      <c r="DK18" s="66"/>
      <c r="DM18" s="396">
        <f t="shared" si="46"/>
        <v>10</v>
      </c>
      <c r="DN18" s="397">
        <f t="shared" si="47"/>
        <v>5</v>
      </c>
      <c r="DO18" s="398">
        <f t="shared" si="48"/>
        <v>0.79999999999999993</v>
      </c>
      <c r="DP18" s="398">
        <f t="shared" si="173"/>
        <v>40</v>
      </c>
      <c r="DQ18" s="398">
        <f t="shared" si="49"/>
        <v>30</v>
      </c>
      <c r="DR18" s="398">
        <f t="shared" si="50"/>
        <v>7.5</v>
      </c>
      <c r="DS18" s="398">
        <f t="shared" si="174"/>
        <v>0.4</v>
      </c>
      <c r="DT18" s="399">
        <f t="shared" si="175"/>
        <v>101.62601626016261</v>
      </c>
      <c r="DU18" s="66"/>
      <c r="DV18" s="66"/>
      <c r="DW18" s="396">
        <f t="shared" si="51"/>
        <v>10</v>
      </c>
      <c r="DX18" s="397">
        <f t="shared" si="52"/>
        <v>5</v>
      </c>
      <c r="DY18" s="398">
        <f t="shared" si="53"/>
        <v>0.79999999999999993</v>
      </c>
      <c r="DZ18" s="398">
        <f t="shared" si="176"/>
        <v>40</v>
      </c>
      <c r="EA18" s="398">
        <f t="shared" si="54"/>
        <v>30</v>
      </c>
      <c r="EB18" s="398">
        <f t="shared" si="55"/>
        <v>2.5</v>
      </c>
      <c r="EC18" s="398">
        <f t="shared" si="177"/>
        <v>0.4</v>
      </c>
      <c r="ED18" s="399">
        <f t="shared" si="178"/>
        <v>101.62601626016261</v>
      </c>
      <c r="EE18" s="66"/>
      <c r="EF18" s="66"/>
      <c r="EG18" s="396">
        <f t="shared" si="56"/>
        <v>10</v>
      </c>
      <c r="EH18" s="397">
        <f t="shared" si="57"/>
        <v>5</v>
      </c>
      <c r="EI18" s="398">
        <f t="shared" si="58"/>
        <v>0.79999999999999993</v>
      </c>
      <c r="EJ18" s="398">
        <f t="shared" si="179"/>
        <v>40</v>
      </c>
      <c r="EK18" s="398">
        <f t="shared" si="59"/>
        <v>30</v>
      </c>
      <c r="EL18" s="398">
        <f t="shared" si="60"/>
        <v>-2.5</v>
      </c>
      <c r="EM18" s="398">
        <f t="shared" si="180"/>
        <v>0.4</v>
      </c>
      <c r="EN18" s="399">
        <f t="shared" si="181"/>
        <v>101.62601626016261</v>
      </c>
      <c r="EO18" s="66"/>
      <c r="EP18" s="66"/>
      <c r="EQ18" s="396">
        <f t="shared" si="61"/>
        <v>10</v>
      </c>
      <c r="ER18" s="397">
        <f t="shared" si="62"/>
        <v>5</v>
      </c>
      <c r="ES18" s="398">
        <f t="shared" si="63"/>
        <v>0.79999999999999993</v>
      </c>
      <c r="ET18" s="398">
        <f t="shared" si="182"/>
        <v>40</v>
      </c>
      <c r="EU18" s="398">
        <f t="shared" si="64"/>
        <v>30</v>
      </c>
      <c r="EV18" s="398">
        <f t="shared" si="65"/>
        <v>-7.5</v>
      </c>
      <c r="EW18" s="398">
        <f t="shared" si="183"/>
        <v>0.4</v>
      </c>
      <c r="EX18" s="399">
        <f t="shared" si="184"/>
        <v>101.62601626016261</v>
      </c>
      <c r="EY18" s="66"/>
      <c r="EZ18" s="66"/>
      <c r="FA18" s="396">
        <f t="shared" si="66"/>
        <v>10</v>
      </c>
      <c r="FB18" s="397">
        <f t="shared" si="67"/>
        <v>5</v>
      </c>
      <c r="FC18" s="398">
        <f t="shared" si="68"/>
        <v>0.79999999999999993</v>
      </c>
      <c r="FD18" s="398">
        <f t="shared" si="185"/>
        <v>40</v>
      </c>
      <c r="FE18" s="398">
        <f t="shared" si="69"/>
        <v>40</v>
      </c>
      <c r="FF18" s="398">
        <f t="shared" si="70"/>
        <v>7.5</v>
      </c>
      <c r="FG18" s="398">
        <f t="shared" si="186"/>
        <v>0.4</v>
      </c>
      <c r="FH18" s="399">
        <f t="shared" si="187"/>
        <v>101.62601626016261</v>
      </c>
      <c r="FI18" s="66"/>
      <c r="FJ18" s="66"/>
      <c r="FK18" s="396">
        <f t="shared" si="71"/>
        <v>10</v>
      </c>
      <c r="FL18" s="397">
        <f t="shared" si="72"/>
        <v>5</v>
      </c>
      <c r="FM18" s="398">
        <f t="shared" si="73"/>
        <v>0.79999999999999993</v>
      </c>
      <c r="FN18" s="398">
        <f t="shared" si="188"/>
        <v>40</v>
      </c>
      <c r="FO18" s="398">
        <f t="shared" si="74"/>
        <v>40</v>
      </c>
      <c r="FP18" s="398">
        <f t="shared" si="75"/>
        <v>2.5</v>
      </c>
      <c r="FQ18" s="398">
        <f t="shared" si="189"/>
        <v>0.4</v>
      </c>
      <c r="FR18" s="399">
        <f t="shared" si="190"/>
        <v>101.62601626016261</v>
      </c>
      <c r="FS18" s="66"/>
      <c r="FT18" s="66"/>
      <c r="FU18" s="396">
        <f t="shared" si="76"/>
        <v>10</v>
      </c>
      <c r="FV18" s="397">
        <f t="shared" si="77"/>
        <v>5</v>
      </c>
      <c r="FW18" s="398">
        <f t="shared" si="78"/>
        <v>0.79999999999999993</v>
      </c>
      <c r="FX18" s="398">
        <f t="shared" si="191"/>
        <v>40</v>
      </c>
      <c r="FY18" s="398">
        <f t="shared" si="79"/>
        <v>40</v>
      </c>
      <c r="FZ18" s="398">
        <f t="shared" si="80"/>
        <v>-2.5</v>
      </c>
      <c r="GA18" s="398">
        <f t="shared" si="192"/>
        <v>0.4</v>
      </c>
      <c r="GB18" s="399">
        <f t="shared" si="193"/>
        <v>101.62601626016261</v>
      </c>
      <c r="GC18" s="66"/>
      <c r="GD18" s="66"/>
      <c r="GE18" s="396">
        <f t="shared" si="81"/>
        <v>10</v>
      </c>
      <c r="GF18" s="397">
        <f t="shared" si="82"/>
        <v>5</v>
      </c>
      <c r="GG18" s="398">
        <f t="shared" si="83"/>
        <v>0.79999999999999993</v>
      </c>
      <c r="GH18" s="398">
        <f t="shared" si="194"/>
        <v>40</v>
      </c>
      <c r="GI18" s="398">
        <f t="shared" si="84"/>
        <v>40</v>
      </c>
      <c r="GJ18" s="398">
        <f t="shared" si="85"/>
        <v>-7.5</v>
      </c>
      <c r="GK18" s="398">
        <f t="shared" si="195"/>
        <v>0.4</v>
      </c>
      <c r="GL18" s="399">
        <f t="shared" si="196"/>
        <v>101.62601626016261</v>
      </c>
      <c r="GM18" s="66"/>
      <c r="GN18" s="66"/>
      <c r="GO18" s="396">
        <f t="shared" si="86"/>
        <v>10</v>
      </c>
      <c r="GP18" s="397">
        <f t="shared" si="87"/>
        <v>5</v>
      </c>
      <c r="GQ18" s="398">
        <f t="shared" si="88"/>
        <v>0.79999999999999993</v>
      </c>
      <c r="GR18" s="398">
        <f t="shared" si="197"/>
        <v>40</v>
      </c>
      <c r="GS18" s="398">
        <f t="shared" si="89"/>
        <v>50</v>
      </c>
      <c r="GT18" s="398">
        <f t="shared" si="90"/>
        <v>7.5</v>
      </c>
      <c r="GU18" s="398">
        <f t="shared" si="198"/>
        <v>0.4</v>
      </c>
      <c r="GV18" s="399">
        <f t="shared" si="199"/>
        <v>101.62601626016261</v>
      </c>
      <c r="GW18" s="66"/>
      <c r="GX18" s="66"/>
      <c r="GY18" s="396">
        <f t="shared" si="91"/>
        <v>10</v>
      </c>
      <c r="GZ18" s="397">
        <f t="shared" si="92"/>
        <v>5</v>
      </c>
      <c r="HA18" s="398">
        <f t="shared" si="93"/>
        <v>0.79999999999999993</v>
      </c>
      <c r="HB18" s="398">
        <f t="shared" si="200"/>
        <v>40</v>
      </c>
      <c r="HC18" s="398">
        <f t="shared" si="94"/>
        <v>50</v>
      </c>
      <c r="HD18" s="398">
        <f t="shared" si="95"/>
        <v>2.5</v>
      </c>
      <c r="HE18" s="398">
        <f t="shared" si="201"/>
        <v>0.4</v>
      </c>
      <c r="HF18" s="399">
        <f t="shared" si="202"/>
        <v>101.62601626016261</v>
      </c>
      <c r="HH18" s="66"/>
      <c r="HI18" s="396">
        <f t="shared" si="96"/>
        <v>10</v>
      </c>
      <c r="HJ18" s="397">
        <f t="shared" si="97"/>
        <v>5</v>
      </c>
      <c r="HK18" s="398">
        <f t="shared" si="98"/>
        <v>0.79999999999999993</v>
      </c>
      <c r="HL18" s="398">
        <f t="shared" si="203"/>
        <v>40</v>
      </c>
      <c r="HM18" s="398">
        <f t="shared" si="99"/>
        <v>50</v>
      </c>
      <c r="HN18" s="398">
        <f t="shared" si="100"/>
        <v>-2.5</v>
      </c>
      <c r="HO18" s="398">
        <f t="shared" si="204"/>
        <v>0.4</v>
      </c>
      <c r="HP18" s="399">
        <f t="shared" si="205"/>
        <v>101.62601626016261</v>
      </c>
      <c r="HQ18" s="66"/>
      <c r="HR18" s="66"/>
      <c r="HS18" s="396">
        <f t="shared" si="101"/>
        <v>10</v>
      </c>
      <c r="HT18" s="397">
        <f t="shared" si="102"/>
        <v>5</v>
      </c>
      <c r="HU18" s="398">
        <f t="shared" si="103"/>
        <v>0.79999999999999993</v>
      </c>
      <c r="HV18" s="398">
        <f t="shared" si="206"/>
        <v>40</v>
      </c>
      <c r="HW18" s="398">
        <f t="shared" si="104"/>
        <v>50</v>
      </c>
      <c r="HX18" s="398">
        <f t="shared" si="105"/>
        <v>-7.5</v>
      </c>
      <c r="HY18" s="398">
        <f t="shared" si="207"/>
        <v>0.4</v>
      </c>
      <c r="HZ18" s="399">
        <f t="shared" si="208"/>
        <v>101.62601626016261</v>
      </c>
      <c r="IA18" s="66"/>
      <c r="IB18" s="66"/>
      <c r="IC18" s="396">
        <f t="shared" si="106"/>
        <v>1.4160000000000001</v>
      </c>
      <c r="ID18" s="397">
        <f t="shared" si="107"/>
        <v>20</v>
      </c>
      <c r="IE18" s="398">
        <f t="shared" si="108"/>
        <v>0.79999999999999993</v>
      </c>
      <c r="IF18" s="398">
        <f t="shared" si="209"/>
        <v>11.238464186831518</v>
      </c>
      <c r="IG18" s="398">
        <f t="shared" si="109"/>
        <v>55.472850463095291</v>
      </c>
      <c r="IH18" s="398">
        <f t="shared" si="110"/>
        <v>0</v>
      </c>
      <c r="II18" s="398">
        <f t="shared" si="210"/>
        <v>0.53429430858224758</v>
      </c>
      <c r="IJ18" s="399">
        <f t="shared" si="211"/>
        <v>920.9756097560977</v>
      </c>
      <c r="IK18" s="66"/>
      <c r="IL18" s="66"/>
      <c r="IM18" s="396">
        <f t="shared" si="111"/>
        <v>10.01</v>
      </c>
      <c r="IN18" s="397">
        <f t="shared" si="112"/>
        <v>13.75</v>
      </c>
      <c r="IO18" s="398">
        <f t="shared" si="113"/>
        <v>0.79999999999999993</v>
      </c>
      <c r="IP18" s="398">
        <f t="shared" si="212"/>
        <v>99.106807562478451</v>
      </c>
      <c r="IQ18" s="398">
        <f t="shared" si="114"/>
        <v>67.128210109487284</v>
      </c>
      <c r="IR18" s="398">
        <f t="shared" si="115"/>
        <v>6.8749999999999991</v>
      </c>
      <c r="IS18" s="398">
        <f t="shared" si="213"/>
        <v>0.41456808758981684</v>
      </c>
      <c r="IT18" s="399">
        <f t="shared" si="214"/>
        <v>2115.6170604674799</v>
      </c>
      <c r="IU18" s="66"/>
      <c r="IV18" s="66"/>
      <c r="IW18" s="396">
        <f t="shared" si="116"/>
        <v>10.01</v>
      </c>
      <c r="IX18" s="397">
        <f t="shared" si="117"/>
        <v>13.75</v>
      </c>
      <c r="IY18" s="398">
        <f t="shared" si="118"/>
        <v>0.79999999999999993</v>
      </c>
      <c r="IZ18" s="398">
        <f t="shared" si="215"/>
        <v>99.106807562478451</v>
      </c>
      <c r="JA18" s="398">
        <f t="shared" si="119"/>
        <v>67.128210109487284</v>
      </c>
      <c r="JB18" s="398">
        <f t="shared" si="120"/>
        <v>-6.8749999999999991</v>
      </c>
      <c r="JC18" s="398">
        <f t="shared" si="216"/>
        <v>0.41456808758981684</v>
      </c>
      <c r="JD18" s="399">
        <f t="shared" si="217"/>
        <v>2115.6170604674799</v>
      </c>
      <c r="JE18" s="66"/>
      <c r="JF18" s="66"/>
      <c r="JG18" s="396">
        <f t="shared" si="121"/>
        <v>2</v>
      </c>
      <c r="JH18" s="397">
        <f t="shared" si="122"/>
        <v>6.875</v>
      </c>
      <c r="JI18" s="398">
        <f t="shared" si="123"/>
        <v>0.79999999999999993</v>
      </c>
      <c r="JJ18" s="398">
        <f t="shared" si="218"/>
        <v>5.4565283392984956</v>
      </c>
      <c r="JK18" s="398">
        <f t="shared" si="124"/>
        <v>70.26786788572781</v>
      </c>
      <c r="JL18" s="398">
        <f t="shared" si="125"/>
        <v>10.3125</v>
      </c>
      <c r="JM18" s="398">
        <f t="shared" si="219"/>
        <v>1.7302943085822473</v>
      </c>
      <c r="JN18" s="399">
        <f t="shared" si="220"/>
        <v>52.837588922764233</v>
      </c>
      <c r="JO18" s="66"/>
      <c r="JP18" s="66"/>
      <c r="JQ18" s="396">
        <f t="shared" si="126"/>
        <v>2</v>
      </c>
      <c r="JR18" s="397">
        <f t="shared" si="127"/>
        <v>6.875</v>
      </c>
      <c r="JS18" s="398">
        <f t="shared" si="128"/>
        <v>0.79999999999999993</v>
      </c>
      <c r="JT18" s="398">
        <f t="shared" si="221"/>
        <v>5.4565283392984956</v>
      </c>
      <c r="JU18" s="398">
        <f t="shared" si="129"/>
        <v>70.26786788572781</v>
      </c>
      <c r="JV18" s="398">
        <f t="shared" si="130"/>
        <v>3.4375000000000004</v>
      </c>
      <c r="JW18" s="398">
        <f t="shared" si="222"/>
        <v>1.7302943085822473</v>
      </c>
      <c r="JX18" s="399">
        <f t="shared" si="223"/>
        <v>52.837588922764233</v>
      </c>
      <c r="JY18" s="66"/>
      <c r="JZ18" s="66"/>
      <c r="KA18" s="396">
        <f t="shared" si="131"/>
        <v>2</v>
      </c>
      <c r="KB18" s="397">
        <f t="shared" si="132"/>
        <v>6.875</v>
      </c>
      <c r="KC18" s="398">
        <f t="shared" si="133"/>
        <v>0.79999999999999993</v>
      </c>
      <c r="KD18" s="398">
        <f t="shared" si="224"/>
        <v>5.4565283392984956</v>
      </c>
      <c r="KE18" s="398">
        <f t="shared" si="134"/>
        <v>70.26786788572781</v>
      </c>
      <c r="KF18" s="398">
        <f t="shared" si="135"/>
        <v>-3.4375000000000004</v>
      </c>
      <c r="KG18" s="398">
        <f t="shared" si="225"/>
        <v>1.7302943085822473</v>
      </c>
      <c r="KH18" s="399">
        <f t="shared" si="226"/>
        <v>52.837588922764233</v>
      </c>
      <c r="KI18" s="66"/>
      <c r="KJ18" s="66"/>
      <c r="KK18" s="396">
        <f t="shared" si="136"/>
        <v>2</v>
      </c>
      <c r="KL18" s="397">
        <f t="shared" si="137"/>
        <v>6.875</v>
      </c>
      <c r="KM18" s="398">
        <f t="shared" si="138"/>
        <v>0.79999999999999993</v>
      </c>
      <c r="KN18" s="398">
        <f t="shared" si="227"/>
        <v>5.4565283392984956</v>
      </c>
      <c r="KO18" s="398">
        <f t="shared" si="139"/>
        <v>70.26786788572781</v>
      </c>
      <c r="KP18" s="398">
        <f t="shared" si="140"/>
        <v>-10.3125</v>
      </c>
      <c r="KQ18" s="398">
        <f t="shared" si="228"/>
        <v>1.7302943085822473</v>
      </c>
      <c r="KR18" s="399">
        <f t="shared" si="229"/>
        <v>52.837588922764233</v>
      </c>
      <c r="KS18" s="66"/>
      <c r="KT18" s="66"/>
      <c r="KU18" s="396">
        <f t="shared" si="141"/>
        <v>5</v>
      </c>
      <c r="KV18" s="397">
        <f t="shared" si="142"/>
        <v>5</v>
      </c>
      <c r="KW18" s="398">
        <f t="shared" si="143"/>
        <v>0.79999999999999993</v>
      </c>
      <c r="KX18" s="398">
        <f t="shared" si="230"/>
        <v>20</v>
      </c>
      <c r="KY18" s="398">
        <f t="shared" si="144"/>
        <v>57.5</v>
      </c>
      <c r="KZ18" s="398">
        <f t="shared" si="145"/>
        <v>0</v>
      </c>
      <c r="LA18" s="398">
        <f t="shared" si="231"/>
        <v>0.4</v>
      </c>
      <c r="LB18" s="399">
        <f t="shared" si="232"/>
        <v>50.813008130081307</v>
      </c>
      <c r="LC18" s="66"/>
    </row>
    <row r="19" spans="1:315" s="67" customFormat="1" ht="15" customHeight="1" x14ac:dyDescent="0.25">
      <c r="A19" s="481"/>
      <c r="B19" s="73">
        <f t="shared" si="0"/>
        <v>9</v>
      </c>
      <c r="C19" s="347" t="str">
        <f>INDEX($AA$1:$LC$6,C$5,C$6+Tbl_Ballasts[[#This Row],[Index]]*Ballasts_columns_step)</f>
        <v>WB4Ps</v>
      </c>
      <c r="D19" s="114" t="str">
        <f ca="1">IFERROR(OFFSET($AA$1,D$5,D$6+Tbl_Ballasts[[#This Row],[Index]]*Ballasts_columns_step),0)</f>
        <v>OK</v>
      </c>
      <c r="E19" s="348">
        <v>4</v>
      </c>
      <c r="F19" s="349">
        <v>1</v>
      </c>
      <c r="G19" s="763" t="str">
        <f>TEXT(Tbl_Ballasts[[#This Row],[Recap Row]],"00")&amp;TEXT(Tbl_Ballasts[[#This Row],[Recap Col]],"00")</f>
        <v>0401</v>
      </c>
      <c r="H19" s="760">
        <f>INDEX(Recap_Ballasts,Tbl_Ballasts[[#This Row],[Recap Row]],Tbl_Ballasts[[#This Row],[Recap Col]])</f>
        <v>0</v>
      </c>
      <c r="I19" s="493">
        <f ca="1">IFERROR(OFFSET($AA$1,I$5,I$6+Tbl_Ballasts[[#This Row],[Index]]*Ballasts_columns_step),0)</f>
        <v>0</v>
      </c>
      <c r="J19" s="103">
        <f ca="1">IFERROR(OFFSET($AA$1,J$5,J$6+Tbl_Ballasts[[#This Row],[Index]]*Ballasts_columns_step),0)</f>
        <v>0</v>
      </c>
      <c r="K19" s="427">
        <f ca="1">IFERROR(OFFSET($AA$1,K$5,K$6+Tbl_Ballasts[[#This Row],[Index]]*Ballasts_columns_step),0)</f>
        <v>30</v>
      </c>
      <c r="L19" s="428">
        <f ca="1">IFERROR(OFFSET($AA$1,L$5,L$6+Tbl_Ballasts[[#This Row],[Index]]*Ballasts_columns_step),0)</f>
        <v>7.5</v>
      </c>
      <c r="M19" s="429">
        <f ca="1">IFERROR(OFFSET($AA$1,M$5,M$6+Tbl_Ballasts[[#This Row],[Index]]*Ballasts_columns_step),0)</f>
        <v>0</v>
      </c>
      <c r="N19" s="438">
        <f ca="1">IFERROR(OFFSET($AA$1,N$5,N$6+Tbl_Ballasts[[#This Row],[Index]]*Ballasts_columns_step),0)</f>
        <v>10</v>
      </c>
      <c r="O19" s="437" t="str">
        <f ca="1">IF(Tbl_Ballasts[[#This Row],[Weight Fact]],Tbl_Ballasts[[#This Row],[COG x ]]-Tbl_Ballasts[[#This Row],[Distrib]]/2,"")</f>
        <v/>
      </c>
      <c r="P19" s="439" t="str">
        <f ca="1">IF(Tbl_Ballasts[[#This Row],[Weight Fact]],Tbl_Ballasts[[#This Row],[COG x ]]+Tbl_Ballasts[[#This Row],[Distrib]]/2,"")</f>
        <v/>
      </c>
      <c r="Q19" s="440" t="str">
        <f ca="1">IF(Tbl_Ballasts[[#This Row],[Weight Fact]],ROUND(Tbl_Ballasts[[#This Row],[AP from]]/FE_size,0),"")</f>
        <v/>
      </c>
      <c r="R19" s="441" t="str">
        <f ca="1">IF(Tbl_Ballasts[[#This Row],[Weight Fact]],ROUND(Tbl_Ballasts[[#This Row],[AP to]]/FE_size,0),"")</f>
        <v/>
      </c>
      <c r="S19" s="114" t="str">
        <f ca="1">IF(Tbl_Ballasts[[#This Row],[Weight Fact]]=0,"",IF(AND(Tbl_Ballasts[[#This Row],[COG x ]]&gt;=(Tbl_Ballasts[[#This Row],[L to]]-Tbl_Ballasts[[#This Row],[L from]])/3+Tbl_Ballasts[[#This Row],[L from]],Tbl_Ballasts[[#This Row],[COG x ]]&lt;=(Tbl_Ballasts[[#This Row],[L to]]-Tbl_Ballasts[[#This Row],[L from]])*2/3+Tbl_Ballasts[[#This Row],[L from]],Tbl_Ballasts[[#This Row],[L to]]&gt;Tbl_Ballasts[[#This Row],[L from]]),"OK","KO"))</f>
        <v/>
      </c>
      <c r="T19" s="442" t="str">
        <f ca="1">IF(Tbl_Ballasts[[#This Row],[Weight Fact]],IF(Tbl_Ballasts[[#This Row],[Fr from]]*FE_size&lt;0,0,Tbl_Ballasts[[#This Row],[Fr from]]*FE_size),"")</f>
        <v/>
      </c>
      <c r="U19" s="443" t="str">
        <f ca="1">IF(Tbl_Ballasts[[#This Row],[Weight Fact]],IF(Tbl_Ballasts[[#This Row],[Fr to]]*FE_size=Tbl_Ballasts[[#This Row],[L from]],Tbl_Ballasts[[#This Row],[L from]]+FE_size,IF(Tbl_Ballasts[[#This Row],[Fr to]]*FE_size&gt;Lpp,Lpp,Tbl_Ballasts[[#This Row],[Fr to]]*FE_size)),"")</f>
        <v/>
      </c>
      <c r="V19" s="444" t="str">
        <f ca="1">IFERROR(Tbl_Ballasts[[#This Row],[Weight Fact]]/(Tbl_Ballasts[[#This Row],[L to]]-Tbl_Ballasts[[#This Row],[L from]]),"")</f>
        <v/>
      </c>
      <c r="W19" s="145" t="str">
        <f ca="1">IF(Tbl_Ballasts[[#This Row],[Weight Fact]],Tbl_Ballasts[[#This Row],[Spread]]*(Tbl_Ballasts[[#This Row],[L to]]-Tbl_Ballasts[[#This Row],[L from]])-Tbl_Ballasts[[#This Row],[Weight Fact]],"")</f>
        <v/>
      </c>
      <c r="X19" s="141" t="str">
        <f ca="1">IF(AND(ISNUMBER(Tbl_Ballasts[[#This Row],[L from]]),ISNUMBER(Tbl_Ballasts[[#This Row],[L to]])),IF(AND(Tbl_Ballasts[[#This Row],[L from]]&gt;=0,Tbl_Ballasts[[#This Row],[L to]]&lt;=Lpp),"OK","KO"),"OK")</f>
        <v>OK</v>
      </c>
      <c r="Y19" s="481"/>
      <c r="Z19" s="413"/>
      <c r="AA19" s="396">
        <f t="shared" si="1"/>
        <v>1.5992999999999997</v>
      </c>
      <c r="AB19" s="397">
        <f t="shared" si="2"/>
        <v>20</v>
      </c>
      <c r="AC19" s="398">
        <f t="shared" si="3"/>
        <v>0.89999999999999991</v>
      </c>
      <c r="AD19" s="398">
        <f t="shared" si="146"/>
        <v>14.302066423863385</v>
      </c>
      <c r="AE19" s="398">
        <f t="shared" si="4"/>
        <v>4.4660651993779528</v>
      </c>
      <c r="AF19" s="398">
        <f t="shared" si="5"/>
        <v>0</v>
      </c>
      <c r="AG19" s="398">
        <f t="shared" si="147"/>
        <v>0.6009395617580725</v>
      </c>
      <c r="AH19" s="399">
        <f t="shared" si="148"/>
        <v>1040.1951219512193</v>
      </c>
      <c r="AI19" s="367"/>
      <c r="AJ19" s="66"/>
      <c r="AK19" s="396">
        <f t="shared" si="6"/>
        <v>10</v>
      </c>
      <c r="AL19" s="397">
        <f t="shared" si="7"/>
        <v>5</v>
      </c>
      <c r="AM19" s="398">
        <f t="shared" si="8"/>
        <v>0.89999999999999991</v>
      </c>
      <c r="AN19" s="398">
        <f t="shared" si="149"/>
        <v>45</v>
      </c>
      <c r="AO19" s="398">
        <f t="shared" si="9"/>
        <v>10</v>
      </c>
      <c r="AP19" s="398">
        <f t="shared" si="10"/>
        <v>7.5</v>
      </c>
      <c r="AQ19" s="398">
        <f t="shared" si="150"/>
        <v>0.45</v>
      </c>
      <c r="AR19" s="399">
        <f t="shared" si="151"/>
        <v>101.62601626016261</v>
      </c>
      <c r="AS19" s="66"/>
      <c r="AT19" s="66"/>
      <c r="AU19" s="396">
        <f t="shared" si="11"/>
        <v>10</v>
      </c>
      <c r="AV19" s="397">
        <f t="shared" si="12"/>
        <v>5</v>
      </c>
      <c r="AW19" s="398">
        <f t="shared" si="13"/>
        <v>0.89999999999999991</v>
      </c>
      <c r="AX19" s="398">
        <f t="shared" si="152"/>
        <v>45</v>
      </c>
      <c r="AY19" s="398">
        <f t="shared" si="14"/>
        <v>10</v>
      </c>
      <c r="AZ19" s="398">
        <f t="shared" si="15"/>
        <v>2.5</v>
      </c>
      <c r="BA19" s="398">
        <f t="shared" si="153"/>
        <v>0.45</v>
      </c>
      <c r="BB19" s="399">
        <f t="shared" si="154"/>
        <v>101.62601626016261</v>
      </c>
      <c r="BC19" s="66"/>
      <c r="BD19" s="66"/>
      <c r="BE19" s="396">
        <f t="shared" si="16"/>
        <v>10</v>
      </c>
      <c r="BF19" s="397">
        <f t="shared" si="17"/>
        <v>5</v>
      </c>
      <c r="BG19" s="398">
        <f t="shared" si="18"/>
        <v>0.89999999999999991</v>
      </c>
      <c r="BH19" s="398">
        <f t="shared" si="155"/>
        <v>45</v>
      </c>
      <c r="BI19" s="398">
        <f t="shared" si="19"/>
        <v>10</v>
      </c>
      <c r="BJ19" s="398">
        <f t="shared" si="20"/>
        <v>-2.5</v>
      </c>
      <c r="BK19" s="398">
        <f t="shared" si="156"/>
        <v>0.45</v>
      </c>
      <c r="BL19" s="399">
        <f t="shared" si="157"/>
        <v>101.62601626016261</v>
      </c>
      <c r="BM19" s="66"/>
      <c r="BN19" s="66"/>
      <c r="BO19" s="396">
        <f t="shared" si="21"/>
        <v>10</v>
      </c>
      <c r="BP19" s="397">
        <f t="shared" si="22"/>
        <v>5</v>
      </c>
      <c r="BQ19" s="398">
        <f t="shared" si="23"/>
        <v>0.89999999999999991</v>
      </c>
      <c r="BR19" s="398">
        <f t="shared" si="158"/>
        <v>45</v>
      </c>
      <c r="BS19" s="398">
        <f t="shared" si="24"/>
        <v>10</v>
      </c>
      <c r="BT19" s="398">
        <f t="shared" si="25"/>
        <v>-7.5</v>
      </c>
      <c r="BU19" s="398">
        <f t="shared" si="159"/>
        <v>0.45</v>
      </c>
      <c r="BV19" s="399">
        <f t="shared" si="160"/>
        <v>101.62601626016261</v>
      </c>
      <c r="BW19" s="66"/>
      <c r="BX19" s="66"/>
      <c r="BY19" s="396">
        <f t="shared" si="26"/>
        <v>10</v>
      </c>
      <c r="BZ19" s="397">
        <f t="shared" si="27"/>
        <v>5</v>
      </c>
      <c r="CA19" s="398">
        <f t="shared" si="28"/>
        <v>0.89999999999999991</v>
      </c>
      <c r="CB19" s="398">
        <f t="shared" si="161"/>
        <v>45</v>
      </c>
      <c r="CC19" s="398">
        <f t="shared" si="29"/>
        <v>20</v>
      </c>
      <c r="CD19" s="398">
        <f t="shared" si="30"/>
        <v>7.5</v>
      </c>
      <c r="CE19" s="398">
        <f t="shared" si="162"/>
        <v>0.45</v>
      </c>
      <c r="CF19" s="399">
        <f t="shared" si="163"/>
        <v>101.62601626016261</v>
      </c>
      <c r="CG19" s="66"/>
      <c r="CH19" s="66"/>
      <c r="CI19" s="396">
        <f t="shared" si="31"/>
        <v>10</v>
      </c>
      <c r="CJ19" s="397">
        <f t="shared" si="32"/>
        <v>5</v>
      </c>
      <c r="CK19" s="398">
        <f t="shared" si="33"/>
        <v>0.89999999999999991</v>
      </c>
      <c r="CL19" s="398">
        <f t="shared" si="164"/>
        <v>45</v>
      </c>
      <c r="CM19" s="398">
        <f t="shared" si="34"/>
        <v>20</v>
      </c>
      <c r="CN19" s="398">
        <f t="shared" si="35"/>
        <v>2.5</v>
      </c>
      <c r="CO19" s="398">
        <f t="shared" si="165"/>
        <v>0.45</v>
      </c>
      <c r="CP19" s="399">
        <f t="shared" si="166"/>
        <v>101.62601626016261</v>
      </c>
      <c r="CQ19" s="66"/>
      <c r="CS19" s="396">
        <f t="shared" si="36"/>
        <v>10</v>
      </c>
      <c r="CT19" s="397">
        <f t="shared" si="37"/>
        <v>5</v>
      </c>
      <c r="CU19" s="398">
        <f t="shared" si="38"/>
        <v>0.89999999999999991</v>
      </c>
      <c r="CV19" s="398">
        <f t="shared" si="167"/>
        <v>45</v>
      </c>
      <c r="CW19" s="398">
        <f t="shared" si="39"/>
        <v>20</v>
      </c>
      <c r="CX19" s="398">
        <f t="shared" si="40"/>
        <v>-2.5</v>
      </c>
      <c r="CY19" s="398">
        <f t="shared" si="168"/>
        <v>0.45</v>
      </c>
      <c r="CZ19" s="399">
        <f t="shared" si="169"/>
        <v>101.62601626016261</v>
      </c>
      <c r="DA19" s="66"/>
      <c r="DB19" s="66"/>
      <c r="DC19" s="396">
        <f t="shared" si="41"/>
        <v>10</v>
      </c>
      <c r="DD19" s="397">
        <f t="shared" si="42"/>
        <v>5</v>
      </c>
      <c r="DE19" s="398">
        <f t="shared" si="43"/>
        <v>0.89999999999999991</v>
      </c>
      <c r="DF19" s="398">
        <f t="shared" si="170"/>
        <v>45</v>
      </c>
      <c r="DG19" s="398">
        <f t="shared" si="44"/>
        <v>20</v>
      </c>
      <c r="DH19" s="398">
        <f t="shared" si="45"/>
        <v>-7.5</v>
      </c>
      <c r="DI19" s="398">
        <f t="shared" si="171"/>
        <v>0.45</v>
      </c>
      <c r="DJ19" s="399">
        <f t="shared" si="172"/>
        <v>101.62601626016261</v>
      </c>
      <c r="DK19" s="66"/>
      <c r="DM19" s="396">
        <f t="shared" si="46"/>
        <v>10</v>
      </c>
      <c r="DN19" s="397">
        <f t="shared" si="47"/>
        <v>5</v>
      </c>
      <c r="DO19" s="398">
        <f t="shared" si="48"/>
        <v>0.89999999999999991</v>
      </c>
      <c r="DP19" s="398">
        <f t="shared" si="173"/>
        <v>45</v>
      </c>
      <c r="DQ19" s="398">
        <f t="shared" si="49"/>
        <v>30</v>
      </c>
      <c r="DR19" s="398">
        <f t="shared" si="50"/>
        <v>7.5</v>
      </c>
      <c r="DS19" s="398">
        <f t="shared" si="174"/>
        <v>0.45</v>
      </c>
      <c r="DT19" s="399">
        <f t="shared" si="175"/>
        <v>101.62601626016261</v>
      </c>
      <c r="DU19" s="66"/>
      <c r="DV19" s="66"/>
      <c r="DW19" s="396">
        <f t="shared" si="51"/>
        <v>10</v>
      </c>
      <c r="DX19" s="397">
        <f t="shared" si="52"/>
        <v>5</v>
      </c>
      <c r="DY19" s="398">
        <f t="shared" si="53"/>
        <v>0.89999999999999991</v>
      </c>
      <c r="DZ19" s="398">
        <f t="shared" si="176"/>
        <v>45</v>
      </c>
      <c r="EA19" s="398">
        <f t="shared" si="54"/>
        <v>30</v>
      </c>
      <c r="EB19" s="398">
        <f t="shared" si="55"/>
        <v>2.5</v>
      </c>
      <c r="EC19" s="398">
        <f t="shared" si="177"/>
        <v>0.45</v>
      </c>
      <c r="ED19" s="399">
        <f t="shared" si="178"/>
        <v>101.62601626016261</v>
      </c>
      <c r="EE19" s="66"/>
      <c r="EF19" s="66"/>
      <c r="EG19" s="396">
        <f t="shared" si="56"/>
        <v>10</v>
      </c>
      <c r="EH19" s="397">
        <f t="shared" si="57"/>
        <v>5</v>
      </c>
      <c r="EI19" s="398">
        <f t="shared" si="58"/>
        <v>0.89999999999999991</v>
      </c>
      <c r="EJ19" s="398">
        <f t="shared" si="179"/>
        <v>45</v>
      </c>
      <c r="EK19" s="398">
        <f t="shared" si="59"/>
        <v>30</v>
      </c>
      <c r="EL19" s="398">
        <f t="shared" si="60"/>
        <v>-2.5</v>
      </c>
      <c r="EM19" s="398">
        <f t="shared" si="180"/>
        <v>0.45</v>
      </c>
      <c r="EN19" s="399">
        <f t="shared" si="181"/>
        <v>101.62601626016261</v>
      </c>
      <c r="EO19" s="66"/>
      <c r="EP19" s="66"/>
      <c r="EQ19" s="396">
        <f t="shared" si="61"/>
        <v>10</v>
      </c>
      <c r="ER19" s="397">
        <f t="shared" si="62"/>
        <v>5</v>
      </c>
      <c r="ES19" s="398">
        <f t="shared" si="63"/>
        <v>0.89999999999999991</v>
      </c>
      <c r="ET19" s="398">
        <f t="shared" si="182"/>
        <v>45</v>
      </c>
      <c r="EU19" s="398">
        <f t="shared" si="64"/>
        <v>30</v>
      </c>
      <c r="EV19" s="398">
        <f t="shared" si="65"/>
        <v>-7.5</v>
      </c>
      <c r="EW19" s="398">
        <f t="shared" si="183"/>
        <v>0.45</v>
      </c>
      <c r="EX19" s="399">
        <f t="shared" si="184"/>
        <v>101.62601626016261</v>
      </c>
      <c r="EY19" s="66"/>
      <c r="EZ19" s="66"/>
      <c r="FA19" s="396">
        <f t="shared" si="66"/>
        <v>10</v>
      </c>
      <c r="FB19" s="397">
        <f t="shared" si="67"/>
        <v>5</v>
      </c>
      <c r="FC19" s="398">
        <f t="shared" si="68"/>
        <v>0.89999999999999991</v>
      </c>
      <c r="FD19" s="398">
        <f t="shared" si="185"/>
        <v>45</v>
      </c>
      <c r="FE19" s="398">
        <f t="shared" si="69"/>
        <v>40</v>
      </c>
      <c r="FF19" s="398">
        <f t="shared" si="70"/>
        <v>7.5</v>
      </c>
      <c r="FG19" s="398">
        <f t="shared" si="186"/>
        <v>0.45</v>
      </c>
      <c r="FH19" s="399">
        <f t="shared" si="187"/>
        <v>101.62601626016261</v>
      </c>
      <c r="FI19" s="66"/>
      <c r="FJ19" s="66"/>
      <c r="FK19" s="396">
        <f t="shared" si="71"/>
        <v>10</v>
      </c>
      <c r="FL19" s="397">
        <f t="shared" si="72"/>
        <v>5</v>
      </c>
      <c r="FM19" s="398">
        <f t="shared" si="73"/>
        <v>0.89999999999999991</v>
      </c>
      <c r="FN19" s="398">
        <f t="shared" si="188"/>
        <v>45</v>
      </c>
      <c r="FO19" s="398">
        <f t="shared" si="74"/>
        <v>40</v>
      </c>
      <c r="FP19" s="398">
        <f t="shared" si="75"/>
        <v>2.5</v>
      </c>
      <c r="FQ19" s="398">
        <f t="shared" si="189"/>
        <v>0.45</v>
      </c>
      <c r="FR19" s="399">
        <f t="shared" si="190"/>
        <v>101.62601626016261</v>
      </c>
      <c r="FS19" s="66"/>
      <c r="FT19" s="66"/>
      <c r="FU19" s="396">
        <f t="shared" si="76"/>
        <v>10</v>
      </c>
      <c r="FV19" s="397">
        <f t="shared" si="77"/>
        <v>5</v>
      </c>
      <c r="FW19" s="398">
        <f t="shared" si="78"/>
        <v>0.89999999999999991</v>
      </c>
      <c r="FX19" s="398">
        <f t="shared" si="191"/>
        <v>45</v>
      </c>
      <c r="FY19" s="398">
        <f t="shared" si="79"/>
        <v>40</v>
      </c>
      <c r="FZ19" s="398">
        <f t="shared" si="80"/>
        <v>-2.5</v>
      </c>
      <c r="GA19" s="398">
        <f t="shared" si="192"/>
        <v>0.45</v>
      </c>
      <c r="GB19" s="399">
        <f t="shared" si="193"/>
        <v>101.62601626016261</v>
      </c>
      <c r="GC19" s="66"/>
      <c r="GD19" s="66"/>
      <c r="GE19" s="396">
        <f t="shared" si="81"/>
        <v>10</v>
      </c>
      <c r="GF19" s="397">
        <f t="shared" si="82"/>
        <v>5</v>
      </c>
      <c r="GG19" s="398">
        <f t="shared" si="83"/>
        <v>0.89999999999999991</v>
      </c>
      <c r="GH19" s="398">
        <f t="shared" si="194"/>
        <v>45</v>
      </c>
      <c r="GI19" s="398">
        <f t="shared" si="84"/>
        <v>40</v>
      </c>
      <c r="GJ19" s="398">
        <f t="shared" si="85"/>
        <v>-7.5</v>
      </c>
      <c r="GK19" s="398">
        <f t="shared" si="195"/>
        <v>0.45</v>
      </c>
      <c r="GL19" s="399">
        <f t="shared" si="196"/>
        <v>101.62601626016261</v>
      </c>
      <c r="GM19" s="66"/>
      <c r="GN19" s="66"/>
      <c r="GO19" s="396">
        <f t="shared" si="86"/>
        <v>10</v>
      </c>
      <c r="GP19" s="397">
        <f t="shared" si="87"/>
        <v>5</v>
      </c>
      <c r="GQ19" s="398">
        <f t="shared" si="88"/>
        <v>0.89999999999999991</v>
      </c>
      <c r="GR19" s="398">
        <f t="shared" si="197"/>
        <v>45</v>
      </c>
      <c r="GS19" s="398">
        <f t="shared" si="89"/>
        <v>50</v>
      </c>
      <c r="GT19" s="398">
        <f t="shared" si="90"/>
        <v>7.5</v>
      </c>
      <c r="GU19" s="398">
        <f t="shared" si="198"/>
        <v>0.45</v>
      </c>
      <c r="GV19" s="399">
        <f t="shared" si="199"/>
        <v>101.62601626016261</v>
      </c>
      <c r="GW19" s="66"/>
      <c r="GX19" s="66"/>
      <c r="GY19" s="396">
        <f t="shared" si="91"/>
        <v>10</v>
      </c>
      <c r="GZ19" s="397">
        <f t="shared" si="92"/>
        <v>5</v>
      </c>
      <c r="HA19" s="398">
        <f t="shared" si="93"/>
        <v>0.89999999999999991</v>
      </c>
      <c r="HB19" s="398">
        <f t="shared" si="200"/>
        <v>45</v>
      </c>
      <c r="HC19" s="398">
        <f t="shared" si="94"/>
        <v>50</v>
      </c>
      <c r="HD19" s="398">
        <f t="shared" si="95"/>
        <v>2.5</v>
      </c>
      <c r="HE19" s="398">
        <f t="shared" si="201"/>
        <v>0.45</v>
      </c>
      <c r="HF19" s="399">
        <f t="shared" si="202"/>
        <v>101.62601626016261</v>
      </c>
      <c r="HH19" s="66"/>
      <c r="HI19" s="396">
        <f t="shared" si="96"/>
        <v>10</v>
      </c>
      <c r="HJ19" s="397">
        <f t="shared" si="97"/>
        <v>5</v>
      </c>
      <c r="HK19" s="398">
        <f t="shared" si="98"/>
        <v>0.89999999999999991</v>
      </c>
      <c r="HL19" s="398">
        <f t="shared" si="203"/>
        <v>45</v>
      </c>
      <c r="HM19" s="398">
        <f t="shared" si="99"/>
        <v>50</v>
      </c>
      <c r="HN19" s="398">
        <f t="shared" si="100"/>
        <v>-2.5</v>
      </c>
      <c r="HO19" s="398">
        <f t="shared" si="204"/>
        <v>0.45</v>
      </c>
      <c r="HP19" s="399">
        <f t="shared" si="205"/>
        <v>101.62601626016261</v>
      </c>
      <c r="HQ19" s="66"/>
      <c r="HR19" s="66"/>
      <c r="HS19" s="396">
        <f t="shared" si="101"/>
        <v>10</v>
      </c>
      <c r="HT19" s="397">
        <f t="shared" si="102"/>
        <v>5</v>
      </c>
      <c r="HU19" s="398">
        <f t="shared" si="103"/>
        <v>0.89999999999999991</v>
      </c>
      <c r="HV19" s="398">
        <f t="shared" si="206"/>
        <v>45</v>
      </c>
      <c r="HW19" s="398">
        <f t="shared" si="104"/>
        <v>50</v>
      </c>
      <c r="HX19" s="398">
        <f t="shared" si="105"/>
        <v>-7.5</v>
      </c>
      <c r="HY19" s="398">
        <f t="shared" si="207"/>
        <v>0.45</v>
      </c>
      <c r="HZ19" s="399">
        <f t="shared" si="208"/>
        <v>101.62601626016261</v>
      </c>
      <c r="IA19" s="66"/>
      <c r="IB19" s="66"/>
      <c r="IC19" s="396">
        <f t="shared" si="106"/>
        <v>1.5930000000000002</v>
      </c>
      <c r="ID19" s="397">
        <f t="shared" si="107"/>
        <v>20</v>
      </c>
      <c r="IE19" s="398">
        <f t="shared" si="108"/>
        <v>0.89999999999999991</v>
      </c>
      <c r="IF19" s="398">
        <f t="shared" si="209"/>
        <v>14.245727388991668</v>
      </c>
      <c r="IG19" s="398">
        <f t="shared" si="109"/>
        <v>55.531831512155897</v>
      </c>
      <c r="IH19" s="398">
        <f t="shared" si="110"/>
        <v>0</v>
      </c>
      <c r="II19" s="398">
        <f t="shared" si="210"/>
        <v>0.6009395617580725</v>
      </c>
      <c r="IJ19" s="399">
        <f t="shared" si="211"/>
        <v>1036.0975609756101</v>
      </c>
      <c r="IK19" s="66"/>
      <c r="IL19" s="66"/>
      <c r="IM19" s="396">
        <f t="shared" si="111"/>
        <v>10.26</v>
      </c>
      <c r="IN19" s="397">
        <f t="shared" si="112"/>
        <v>13.75</v>
      </c>
      <c r="IO19" s="398">
        <f t="shared" si="113"/>
        <v>0.89999999999999991</v>
      </c>
      <c r="IP19" s="398">
        <f t="shared" si="212"/>
        <v>113.0420792457199</v>
      </c>
      <c r="IQ19" s="398">
        <f t="shared" si="114"/>
        <v>67.195307490828341</v>
      </c>
      <c r="IR19" s="398">
        <f t="shared" si="115"/>
        <v>6.8749999999999991</v>
      </c>
      <c r="IS19" s="398">
        <f t="shared" si="213"/>
        <v>0.46824599266266648</v>
      </c>
      <c r="IT19" s="399">
        <f t="shared" si="214"/>
        <v>2168.454649390244</v>
      </c>
      <c r="IU19" s="66"/>
      <c r="IV19" s="66"/>
      <c r="IW19" s="396">
        <f t="shared" si="116"/>
        <v>10.26</v>
      </c>
      <c r="IX19" s="397">
        <f t="shared" si="117"/>
        <v>13.75</v>
      </c>
      <c r="IY19" s="398">
        <f t="shared" si="118"/>
        <v>0.89999999999999991</v>
      </c>
      <c r="IZ19" s="398">
        <f t="shared" si="215"/>
        <v>113.0420792457199</v>
      </c>
      <c r="JA19" s="398">
        <f t="shared" si="119"/>
        <v>67.195307490828341</v>
      </c>
      <c r="JB19" s="398">
        <f t="shared" si="120"/>
        <v>-6.8749999999999991</v>
      </c>
      <c r="JC19" s="398">
        <f t="shared" si="216"/>
        <v>0.46824599266266648</v>
      </c>
      <c r="JD19" s="399">
        <f t="shared" si="217"/>
        <v>2168.454649390244</v>
      </c>
      <c r="JE19" s="66"/>
      <c r="JF19" s="66"/>
      <c r="JG19" s="396">
        <f t="shared" si="121"/>
        <v>2.25</v>
      </c>
      <c r="JH19" s="397">
        <f t="shared" si="122"/>
        <v>6.875</v>
      </c>
      <c r="JI19" s="398">
        <f t="shared" si="123"/>
        <v>0.89999999999999991</v>
      </c>
      <c r="JJ19" s="398">
        <f t="shared" si="218"/>
        <v>6.9166225846975804</v>
      </c>
      <c r="JK19" s="398">
        <f t="shared" si="124"/>
        <v>70.351174452197583</v>
      </c>
      <c r="JL19" s="398">
        <f t="shared" si="125"/>
        <v>10.312500000000002</v>
      </c>
      <c r="JM19" s="398">
        <f t="shared" si="219"/>
        <v>1.7969395617580723</v>
      </c>
      <c r="JN19" s="399">
        <f t="shared" si="220"/>
        <v>59.44228753810976</v>
      </c>
      <c r="JO19" s="66"/>
      <c r="JP19" s="66"/>
      <c r="JQ19" s="396">
        <f t="shared" si="126"/>
        <v>2.25</v>
      </c>
      <c r="JR19" s="397">
        <f t="shared" si="127"/>
        <v>6.875</v>
      </c>
      <c r="JS19" s="398">
        <f t="shared" si="128"/>
        <v>0.89999999999999991</v>
      </c>
      <c r="JT19" s="398">
        <f t="shared" si="221"/>
        <v>6.9166225846975804</v>
      </c>
      <c r="JU19" s="398">
        <f t="shared" si="129"/>
        <v>70.351174452197583</v>
      </c>
      <c r="JV19" s="398">
        <f t="shared" si="130"/>
        <v>3.4375000000000004</v>
      </c>
      <c r="JW19" s="398">
        <f t="shared" si="222"/>
        <v>1.7969395617580723</v>
      </c>
      <c r="JX19" s="399">
        <f t="shared" si="223"/>
        <v>59.44228753810976</v>
      </c>
      <c r="JY19" s="66"/>
      <c r="JZ19" s="66"/>
      <c r="KA19" s="396">
        <f t="shared" si="131"/>
        <v>2.25</v>
      </c>
      <c r="KB19" s="397">
        <f t="shared" si="132"/>
        <v>6.875</v>
      </c>
      <c r="KC19" s="398">
        <f t="shared" si="133"/>
        <v>0.89999999999999991</v>
      </c>
      <c r="KD19" s="398">
        <f t="shared" si="224"/>
        <v>6.9166225846975804</v>
      </c>
      <c r="KE19" s="398">
        <f t="shared" si="134"/>
        <v>70.351174452197583</v>
      </c>
      <c r="KF19" s="398">
        <f t="shared" si="135"/>
        <v>-3.4375000000000004</v>
      </c>
      <c r="KG19" s="398">
        <f t="shared" si="225"/>
        <v>1.7969395617580723</v>
      </c>
      <c r="KH19" s="399">
        <f t="shared" si="226"/>
        <v>59.44228753810976</v>
      </c>
      <c r="KI19" s="66"/>
      <c r="KJ19" s="66"/>
      <c r="KK19" s="396">
        <f t="shared" si="136"/>
        <v>2.25</v>
      </c>
      <c r="KL19" s="397">
        <f t="shared" si="137"/>
        <v>6.875</v>
      </c>
      <c r="KM19" s="398">
        <f t="shared" si="138"/>
        <v>0.89999999999999991</v>
      </c>
      <c r="KN19" s="398">
        <f t="shared" si="227"/>
        <v>6.9166225846975804</v>
      </c>
      <c r="KO19" s="398">
        <f t="shared" si="139"/>
        <v>70.351174452197583</v>
      </c>
      <c r="KP19" s="398">
        <f t="shared" si="140"/>
        <v>-10.312500000000002</v>
      </c>
      <c r="KQ19" s="398">
        <f t="shared" si="228"/>
        <v>1.7969395617580723</v>
      </c>
      <c r="KR19" s="399">
        <f t="shared" si="229"/>
        <v>59.44228753810976</v>
      </c>
      <c r="KS19" s="66"/>
      <c r="KT19" s="66"/>
      <c r="KU19" s="396">
        <f t="shared" si="141"/>
        <v>5</v>
      </c>
      <c r="KV19" s="397">
        <f t="shared" si="142"/>
        <v>5</v>
      </c>
      <c r="KW19" s="398">
        <f t="shared" si="143"/>
        <v>0.89999999999999991</v>
      </c>
      <c r="KX19" s="398">
        <f t="shared" si="230"/>
        <v>22.5</v>
      </c>
      <c r="KY19" s="398">
        <f t="shared" si="144"/>
        <v>57.5</v>
      </c>
      <c r="KZ19" s="398">
        <f t="shared" si="145"/>
        <v>0</v>
      </c>
      <c r="LA19" s="398">
        <f t="shared" si="231"/>
        <v>0.45</v>
      </c>
      <c r="LB19" s="399">
        <f t="shared" si="232"/>
        <v>50.813008130081307</v>
      </c>
      <c r="LC19" s="66"/>
    </row>
    <row r="20" spans="1:315" s="67" customFormat="1" ht="15" customHeight="1" x14ac:dyDescent="0.25">
      <c r="A20" s="481"/>
      <c r="B20" s="73">
        <f t="shared" si="0"/>
        <v>10</v>
      </c>
      <c r="C20" s="347" t="str">
        <f>INDEX($AA$1:$LC$6,C$5,C$6+Tbl_Ballasts[[#This Row],[Index]]*Ballasts_columns_step)</f>
        <v>WB4Cp</v>
      </c>
      <c r="D20" s="114" t="str">
        <f ca="1">IFERROR(OFFSET($AA$1,D$5,D$6+Tbl_Ballasts[[#This Row],[Index]]*Ballasts_columns_step),0)</f>
        <v>OK</v>
      </c>
      <c r="E20" s="348">
        <v>4</v>
      </c>
      <c r="F20" s="349">
        <v>2</v>
      </c>
      <c r="G20" s="763" t="str">
        <f>TEXT(Tbl_Ballasts[[#This Row],[Recap Row]],"00")&amp;TEXT(Tbl_Ballasts[[#This Row],[Recap Col]],"00")</f>
        <v>0402</v>
      </c>
      <c r="H20" s="760">
        <f>INDEX(Recap_Ballasts,Tbl_Ballasts[[#This Row],[Recap Row]],Tbl_Ballasts[[#This Row],[Recap Col]])</f>
        <v>0</v>
      </c>
      <c r="I20" s="493">
        <f ca="1">IFERROR(OFFSET($AA$1,I$5,I$6+Tbl_Ballasts[[#This Row],[Index]]*Ballasts_columns_step),0)</f>
        <v>0</v>
      </c>
      <c r="J20" s="103">
        <f ca="1">IFERROR(OFFSET($AA$1,J$5,J$6+Tbl_Ballasts[[#This Row],[Index]]*Ballasts_columns_step),0)</f>
        <v>0</v>
      </c>
      <c r="K20" s="427">
        <f ca="1">IFERROR(OFFSET($AA$1,K$5,K$6+Tbl_Ballasts[[#This Row],[Index]]*Ballasts_columns_step),0)</f>
        <v>30</v>
      </c>
      <c r="L20" s="428">
        <f ca="1">IFERROR(OFFSET($AA$1,L$5,L$6+Tbl_Ballasts[[#This Row],[Index]]*Ballasts_columns_step),0)</f>
        <v>2.5</v>
      </c>
      <c r="M20" s="429">
        <f ca="1">IFERROR(OFFSET($AA$1,M$5,M$6+Tbl_Ballasts[[#This Row],[Index]]*Ballasts_columns_step),0)</f>
        <v>0</v>
      </c>
      <c r="N20" s="438">
        <f ca="1">IFERROR(OFFSET($AA$1,N$5,N$6+Tbl_Ballasts[[#This Row],[Index]]*Ballasts_columns_step),0)</f>
        <v>10</v>
      </c>
      <c r="O20" s="437" t="str">
        <f ca="1">IF(Tbl_Ballasts[[#This Row],[Weight Fact]],Tbl_Ballasts[[#This Row],[COG x ]]-Tbl_Ballasts[[#This Row],[Distrib]]/2,"")</f>
        <v/>
      </c>
      <c r="P20" s="439" t="str">
        <f ca="1">IF(Tbl_Ballasts[[#This Row],[Weight Fact]],Tbl_Ballasts[[#This Row],[COG x ]]+Tbl_Ballasts[[#This Row],[Distrib]]/2,"")</f>
        <v/>
      </c>
      <c r="Q20" s="440" t="str">
        <f ca="1">IF(Tbl_Ballasts[[#This Row],[Weight Fact]],ROUND(Tbl_Ballasts[[#This Row],[AP from]]/FE_size,0),"")</f>
        <v/>
      </c>
      <c r="R20" s="441" t="str">
        <f ca="1">IF(Tbl_Ballasts[[#This Row],[Weight Fact]],ROUND(Tbl_Ballasts[[#This Row],[AP to]]/FE_size,0),"")</f>
        <v/>
      </c>
      <c r="S20" s="114" t="str">
        <f ca="1">IF(Tbl_Ballasts[[#This Row],[Weight Fact]]=0,"",IF(AND(Tbl_Ballasts[[#This Row],[COG x ]]&gt;=(Tbl_Ballasts[[#This Row],[L to]]-Tbl_Ballasts[[#This Row],[L from]])/3+Tbl_Ballasts[[#This Row],[L from]],Tbl_Ballasts[[#This Row],[COG x ]]&lt;=(Tbl_Ballasts[[#This Row],[L to]]-Tbl_Ballasts[[#This Row],[L from]])*2/3+Tbl_Ballasts[[#This Row],[L from]],Tbl_Ballasts[[#This Row],[L to]]&gt;Tbl_Ballasts[[#This Row],[L from]]),"OK","KO"))</f>
        <v/>
      </c>
      <c r="T20" s="442" t="str">
        <f ca="1">IF(Tbl_Ballasts[[#This Row],[Weight Fact]],IF(Tbl_Ballasts[[#This Row],[Fr from]]*FE_size&lt;0,0,Tbl_Ballasts[[#This Row],[Fr from]]*FE_size),"")</f>
        <v/>
      </c>
      <c r="U20" s="443" t="str">
        <f ca="1">IF(Tbl_Ballasts[[#This Row],[Weight Fact]],IF(Tbl_Ballasts[[#This Row],[Fr to]]*FE_size=Tbl_Ballasts[[#This Row],[L from]],Tbl_Ballasts[[#This Row],[L from]]+FE_size,IF(Tbl_Ballasts[[#This Row],[Fr to]]*FE_size&gt;Lpp,Lpp,Tbl_Ballasts[[#This Row],[Fr to]]*FE_size)),"")</f>
        <v/>
      </c>
      <c r="V20" s="444" t="str">
        <f ca="1">IFERROR(Tbl_Ballasts[[#This Row],[Weight Fact]]/(Tbl_Ballasts[[#This Row],[L to]]-Tbl_Ballasts[[#This Row],[L from]]),"")</f>
        <v/>
      </c>
      <c r="W20" s="145" t="str">
        <f ca="1">IF(Tbl_Ballasts[[#This Row],[Weight Fact]],Tbl_Ballasts[[#This Row],[Spread]]*(Tbl_Ballasts[[#This Row],[L to]]-Tbl_Ballasts[[#This Row],[L from]])-Tbl_Ballasts[[#This Row],[Weight Fact]],"")</f>
        <v/>
      </c>
      <c r="X20" s="141" t="str">
        <f ca="1">IF(AND(ISNUMBER(Tbl_Ballasts[[#This Row],[L from]]),ISNUMBER(Tbl_Ballasts[[#This Row],[L to]])),IF(AND(Tbl_Ballasts[[#This Row],[L from]]&gt;=0,Tbl_Ballasts[[#This Row],[L to]]&lt;=Lpp),"OK","KO"),"OK")</f>
        <v>OK</v>
      </c>
      <c r="Y20" s="481"/>
      <c r="Z20" s="413"/>
      <c r="AA20" s="396">
        <f t="shared" si="1"/>
        <v>1.7769999999999997</v>
      </c>
      <c r="AB20" s="397">
        <f t="shared" si="2"/>
        <v>20</v>
      </c>
      <c r="AC20" s="398">
        <f t="shared" si="3"/>
        <v>0.99999999999999989</v>
      </c>
      <c r="AD20" s="398">
        <f t="shared" si="146"/>
        <v>17.676806570953893</v>
      </c>
      <c r="AE20" s="398">
        <f t="shared" si="4"/>
        <v>4.4068552635863121</v>
      </c>
      <c r="AF20" s="398">
        <f t="shared" si="5"/>
        <v>0</v>
      </c>
      <c r="AG20" s="398">
        <f t="shared" si="147"/>
        <v>0.66757989466931689</v>
      </c>
      <c r="AH20" s="399">
        <f t="shared" si="148"/>
        <v>1155.7723577235772</v>
      </c>
      <c r="AI20" s="367"/>
      <c r="AJ20" s="66"/>
      <c r="AK20" s="396">
        <f t="shared" si="6"/>
        <v>10</v>
      </c>
      <c r="AL20" s="397">
        <f t="shared" si="7"/>
        <v>5</v>
      </c>
      <c r="AM20" s="398">
        <f t="shared" si="8"/>
        <v>0.99999999999999989</v>
      </c>
      <c r="AN20" s="398">
        <f t="shared" si="149"/>
        <v>50</v>
      </c>
      <c r="AO20" s="398">
        <f t="shared" si="9"/>
        <v>10</v>
      </c>
      <c r="AP20" s="398">
        <f t="shared" si="10"/>
        <v>7.5</v>
      </c>
      <c r="AQ20" s="398">
        <f t="shared" si="150"/>
        <v>0.5</v>
      </c>
      <c r="AR20" s="399">
        <f t="shared" si="151"/>
        <v>101.62601626016261</v>
      </c>
      <c r="AS20" s="66"/>
      <c r="AT20" s="66"/>
      <c r="AU20" s="396">
        <f t="shared" si="11"/>
        <v>10</v>
      </c>
      <c r="AV20" s="397">
        <f t="shared" si="12"/>
        <v>5</v>
      </c>
      <c r="AW20" s="398">
        <f t="shared" si="13"/>
        <v>0.99999999999999989</v>
      </c>
      <c r="AX20" s="398">
        <f t="shared" si="152"/>
        <v>50</v>
      </c>
      <c r="AY20" s="398">
        <f t="shared" si="14"/>
        <v>10</v>
      </c>
      <c r="AZ20" s="398">
        <f t="shared" si="15"/>
        <v>2.5</v>
      </c>
      <c r="BA20" s="398">
        <f t="shared" si="153"/>
        <v>0.5</v>
      </c>
      <c r="BB20" s="399">
        <f t="shared" si="154"/>
        <v>101.62601626016261</v>
      </c>
      <c r="BC20" s="66"/>
      <c r="BD20" s="66"/>
      <c r="BE20" s="396">
        <f t="shared" si="16"/>
        <v>10</v>
      </c>
      <c r="BF20" s="397">
        <f t="shared" si="17"/>
        <v>5</v>
      </c>
      <c r="BG20" s="398">
        <f t="shared" si="18"/>
        <v>0.99999999999999989</v>
      </c>
      <c r="BH20" s="398">
        <f t="shared" si="155"/>
        <v>50</v>
      </c>
      <c r="BI20" s="398">
        <f t="shared" si="19"/>
        <v>10</v>
      </c>
      <c r="BJ20" s="398">
        <f t="shared" si="20"/>
        <v>-2.5</v>
      </c>
      <c r="BK20" s="398">
        <f t="shared" si="156"/>
        <v>0.5</v>
      </c>
      <c r="BL20" s="399">
        <f t="shared" si="157"/>
        <v>101.62601626016261</v>
      </c>
      <c r="BM20" s="66"/>
      <c r="BN20" s="66"/>
      <c r="BO20" s="396">
        <f t="shared" si="21"/>
        <v>10</v>
      </c>
      <c r="BP20" s="397">
        <f t="shared" si="22"/>
        <v>5</v>
      </c>
      <c r="BQ20" s="398">
        <f t="shared" si="23"/>
        <v>0.99999999999999989</v>
      </c>
      <c r="BR20" s="398">
        <f t="shared" si="158"/>
        <v>50</v>
      </c>
      <c r="BS20" s="398">
        <f t="shared" si="24"/>
        <v>10</v>
      </c>
      <c r="BT20" s="398">
        <f t="shared" si="25"/>
        <v>-7.5</v>
      </c>
      <c r="BU20" s="398">
        <f t="shared" si="159"/>
        <v>0.5</v>
      </c>
      <c r="BV20" s="399">
        <f t="shared" si="160"/>
        <v>101.62601626016261</v>
      </c>
      <c r="BW20" s="66"/>
      <c r="BX20" s="66"/>
      <c r="BY20" s="396">
        <f t="shared" si="26"/>
        <v>10</v>
      </c>
      <c r="BZ20" s="397">
        <f t="shared" si="27"/>
        <v>5</v>
      </c>
      <c r="CA20" s="398">
        <f t="shared" si="28"/>
        <v>0.99999999999999989</v>
      </c>
      <c r="CB20" s="398">
        <f t="shared" si="161"/>
        <v>50</v>
      </c>
      <c r="CC20" s="398">
        <f t="shared" si="29"/>
        <v>20</v>
      </c>
      <c r="CD20" s="398">
        <f t="shared" si="30"/>
        <v>7.5</v>
      </c>
      <c r="CE20" s="398">
        <f t="shared" si="162"/>
        <v>0.5</v>
      </c>
      <c r="CF20" s="399">
        <f t="shared" si="163"/>
        <v>101.62601626016261</v>
      </c>
      <c r="CG20" s="66"/>
      <c r="CH20" s="66"/>
      <c r="CI20" s="396">
        <f t="shared" si="31"/>
        <v>10</v>
      </c>
      <c r="CJ20" s="397">
        <f t="shared" si="32"/>
        <v>5</v>
      </c>
      <c r="CK20" s="398">
        <f t="shared" si="33"/>
        <v>0.99999999999999989</v>
      </c>
      <c r="CL20" s="398">
        <f t="shared" si="164"/>
        <v>50</v>
      </c>
      <c r="CM20" s="398">
        <f t="shared" si="34"/>
        <v>20</v>
      </c>
      <c r="CN20" s="398">
        <f t="shared" si="35"/>
        <v>2.5</v>
      </c>
      <c r="CO20" s="398">
        <f t="shared" si="165"/>
        <v>0.5</v>
      </c>
      <c r="CP20" s="399">
        <f t="shared" si="166"/>
        <v>101.62601626016261</v>
      </c>
      <c r="CQ20" s="66"/>
      <c r="CS20" s="396">
        <f t="shared" si="36"/>
        <v>10</v>
      </c>
      <c r="CT20" s="397">
        <f t="shared" si="37"/>
        <v>5</v>
      </c>
      <c r="CU20" s="398">
        <f t="shared" si="38"/>
        <v>0.99999999999999989</v>
      </c>
      <c r="CV20" s="398">
        <f t="shared" si="167"/>
        <v>50</v>
      </c>
      <c r="CW20" s="398">
        <f t="shared" si="39"/>
        <v>20</v>
      </c>
      <c r="CX20" s="398">
        <f t="shared" si="40"/>
        <v>-2.5</v>
      </c>
      <c r="CY20" s="398">
        <f t="shared" si="168"/>
        <v>0.5</v>
      </c>
      <c r="CZ20" s="399">
        <f t="shared" si="169"/>
        <v>101.62601626016261</v>
      </c>
      <c r="DA20" s="66"/>
      <c r="DB20" s="66"/>
      <c r="DC20" s="396">
        <f t="shared" si="41"/>
        <v>10</v>
      </c>
      <c r="DD20" s="397">
        <f t="shared" si="42"/>
        <v>5</v>
      </c>
      <c r="DE20" s="398">
        <f t="shared" si="43"/>
        <v>0.99999999999999989</v>
      </c>
      <c r="DF20" s="398">
        <f t="shared" si="170"/>
        <v>50</v>
      </c>
      <c r="DG20" s="398">
        <f t="shared" si="44"/>
        <v>20</v>
      </c>
      <c r="DH20" s="398">
        <f t="shared" si="45"/>
        <v>-7.5</v>
      </c>
      <c r="DI20" s="398">
        <f t="shared" si="171"/>
        <v>0.5</v>
      </c>
      <c r="DJ20" s="399">
        <f t="shared" si="172"/>
        <v>101.62601626016261</v>
      </c>
      <c r="DK20" s="66"/>
      <c r="DM20" s="396">
        <f t="shared" si="46"/>
        <v>10</v>
      </c>
      <c r="DN20" s="397">
        <f t="shared" si="47"/>
        <v>5</v>
      </c>
      <c r="DO20" s="398">
        <f t="shared" si="48"/>
        <v>0.99999999999999989</v>
      </c>
      <c r="DP20" s="398">
        <f t="shared" si="173"/>
        <v>50</v>
      </c>
      <c r="DQ20" s="398">
        <f t="shared" si="49"/>
        <v>30</v>
      </c>
      <c r="DR20" s="398">
        <f t="shared" si="50"/>
        <v>7.5</v>
      </c>
      <c r="DS20" s="398">
        <f t="shared" si="174"/>
        <v>0.5</v>
      </c>
      <c r="DT20" s="399">
        <f t="shared" si="175"/>
        <v>101.62601626016261</v>
      </c>
      <c r="DU20" s="66"/>
      <c r="DV20" s="66"/>
      <c r="DW20" s="396">
        <f t="shared" si="51"/>
        <v>10</v>
      </c>
      <c r="DX20" s="397">
        <f t="shared" si="52"/>
        <v>5</v>
      </c>
      <c r="DY20" s="398">
        <f t="shared" si="53"/>
        <v>0.99999999999999989</v>
      </c>
      <c r="DZ20" s="398">
        <f t="shared" si="176"/>
        <v>50</v>
      </c>
      <c r="EA20" s="398">
        <f t="shared" si="54"/>
        <v>30</v>
      </c>
      <c r="EB20" s="398">
        <f t="shared" si="55"/>
        <v>2.5</v>
      </c>
      <c r="EC20" s="398">
        <f t="shared" si="177"/>
        <v>0.5</v>
      </c>
      <c r="ED20" s="399">
        <f t="shared" si="178"/>
        <v>101.62601626016261</v>
      </c>
      <c r="EE20" s="66"/>
      <c r="EF20" s="66"/>
      <c r="EG20" s="396">
        <f t="shared" si="56"/>
        <v>10</v>
      </c>
      <c r="EH20" s="397">
        <f t="shared" si="57"/>
        <v>5</v>
      </c>
      <c r="EI20" s="398">
        <f t="shared" si="58"/>
        <v>0.99999999999999989</v>
      </c>
      <c r="EJ20" s="398">
        <f t="shared" si="179"/>
        <v>50</v>
      </c>
      <c r="EK20" s="398">
        <f t="shared" si="59"/>
        <v>30</v>
      </c>
      <c r="EL20" s="398">
        <f t="shared" si="60"/>
        <v>-2.5</v>
      </c>
      <c r="EM20" s="398">
        <f t="shared" si="180"/>
        <v>0.5</v>
      </c>
      <c r="EN20" s="399">
        <f t="shared" si="181"/>
        <v>101.62601626016261</v>
      </c>
      <c r="EO20" s="66"/>
      <c r="EP20" s="66"/>
      <c r="EQ20" s="396">
        <f t="shared" si="61"/>
        <v>10</v>
      </c>
      <c r="ER20" s="397">
        <f t="shared" si="62"/>
        <v>5</v>
      </c>
      <c r="ES20" s="398">
        <f t="shared" si="63"/>
        <v>0.99999999999999989</v>
      </c>
      <c r="ET20" s="398">
        <f t="shared" si="182"/>
        <v>50</v>
      </c>
      <c r="EU20" s="398">
        <f t="shared" si="64"/>
        <v>30</v>
      </c>
      <c r="EV20" s="398">
        <f t="shared" si="65"/>
        <v>-7.5</v>
      </c>
      <c r="EW20" s="398">
        <f t="shared" si="183"/>
        <v>0.5</v>
      </c>
      <c r="EX20" s="399">
        <f t="shared" si="184"/>
        <v>101.62601626016261</v>
      </c>
      <c r="EY20" s="66"/>
      <c r="EZ20" s="66"/>
      <c r="FA20" s="396">
        <f t="shared" si="66"/>
        <v>10</v>
      </c>
      <c r="FB20" s="397">
        <f t="shared" si="67"/>
        <v>5</v>
      </c>
      <c r="FC20" s="398">
        <f t="shared" si="68"/>
        <v>0.99999999999999989</v>
      </c>
      <c r="FD20" s="398">
        <f t="shared" si="185"/>
        <v>50</v>
      </c>
      <c r="FE20" s="398">
        <f t="shared" si="69"/>
        <v>40</v>
      </c>
      <c r="FF20" s="398">
        <f t="shared" si="70"/>
        <v>7.5</v>
      </c>
      <c r="FG20" s="398">
        <f t="shared" si="186"/>
        <v>0.5</v>
      </c>
      <c r="FH20" s="399">
        <f t="shared" si="187"/>
        <v>101.62601626016261</v>
      </c>
      <c r="FI20" s="66"/>
      <c r="FJ20" s="66"/>
      <c r="FK20" s="396">
        <f t="shared" si="71"/>
        <v>10</v>
      </c>
      <c r="FL20" s="397">
        <f t="shared" si="72"/>
        <v>5</v>
      </c>
      <c r="FM20" s="398">
        <f t="shared" si="73"/>
        <v>0.99999999999999989</v>
      </c>
      <c r="FN20" s="398">
        <f t="shared" si="188"/>
        <v>50</v>
      </c>
      <c r="FO20" s="398">
        <f t="shared" si="74"/>
        <v>40</v>
      </c>
      <c r="FP20" s="398">
        <f t="shared" si="75"/>
        <v>2.5</v>
      </c>
      <c r="FQ20" s="398">
        <f t="shared" si="189"/>
        <v>0.5</v>
      </c>
      <c r="FR20" s="399">
        <f t="shared" si="190"/>
        <v>101.62601626016261</v>
      </c>
      <c r="FS20" s="66"/>
      <c r="FT20" s="66"/>
      <c r="FU20" s="396">
        <f t="shared" si="76"/>
        <v>10</v>
      </c>
      <c r="FV20" s="397">
        <f t="shared" si="77"/>
        <v>5</v>
      </c>
      <c r="FW20" s="398">
        <f t="shared" si="78"/>
        <v>0.99999999999999989</v>
      </c>
      <c r="FX20" s="398">
        <f t="shared" si="191"/>
        <v>50</v>
      </c>
      <c r="FY20" s="398">
        <f t="shared" si="79"/>
        <v>40</v>
      </c>
      <c r="FZ20" s="398">
        <f t="shared" si="80"/>
        <v>-2.5</v>
      </c>
      <c r="GA20" s="398">
        <f t="shared" si="192"/>
        <v>0.5</v>
      </c>
      <c r="GB20" s="399">
        <f t="shared" si="193"/>
        <v>101.62601626016261</v>
      </c>
      <c r="GC20" s="66"/>
      <c r="GD20" s="66"/>
      <c r="GE20" s="396">
        <f t="shared" si="81"/>
        <v>10</v>
      </c>
      <c r="GF20" s="397">
        <f t="shared" si="82"/>
        <v>5</v>
      </c>
      <c r="GG20" s="398">
        <f t="shared" si="83"/>
        <v>0.99999999999999989</v>
      </c>
      <c r="GH20" s="398">
        <f t="shared" si="194"/>
        <v>50</v>
      </c>
      <c r="GI20" s="398">
        <f t="shared" si="84"/>
        <v>40</v>
      </c>
      <c r="GJ20" s="398">
        <f t="shared" si="85"/>
        <v>-7.5</v>
      </c>
      <c r="GK20" s="398">
        <f t="shared" si="195"/>
        <v>0.5</v>
      </c>
      <c r="GL20" s="399">
        <f t="shared" si="196"/>
        <v>101.62601626016261</v>
      </c>
      <c r="GM20" s="66"/>
      <c r="GN20" s="66"/>
      <c r="GO20" s="396">
        <f t="shared" si="86"/>
        <v>10</v>
      </c>
      <c r="GP20" s="397">
        <f t="shared" si="87"/>
        <v>5</v>
      </c>
      <c r="GQ20" s="398">
        <f t="shared" si="88"/>
        <v>0.99999999999999989</v>
      </c>
      <c r="GR20" s="398">
        <f t="shared" si="197"/>
        <v>50</v>
      </c>
      <c r="GS20" s="398">
        <f t="shared" si="89"/>
        <v>50</v>
      </c>
      <c r="GT20" s="398">
        <f t="shared" si="90"/>
        <v>7.5</v>
      </c>
      <c r="GU20" s="398">
        <f t="shared" si="198"/>
        <v>0.5</v>
      </c>
      <c r="GV20" s="399">
        <f t="shared" si="199"/>
        <v>101.62601626016261</v>
      </c>
      <c r="GW20" s="66"/>
      <c r="GX20" s="66"/>
      <c r="GY20" s="396">
        <f t="shared" si="91"/>
        <v>10</v>
      </c>
      <c r="GZ20" s="397">
        <f t="shared" si="92"/>
        <v>5</v>
      </c>
      <c r="HA20" s="398">
        <f t="shared" si="93"/>
        <v>0.99999999999999989</v>
      </c>
      <c r="HB20" s="398">
        <f t="shared" si="200"/>
        <v>50</v>
      </c>
      <c r="HC20" s="398">
        <f t="shared" si="94"/>
        <v>50</v>
      </c>
      <c r="HD20" s="398">
        <f t="shared" si="95"/>
        <v>2.5</v>
      </c>
      <c r="HE20" s="398">
        <f t="shared" si="201"/>
        <v>0.5</v>
      </c>
      <c r="HF20" s="399">
        <f t="shared" si="202"/>
        <v>101.62601626016261</v>
      </c>
      <c r="HH20" s="66"/>
      <c r="HI20" s="396">
        <f t="shared" si="96"/>
        <v>10</v>
      </c>
      <c r="HJ20" s="397">
        <f t="shared" si="97"/>
        <v>5</v>
      </c>
      <c r="HK20" s="398">
        <f t="shared" si="98"/>
        <v>0.99999999999999989</v>
      </c>
      <c r="HL20" s="398">
        <f t="shared" si="203"/>
        <v>50</v>
      </c>
      <c r="HM20" s="398">
        <f t="shared" si="99"/>
        <v>50</v>
      </c>
      <c r="HN20" s="398">
        <f t="shared" si="100"/>
        <v>-2.5</v>
      </c>
      <c r="HO20" s="398">
        <f t="shared" si="204"/>
        <v>0.5</v>
      </c>
      <c r="HP20" s="399">
        <f t="shared" si="205"/>
        <v>101.62601626016261</v>
      </c>
      <c r="HQ20" s="66"/>
      <c r="HR20" s="66"/>
      <c r="HS20" s="396">
        <f t="shared" si="101"/>
        <v>10</v>
      </c>
      <c r="HT20" s="397">
        <f t="shared" si="102"/>
        <v>5</v>
      </c>
      <c r="HU20" s="398">
        <f t="shared" si="103"/>
        <v>0.99999999999999989</v>
      </c>
      <c r="HV20" s="398">
        <f t="shared" si="206"/>
        <v>50</v>
      </c>
      <c r="HW20" s="398">
        <f t="shared" si="104"/>
        <v>50</v>
      </c>
      <c r="HX20" s="398">
        <f t="shared" si="105"/>
        <v>-7.5</v>
      </c>
      <c r="HY20" s="398">
        <f t="shared" si="207"/>
        <v>0.5</v>
      </c>
      <c r="HZ20" s="399">
        <f t="shared" si="208"/>
        <v>101.62601626016261</v>
      </c>
      <c r="IA20" s="66"/>
      <c r="IB20" s="66"/>
      <c r="IC20" s="396">
        <f t="shared" si="106"/>
        <v>1.7700000000000002</v>
      </c>
      <c r="ID20" s="397">
        <f t="shared" si="107"/>
        <v>20</v>
      </c>
      <c r="IE20" s="398">
        <f t="shared" si="108"/>
        <v>0.99999999999999989</v>
      </c>
      <c r="IF20" s="398">
        <f t="shared" si="209"/>
        <v>17.607173680691275</v>
      </c>
      <c r="IG20" s="398">
        <f t="shared" si="109"/>
        <v>55.590808206782349</v>
      </c>
      <c r="IH20" s="398">
        <f t="shared" si="110"/>
        <v>0</v>
      </c>
      <c r="II20" s="398">
        <f t="shared" si="210"/>
        <v>0.66757989466931689</v>
      </c>
      <c r="IJ20" s="399">
        <f t="shared" si="211"/>
        <v>1151.2195121951222</v>
      </c>
      <c r="IK20" s="66"/>
      <c r="IL20" s="66"/>
      <c r="IM20" s="396">
        <f t="shared" si="111"/>
        <v>10.51</v>
      </c>
      <c r="IN20" s="397">
        <f t="shared" si="112"/>
        <v>13.75</v>
      </c>
      <c r="IO20" s="398">
        <f t="shared" si="113"/>
        <v>0.99999999999999989</v>
      </c>
      <c r="IP20" s="398">
        <f t="shared" si="212"/>
        <v>127.32110943504397</v>
      </c>
      <c r="IQ20" s="398">
        <f t="shared" si="114"/>
        <v>67.262843228275187</v>
      </c>
      <c r="IR20" s="398">
        <f t="shared" si="115"/>
        <v>6.8749999999999991</v>
      </c>
      <c r="IS20" s="398">
        <f t="shared" si="213"/>
        <v>0.52227458262014803</v>
      </c>
      <c r="IT20" s="399">
        <f t="shared" si="214"/>
        <v>2221.2922383130085</v>
      </c>
      <c r="IU20" s="66"/>
      <c r="IV20" s="66"/>
      <c r="IW20" s="396">
        <f t="shared" si="116"/>
        <v>10.51</v>
      </c>
      <c r="IX20" s="397">
        <f t="shared" si="117"/>
        <v>13.75</v>
      </c>
      <c r="IY20" s="398">
        <f t="shared" si="118"/>
        <v>0.99999999999999989</v>
      </c>
      <c r="IZ20" s="398">
        <f t="shared" si="215"/>
        <v>127.32110943504397</v>
      </c>
      <c r="JA20" s="398">
        <f t="shared" si="119"/>
        <v>67.262843228275187</v>
      </c>
      <c r="JB20" s="398">
        <f t="shared" si="120"/>
        <v>-6.8749999999999991</v>
      </c>
      <c r="JC20" s="398">
        <f t="shared" si="216"/>
        <v>0.52227458262014803</v>
      </c>
      <c r="JD20" s="399">
        <f t="shared" si="217"/>
        <v>2221.2922383130085</v>
      </c>
      <c r="JE20" s="66"/>
      <c r="JF20" s="66"/>
      <c r="JG20" s="396">
        <f t="shared" si="121"/>
        <v>2.5</v>
      </c>
      <c r="JH20" s="397">
        <f t="shared" si="122"/>
        <v>6.875</v>
      </c>
      <c r="JI20" s="398">
        <f t="shared" si="123"/>
        <v>0.99999999999999989</v>
      </c>
      <c r="JJ20" s="398">
        <f t="shared" si="218"/>
        <v>8.5486807242056866</v>
      </c>
      <c r="JK20" s="398">
        <f t="shared" si="124"/>
        <v>70.434474868336636</v>
      </c>
      <c r="JL20" s="398">
        <f t="shared" si="125"/>
        <v>10.3125</v>
      </c>
      <c r="JM20" s="398">
        <f t="shared" si="219"/>
        <v>1.8635798946693167</v>
      </c>
      <c r="JN20" s="399">
        <f t="shared" si="220"/>
        <v>66.046986153455293</v>
      </c>
      <c r="JO20" s="66"/>
      <c r="JP20" s="66"/>
      <c r="JQ20" s="396">
        <f t="shared" si="126"/>
        <v>2.5</v>
      </c>
      <c r="JR20" s="397">
        <f t="shared" si="127"/>
        <v>6.875</v>
      </c>
      <c r="JS20" s="398">
        <f t="shared" si="128"/>
        <v>0.99999999999999989</v>
      </c>
      <c r="JT20" s="398">
        <f t="shared" si="221"/>
        <v>8.5486807242056866</v>
      </c>
      <c r="JU20" s="398">
        <f t="shared" si="129"/>
        <v>70.434474868336636</v>
      </c>
      <c r="JV20" s="398">
        <f t="shared" si="130"/>
        <v>3.4375</v>
      </c>
      <c r="JW20" s="398">
        <f t="shared" si="222"/>
        <v>1.8635798946693167</v>
      </c>
      <c r="JX20" s="399">
        <f t="shared" si="223"/>
        <v>66.046986153455293</v>
      </c>
      <c r="JY20" s="66"/>
      <c r="JZ20" s="66"/>
      <c r="KA20" s="396">
        <f t="shared" si="131"/>
        <v>2.5</v>
      </c>
      <c r="KB20" s="397">
        <f t="shared" si="132"/>
        <v>6.875</v>
      </c>
      <c r="KC20" s="398">
        <f t="shared" si="133"/>
        <v>0.99999999999999989</v>
      </c>
      <c r="KD20" s="398">
        <f t="shared" si="224"/>
        <v>8.5486807242056866</v>
      </c>
      <c r="KE20" s="398">
        <f t="shared" si="134"/>
        <v>70.434474868336636</v>
      </c>
      <c r="KF20" s="398">
        <f t="shared" si="135"/>
        <v>-3.4375</v>
      </c>
      <c r="KG20" s="398">
        <f t="shared" si="225"/>
        <v>1.8635798946693167</v>
      </c>
      <c r="KH20" s="399">
        <f t="shared" si="226"/>
        <v>66.046986153455293</v>
      </c>
      <c r="KI20" s="66"/>
      <c r="KJ20" s="66"/>
      <c r="KK20" s="396">
        <f t="shared" si="136"/>
        <v>2.5</v>
      </c>
      <c r="KL20" s="397">
        <f t="shared" si="137"/>
        <v>6.875</v>
      </c>
      <c r="KM20" s="398">
        <f t="shared" si="138"/>
        <v>0.99999999999999989</v>
      </c>
      <c r="KN20" s="398">
        <f t="shared" si="227"/>
        <v>8.5486807242056866</v>
      </c>
      <c r="KO20" s="398">
        <f t="shared" si="139"/>
        <v>70.434474868336636</v>
      </c>
      <c r="KP20" s="398">
        <f t="shared" si="140"/>
        <v>-10.3125</v>
      </c>
      <c r="KQ20" s="398">
        <f t="shared" si="228"/>
        <v>1.8635798946693167</v>
      </c>
      <c r="KR20" s="399">
        <f t="shared" si="229"/>
        <v>66.046986153455293</v>
      </c>
      <c r="KS20" s="66"/>
      <c r="KT20" s="66"/>
      <c r="KU20" s="396">
        <f t="shared" si="141"/>
        <v>5</v>
      </c>
      <c r="KV20" s="397">
        <f t="shared" si="142"/>
        <v>5</v>
      </c>
      <c r="KW20" s="398">
        <f t="shared" si="143"/>
        <v>0.99999999999999989</v>
      </c>
      <c r="KX20" s="398">
        <f t="shared" si="230"/>
        <v>25</v>
      </c>
      <c r="KY20" s="398">
        <f t="shared" si="144"/>
        <v>57.5</v>
      </c>
      <c r="KZ20" s="398">
        <f t="shared" si="145"/>
        <v>0</v>
      </c>
      <c r="LA20" s="398">
        <f t="shared" si="231"/>
        <v>0.5</v>
      </c>
      <c r="LB20" s="399">
        <f t="shared" si="232"/>
        <v>50.813008130081307</v>
      </c>
      <c r="LC20" s="66"/>
    </row>
    <row r="21" spans="1:315" s="67" customFormat="1" ht="15" customHeight="1" x14ac:dyDescent="0.25">
      <c r="A21" s="481"/>
      <c r="B21" s="73">
        <f t="shared" si="0"/>
        <v>11</v>
      </c>
      <c r="C21" s="347" t="str">
        <f>INDEX($AA$1:$LC$6,C$5,C$6+Tbl_Ballasts[[#This Row],[Index]]*Ballasts_columns_step)</f>
        <v>WB4Cs</v>
      </c>
      <c r="D21" s="114" t="str">
        <f ca="1">IFERROR(OFFSET($AA$1,D$5,D$6+Tbl_Ballasts[[#This Row],[Index]]*Ballasts_columns_step),0)</f>
        <v>OK</v>
      </c>
      <c r="E21" s="348">
        <v>4</v>
      </c>
      <c r="F21" s="349">
        <v>3</v>
      </c>
      <c r="G21" s="763" t="str">
        <f>TEXT(Tbl_Ballasts[[#This Row],[Recap Row]],"00")&amp;TEXT(Tbl_Ballasts[[#This Row],[Recap Col]],"00")</f>
        <v>0403</v>
      </c>
      <c r="H21" s="760">
        <f>INDEX(Recap_Ballasts,Tbl_Ballasts[[#This Row],[Recap Row]],Tbl_Ballasts[[#This Row],[Recap Col]])</f>
        <v>0</v>
      </c>
      <c r="I21" s="493">
        <f ca="1">IFERROR(OFFSET($AA$1,I$5,I$6+Tbl_Ballasts[[#This Row],[Index]]*Ballasts_columns_step),0)</f>
        <v>0</v>
      </c>
      <c r="J21" s="103">
        <f ca="1">IFERROR(OFFSET($AA$1,J$5,J$6+Tbl_Ballasts[[#This Row],[Index]]*Ballasts_columns_step),0)</f>
        <v>0</v>
      </c>
      <c r="K21" s="427">
        <f ca="1">IFERROR(OFFSET($AA$1,K$5,K$6+Tbl_Ballasts[[#This Row],[Index]]*Ballasts_columns_step),0)</f>
        <v>30</v>
      </c>
      <c r="L21" s="428">
        <f ca="1">IFERROR(OFFSET($AA$1,L$5,L$6+Tbl_Ballasts[[#This Row],[Index]]*Ballasts_columns_step),0)</f>
        <v>-2.5</v>
      </c>
      <c r="M21" s="429">
        <f ca="1">IFERROR(OFFSET($AA$1,M$5,M$6+Tbl_Ballasts[[#This Row],[Index]]*Ballasts_columns_step),0)</f>
        <v>0</v>
      </c>
      <c r="N21" s="438">
        <f ca="1">IFERROR(OFFSET($AA$1,N$5,N$6+Tbl_Ballasts[[#This Row],[Index]]*Ballasts_columns_step),0)</f>
        <v>10</v>
      </c>
      <c r="O21" s="437" t="str">
        <f ca="1">IF(Tbl_Ballasts[[#This Row],[Weight Fact]],Tbl_Ballasts[[#This Row],[COG x ]]-Tbl_Ballasts[[#This Row],[Distrib]]/2,"")</f>
        <v/>
      </c>
      <c r="P21" s="439" t="str">
        <f ca="1">IF(Tbl_Ballasts[[#This Row],[Weight Fact]],Tbl_Ballasts[[#This Row],[COG x ]]+Tbl_Ballasts[[#This Row],[Distrib]]/2,"")</f>
        <v/>
      </c>
      <c r="Q21" s="440" t="str">
        <f ca="1">IF(Tbl_Ballasts[[#This Row],[Weight Fact]],ROUND(Tbl_Ballasts[[#This Row],[AP from]]/FE_size,0),"")</f>
        <v/>
      </c>
      <c r="R21" s="441" t="str">
        <f ca="1">IF(Tbl_Ballasts[[#This Row],[Weight Fact]],ROUND(Tbl_Ballasts[[#This Row],[AP to]]/FE_size,0),"")</f>
        <v/>
      </c>
      <c r="S21" s="114" t="str">
        <f ca="1">IF(Tbl_Ballasts[[#This Row],[Weight Fact]]=0,"",IF(AND(Tbl_Ballasts[[#This Row],[COG x ]]&gt;=(Tbl_Ballasts[[#This Row],[L to]]-Tbl_Ballasts[[#This Row],[L from]])/3+Tbl_Ballasts[[#This Row],[L from]],Tbl_Ballasts[[#This Row],[COG x ]]&lt;=(Tbl_Ballasts[[#This Row],[L to]]-Tbl_Ballasts[[#This Row],[L from]])*2/3+Tbl_Ballasts[[#This Row],[L from]],Tbl_Ballasts[[#This Row],[L to]]&gt;Tbl_Ballasts[[#This Row],[L from]]),"OK","KO"))</f>
        <v/>
      </c>
      <c r="T21" s="442" t="str">
        <f ca="1">IF(Tbl_Ballasts[[#This Row],[Weight Fact]],IF(Tbl_Ballasts[[#This Row],[Fr from]]*FE_size&lt;0,0,Tbl_Ballasts[[#This Row],[Fr from]]*FE_size),"")</f>
        <v/>
      </c>
      <c r="U21" s="443" t="str">
        <f ca="1">IF(Tbl_Ballasts[[#This Row],[Weight Fact]],IF(Tbl_Ballasts[[#This Row],[Fr to]]*FE_size=Tbl_Ballasts[[#This Row],[L from]],Tbl_Ballasts[[#This Row],[L from]]+FE_size,IF(Tbl_Ballasts[[#This Row],[Fr to]]*FE_size&gt;Lpp,Lpp,Tbl_Ballasts[[#This Row],[Fr to]]*FE_size)),"")</f>
        <v/>
      </c>
      <c r="V21" s="444" t="str">
        <f ca="1">IFERROR(Tbl_Ballasts[[#This Row],[Weight Fact]]/(Tbl_Ballasts[[#This Row],[L to]]-Tbl_Ballasts[[#This Row],[L from]]),"")</f>
        <v/>
      </c>
      <c r="W21" s="145" t="str">
        <f ca="1">IF(Tbl_Ballasts[[#This Row],[Weight Fact]],Tbl_Ballasts[[#This Row],[Spread]]*(Tbl_Ballasts[[#This Row],[L to]]-Tbl_Ballasts[[#This Row],[L from]])-Tbl_Ballasts[[#This Row],[Weight Fact]],"")</f>
        <v/>
      </c>
      <c r="X21" s="141" t="str">
        <f ca="1">IF(AND(ISNUMBER(Tbl_Ballasts[[#This Row],[L from]]),ISNUMBER(Tbl_Ballasts[[#This Row],[L to]])),IF(AND(Tbl_Ballasts[[#This Row],[L from]]&gt;=0,Tbl_Ballasts[[#This Row],[L to]]&lt;=Lpp),"OK","KO"),"OK")</f>
        <v>OK</v>
      </c>
      <c r="Y21" s="481"/>
      <c r="Z21" s="413"/>
      <c r="AA21" s="396">
        <f t="shared" si="1"/>
        <v>1.9546999999999997</v>
      </c>
      <c r="AB21" s="397">
        <f t="shared" si="2"/>
        <v>20</v>
      </c>
      <c r="AC21" s="398">
        <f t="shared" si="3"/>
        <v>1.0999999999999999</v>
      </c>
      <c r="AD21" s="398">
        <f t="shared" si="146"/>
        <v>21.407095453086132</v>
      </c>
      <c r="AE21" s="398">
        <f t="shared" si="4"/>
        <v>4.34764692575264</v>
      </c>
      <c r="AF21" s="398">
        <f t="shared" si="5"/>
        <v>0</v>
      </c>
      <c r="AG21" s="398">
        <f t="shared" si="147"/>
        <v>0.73421842909100699</v>
      </c>
      <c r="AH21" s="399">
        <f t="shared" si="148"/>
        <v>1271.3495934959346</v>
      </c>
      <c r="AI21" s="367"/>
      <c r="AJ21" s="66"/>
      <c r="AK21" s="396">
        <f t="shared" si="6"/>
        <v>10</v>
      </c>
      <c r="AL21" s="397">
        <f t="shared" si="7"/>
        <v>5</v>
      </c>
      <c r="AM21" s="398">
        <f t="shared" si="8"/>
        <v>1.0999999999999999</v>
      </c>
      <c r="AN21" s="398">
        <f t="shared" si="149"/>
        <v>55</v>
      </c>
      <c r="AO21" s="398">
        <f t="shared" si="9"/>
        <v>10</v>
      </c>
      <c r="AP21" s="398">
        <f t="shared" si="10"/>
        <v>7.5</v>
      </c>
      <c r="AQ21" s="398">
        <f t="shared" si="150"/>
        <v>0.55000000000000004</v>
      </c>
      <c r="AR21" s="399">
        <f t="shared" si="151"/>
        <v>101.62601626016261</v>
      </c>
      <c r="AS21" s="66"/>
      <c r="AT21" s="66"/>
      <c r="AU21" s="396">
        <f t="shared" si="11"/>
        <v>10</v>
      </c>
      <c r="AV21" s="397">
        <f t="shared" si="12"/>
        <v>5</v>
      </c>
      <c r="AW21" s="398">
        <f t="shared" si="13"/>
        <v>1.0999999999999999</v>
      </c>
      <c r="AX21" s="398">
        <f t="shared" si="152"/>
        <v>55</v>
      </c>
      <c r="AY21" s="398">
        <f t="shared" si="14"/>
        <v>10</v>
      </c>
      <c r="AZ21" s="398">
        <f t="shared" si="15"/>
        <v>2.5</v>
      </c>
      <c r="BA21" s="398">
        <f t="shared" si="153"/>
        <v>0.55000000000000004</v>
      </c>
      <c r="BB21" s="399">
        <f t="shared" si="154"/>
        <v>101.62601626016261</v>
      </c>
      <c r="BC21" s="66"/>
      <c r="BD21" s="66"/>
      <c r="BE21" s="396">
        <f t="shared" si="16"/>
        <v>10</v>
      </c>
      <c r="BF21" s="397">
        <f t="shared" si="17"/>
        <v>5</v>
      </c>
      <c r="BG21" s="398">
        <f t="shared" si="18"/>
        <v>1.0999999999999999</v>
      </c>
      <c r="BH21" s="398">
        <f t="shared" si="155"/>
        <v>55</v>
      </c>
      <c r="BI21" s="398">
        <f t="shared" si="19"/>
        <v>10</v>
      </c>
      <c r="BJ21" s="398">
        <f t="shared" si="20"/>
        <v>-2.5</v>
      </c>
      <c r="BK21" s="398">
        <f t="shared" si="156"/>
        <v>0.55000000000000004</v>
      </c>
      <c r="BL21" s="399">
        <f t="shared" si="157"/>
        <v>101.62601626016261</v>
      </c>
      <c r="BM21" s="66"/>
      <c r="BN21" s="66"/>
      <c r="BO21" s="396">
        <f t="shared" si="21"/>
        <v>10</v>
      </c>
      <c r="BP21" s="397">
        <f t="shared" si="22"/>
        <v>5</v>
      </c>
      <c r="BQ21" s="398">
        <f t="shared" si="23"/>
        <v>1.0999999999999999</v>
      </c>
      <c r="BR21" s="398">
        <f t="shared" si="158"/>
        <v>55</v>
      </c>
      <c r="BS21" s="398">
        <f t="shared" si="24"/>
        <v>10</v>
      </c>
      <c r="BT21" s="398">
        <f t="shared" si="25"/>
        <v>-7.5</v>
      </c>
      <c r="BU21" s="398">
        <f t="shared" si="159"/>
        <v>0.55000000000000004</v>
      </c>
      <c r="BV21" s="399">
        <f t="shared" si="160"/>
        <v>101.62601626016261</v>
      </c>
      <c r="BW21" s="66"/>
      <c r="BX21" s="66"/>
      <c r="BY21" s="396">
        <f t="shared" si="26"/>
        <v>10</v>
      </c>
      <c r="BZ21" s="397">
        <f t="shared" si="27"/>
        <v>5</v>
      </c>
      <c r="CA21" s="398">
        <f t="shared" si="28"/>
        <v>1.0999999999999999</v>
      </c>
      <c r="CB21" s="398">
        <f t="shared" si="161"/>
        <v>55</v>
      </c>
      <c r="CC21" s="398">
        <f t="shared" si="29"/>
        <v>20</v>
      </c>
      <c r="CD21" s="398">
        <f t="shared" si="30"/>
        <v>7.5</v>
      </c>
      <c r="CE21" s="398">
        <f t="shared" si="162"/>
        <v>0.55000000000000004</v>
      </c>
      <c r="CF21" s="399">
        <f t="shared" si="163"/>
        <v>101.62601626016261</v>
      </c>
      <c r="CG21" s="66"/>
      <c r="CH21" s="66"/>
      <c r="CI21" s="396">
        <f t="shared" si="31"/>
        <v>10</v>
      </c>
      <c r="CJ21" s="397">
        <f t="shared" si="32"/>
        <v>5</v>
      </c>
      <c r="CK21" s="398">
        <f t="shared" si="33"/>
        <v>1.0999999999999999</v>
      </c>
      <c r="CL21" s="398">
        <f t="shared" si="164"/>
        <v>55</v>
      </c>
      <c r="CM21" s="398">
        <f t="shared" si="34"/>
        <v>20</v>
      </c>
      <c r="CN21" s="398">
        <f t="shared" si="35"/>
        <v>2.5</v>
      </c>
      <c r="CO21" s="398">
        <f t="shared" si="165"/>
        <v>0.55000000000000004</v>
      </c>
      <c r="CP21" s="399">
        <f t="shared" si="166"/>
        <v>101.62601626016261</v>
      </c>
      <c r="CQ21" s="66"/>
      <c r="CS21" s="396">
        <f t="shared" si="36"/>
        <v>10</v>
      </c>
      <c r="CT21" s="397">
        <f t="shared" si="37"/>
        <v>5</v>
      </c>
      <c r="CU21" s="398">
        <f t="shared" si="38"/>
        <v>1.0999999999999999</v>
      </c>
      <c r="CV21" s="398">
        <f t="shared" si="167"/>
        <v>55</v>
      </c>
      <c r="CW21" s="398">
        <f t="shared" si="39"/>
        <v>20</v>
      </c>
      <c r="CX21" s="398">
        <f t="shared" si="40"/>
        <v>-2.5</v>
      </c>
      <c r="CY21" s="398">
        <f t="shared" si="168"/>
        <v>0.55000000000000004</v>
      </c>
      <c r="CZ21" s="399">
        <f t="shared" si="169"/>
        <v>101.62601626016261</v>
      </c>
      <c r="DA21" s="66"/>
      <c r="DB21" s="66"/>
      <c r="DC21" s="396">
        <f t="shared" si="41"/>
        <v>10</v>
      </c>
      <c r="DD21" s="397">
        <f t="shared" si="42"/>
        <v>5</v>
      </c>
      <c r="DE21" s="398">
        <f t="shared" si="43"/>
        <v>1.0999999999999999</v>
      </c>
      <c r="DF21" s="398">
        <f t="shared" si="170"/>
        <v>55</v>
      </c>
      <c r="DG21" s="398">
        <f t="shared" si="44"/>
        <v>20</v>
      </c>
      <c r="DH21" s="398">
        <f t="shared" si="45"/>
        <v>-7.5</v>
      </c>
      <c r="DI21" s="398">
        <f t="shared" si="171"/>
        <v>0.55000000000000004</v>
      </c>
      <c r="DJ21" s="399">
        <f t="shared" si="172"/>
        <v>101.62601626016261</v>
      </c>
      <c r="DK21" s="66"/>
      <c r="DM21" s="396">
        <f t="shared" si="46"/>
        <v>10</v>
      </c>
      <c r="DN21" s="397">
        <f t="shared" si="47"/>
        <v>5</v>
      </c>
      <c r="DO21" s="398">
        <f t="shared" si="48"/>
        <v>1.0999999999999999</v>
      </c>
      <c r="DP21" s="398">
        <f t="shared" si="173"/>
        <v>55</v>
      </c>
      <c r="DQ21" s="398">
        <f t="shared" si="49"/>
        <v>30</v>
      </c>
      <c r="DR21" s="398">
        <f t="shared" si="50"/>
        <v>7.5</v>
      </c>
      <c r="DS21" s="398">
        <f t="shared" si="174"/>
        <v>0.55000000000000004</v>
      </c>
      <c r="DT21" s="399">
        <f t="shared" si="175"/>
        <v>101.62601626016261</v>
      </c>
      <c r="DU21" s="66"/>
      <c r="DV21" s="66"/>
      <c r="DW21" s="396">
        <f t="shared" si="51"/>
        <v>10</v>
      </c>
      <c r="DX21" s="397">
        <f t="shared" si="52"/>
        <v>5</v>
      </c>
      <c r="DY21" s="398">
        <f t="shared" si="53"/>
        <v>1.0999999999999999</v>
      </c>
      <c r="DZ21" s="398">
        <f t="shared" si="176"/>
        <v>55</v>
      </c>
      <c r="EA21" s="398">
        <f t="shared" si="54"/>
        <v>30</v>
      </c>
      <c r="EB21" s="398">
        <f t="shared" si="55"/>
        <v>2.5</v>
      </c>
      <c r="EC21" s="398">
        <f t="shared" si="177"/>
        <v>0.55000000000000004</v>
      </c>
      <c r="ED21" s="399">
        <f t="shared" si="178"/>
        <v>101.62601626016261</v>
      </c>
      <c r="EE21" s="66"/>
      <c r="EF21" s="66"/>
      <c r="EG21" s="396">
        <f t="shared" si="56"/>
        <v>10</v>
      </c>
      <c r="EH21" s="397">
        <f t="shared" si="57"/>
        <v>5</v>
      </c>
      <c r="EI21" s="398">
        <f t="shared" si="58"/>
        <v>1.0999999999999999</v>
      </c>
      <c r="EJ21" s="398">
        <f t="shared" si="179"/>
        <v>55</v>
      </c>
      <c r="EK21" s="398">
        <f t="shared" si="59"/>
        <v>30</v>
      </c>
      <c r="EL21" s="398">
        <f t="shared" si="60"/>
        <v>-2.5</v>
      </c>
      <c r="EM21" s="398">
        <f t="shared" si="180"/>
        <v>0.55000000000000004</v>
      </c>
      <c r="EN21" s="399">
        <f t="shared" si="181"/>
        <v>101.62601626016261</v>
      </c>
      <c r="EO21" s="66"/>
      <c r="EP21" s="66"/>
      <c r="EQ21" s="396">
        <f t="shared" si="61"/>
        <v>10</v>
      </c>
      <c r="ER21" s="397">
        <f t="shared" si="62"/>
        <v>5</v>
      </c>
      <c r="ES21" s="398">
        <f t="shared" si="63"/>
        <v>1.0999999999999999</v>
      </c>
      <c r="ET21" s="398">
        <f t="shared" si="182"/>
        <v>55</v>
      </c>
      <c r="EU21" s="398">
        <f t="shared" si="64"/>
        <v>30</v>
      </c>
      <c r="EV21" s="398">
        <f t="shared" si="65"/>
        <v>-7.5</v>
      </c>
      <c r="EW21" s="398">
        <f t="shared" si="183"/>
        <v>0.55000000000000004</v>
      </c>
      <c r="EX21" s="399">
        <f t="shared" si="184"/>
        <v>101.62601626016261</v>
      </c>
      <c r="EY21" s="66"/>
      <c r="EZ21" s="66"/>
      <c r="FA21" s="396">
        <f t="shared" si="66"/>
        <v>10</v>
      </c>
      <c r="FB21" s="397">
        <f t="shared" si="67"/>
        <v>5</v>
      </c>
      <c r="FC21" s="398">
        <f t="shared" si="68"/>
        <v>1.0999999999999999</v>
      </c>
      <c r="FD21" s="398">
        <f t="shared" si="185"/>
        <v>55</v>
      </c>
      <c r="FE21" s="398">
        <f t="shared" si="69"/>
        <v>40</v>
      </c>
      <c r="FF21" s="398">
        <f t="shared" si="70"/>
        <v>7.5</v>
      </c>
      <c r="FG21" s="398">
        <f t="shared" si="186"/>
        <v>0.55000000000000004</v>
      </c>
      <c r="FH21" s="399">
        <f t="shared" si="187"/>
        <v>101.62601626016261</v>
      </c>
      <c r="FI21" s="66"/>
      <c r="FJ21" s="66"/>
      <c r="FK21" s="396">
        <f t="shared" si="71"/>
        <v>10</v>
      </c>
      <c r="FL21" s="397">
        <f t="shared" si="72"/>
        <v>5</v>
      </c>
      <c r="FM21" s="398">
        <f t="shared" si="73"/>
        <v>1.0999999999999999</v>
      </c>
      <c r="FN21" s="398">
        <f t="shared" si="188"/>
        <v>55</v>
      </c>
      <c r="FO21" s="398">
        <f t="shared" si="74"/>
        <v>40</v>
      </c>
      <c r="FP21" s="398">
        <f t="shared" si="75"/>
        <v>2.5</v>
      </c>
      <c r="FQ21" s="398">
        <f t="shared" si="189"/>
        <v>0.55000000000000004</v>
      </c>
      <c r="FR21" s="399">
        <f t="shared" si="190"/>
        <v>101.62601626016261</v>
      </c>
      <c r="FS21" s="66"/>
      <c r="FT21" s="66"/>
      <c r="FU21" s="396">
        <f t="shared" si="76"/>
        <v>10</v>
      </c>
      <c r="FV21" s="397">
        <f t="shared" si="77"/>
        <v>5</v>
      </c>
      <c r="FW21" s="398">
        <f t="shared" si="78"/>
        <v>1.0999999999999999</v>
      </c>
      <c r="FX21" s="398">
        <f t="shared" si="191"/>
        <v>55</v>
      </c>
      <c r="FY21" s="398">
        <f t="shared" si="79"/>
        <v>40</v>
      </c>
      <c r="FZ21" s="398">
        <f t="shared" si="80"/>
        <v>-2.5</v>
      </c>
      <c r="GA21" s="398">
        <f t="shared" si="192"/>
        <v>0.55000000000000004</v>
      </c>
      <c r="GB21" s="399">
        <f t="shared" si="193"/>
        <v>101.62601626016261</v>
      </c>
      <c r="GC21" s="66"/>
      <c r="GD21" s="66"/>
      <c r="GE21" s="396">
        <f t="shared" si="81"/>
        <v>10</v>
      </c>
      <c r="GF21" s="397">
        <f t="shared" si="82"/>
        <v>5</v>
      </c>
      <c r="GG21" s="398">
        <f t="shared" si="83"/>
        <v>1.0999999999999999</v>
      </c>
      <c r="GH21" s="398">
        <f t="shared" si="194"/>
        <v>55</v>
      </c>
      <c r="GI21" s="398">
        <f t="shared" si="84"/>
        <v>40</v>
      </c>
      <c r="GJ21" s="398">
        <f t="shared" si="85"/>
        <v>-7.5</v>
      </c>
      <c r="GK21" s="398">
        <f t="shared" si="195"/>
        <v>0.55000000000000004</v>
      </c>
      <c r="GL21" s="399">
        <f t="shared" si="196"/>
        <v>101.62601626016261</v>
      </c>
      <c r="GM21" s="66"/>
      <c r="GN21" s="66"/>
      <c r="GO21" s="396">
        <f t="shared" si="86"/>
        <v>10</v>
      </c>
      <c r="GP21" s="397">
        <f t="shared" si="87"/>
        <v>5</v>
      </c>
      <c r="GQ21" s="398">
        <f t="shared" si="88"/>
        <v>1.0999999999999999</v>
      </c>
      <c r="GR21" s="398">
        <f t="shared" si="197"/>
        <v>55</v>
      </c>
      <c r="GS21" s="398">
        <f t="shared" si="89"/>
        <v>50</v>
      </c>
      <c r="GT21" s="398">
        <f t="shared" si="90"/>
        <v>7.5</v>
      </c>
      <c r="GU21" s="398">
        <f t="shared" si="198"/>
        <v>0.55000000000000004</v>
      </c>
      <c r="GV21" s="399">
        <f t="shared" si="199"/>
        <v>101.62601626016261</v>
      </c>
      <c r="GW21" s="66"/>
      <c r="GX21" s="66"/>
      <c r="GY21" s="396">
        <f t="shared" si="91"/>
        <v>10</v>
      </c>
      <c r="GZ21" s="397">
        <f t="shared" si="92"/>
        <v>5</v>
      </c>
      <c r="HA21" s="398">
        <f t="shared" si="93"/>
        <v>1.0999999999999999</v>
      </c>
      <c r="HB21" s="398">
        <f t="shared" si="200"/>
        <v>55</v>
      </c>
      <c r="HC21" s="398">
        <f t="shared" si="94"/>
        <v>50</v>
      </c>
      <c r="HD21" s="398">
        <f t="shared" si="95"/>
        <v>2.5</v>
      </c>
      <c r="HE21" s="398">
        <f t="shared" si="201"/>
        <v>0.55000000000000004</v>
      </c>
      <c r="HF21" s="399">
        <f t="shared" si="202"/>
        <v>101.62601626016261</v>
      </c>
      <c r="HH21" s="66"/>
      <c r="HI21" s="396">
        <f t="shared" si="96"/>
        <v>10</v>
      </c>
      <c r="HJ21" s="397">
        <f t="shared" si="97"/>
        <v>5</v>
      </c>
      <c r="HK21" s="398">
        <f t="shared" si="98"/>
        <v>1.0999999999999999</v>
      </c>
      <c r="HL21" s="398">
        <f t="shared" si="203"/>
        <v>55</v>
      </c>
      <c r="HM21" s="398">
        <f t="shared" si="99"/>
        <v>50</v>
      </c>
      <c r="HN21" s="398">
        <f t="shared" si="100"/>
        <v>-2.5</v>
      </c>
      <c r="HO21" s="398">
        <f t="shared" si="204"/>
        <v>0.55000000000000004</v>
      </c>
      <c r="HP21" s="399">
        <f t="shared" si="205"/>
        <v>101.62601626016261</v>
      </c>
      <c r="HQ21" s="66"/>
      <c r="HR21" s="66"/>
      <c r="HS21" s="396">
        <f t="shared" si="101"/>
        <v>10</v>
      </c>
      <c r="HT21" s="397">
        <f t="shared" si="102"/>
        <v>5</v>
      </c>
      <c r="HU21" s="398">
        <f t="shared" si="103"/>
        <v>1.0999999999999999</v>
      </c>
      <c r="HV21" s="398">
        <f t="shared" si="206"/>
        <v>55</v>
      </c>
      <c r="HW21" s="398">
        <f t="shared" si="104"/>
        <v>50</v>
      </c>
      <c r="HX21" s="398">
        <f t="shared" si="105"/>
        <v>-7.5</v>
      </c>
      <c r="HY21" s="398">
        <f t="shared" si="207"/>
        <v>0.55000000000000004</v>
      </c>
      <c r="HZ21" s="399">
        <f t="shared" si="208"/>
        <v>101.62601626016261</v>
      </c>
      <c r="IA21" s="66"/>
      <c r="IB21" s="66"/>
      <c r="IC21" s="396">
        <f t="shared" si="106"/>
        <v>1.9470000000000003</v>
      </c>
      <c r="ID21" s="397">
        <f t="shared" si="107"/>
        <v>20</v>
      </c>
      <c r="IE21" s="398">
        <f t="shared" si="108"/>
        <v>1.0999999999999999</v>
      </c>
      <c r="IF21" s="398">
        <f t="shared" si="209"/>
        <v>21.322768121532054</v>
      </c>
      <c r="IG21" s="398">
        <f t="shared" si="109"/>
        <v>55.649783309745544</v>
      </c>
      <c r="IH21" s="398">
        <f t="shared" si="110"/>
        <v>0</v>
      </c>
      <c r="II21" s="398">
        <f t="shared" si="210"/>
        <v>0.73421842909100699</v>
      </c>
      <c r="IJ21" s="399">
        <f t="shared" si="211"/>
        <v>1266.3414634146345</v>
      </c>
      <c r="IK21" s="66"/>
      <c r="IL21" s="66"/>
      <c r="IM21" s="396">
        <f t="shared" si="111"/>
        <v>10.76</v>
      </c>
      <c r="IN21" s="397">
        <f t="shared" si="112"/>
        <v>13.75</v>
      </c>
      <c r="IO21" s="398">
        <f t="shared" si="113"/>
        <v>1.0999999999999999</v>
      </c>
      <c r="IP21" s="398">
        <f t="shared" si="212"/>
        <v>141.94389773049832</v>
      </c>
      <c r="IQ21" s="398">
        <f t="shared" si="114"/>
        <v>67.330799804604453</v>
      </c>
      <c r="IR21" s="398">
        <f t="shared" si="115"/>
        <v>6.8749999999999991</v>
      </c>
      <c r="IS21" s="398">
        <f t="shared" si="213"/>
        <v>0.57663984368355348</v>
      </c>
      <c r="IT21" s="399">
        <f t="shared" si="214"/>
        <v>2274.1298272357726</v>
      </c>
      <c r="IU21" s="66"/>
      <c r="IV21" s="66"/>
      <c r="IW21" s="396">
        <f t="shared" si="116"/>
        <v>10.76</v>
      </c>
      <c r="IX21" s="397">
        <f t="shared" si="117"/>
        <v>13.75</v>
      </c>
      <c r="IY21" s="398">
        <f t="shared" si="118"/>
        <v>1.0999999999999999</v>
      </c>
      <c r="IZ21" s="398">
        <f t="shared" si="215"/>
        <v>141.94389773049832</v>
      </c>
      <c r="JA21" s="398">
        <f t="shared" si="119"/>
        <v>67.330799804604453</v>
      </c>
      <c r="JB21" s="398">
        <f t="shared" si="120"/>
        <v>-6.8749999999999991</v>
      </c>
      <c r="JC21" s="398">
        <f t="shared" si="216"/>
        <v>0.57663984368355348</v>
      </c>
      <c r="JD21" s="399">
        <f t="shared" si="217"/>
        <v>2274.1298272357726</v>
      </c>
      <c r="JE21" s="66"/>
      <c r="JF21" s="66"/>
      <c r="JG21" s="396">
        <f t="shared" si="121"/>
        <v>2.75</v>
      </c>
      <c r="JH21" s="397">
        <f t="shared" si="122"/>
        <v>6.875</v>
      </c>
      <c r="JI21" s="398">
        <f t="shared" si="123"/>
        <v>1.0999999999999999</v>
      </c>
      <c r="JJ21" s="398">
        <f t="shared" si="218"/>
        <v>10.352685793469835</v>
      </c>
      <c r="JK21" s="398">
        <f t="shared" si="124"/>
        <v>70.517773036363764</v>
      </c>
      <c r="JL21" s="398">
        <f t="shared" si="125"/>
        <v>10.3125</v>
      </c>
      <c r="JM21" s="398">
        <f t="shared" si="219"/>
        <v>1.9302184290910067</v>
      </c>
      <c r="JN21" s="399">
        <f t="shared" si="220"/>
        <v>72.65168476880082</v>
      </c>
      <c r="JO21" s="66"/>
      <c r="JP21" s="66"/>
      <c r="JQ21" s="396">
        <f t="shared" si="126"/>
        <v>2.75</v>
      </c>
      <c r="JR21" s="397">
        <f t="shared" si="127"/>
        <v>6.875</v>
      </c>
      <c r="JS21" s="398">
        <f t="shared" si="128"/>
        <v>1.0999999999999999</v>
      </c>
      <c r="JT21" s="398">
        <f t="shared" si="221"/>
        <v>10.352685793469835</v>
      </c>
      <c r="JU21" s="398">
        <f t="shared" si="129"/>
        <v>70.517773036363764</v>
      </c>
      <c r="JV21" s="398">
        <f t="shared" si="130"/>
        <v>3.4375</v>
      </c>
      <c r="JW21" s="398">
        <f t="shared" si="222"/>
        <v>1.9302184290910067</v>
      </c>
      <c r="JX21" s="399">
        <f t="shared" si="223"/>
        <v>72.65168476880082</v>
      </c>
      <c r="JY21" s="66"/>
      <c r="JZ21" s="66"/>
      <c r="KA21" s="396">
        <f t="shared" si="131"/>
        <v>2.75</v>
      </c>
      <c r="KB21" s="397">
        <f t="shared" si="132"/>
        <v>6.875</v>
      </c>
      <c r="KC21" s="398">
        <f t="shared" si="133"/>
        <v>1.0999999999999999</v>
      </c>
      <c r="KD21" s="398">
        <f t="shared" si="224"/>
        <v>10.352685793469835</v>
      </c>
      <c r="KE21" s="398">
        <f t="shared" si="134"/>
        <v>70.517773036363764</v>
      </c>
      <c r="KF21" s="398">
        <f t="shared" si="135"/>
        <v>-3.4375</v>
      </c>
      <c r="KG21" s="398">
        <f t="shared" si="225"/>
        <v>1.9302184290910067</v>
      </c>
      <c r="KH21" s="399">
        <f t="shared" si="226"/>
        <v>72.65168476880082</v>
      </c>
      <c r="KI21" s="66"/>
      <c r="KJ21" s="66"/>
      <c r="KK21" s="396">
        <f t="shared" si="136"/>
        <v>2.75</v>
      </c>
      <c r="KL21" s="397">
        <f t="shared" si="137"/>
        <v>6.875</v>
      </c>
      <c r="KM21" s="398">
        <f t="shared" si="138"/>
        <v>1.0999999999999999</v>
      </c>
      <c r="KN21" s="398">
        <f t="shared" si="227"/>
        <v>10.352685793469835</v>
      </c>
      <c r="KO21" s="398">
        <f t="shared" si="139"/>
        <v>70.517773036363764</v>
      </c>
      <c r="KP21" s="398">
        <f t="shared" si="140"/>
        <v>-10.3125</v>
      </c>
      <c r="KQ21" s="398">
        <f t="shared" si="228"/>
        <v>1.9302184290910067</v>
      </c>
      <c r="KR21" s="399">
        <f t="shared" si="229"/>
        <v>72.65168476880082</v>
      </c>
      <c r="KS21" s="66"/>
      <c r="KT21" s="66"/>
      <c r="KU21" s="396">
        <f t="shared" si="141"/>
        <v>5</v>
      </c>
      <c r="KV21" s="397">
        <f t="shared" si="142"/>
        <v>5</v>
      </c>
      <c r="KW21" s="398">
        <f t="shared" si="143"/>
        <v>1.0999999999999999</v>
      </c>
      <c r="KX21" s="398">
        <f t="shared" si="230"/>
        <v>27.5</v>
      </c>
      <c r="KY21" s="398">
        <f t="shared" si="144"/>
        <v>57.5</v>
      </c>
      <c r="KZ21" s="398">
        <f t="shared" si="145"/>
        <v>0</v>
      </c>
      <c r="LA21" s="398">
        <f t="shared" si="231"/>
        <v>0.55000000000000004</v>
      </c>
      <c r="LB21" s="399">
        <f t="shared" si="232"/>
        <v>50.813008130081307</v>
      </c>
      <c r="LC21" s="66"/>
    </row>
    <row r="22" spans="1:315" s="67" customFormat="1" ht="15" customHeight="1" x14ac:dyDescent="0.25">
      <c r="A22" s="481"/>
      <c r="B22" s="73">
        <f t="shared" si="0"/>
        <v>12</v>
      </c>
      <c r="C22" s="347" t="str">
        <f>INDEX($AA$1:$LC$6,C$5,C$6+Tbl_Ballasts[[#This Row],[Index]]*Ballasts_columns_step)</f>
        <v>WB4Sb</v>
      </c>
      <c r="D22" s="114" t="str">
        <f ca="1">IFERROR(OFFSET($AA$1,D$5,D$6+Tbl_Ballasts[[#This Row],[Index]]*Ballasts_columns_step),0)</f>
        <v>OK</v>
      </c>
      <c r="E22" s="348">
        <v>4</v>
      </c>
      <c r="F22" s="350">
        <v>4</v>
      </c>
      <c r="G22" s="763" t="str">
        <f>TEXT(Tbl_Ballasts[[#This Row],[Recap Row]],"00")&amp;TEXT(Tbl_Ballasts[[#This Row],[Recap Col]],"00")</f>
        <v>0404</v>
      </c>
      <c r="H22" s="760">
        <f>INDEX(Recap_Ballasts,Tbl_Ballasts[[#This Row],[Recap Row]],Tbl_Ballasts[[#This Row],[Recap Col]])</f>
        <v>0</v>
      </c>
      <c r="I22" s="493">
        <f ca="1">IFERROR(OFFSET($AA$1,I$5,I$6+Tbl_Ballasts[[#This Row],[Index]]*Ballasts_columns_step),0)</f>
        <v>0</v>
      </c>
      <c r="J22" s="103">
        <f ca="1">IFERROR(OFFSET($AA$1,J$5,J$6+Tbl_Ballasts[[#This Row],[Index]]*Ballasts_columns_step),0)</f>
        <v>0</v>
      </c>
      <c r="K22" s="427">
        <f ca="1">IFERROR(OFFSET($AA$1,K$5,K$6+Tbl_Ballasts[[#This Row],[Index]]*Ballasts_columns_step),0)</f>
        <v>30</v>
      </c>
      <c r="L22" s="428">
        <f ca="1">IFERROR(OFFSET($AA$1,L$5,L$6+Tbl_Ballasts[[#This Row],[Index]]*Ballasts_columns_step),0)</f>
        <v>-7.5</v>
      </c>
      <c r="M22" s="429">
        <f ca="1">IFERROR(OFFSET($AA$1,M$5,M$6+Tbl_Ballasts[[#This Row],[Index]]*Ballasts_columns_step),0)</f>
        <v>0</v>
      </c>
      <c r="N22" s="438">
        <f ca="1">IFERROR(OFFSET($AA$1,N$5,N$6+Tbl_Ballasts[[#This Row],[Index]]*Ballasts_columns_step),0)</f>
        <v>10</v>
      </c>
      <c r="O22" s="437" t="str">
        <f ca="1">IF(Tbl_Ballasts[[#This Row],[Weight Fact]],Tbl_Ballasts[[#This Row],[COG x ]]-Tbl_Ballasts[[#This Row],[Distrib]]/2,"")</f>
        <v/>
      </c>
      <c r="P22" s="439" t="str">
        <f ca="1">IF(Tbl_Ballasts[[#This Row],[Weight Fact]],Tbl_Ballasts[[#This Row],[COG x ]]+Tbl_Ballasts[[#This Row],[Distrib]]/2,"")</f>
        <v/>
      </c>
      <c r="Q22" s="440" t="str">
        <f ca="1">IF(Tbl_Ballasts[[#This Row],[Weight Fact]],ROUND(Tbl_Ballasts[[#This Row],[AP from]]/FE_size,0),"")</f>
        <v/>
      </c>
      <c r="R22" s="441" t="str">
        <f ca="1">IF(Tbl_Ballasts[[#This Row],[Weight Fact]],ROUND(Tbl_Ballasts[[#This Row],[AP to]]/FE_size,0),"")</f>
        <v/>
      </c>
      <c r="S22" s="114" t="str">
        <f ca="1">IF(Tbl_Ballasts[[#This Row],[Weight Fact]]=0,"",IF(AND(Tbl_Ballasts[[#This Row],[COG x ]]&gt;=(Tbl_Ballasts[[#This Row],[L to]]-Tbl_Ballasts[[#This Row],[L from]])/3+Tbl_Ballasts[[#This Row],[L from]],Tbl_Ballasts[[#This Row],[COG x ]]&lt;=(Tbl_Ballasts[[#This Row],[L to]]-Tbl_Ballasts[[#This Row],[L from]])*2/3+Tbl_Ballasts[[#This Row],[L from]],Tbl_Ballasts[[#This Row],[L to]]&gt;Tbl_Ballasts[[#This Row],[L from]]),"OK","KO"))</f>
        <v/>
      </c>
      <c r="T22" s="442" t="str">
        <f ca="1">IF(Tbl_Ballasts[[#This Row],[Weight Fact]],IF(Tbl_Ballasts[[#This Row],[Fr from]]*FE_size&lt;0,0,Tbl_Ballasts[[#This Row],[Fr from]]*FE_size),"")</f>
        <v/>
      </c>
      <c r="U22" s="443" t="str">
        <f ca="1">IF(Tbl_Ballasts[[#This Row],[Weight Fact]],IF(Tbl_Ballasts[[#This Row],[Fr to]]*FE_size=Tbl_Ballasts[[#This Row],[L from]],Tbl_Ballasts[[#This Row],[L from]]+FE_size,IF(Tbl_Ballasts[[#This Row],[Fr to]]*FE_size&gt;Lpp,Lpp,Tbl_Ballasts[[#This Row],[Fr to]]*FE_size)),"")</f>
        <v/>
      </c>
      <c r="V22" s="444" t="str">
        <f ca="1">IFERROR(Tbl_Ballasts[[#This Row],[Weight Fact]]/(Tbl_Ballasts[[#This Row],[L to]]-Tbl_Ballasts[[#This Row],[L from]]),"")</f>
        <v/>
      </c>
      <c r="W22" s="145" t="str">
        <f ca="1">IF(Tbl_Ballasts[[#This Row],[Weight Fact]],Tbl_Ballasts[[#This Row],[Spread]]*(Tbl_Ballasts[[#This Row],[L to]]-Tbl_Ballasts[[#This Row],[L from]])-Tbl_Ballasts[[#This Row],[Weight Fact]],"")</f>
        <v/>
      </c>
      <c r="X22" s="141" t="str">
        <f ca="1">IF(AND(ISNUMBER(Tbl_Ballasts[[#This Row],[L from]]),ISNUMBER(Tbl_Ballasts[[#This Row],[L to]])),IF(AND(Tbl_Ballasts[[#This Row],[L from]]&gt;=0,Tbl_Ballasts[[#This Row],[L to]]&lt;=Lpp),"OK","KO"),"OK")</f>
        <v>OK</v>
      </c>
      <c r="Y22" s="481"/>
      <c r="Z22" s="413"/>
      <c r="AA22" s="396">
        <f t="shared" si="1"/>
        <v>2.1323999999999996</v>
      </c>
      <c r="AB22" s="397">
        <f t="shared" si="2"/>
        <v>20</v>
      </c>
      <c r="AC22" s="398">
        <f t="shared" si="3"/>
        <v>1.2</v>
      </c>
      <c r="AD22" s="398">
        <f t="shared" si="146"/>
        <v>25.492907162805878</v>
      </c>
      <c r="AE22" s="398">
        <f t="shared" si="4"/>
        <v>4.2884387538314108</v>
      </c>
      <c r="AF22" s="398">
        <f t="shared" si="5"/>
        <v>0</v>
      </c>
      <c r="AG22" s="398">
        <f t="shared" si="147"/>
        <v>0.80085677677950384</v>
      </c>
      <c r="AH22" s="399">
        <f t="shared" si="148"/>
        <v>1386.9268292682925</v>
      </c>
      <c r="AI22" s="367"/>
      <c r="AJ22" s="66"/>
      <c r="AK22" s="396">
        <f t="shared" si="6"/>
        <v>10</v>
      </c>
      <c r="AL22" s="397">
        <f t="shared" si="7"/>
        <v>5</v>
      </c>
      <c r="AM22" s="398">
        <f t="shared" si="8"/>
        <v>1.2</v>
      </c>
      <c r="AN22" s="398">
        <f t="shared" si="149"/>
        <v>60.000000000000007</v>
      </c>
      <c r="AO22" s="398">
        <f t="shared" si="9"/>
        <v>10</v>
      </c>
      <c r="AP22" s="398">
        <f t="shared" si="10"/>
        <v>7.5</v>
      </c>
      <c r="AQ22" s="398">
        <f t="shared" si="150"/>
        <v>0.6000000000000002</v>
      </c>
      <c r="AR22" s="399">
        <f t="shared" si="151"/>
        <v>101.62601626016261</v>
      </c>
      <c r="AS22" s="66"/>
      <c r="AT22" s="66"/>
      <c r="AU22" s="396">
        <f t="shared" si="11"/>
        <v>10</v>
      </c>
      <c r="AV22" s="397">
        <f t="shared" si="12"/>
        <v>5</v>
      </c>
      <c r="AW22" s="398">
        <f t="shared" si="13"/>
        <v>1.2</v>
      </c>
      <c r="AX22" s="398">
        <f t="shared" si="152"/>
        <v>60.000000000000007</v>
      </c>
      <c r="AY22" s="398">
        <f t="shared" si="14"/>
        <v>10</v>
      </c>
      <c r="AZ22" s="398">
        <f t="shared" si="15"/>
        <v>2.5</v>
      </c>
      <c r="BA22" s="398">
        <f t="shared" si="153"/>
        <v>0.6000000000000002</v>
      </c>
      <c r="BB22" s="399">
        <f t="shared" si="154"/>
        <v>101.62601626016261</v>
      </c>
      <c r="BC22" s="66"/>
      <c r="BD22" s="66"/>
      <c r="BE22" s="396">
        <f t="shared" si="16"/>
        <v>10</v>
      </c>
      <c r="BF22" s="397">
        <f t="shared" si="17"/>
        <v>5</v>
      </c>
      <c r="BG22" s="398">
        <f t="shared" si="18"/>
        <v>1.2</v>
      </c>
      <c r="BH22" s="398">
        <f t="shared" si="155"/>
        <v>60.000000000000007</v>
      </c>
      <c r="BI22" s="398">
        <f t="shared" si="19"/>
        <v>10</v>
      </c>
      <c r="BJ22" s="398">
        <f t="shared" si="20"/>
        <v>-2.5</v>
      </c>
      <c r="BK22" s="398">
        <f t="shared" si="156"/>
        <v>0.6000000000000002</v>
      </c>
      <c r="BL22" s="399">
        <f t="shared" si="157"/>
        <v>101.62601626016261</v>
      </c>
      <c r="BM22" s="66"/>
      <c r="BN22" s="66"/>
      <c r="BO22" s="396">
        <f t="shared" si="21"/>
        <v>10</v>
      </c>
      <c r="BP22" s="397">
        <f t="shared" si="22"/>
        <v>5</v>
      </c>
      <c r="BQ22" s="398">
        <f t="shared" si="23"/>
        <v>1.2</v>
      </c>
      <c r="BR22" s="398">
        <f t="shared" si="158"/>
        <v>60.000000000000007</v>
      </c>
      <c r="BS22" s="398">
        <f t="shared" si="24"/>
        <v>10</v>
      </c>
      <c r="BT22" s="398">
        <f t="shared" si="25"/>
        <v>-7.5</v>
      </c>
      <c r="BU22" s="398">
        <f t="shared" si="159"/>
        <v>0.6000000000000002</v>
      </c>
      <c r="BV22" s="399">
        <f t="shared" si="160"/>
        <v>101.62601626016261</v>
      </c>
      <c r="BW22" s="66"/>
      <c r="BX22" s="66"/>
      <c r="BY22" s="396">
        <f t="shared" si="26"/>
        <v>10</v>
      </c>
      <c r="BZ22" s="397">
        <f t="shared" si="27"/>
        <v>5</v>
      </c>
      <c r="CA22" s="398">
        <f t="shared" si="28"/>
        <v>1.2</v>
      </c>
      <c r="CB22" s="398">
        <f t="shared" si="161"/>
        <v>60.000000000000007</v>
      </c>
      <c r="CC22" s="398">
        <f t="shared" si="29"/>
        <v>20</v>
      </c>
      <c r="CD22" s="398">
        <f t="shared" si="30"/>
        <v>7.5</v>
      </c>
      <c r="CE22" s="398">
        <f t="shared" si="162"/>
        <v>0.6000000000000002</v>
      </c>
      <c r="CF22" s="399">
        <f t="shared" si="163"/>
        <v>101.62601626016261</v>
      </c>
      <c r="CG22" s="66"/>
      <c r="CH22" s="66"/>
      <c r="CI22" s="396">
        <f t="shared" si="31"/>
        <v>10</v>
      </c>
      <c r="CJ22" s="397">
        <f t="shared" si="32"/>
        <v>5</v>
      </c>
      <c r="CK22" s="398">
        <f t="shared" si="33"/>
        <v>1.2</v>
      </c>
      <c r="CL22" s="398">
        <f t="shared" si="164"/>
        <v>60.000000000000007</v>
      </c>
      <c r="CM22" s="398">
        <f t="shared" si="34"/>
        <v>20</v>
      </c>
      <c r="CN22" s="398">
        <f t="shared" si="35"/>
        <v>2.5</v>
      </c>
      <c r="CO22" s="398">
        <f t="shared" si="165"/>
        <v>0.6000000000000002</v>
      </c>
      <c r="CP22" s="399">
        <f t="shared" si="166"/>
        <v>101.62601626016261</v>
      </c>
      <c r="CQ22" s="66"/>
      <c r="CS22" s="396">
        <f t="shared" si="36"/>
        <v>10</v>
      </c>
      <c r="CT22" s="397">
        <f t="shared" si="37"/>
        <v>5</v>
      </c>
      <c r="CU22" s="398">
        <f t="shared" si="38"/>
        <v>1.2</v>
      </c>
      <c r="CV22" s="398">
        <f t="shared" si="167"/>
        <v>60.000000000000007</v>
      </c>
      <c r="CW22" s="398">
        <f t="shared" si="39"/>
        <v>20</v>
      </c>
      <c r="CX22" s="398">
        <f t="shared" si="40"/>
        <v>-2.5</v>
      </c>
      <c r="CY22" s="398">
        <f t="shared" si="168"/>
        <v>0.6000000000000002</v>
      </c>
      <c r="CZ22" s="399">
        <f t="shared" si="169"/>
        <v>101.62601626016261</v>
      </c>
      <c r="DA22" s="66"/>
      <c r="DB22" s="66"/>
      <c r="DC22" s="396">
        <f t="shared" si="41"/>
        <v>10</v>
      </c>
      <c r="DD22" s="397">
        <f t="shared" si="42"/>
        <v>5</v>
      </c>
      <c r="DE22" s="398">
        <f t="shared" si="43"/>
        <v>1.2</v>
      </c>
      <c r="DF22" s="398">
        <f t="shared" si="170"/>
        <v>60.000000000000007</v>
      </c>
      <c r="DG22" s="398">
        <f t="shared" si="44"/>
        <v>20</v>
      </c>
      <c r="DH22" s="398">
        <f t="shared" si="45"/>
        <v>-7.5</v>
      </c>
      <c r="DI22" s="398">
        <f t="shared" si="171"/>
        <v>0.6000000000000002</v>
      </c>
      <c r="DJ22" s="399">
        <f t="shared" si="172"/>
        <v>101.62601626016261</v>
      </c>
      <c r="DK22" s="66"/>
      <c r="DM22" s="396">
        <f t="shared" si="46"/>
        <v>10</v>
      </c>
      <c r="DN22" s="397">
        <f t="shared" si="47"/>
        <v>5</v>
      </c>
      <c r="DO22" s="398">
        <f t="shared" si="48"/>
        <v>1.2</v>
      </c>
      <c r="DP22" s="398">
        <f t="shared" si="173"/>
        <v>60.000000000000007</v>
      </c>
      <c r="DQ22" s="398">
        <f t="shared" si="49"/>
        <v>30</v>
      </c>
      <c r="DR22" s="398">
        <f t="shared" si="50"/>
        <v>7.5</v>
      </c>
      <c r="DS22" s="398">
        <f t="shared" si="174"/>
        <v>0.6000000000000002</v>
      </c>
      <c r="DT22" s="399">
        <f t="shared" si="175"/>
        <v>101.62601626016261</v>
      </c>
      <c r="DU22" s="66"/>
      <c r="DV22" s="66"/>
      <c r="DW22" s="396">
        <f t="shared" si="51"/>
        <v>10</v>
      </c>
      <c r="DX22" s="397">
        <f t="shared" si="52"/>
        <v>5</v>
      </c>
      <c r="DY22" s="398">
        <f t="shared" si="53"/>
        <v>1.2</v>
      </c>
      <c r="DZ22" s="398">
        <f t="shared" si="176"/>
        <v>60.000000000000007</v>
      </c>
      <c r="EA22" s="398">
        <f t="shared" si="54"/>
        <v>30</v>
      </c>
      <c r="EB22" s="398">
        <f t="shared" si="55"/>
        <v>2.5</v>
      </c>
      <c r="EC22" s="398">
        <f t="shared" si="177"/>
        <v>0.6000000000000002</v>
      </c>
      <c r="ED22" s="399">
        <f t="shared" si="178"/>
        <v>101.62601626016261</v>
      </c>
      <c r="EE22" s="66"/>
      <c r="EF22" s="66"/>
      <c r="EG22" s="396">
        <f t="shared" si="56"/>
        <v>10</v>
      </c>
      <c r="EH22" s="397">
        <f t="shared" si="57"/>
        <v>5</v>
      </c>
      <c r="EI22" s="398">
        <f t="shared" si="58"/>
        <v>1.2</v>
      </c>
      <c r="EJ22" s="398">
        <f t="shared" si="179"/>
        <v>60.000000000000007</v>
      </c>
      <c r="EK22" s="398">
        <f t="shared" si="59"/>
        <v>30</v>
      </c>
      <c r="EL22" s="398">
        <f t="shared" si="60"/>
        <v>-2.5</v>
      </c>
      <c r="EM22" s="398">
        <f t="shared" si="180"/>
        <v>0.6000000000000002</v>
      </c>
      <c r="EN22" s="399">
        <f t="shared" si="181"/>
        <v>101.62601626016261</v>
      </c>
      <c r="EO22" s="66"/>
      <c r="EP22" s="66"/>
      <c r="EQ22" s="396">
        <f t="shared" si="61"/>
        <v>10</v>
      </c>
      <c r="ER22" s="397">
        <f t="shared" si="62"/>
        <v>5</v>
      </c>
      <c r="ES22" s="398">
        <f t="shared" si="63"/>
        <v>1.2</v>
      </c>
      <c r="ET22" s="398">
        <f t="shared" si="182"/>
        <v>60.000000000000007</v>
      </c>
      <c r="EU22" s="398">
        <f t="shared" si="64"/>
        <v>30</v>
      </c>
      <c r="EV22" s="398">
        <f t="shared" si="65"/>
        <v>-7.5</v>
      </c>
      <c r="EW22" s="398">
        <f t="shared" si="183"/>
        <v>0.6000000000000002</v>
      </c>
      <c r="EX22" s="399">
        <f t="shared" si="184"/>
        <v>101.62601626016261</v>
      </c>
      <c r="EY22" s="66"/>
      <c r="EZ22" s="66"/>
      <c r="FA22" s="396">
        <f t="shared" si="66"/>
        <v>10</v>
      </c>
      <c r="FB22" s="397">
        <f t="shared" si="67"/>
        <v>5</v>
      </c>
      <c r="FC22" s="398">
        <f t="shared" si="68"/>
        <v>1.2</v>
      </c>
      <c r="FD22" s="398">
        <f t="shared" si="185"/>
        <v>60.000000000000007</v>
      </c>
      <c r="FE22" s="398">
        <f t="shared" si="69"/>
        <v>40</v>
      </c>
      <c r="FF22" s="398">
        <f t="shared" si="70"/>
        <v>7.5</v>
      </c>
      <c r="FG22" s="398">
        <f t="shared" si="186"/>
        <v>0.6000000000000002</v>
      </c>
      <c r="FH22" s="399">
        <f t="shared" si="187"/>
        <v>101.62601626016261</v>
      </c>
      <c r="FI22" s="66"/>
      <c r="FJ22" s="66"/>
      <c r="FK22" s="396">
        <f t="shared" si="71"/>
        <v>10</v>
      </c>
      <c r="FL22" s="397">
        <f t="shared" si="72"/>
        <v>5</v>
      </c>
      <c r="FM22" s="398">
        <f t="shared" si="73"/>
        <v>1.2</v>
      </c>
      <c r="FN22" s="398">
        <f t="shared" si="188"/>
        <v>60.000000000000007</v>
      </c>
      <c r="FO22" s="398">
        <f t="shared" si="74"/>
        <v>40</v>
      </c>
      <c r="FP22" s="398">
        <f t="shared" si="75"/>
        <v>2.5</v>
      </c>
      <c r="FQ22" s="398">
        <f t="shared" si="189"/>
        <v>0.6000000000000002</v>
      </c>
      <c r="FR22" s="399">
        <f t="shared" si="190"/>
        <v>101.62601626016261</v>
      </c>
      <c r="FS22" s="66"/>
      <c r="FT22" s="66"/>
      <c r="FU22" s="396">
        <f t="shared" si="76"/>
        <v>10</v>
      </c>
      <c r="FV22" s="397">
        <f t="shared" si="77"/>
        <v>5</v>
      </c>
      <c r="FW22" s="398">
        <f t="shared" si="78"/>
        <v>1.2</v>
      </c>
      <c r="FX22" s="398">
        <f t="shared" si="191"/>
        <v>60.000000000000007</v>
      </c>
      <c r="FY22" s="398">
        <f t="shared" si="79"/>
        <v>40</v>
      </c>
      <c r="FZ22" s="398">
        <f t="shared" si="80"/>
        <v>-2.5</v>
      </c>
      <c r="GA22" s="398">
        <f t="shared" si="192"/>
        <v>0.6000000000000002</v>
      </c>
      <c r="GB22" s="399">
        <f t="shared" si="193"/>
        <v>101.62601626016261</v>
      </c>
      <c r="GC22" s="66"/>
      <c r="GD22" s="66"/>
      <c r="GE22" s="396">
        <f t="shared" si="81"/>
        <v>10</v>
      </c>
      <c r="GF22" s="397">
        <f t="shared" si="82"/>
        <v>5</v>
      </c>
      <c r="GG22" s="398">
        <f t="shared" si="83"/>
        <v>1.2</v>
      </c>
      <c r="GH22" s="398">
        <f t="shared" si="194"/>
        <v>60.000000000000007</v>
      </c>
      <c r="GI22" s="398">
        <f t="shared" si="84"/>
        <v>40</v>
      </c>
      <c r="GJ22" s="398">
        <f t="shared" si="85"/>
        <v>-7.5</v>
      </c>
      <c r="GK22" s="398">
        <f t="shared" si="195"/>
        <v>0.6000000000000002</v>
      </c>
      <c r="GL22" s="399">
        <f t="shared" si="196"/>
        <v>101.62601626016261</v>
      </c>
      <c r="GM22" s="66"/>
      <c r="GN22" s="66"/>
      <c r="GO22" s="396">
        <f t="shared" si="86"/>
        <v>10</v>
      </c>
      <c r="GP22" s="397">
        <f t="shared" si="87"/>
        <v>5</v>
      </c>
      <c r="GQ22" s="398">
        <f t="shared" si="88"/>
        <v>1.2</v>
      </c>
      <c r="GR22" s="398">
        <f t="shared" si="197"/>
        <v>60.000000000000007</v>
      </c>
      <c r="GS22" s="398">
        <f t="shared" si="89"/>
        <v>50</v>
      </c>
      <c r="GT22" s="398">
        <f t="shared" si="90"/>
        <v>7.5</v>
      </c>
      <c r="GU22" s="398">
        <f t="shared" si="198"/>
        <v>0.6000000000000002</v>
      </c>
      <c r="GV22" s="399">
        <f t="shared" si="199"/>
        <v>101.62601626016261</v>
      </c>
      <c r="GW22" s="66"/>
      <c r="GX22" s="66"/>
      <c r="GY22" s="396">
        <f t="shared" si="91"/>
        <v>10</v>
      </c>
      <c r="GZ22" s="397">
        <f t="shared" si="92"/>
        <v>5</v>
      </c>
      <c r="HA22" s="398">
        <f t="shared" si="93"/>
        <v>1.2</v>
      </c>
      <c r="HB22" s="398">
        <f t="shared" si="200"/>
        <v>60.000000000000007</v>
      </c>
      <c r="HC22" s="398">
        <f t="shared" si="94"/>
        <v>50</v>
      </c>
      <c r="HD22" s="398">
        <f t="shared" si="95"/>
        <v>2.5</v>
      </c>
      <c r="HE22" s="398">
        <f t="shared" si="201"/>
        <v>0.6000000000000002</v>
      </c>
      <c r="HF22" s="399">
        <f t="shared" si="202"/>
        <v>101.62601626016261</v>
      </c>
      <c r="HH22" s="66"/>
      <c r="HI22" s="396">
        <f t="shared" si="96"/>
        <v>10</v>
      </c>
      <c r="HJ22" s="397">
        <f t="shared" si="97"/>
        <v>5</v>
      </c>
      <c r="HK22" s="398">
        <f t="shared" si="98"/>
        <v>1.2</v>
      </c>
      <c r="HL22" s="398">
        <f t="shared" si="203"/>
        <v>60.000000000000007</v>
      </c>
      <c r="HM22" s="398">
        <f t="shared" si="99"/>
        <v>50</v>
      </c>
      <c r="HN22" s="398">
        <f t="shared" si="100"/>
        <v>-2.5</v>
      </c>
      <c r="HO22" s="398">
        <f t="shared" si="204"/>
        <v>0.6000000000000002</v>
      </c>
      <c r="HP22" s="399">
        <f t="shared" si="205"/>
        <v>101.62601626016261</v>
      </c>
      <c r="HQ22" s="66"/>
      <c r="HR22" s="66"/>
      <c r="HS22" s="396">
        <f t="shared" si="101"/>
        <v>10</v>
      </c>
      <c r="HT22" s="397">
        <f t="shared" si="102"/>
        <v>5</v>
      </c>
      <c r="HU22" s="398">
        <f t="shared" si="103"/>
        <v>1.2</v>
      </c>
      <c r="HV22" s="398">
        <f t="shared" si="206"/>
        <v>60.000000000000007</v>
      </c>
      <c r="HW22" s="398">
        <f t="shared" si="104"/>
        <v>50</v>
      </c>
      <c r="HX22" s="398">
        <f t="shared" si="105"/>
        <v>-7.5</v>
      </c>
      <c r="HY22" s="398">
        <f t="shared" si="207"/>
        <v>0.6000000000000002</v>
      </c>
      <c r="HZ22" s="399">
        <f t="shared" si="208"/>
        <v>101.62601626016261</v>
      </c>
      <c r="IA22" s="66"/>
      <c r="IB22" s="66"/>
      <c r="IC22" s="396">
        <f t="shared" si="106"/>
        <v>2.1240000000000006</v>
      </c>
      <c r="ID22" s="397">
        <f t="shared" si="107"/>
        <v>20</v>
      </c>
      <c r="IE22" s="398">
        <f t="shared" si="108"/>
        <v>1.2</v>
      </c>
      <c r="IF22" s="398">
        <f t="shared" si="209"/>
        <v>25.392484906115033</v>
      </c>
      <c r="IG22" s="398">
        <f t="shared" si="109"/>
        <v>55.708758247449857</v>
      </c>
      <c r="IH22" s="398">
        <f t="shared" si="110"/>
        <v>0</v>
      </c>
      <c r="II22" s="398">
        <f t="shared" si="210"/>
        <v>0.80085677677950418</v>
      </c>
      <c r="IJ22" s="399">
        <f t="shared" si="211"/>
        <v>1381.4634146341466</v>
      </c>
      <c r="IK22" s="66"/>
      <c r="IL22" s="66"/>
      <c r="IM22" s="987">
        <f t="shared" si="111"/>
        <v>11</v>
      </c>
      <c r="IN22" s="988">
        <f t="shared" si="112"/>
        <v>13.75</v>
      </c>
      <c r="IO22" s="990">
        <f t="shared" si="113"/>
        <v>1.2</v>
      </c>
      <c r="IP22" s="990">
        <f t="shared" si="212"/>
        <v>156.90359441245002</v>
      </c>
      <c r="IQ22" s="990">
        <f t="shared" si="114"/>
        <v>67.398893963526163</v>
      </c>
      <c r="IR22" s="990">
        <f t="shared" si="115"/>
        <v>6.8749999999999982</v>
      </c>
      <c r="IS22" s="990">
        <f t="shared" si="213"/>
        <v>0.63130585729611255</v>
      </c>
      <c r="IT22" s="992">
        <f t="shared" si="214"/>
        <v>2324.8539126016262</v>
      </c>
      <c r="IU22" s="66"/>
      <c r="IV22" s="66"/>
      <c r="IW22" s="987">
        <f t="shared" si="116"/>
        <v>11</v>
      </c>
      <c r="IX22" s="988">
        <f t="shared" si="117"/>
        <v>13.75</v>
      </c>
      <c r="IY22" s="990">
        <f t="shared" si="118"/>
        <v>1.2</v>
      </c>
      <c r="IZ22" s="990">
        <f t="shared" si="215"/>
        <v>156.90359441245002</v>
      </c>
      <c r="JA22" s="990">
        <f t="shared" si="119"/>
        <v>67.398893963526163</v>
      </c>
      <c r="JB22" s="990">
        <f t="shared" si="120"/>
        <v>-6.8749999999999982</v>
      </c>
      <c r="JC22" s="990">
        <f t="shared" si="216"/>
        <v>0.63130585729611255</v>
      </c>
      <c r="JD22" s="992">
        <f t="shared" si="217"/>
        <v>2324.8539126016262</v>
      </c>
      <c r="JE22" s="66"/>
      <c r="JF22" s="66"/>
      <c r="JG22" s="396">
        <f t="shared" si="121"/>
        <v>3</v>
      </c>
      <c r="JH22" s="397">
        <f t="shared" si="122"/>
        <v>6.875</v>
      </c>
      <c r="JI22" s="398">
        <f t="shared" si="123"/>
        <v>1.2</v>
      </c>
      <c r="JJ22" s="398">
        <f t="shared" si="218"/>
        <v>12.328625263385652</v>
      </c>
      <c r="JK22" s="398">
        <f t="shared" si="124"/>
        <v>70.601070970974376</v>
      </c>
      <c r="JL22" s="398">
        <f t="shared" si="125"/>
        <v>10.3125</v>
      </c>
      <c r="JM22" s="398">
        <f t="shared" si="219"/>
        <v>1.9968567767795038</v>
      </c>
      <c r="JN22" s="399">
        <f t="shared" si="220"/>
        <v>79.256383384146346</v>
      </c>
      <c r="JO22" s="66"/>
      <c r="JP22" s="66"/>
      <c r="JQ22" s="396">
        <f t="shared" si="126"/>
        <v>3</v>
      </c>
      <c r="JR22" s="397">
        <f t="shared" si="127"/>
        <v>6.875</v>
      </c>
      <c r="JS22" s="398">
        <f t="shared" si="128"/>
        <v>1.2</v>
      </c>
      <c r="JT22" s="398">
        <f t="shared" si="221"/>
        <v>12.328625263385652</v>
      </c>
      <c r="JU22" s="398">
        <f t="shared" si="129"/>
        <v>70.601070970974376</v>
      </c>
      <c r="JV22" s="398">
        <f t="shared" si="130"/>
        <v>3.4375</v>
      </c>
      <c r="JW22" s="398">
        <f t="shared" si="222"/>
        <v>1.9968567767795038</v>
      </c>
      <c r="JX22" s="399">
        <f t="shared" si="223"/>
        <v>79.256383384146346</v>
      </c>
      <c r="JY22" s="66"/>
      <c r="JZ22" s="66"/>
      <c r="KA22" s="396">
        <f t="shared" si="131"/>
        <v>3</v>
      </c>
      <c r="KB22" s="397">
        <f t="shared" si="132"/>
        <v>6.875</v>
      </c>
      <c r="KC22" s="398">
        <f t="shared" si="133"/>
        <v>1.2</v>
      </c>
      <c r="KD22" s="398">
        <f t="shared" si="224"/>
        <v>12.328625263385652</v>
      </c>
      <c r="KE22" s="398">
        <f t="shared" si="134"/>
        <v>70.601070970974376</v>
      </c>
      <c r="KF22" s="398">
        <f t="shared" si="135"/>
        <v>-3.4375</v>
      </c>
      <c r="KG22" s="398">
        <f t="shared" si="225"/>
        <v>1.9968567767795038</v>
      </c>
      <c r="KH22" s="399">
        <f t="shared" si="226"/>
        <v>79.256383384146346</v>
      </c>
      <c r="KI22" s="66"/>
      <c r="KJ22" s="66"/>
      <c r="KK22" s="396">
        <f t="shared" si="136"/>
        <v>3</v>
      </c>
      <c r="KL22" s="397">
        <f t="shared" si="137"/>
        <v>6.875</v>
      </c>
      <c r="KM22" s="398">
        <f t="shared" si="138"/>
        <v>1.2</v>
      </c>
      <c r="KN22" s="398">
        <f t="shared" si="227"/>
        <v>12.328625263385652</v>
      </c>
      <c r="KO22" s="398">
        <f t="shared" si="139"/>
        <v>70.601070970974376</v>
      </c>
      <c r="KP22" s="398">
        <f t="shared" si="140"/>
        <v>-10.3125</v>
      </c>
      <c r="KQ22" s="398">
        <f t="shared" si="228"/>
        <v>1.9968567767795038</v>
      </c>
      <c r="KR22" s="399">
        <f t="shared" si="229"/>
        <v>79.256383384146346</v>
      </c>
      <c r="KS22" s="66"/>
      <c r="KT22" s="66"/>
      <c r="KU22" s="396">
        <f t="shared" si="141"/>
        <v>5</v>
      </c>
      <c r="KV22" s="397">
        <f t="shared" si="142"/>
        <v>5</v>
      </c>
      <c r="KW22" s="398">
        <f t="shared" si="143"/>
        <v>1.2</v>
      </c>
      <c r="KX22" s="398">
        <f t="shared" si="230"/>
        <v>30.000000000000004</v>
      </c>
      <c r="KY22" s="398">
        <f t="shared" si="144"/>
        <v>57.5</v>
      </c>
      <c r="KZ22" s="398">
        <f t="shared" si="145"/>
        <v>0</v>
      </c>
      <c r="LA22" s="398">
        <f t="shared" si="231"/>
        <v>0.6000000000000002</v>
      </c>
      <c r="LB22" s="399">
        <f t="shared" si="232"/>
        <v>50.813008130081307</v>
      </c>
      <c r="LC22" s="66"/>
    </row>
    <row r="23" spans="1:315" s="67" customFormat="1" ht="15" customHeight="1" x14ac:dyDescent="0.25">
      <c r="A23" s="481"/>
      <c r="B23" s="73">
        <f t="shared" si="0"/>
        <v>13</v>
      </c>
      <c r="C23" s="347" t="str">
        <f>INDEX($AA$1:$LC$6,C$5,C$6+Tbl_Ballasts[[#This Row],[Index]]*Ballasts_columns_step)</f>
        <v>WB3Ps</v>
      </c>
      <c r="D23" s="114" t="str">
        <f ca="1">IFERROR(OFFSET($AA$1,D$5,D$6+Tbl_Ballasts[[#This Row],[Index]]*Ballasts_columns_step),0)</f>
        <v>OK</v>
      </c>
      <c r="E23" s="348">
        <v>3</v>
      </c>
      <c r="F23" s="349">
        <v>1</v>
      </c>
      <c r="G23" s="763" t="str">
        <f>TEXT(Tbl_Ballasts[[#This Row],[Recap Row]],"00")&amp;TEXT(Tbl_Ballasts[[#This Row],[Recap Col]],"00")</f>
        <v>0301</v>
      </c>
      <c r="H23" s="760">
        <f>INDEX(Recap_Ballasts,Tbl_Ballasts[[#This Row],[Recap Row]],Tbl_Ballasts[[#This Row],[Recap Col]])</f>
        <v>0</v>
      </c>
      <c r="I23" s="493">
        <f ca="1">IFERROR(OFFSET($AA$1,I$5,I$6+Tbl_Ballasts[[#This Row],[Index]]*Ballasts_columns_step),0)</f>
        <v>0</v>
      </c>
      <c r="J23" s="103">
        <f ca="1">IFERROR(OFFSET($AA$1,J$5,J$6+Tbl_Ballasts[[#This Row],[Index]]*Ballasts_columns_step),0)</f>
        <v>0</v>
      </c>
      <c r="K23" s="427">
        <f ca="1">IFERROR(OFFSET($AA$1,K$5,K$6+Tbl_Ballasts[[#This Row],[Index]]*Ballasts_columns_step),0)</f>
        <v>40</v>
      </c>
      <c r="L23" s="428">
        <f ca="1">IFERROR(OFFSET($AA$1,L$5,L$6+Tbl_Ballasts[[#This Row],[Index]]*Ballasts_columns_step),0)</f>
        <v>7.5</v>
      </c>
      <c r="M23" s="429">
        <f ca="1">IFERROR(OFFSET($AA$1,M$5,M$6+Tbl_Ballasts[[#This Row],[Index]]*Ballasts_columns_step),0)</f>
        <v>0</v>
      </c>
      <c r="N23" s="438">
        <f ca="1">IFERROR(OFFSET($AA$1,N$5,N$6+Tbl_Ballasts[[#This Row],[Index]]*Ballasts_columns_step),0)</f>
        <v>10</v>
      </c>
      <c r="O23" s="437" t="str">
        <f ca="1">IF(Tbl_Ballasts[[#This Row],[Weight Fact]],Tbl_Ballasts[[#This Row],[COG x ]]-Tbl_Ballasts[[#This Row],[Distrib]]/2,"")</f>
        <v/>
      </c>
      <c r="P23" s="439" t="str">
        <f ca="1">IF(Tbl_Ballasts[[#This Row],[Weight Fact]],Tbl_Ballasts[[#This Row],[COG x ]]+Tbl_Ballasts[[#This Row],[Distrib]]/2,"")</f>
        <v/>
      </c>
      <c r="Q23" s="440" t="str">
        <f ca="1">IF(Tbl_Ballasts[[#This Row],[Weight Fact]],ROUND(Tbl_Ballasts[[#This Row],[AP from]]/FE_size,0),"")</f>
        <v/>
      </c>
      <c r="R23" s="441" t="str">
        <f ca="1">IF(Tbl_Ballasts[[#This Row],[Weight Fact]],ROUND(Tbl_Ballasts[[#This Row],[AP to]]/FE_size,0),"")</f>
        <v/>
      </c>
      <c r="S23" s="114" t="str">
        <f ca="1">IF(Tbl_Ballasts[[#This Row],[Weight Fact]]=0,"",IF(AND(Tbl_Ballasts[[#This Row],[COG x ]]&gt;=(Tbl_Ballasts[[#This Row],[L to]]-Tbl_Ballasts[[#This Row],[L from]])/3+Tbl_Ballasts[[#This Row],[L from]],Tbl_Ballasts[[#This Row],[COG x ]]&lt;=(Tbl_Ballasts[[#This Row],[L to]]-Tbl_Ballasts[[#This Row],[L from]])*2/3+Tbl_Ballasts[[#This Row],[L from]],Tbl_Ballasts[[#This Row],[L to]]&gt;Tbl_Ballasts[[#This Row],[L from]]),"OK","KO"))</f>
        <v/>
      </c>
      <c r="T23" s="442" t="str">
        <f ca="1">IF(Tbl_Ballasts[[#This Row],[Weight Fact]],IF(Tbl_Ballasts[[#This Row],[Fr from]]*FE_size&lt;0,0,Tbl_Ballasts[[#This Row],[Fr from]]*FE_size),"")</f>
        <v/>
      </c>
      <c r="U23" s="443" t="str">
        <f ca="1">IF(Tbl_Ballasts[[#This Row],[Weight Fact]],IF(Tbl_Ballasts[[#This Row],[Fr to]]*FE_size=Tbl_Ballasts[[#This Row],[L from]],Tbl_Ballasts[[#This Row],[L from]]+FE_size,IF(Tbl_Ballasts[[#This Row],[Fr to]]*FE_size&gt;Lpp,Lpp,Tbl_Ballasts[[#This Row],[Fr to]]*FE_size)),"")</f>
        <v/>
      </c>
      <c r="V23" s="444" t="str">
        <f ca="1">IFERROR(Tbl_Ballasts[[#This Row],[Weight Fact]]/(Tbl_Ballasts[[#This Row],[L to]]-Tbl_Ballasts[[#This Row],[L from]]),"")</f>
        <v/>
      </c>
      <c r="W23" s="145" t="str">
        <f ca="1">IF(Tbl_Ballasts[[#This Row],[Weight Fact]],Tbl_Ballasts[[#This Row],[Spread]]*(Tbl_Ballasts[[#This Row],[L to]]-Tbl_Ballasts[[#This Row],[L from]])-Tbl_Ballasts[[#This Row],[Weight Fact]],"")</f>
        <v/>
      </c>
      <c r="X23" s="141" t="str">
        <f ca="1">IF(AND(ISNUMBER(Tbl_Ballasts[[#This Row],[L from]]),ISNUMBER(Tbl_Ballasts[[#This Row],[L to]])),IF(AND(Tbl_Ballasts[[#This Row],[L from]]&gt;=0,Tbl_Ballasts[[#This Row],[L to]]&lt;=Lpp),"OK","KO"),"OK")</f>
        <v>OK</v>
      </c>
      <c r="Y23" s="481"/>
      <c r="Z23" s="413"/>
      <c r="AA23" s="396">
        <f t="shared" si="1"/>
        <v>2.3100999999999998</v>
      </c>
      <c r="AB23" s="397">
        <f t="shared" si="2"/>
        <v>20</v>
      </c>
      <c r="AC23" s="398">
        <f t="shared" si="3"/>
        <v>1.3</v>
      </c>
      <c r="AD23" s="398">
        <f t="shared" si="146"/>
        <v>29.934222021893074</v>
      </c>
      <c r="AE23" s="398">
        <f t="shared" si="4"/>
        <v>4.2292300067887014</v>
      </c>
      <c r="AF23" s="398">
        <f t="shared" si="5"/>
        <v>0</v>
      </c>
      <c r="AG23" s="398">
        <f t="shared" si="147"/>
        <v>0.86749577176285686</v>
      </c>
      <c r="AH23" s="399">
        <f t="shared" si="148"/>
        <v>1502.5040650406504</v>
      </c>
      <c r="AI23" s="367"/>
      <c r="AJ23" s="66"/>
      <c r="AK23" s="396">
        <f t="shared" si="6"/>
        <v>10</v>
      </c>
      <c r="AL23" s="397">
        <f t="shared" si="7"/>
        <v>5</v>
      </c>
      <c r="AM23" s="398">
        <f t="shared" si="8"/>
        <v>1.3</v>
      </c>
      <c r="AN23" s="398">
        <f t="shared" si="149"/>
        <v>65.000000000000014</v>
      </c>
      <c r="AO23" s="398">
        <f t="shared" si="9"/>
        <v>10.000000000000002</v>
      </c>
      <c r="AP23" s="398">
        <f t="shared" si="10"/>
        <v>7.5</v>
      </c>
      <c r="AQ23" s="398">
        <f t="shared" si="150"/>
        <v>0.65000000000000013</v>
      </c>
      <c r="AR23" s="399">
        <f t="shared" si="151"/>
        <v>101.62601626016261</v>
      </c>
      <c r="AS23" s="66"/>
      <c r="AT23" s="66"/>
      <c r="AU23" s="396">
        <f t="shared" si="11"/>
        <v>10</v>
      </c>
      <c r="AV23" s="397">
        <f t="shared" si="12"/>
        <v>5</v>
      </c>
      <c r="AW23" s="398">
        <f t="shared" si="13"/>
        <v>1.3</v>
      </c>
      <c r="AX23" s="398">
        <f t="shared" si="152"/>
        <v>65.000000000000014</v>
      </c>
      <c r="AY23" s="398">
        <f t="shared" si="14"/>
        <v>10.000000000000002</v>
      </c>
      <c r="AZ23" s="398">
        <f t="shared" si="15"/>
        <v>2.5000000000000004</v>
      </c>
      <c r="BA23" s="398">
        <f t="shared" si="153"/>
        <v>0.65000000000000013</v>
      </c>
      <c r="BB23" s="399">
        <f t="shared" si="154"/>
        <v>101.62601626016261</v>
      </c>
      <c r="BC23" s="66"/>
      <c r="BD23" s="66"/>
      <c r="BE23" s="396">
        <f t="shared" si="16"/>
        <v>10</v>
      </c>
      <c r="BF23" s="397">
        <f t="shared" si="17"/>
        <v>5</v>
      </c>
      <c r="BG23" s="398">
        <f t="shared" si="18"/>
        <v>1.3</v>
      </c>
      <c r="BH23" s="398">
        <f t="shared" si="155"/>
        <v>65.000000000000014</v>
      </c>
      <c r="BI23" s="398">
        <f t="shared" si="19"/>
        <v>10.000000000000002</v>
      </c>
      <c r="BJ23" s="398">
        <f t="shared" si="20"/>
        <v>-2.5000000000000004</v>
      </c>
      <c r="BK23" s="398">
        <f t="shared" si="156"/>
        <v>0.65000000000000013</v>
      </c>
      <c r="BL23" s="399">
        <f t="shared" si="157"/>
        <v>101.62601626016261</v>
      </c>
      <c r="BM23" s="66"/>
      <c r="BN23" s="66"/>
      <c r="BO23" s="396">
        <f t="shared" si="21"/>
        <v>10</v>
      </c>
      <c r="BP23" s="397">
        <f t="shared" si="22"/>
        <v>5</v>
      </c>
      <c r="BQ23" s="398">
        <f t="shared" si="23"/>
        <v>1.3</v>
      </c>
      <c r="BR23" s="398">
        <f t="shared" si="158"/>
        <v>65.000000000000014</v>
      </c>
      <c r="BS23" s="398">
        <f t="shared" si="24"/>
        <v>10.000000000000002</v>
      </c>
      <c r="BT23" s="398">
        <f t="shared" si="25"/>
        <v>-7.5</v>
      </c>
      <c r="BU23" s="398">
        <f t="shared" si="159"/>
        <v>0.65000000000000013</v>
      </c>
      <c r="BV23" s="399">
        <f t="shared" si="160"/>
        <v>101.62601626016261</v>
      </c>
      <c r="BW23" s="66"/>
      <c r="BX23" s="66"/>
      <c r="BY23" s="396">
        <f t="shared" si="26"/>
        <v>10</v>
      </c>
      <c r="BZ23" s="397">
        <f t="shared" si="27"/>
        <v>5</v>
      </c>
      <c r="CA23" s="398">
        <f t="shared" si="28"/>
        <v>1.3</v>
      </c>
      <c r="CB23" s="398">
        <f t="shared" si="161"/>
        <v>65.000000000000014</v>
      </c>
      <c r="CC23" s="398">
        <f t="shared" si="29"/>
        <v>20.000000000000004</v>
      </c>
      <c r="CD23" s="398">
        <f t="shared" si="30"/>
        <v>7.5</v>
      </c>
      <c r="CE23" s="398">
        <f t="shared" si="162"/>
        <v>0.65000000000000013</v>
      </c>
      <c r="CF23" s="399">
        <f t="shared" si="163"/>
        <v>101.62601626016261</v>
      </c>
      <c r="CG23" s="66"/>
      <c r="CH23" s="66"/>
      <c r="CI23" s="396">
        <f t="shared" si="31"/>
        <v>10</v>
      </c>
      <c r="CJ23" s="397">
        <f t="shared" si="32"/>
        <v>5</v>
      </c>
      <c r="CK23" s="398">
        <f t="shared" si="33"/>
        <v>1.3</v>
      </c>
      <c r="CL23" s="398">
        <f t="shared" si="164"/>
        <v>65.000000000000014</v>
      </c>
      <c r="CM23" s="398">
        <f t="shared" si="34"/>
        <v>20.000000000000004</v>
      </c>
      <c r="CN23" s="398">
        <f t="shared" si="35"/>
        <v>2.5000000000000004</v>
      </c>
      <c r="CO23" s="398">
        <f t="shared" si="165"/>
        <v>0.65000000000000013</v>
      </c>
      <c r="CP23" s="399">
        <f t="shared" si="166"/>
        <v>101.62601626016261</v>
      </c>
      <c r="CQ23" s="66"/>
      <c r="CS23" s="396">
        <f t="shared" si="36"/>
        <v>10</v>
      </c>
      <c r="CT23" s="397">
        <f t="shared" si="37"/>
        <v>5</v>
      </c>
      <c r="CU23" s="398">
        <f t="shared" si="38"/>
        <v>1.3</v>
      </c>
      <c r="CV23" s="398">
        <f t="shared" si="167"/>
        <v>65.000000000000014</v>
      </c>
      <c r="CW23" s="398">
        <f t="shared" si="39"/>
        <v>20.000000000000004</v>
      </c>
      <c r="CX23" s="398">
        <f t="shared" si="40"/>
        <v>-2.5000000000000004</v>
      </c>
      <c r="CY23" s="398">
        <f t="shared" si="168"/>
        <v>0.65000000000000013</v>
      </c>
      <c r="CZ23" s="399">
        <f t="shared" si="169"/>
        <v>101.62601626016261</v>
      </c>
      <c r="DA23" s="66"/>
      <c r="DB23" s="66"/>
      <c r="DC23" s="396">
        <f t="shared" si="41"/>
        <v>10</v>
      </c>
      <c r="DD23" s="397">
        <f t="shared" si="42"/>
        <v>5</v>
      </c>
      <c r="DE23" s="398">
        <f t="shared" si="43"/>
        <v>1.3</v>
      </c>
      <c r="DF23" s="398">
        <f t="shared" si="170"/>
        <v>65.000000000000014</v>
      </c>
      <c r="DG23" s="398">
        <f t="shared" si="44"/>
        <v>20.000000000000004</v>
      </c>
      <c r="DH23" s="398">
        <f t="shared" si="45"/>
        <v>-7.5</v>
      </c>
      <c r="DI23" s="398">
        <f t="shared" si="171"/>
        <v>0.65000000000000013</v>
      </c>
      <c r="DJ23" s="399">
        <f t="shared" si="172"/>
        <v>101.62601626016261</v>
      </c>
      <c r="DK23" s="66"/>
      <c r="DM23" s="396">
        <f t="shared" si="46"/>
        <v>10</v>
      </c>
      <c r="DN23" s="397">
        <f t="shared" si="47"/>
        <v>5</v>
      </c>
      <c r="DO23" s="398">
        <f t="shared" si="48"/>
        <v>1.3</v>
      </c>
      <c r="DP23" s="398">
        <f t="shared" si="173"/>
        <v>65.000000000000014</v>
      </c>
      <c r="DQ23" s="398">
        <f t="shared" si="49"/>
        <v>30</v>
      </c>
      <c r="DR23" s="398">
        <f t="shared" si="50"/>
        <v>7.5</v>
      </c>
      <c r="DS23" s="398">
        <f t="shared" si="174"/>
        <v>0.65000000000000013</v>
      </c>
      <c r="DT23" s="399">
        <f t="shared" si="175"/>
        <v>101.62601626016261</v>
      </c>
      <c r="DU23" s="66"/>
      <c r="DV23" s="66"/>
      <c r="DW23" s="396">
        <f t="shared" si="51"/>
        <v>10</v>
      </c>
      <c r="DX23" s="397">
        <f t="shared" si="52"/>
        <v>5</v>
      </c>
      <c r="DY23" s="398">
        <f t="shared" si="53"/>
        <v>1.3</v>
      </c>
      <c r="DZ23" s="398">
        <f t="shared" si="176"/>
        <v>65.000000000000014</v>
      </c>
      <c r="EA23" s="398">
        <f t="shared" si="54"/>
        <v>30</v>
      </c>
      <c r="EB23" s="398">
        <f t="shared" si="55"/>
        <v>2.5000000000000004</v>
      </c>
      <c r="EC23" s="398">
        <f t="shared" si="177"/>
        <v>0.65000000000000013</v>
      </c>
      <c r="ED23" s="399">
        <f t="shared" si="178"/>
        <v>101.62601626016261</v>
      </c>
      <c r="EE23" s="66"/>
      <c r="EF23" s="66"/>
      <c r="EG23" s="396">
        <f t="shared" si="56"/>
        <v>10</v>
      </c>
      <c r="EH23" s="397">
        <f t="shared" si="57"/>
        <v>5</v>
      </c>
      <c r="EI23" s="398">
        <f t="shared" si="58"/>
        <v>1.3</v>
      </c>
      <c r="EJ23" s="398">
        <f t="shared" si="179"/>
        <v>65.000000000000014</v>
      </c>
      <c r="EK23" s="398">
        <f t="shared" si="59"/>
        <v>30</v>
      </c>
      <c r="EL23" s="398">
        <f t="shared" si="60"/>
        <v>-2.5000000000000004</v>
      </c>
      <c r="EM23" s="398">
        <f t="shared" si="180"/>
        <v>0.65000000000000013</v>
      </c>
      <c r="EN23" s="399">
        <f t="shared" si="181"/>
        <v>101.62601626016261</v>
      </c>
      <c r="EO23" s="66"/>
      <c r="EP23" s="66"/>
      <c r="EQ23" s="396">
        <f t="shared" si="61"/>
        <v>10</v>
      </c>
      <c r="ER23" s="397">
        <f t="shared" si="62"/>
        <v>5</v>
      </c>
      <c r="ES23" s="398">
        <f t="shared" si="63"/>
        <v>1.3</v>
      </c>
      <c r="ET23" s="398">
        <f t="shared" si="182"/>
        <v>65.000000000000014</v>
      </c>
      <c r="EU23" s="398">
        <f t="shared" si="64"/>
        <v>30</v>
      </c>
      <c r="EV23" s="398">
        <f t="shared" si="65"/>
        <v>-7.5</v>
      </c>
      <c r="EW23" s="398">
        <f t="shared" si="183"/>
        <v>0.65000000000000013</v>
      </c>
      <c r="EX23" s="399">
        <f t="shared" si="184"/>
        <v>101.62601626016261</v>
      </c>
      <c r="EY23" s="66"/>
      <c r="EZ23" s="66"/>
      <c r="FA23" s="396">
        <f t="shared" si="66"/>
        <v>10</v>
      </c>
      <c r="FB23" s="397">
        <f t="shared" si="67"/>
        <v>5</v>
      </c>
      <c r="FC23" s="398">
        <f t="shared" si="68"/>
        <v>1.3</v>
      </c>
      <c r="FD23" s="398">
        <f t="shared" si="185"/>
        <v>65.000000000000014</v>
      </c>
      <c r="FE23" s="398">
        <f t="shared" si="69"/>
        <v>40.000000000000007</v>
      </c>
      <c r="FF23" s="398">
        <f t="shared" si="70"/>
        <v>7.5</v>
      </c>
      <c r="FG23" s="398">
        <f t="shared" si="186"/>
        <v>0.65000000000000013</v>
      </c>
      <c r="FH23" s="399">
        <f t="shared" si="187"/>
        <v>101.62601626016261</v>
      </c>
      <c r="FI23" s="66"/>
      <c r="FJ23" s="66"/>
      <c r="FK23" s="396">
        <f t="shared" si="71"/>
        <v>10</v>
      </c>
      <c r="FL23" s="397">
        <f t="shared" si="72"/>
        <v>5</v>
      </c>
      <c r="FM23" s="398">
        <f t="shared" si="73"/>
        <v>1.3</v>
      </c>
      <c r="FN23" s="398">
        <f t="shared" si="188"/>
        <v>65.000000000000014</v>
      </c>
      <c r="FO23" s="398">
        <f t="shared" si="74"/>
        <v>40.000000000000007</v>
      </c>
      <c r="FP23" s="398">
        <f t="shared" si="75"/>
        <v>2.5000000000000004</v>
      </c>
      <c r="FQ23" s="398">
        <f t="shared" si="189"/>
        <v>0.65000000000000013</v>
      </c>
      <c r="FR23" s="399">
        <f t="shared" si="190"/>
        <v>101.62601626016261</v>
      </c>
      <c r="FS23" s="66"/>
      <c r="FT23" s="66"/>
      <c r="FU23" s="396">
        <f t="shared" si="76"/>
        <v>10</v>
      </c>
      <c r="FV23" s="397">
        <f t="shared" si="77"/>
        <v>5</v>
      </c>
      <c r="FW23" s="398">
        <f t="shared" si="78"/>
        <v>1.3</v>
      </c>
      <c r="FX23" s="398">
        <f t="shared" si="191"/>
        <v>65.000000000000014</v>
      </c>
      <c r="FY23" s="398">
        <f t="shared" si="79"/>
        <v>40.000000000000007</v>
      </c>
      <c r="FZ23" s="398">
        <f t="shared" si="80"/>
        <v>-2.5000000000000004</v>
      </c>
      <c r="GA23" s="398">
        <f t="shared" si="192"/>
        <v>0.65000000000000013</v>
      </c>
      <c r="GB23" s="399">
        <f t="shared" si="193"/>
        <v>101.62601626016261</v>
      </c>
      <c r="GC23" s="66"/>
      <c r="GD23" s="66"/>
      <c r="GE23" s="396">
        <f t="shared" si="81"/>
        <v>10</v>
      </c>
      <c r="GF23" s="397">
        <f t="shared" si="82"/>
        <v>5</v>
      </c>
      <c r="GG23" s="398">
        <f t="shared" si="83"/>
        <v>1.3</v>
      </c>
      <c r="GH23" s="398">
        <f t="shared" si="194"/>
        <v>65.000000000000014</v>
      </c>
      <c r="GI23" s="398">
        <f t="shared" si="84"/>
        <v>40.000000000000007</v>
      </c>
      <c r="GJ23" s="398">
        <f t="shared" si="85"/>
        <v>-7.5</v>
      </c>
      <c r="GK23" s="398">
        <f t="shared" si="195"/>
        <v>0.65000000000000013</v>
      </c>
      <c r="GL23" s="399">
        <f t="shared" si="196"/>
        <v>101.62601626016261</v>
      </c>
      <c r="GM23" s="66"/>
      <c r="GN23" s="66"/>
      <c r="GO23" s="396">
        <f t="shared" si="86"/>
        <v>10</v>
      </c>
      <c r="GP23" s="397">
        <f t="shared" si="87"/>
        <v>5</v>
      </c>
      <c r="GQ23" s="398">
        <f t="shared" si="88"/>
        <v>1.3</v>
      </c>
      <c r="GR23" s="398">
        <f t="shared" si="197"/>
        <v>65.000000000000014</v>
      </c>
      <c r="GS23" s="398">
        <f t="shared" si="89"/>
        <v>50</v>
      </c>
      <c r="GT23" s="398">
        <f t="shared" si="90"/>
        <v>7.5</v>
      </c>
      <c r="GU23" s="398">
        <f t="shared" si="198"/>
        <v>0.65000000000000013</v>
      </c>
      <c r="GV23" s="399">
        <f t="shared" si="199"/>
        <v>101.62601626016261</v>
      </c>
      <c r="GW23" s="66"/>
      <c r="GX23" s="66"/>
      <c r="GY23" s="396">
        <f t="shared" si="91"/>
        <v>10</v>
      </c>
      <c r="GZ23" s="397">
        <f t="shared" si="92"/>
        <v>5</v>
      </c>
      <c r="HA23" s="398">
        <f t="shared" si="93"/>
        <v>1.3</v>
      </c>
      <c r="HB23" s="398">
        <f t="shared" si="200"/>
        <v>65.000000000000014</v>
      </c>
      <c r="HC23" s="398">
        <f t="shared" si="94"/>
        <v>50</v>
      </c>
      <c r="HD23" s="398">
        <f t="shared" si="95"/>
        <v>2.5000000000000004</v>
      </c>
      <c r="HE23" s="398">
        <f t="shared" si="201"/>
        <v>0.65000000000000013</v>
      </c>
      <c r="HF23" s="399">
        <f t="shared" si="202"/>
        <v>101.62601626016261</v>
      </c>
      <c r="HH23" s="66"/>
      <c r="HI23" s="396">
        <f t="shared" si="96"/>
        <v>10</v>
      </c>
      <c r="HJ23" s="397">
        <f t="shared" si="97"/>
        <v>5</v>
      </c>
      <c r="HK23" s="398">
        <f t="shared" si="98"/>
        <v>1.3</v>
      </c>
      <c r="HL23" s="398">
        <f t="shared" si="203"/>
        <v>65.000000000000014</v>
      </c>
      <c r="HM23" s="398">
        <f t="shared" si="99"/>
        <v>50</v>
      </c>
      <c r="HN23" s="398">
        <f t="shared" si="100"/>
        <v>-2.5000000000000004</v>
      </c>
      <c r="HO23" s="398">
        <f t="shared" si="204"/>
        <v>0.65000000000000013</v>
      </c>
      <c r="HP23" s="399">
        <f t="shared" si="205"/>
        <v>101.62601626016261</v>
      </c>
      <c r="HQ23" s="66"/>
      <c r="HR23" s="66"/>
      <c r="HS23" s="396">
        <f t="shared" si="101"/>
        <v>10</v>
      </c>
      <c r="HT23" s="397">
        <f t="shared" si="102"/>
        <v>5</v>
      </c>
      <c r="HU23" s="398">
        <f t="shared" si="103"/>
        <v>1.3</v>
      </c>
      <c r="HV23" s="398">
        <f t="shared" si="206"/>
        <v>65.000000000000014</v>
      </c>
      <c r="HW23" s="398">
        <f t="shared" si="104"/>
        <v>50</v>
      </c>
      <c r="HX23" s="398">
        <f t="shared" si="105"/>
        <v>-7.5</v>
      </c>
      <c r="HY23" s="398">
        <f t="shared" si="207"/>
        <v>0.65000000000000013</v>
      </c>
      <c r="HZ23" s="399">
        <f t="shared" si="208"/>
        <v>101.62601626016261</v>
      </c>
      <c r="IA23" s="66"/>
      <c r="IB23" s="66"/>
      <c r="IC23" s="396">
        <f t="shared" si="106"/>
        <v>2.3010000000000006</v>
      </c>
      <c r="ID23" s="397">
        <f t="shared" si="107"/>
        <v>20</v>
      </c>
      <c r="IE23" s="398">
        <f t="shared" si="108"/>
        <v>1.3</v>
      </c>
      <c r="IF23" s="398">
        <f t="shared" si="209"/>
        <v>29.816304433737059</v>
      </c>
      <c r="IG23" s="398">
        <f t="shared" si="109"/>
        <v>55.767733758010131</v>
      </c>
      <c r="IH23" s="398">
        <f t="shared" si="110"/>
        <v>0</v>
      </c>
      <c r="II23" s="398">
        <f t="shared" si="210"/>
        <v>0.86749577176285708</v>
      </c>
      <c r="IJ23" s="399">
        <f t="shared" si="211"/>
        <v>1496.5853658536589</v>
      </c>
      <c r="IK23" s="66"/>
      <c r="IL23" s="66"/>
      <c r="IM23" s="396">
        <f t="shared" si="111"/>
        <v>11</v>
      </c>
      <c r="IN23" s="397">
        <f t="shared" si="112"/>
        <v>13.75</v>
      </c>
      <c r="IO23" s="398">
        <f t="shared" si="113"/>
        <v>1.3</v>
      </c>
      <c r="IP23" s="398">
        <f t="shared" si="212"/>
        <v>172.02859441245002</v>
      </c>
      <c r="IQ23" s="398">
        <f t="shared" si="114"/>
        <v>67.460975815895779</v>
      </c>
      <c r="IR23" s="398">
        <f t="shared" si="115"/>
        <v>6.8749999999999982</v>
      </c>
      <c r="IS23" s="398">
        <f t="shared" si="213"/>
        <v>0.68570233097746158</v>
      </c>
      <c r="IT23" s="399">
        <f t="shared" si="214"/>
        <v>2324.8539126016262</v>
      </c>
      <c r="IU23" s="66"/>
      <c r="IV23" s="66"/>
      <c r="IW23" s="396">
        <f t="shared" si="116"/>
        <v>11</v>
      </c>
      <c r="IX23" s="397">
        <f t="shared" si="117"/>
        <v>13.75</v>
      </c>
      <c r="IY23" s="398">
        <f t="shared" si="118"/>
        <v>1.3</v>
      </c>
      <c r="IZ23" s="398">
        <f t="shared" si="215"/>
        <v>172.02859441245002</v>
      </c>
      <c r="JA23" s="398">
        <f t="shared" si="119"/>
        <v>67.460975815895779</v>
      </c>
      <c r="JB23" s="398">
        <f t="shared" si="120"/>
        <v>-6.8749999999999982</v>
      </c>
      <c r="JC23" s="398">
        <f t="shared" si="216"/>
        <v>0.68570233097746158</v>
      </c>
      <c r="JD23" s="399">
        <f t="shared" si="217"/>
        <v>2324.8539126016262</v>
      </c>
      <c r="JE23" s="66"/>
      <c r="JF23" s="66"/>
      <c r="JG23" s="396">
        <f t="shared" si="121"/>
        <v>3.25</v>
      </c>
      <c r="JH23" s="397">
        <f t="shared" si="122"/>
        <v>6.875</v>
      </c>
      <c r="JI23" s="398">
        <f t="shared" si="123"/>
        <v>1.3</v>
      </c>
      <c r="JJ23" s="398">
        <f t="shared" si="218"/>
        <v>14.476489617368802</v>
      </c>
      <c r="JK23" s="398">
        <f t="shared" si="124"/>
        <v>70.684369714703564</v>
      </c>
      <c r="JL23" s="398">
        <f t="shared" si="125"/>
        <v>10.312499999999998</v>
      </c>
      <c r="JM23" s="398">
        <f t="shared" si="219"/>
        <v>2.0634957717628568</v>
      </c>
      <c r="JN23" s="399">
        <f t="shared" si="220"/>
        <v>85.861081999491887</v>
      </c>
      <c r="JO23" s="66"/>
      <c r="JP23" s="66"/>
      <c r="JQ23" s="396">
        <f t="shared" si="126"/>
        <v>3.25</v>
      </c>
      <c r="JR23" s="397">
        <f t="shared" si="127"/>
        <v>6.875</v>
      </c>
      <c r="JS23" s="398">
        <f t="shared" si="128"/>
        <v>1.3</v>
      </c>
      <c r="JT23" s="398">
        <f t="shared" si="221"/>
        <v>14.476489617368802</v>
      </c>
      <c r="JU23" s="398">
        <f t="shared" si="129"/>
        <v>70.684369714703564</v>
      </c>
      <c r="JV23" s="398">
        <f t="shared" si="130"/>
        <v>3.4375000000000004</v>
      </c>
      <c r="JW23" s="398">
        <f t="shared" si="222"/>
        <v>2.0634957717628568</v>
      </c>
      <c r="JX23" s="399">
        <f t="shared" si="223"/>
        <v>85.861081999491887</v>
      </c>
      <c r="JY23" s="66"/>
      <c r="JZ23" s="66"/>
      <c r="KA23" s="396">
        <f t="shared" si="131"/>
        <v>3.25</v>
      </c>
      <c r="KB23" s="397">
        <f t="shared" si="132"/>
        <v>6.875</v>
      </c>
      <c r="KC23" s="398">
        <f t="shared" si="133"/>
        <v>1.3</v>
      </c>
      <c r="KD23" s="398">
        <f t="shared" si="224"/>
        <v>14.476489617368802</v>
      </c>
      <c r="KE23" s="398">
        <f t="shared" si="134"/>
        <v>70.684369714703564</v>
      </c>
      <c r="KF23" s="398">
        <f t="shared" si="135"/>
        <v>-3.4375000000000004</v>
      </c>
      <c r="KG23" s="398">
        <f t="shared" si="225"/>
        <v>2.0634957717628568</v>
      </c>
      <c r="KH23" s="399">
        <f t="shared" si="226"/>
        <v>85.861081999491887</v>
      </c>
      <c r="KI23" s="66"/>
      <c r="KJ23" s="66"/>
      <c r="KK23" s="396">
        <f t="shared" si="136"/>
        <v>3.25</v>
      </c>
      <c r="KL23" s="397">
        <f t="shared" si="137"/>
        <v>6.875</v>
      </c>
      <c r="KM23" s="398">
        <f t="shared" si="138"/>
        <v>1.3</v>
      </c>
      <c r="KN23" s="398">
        <f t="shared" si="227"/>
        <v>14.476489617368802</v>
      </c>
      <c r="KO23" s="398">
        <f t="shared" si="139"/>
        <v>70.684369714703564</v>
      </c>
      <c r="KP23" s="398">
        <f t="shared" si="140"/>
        <v>-10.312499999999998</v>
      </c>
      <c r="KQ23" s="398">
        <f t="shared" si="228"/>
        <v>2.0634957717628568</v>
      </c>
      <c r="KR23" s="399">
        <f t="shared" si="229"/>
        <v>85.861081999491887</v>
      </c>
      <c r="KS23" s="66"/>
      <c r="KT23" s="66"/>
      <c r="KU23" s="396">
        <f t="shared" si="141"/>
        <v>5</v>
      </c>
      <c r="KV23" s="397">
        <f t="shared" si="142"/>
        <v>5</v>
      </c>
      <c r="KW23" s="398">
        <f t="shared" si="143"/>
        <v>1.3</v>
      </c>
      <c r="KX23" s="398">
        <f t="shared" si="230"/>
        <v>32.500000000000007</v>
      </c>
      <c r="KY23" s="398">
        <f t="shared" si="144"/>
        <v>57.5</v>
      </c>
      <c r="KZ23" s="398">
        <f t="shared" si="145"/>
        <v>0</v>
      </c>
      <c r="LA23" s="398">
        <f t="shared" si="231"/>
        <v>0.65000000000000013</v>
      </c>
      <c r="LB23" s="399">
        <f t="shared" si="232"/>
        <v>50.813008130081307</v>
      </c>
      <c r="LC23" s="66"/>
    </row>
    <row r="24" spans="1:315" s="67" customFormat="1" ht="15" customHeight="1" x14ac:dyDescent="0.25">
      <c r="A24" s="481"/>
      <c r="B24" s="73">
        <f t="shared" si="0"/>
        <v>14</v>
      </c>
      <c r="C24" s="347" t="str">
        <f>INDEX($AA$1:$LC$6,C$5,C$6+Tbl_Ballasts[[#This Row],[Index]]*Ballasts_columns_step)</f>
        <v>WB3Cp</v>
      </c>
      <c r="D24" s="114" t="str">
        <f ca="1">IFERROR(OFFSET($AA$1,D$5,D$6+Tbl_Ballasts[[#This Row],[Index]]*Ballasts_columns_step),0)</f>
        <v>OK</v>
      </c>
      <c r="E24" s="348">
        <v>3</v>
      </c>
      <c r="F24" s="349">
        <v>2</v>
      </c>
      <c r="G24" s="763" t="str">
        <f>TEXT(Tbl_Ballasts[[#This Row],[Recap Row]],"00")&amp;TEXT(Tbl_Ballasts[[#This Row],[Recap Col]],"00")</f>
        <v>0302</v>
      </c>
      <c r="H24" s="760">
        <f>INDEX(Recap_Ballasts,Tbl_Ballasts[[#This Row],[Recap Row]],Tbl_Ballasts[[#This Row],[Recap Col]])</f>
        <v>0</v>
      </c>
      <c r="I24" s="493">
        <f ca="1">IFERROR(OFFSET($AA$1,I$5,I$6+Tbl_Ballasts[[#This Row],[Index]]*Ballasts_columns_step),0)</f>
        <v>0</v>
      </c>
      <c r="J24" s="103">
        <f ca="1">IFERROR(OFFSET($AA$1,J$5,J$6+Tbl_Ballasts[[#This Row],[Index]]*Ballasts_columns_step),0)</f>
        <v>0</v>
      </c>
      <c r="K24" s="427">
        <f ca="1">IFERROR(OFFSET($AA$1,K$5,K$6+Tbl_Ballasts[[#This Row],[Index]]*Ballasts_columns_step),0)</f>
        <v>40</v>
      </c>
      <c r="L24" s="428">
        <f ca="1">IFERROR(OFFSET($AA$1,L$5,L$6+Tbl_Ballasts[[#This Row],[Index]]*Ballasts_columns_step),0)</f>
        <v>2.5</v>
      </c>
      <c r="M24" s="429">
        <f ca="1">IFERROR(OFFSET($AA$1,M$5,M$6+Tbl_Ballasts[[#This Row],[Index]]*Ballasts_columns_step),0)</f>
        <v>0</v>
      </c>
      <c r="N24" s="438">
        <f ca="1">IFERROR(OFFSET($AA$1,N$5,N$6+Tbl_Ballasts[[#This Row],[Index]]*Ballasts_columns_step),0)</f>
        <v>10</v>
      </c>
      <c r="O24" s="437" t="str">
        <f ca="1">IF(Tbl_Ballasts[[#This Row],[Weight Fact]],Tbl_Ballasts[[#This Row],[COG x ]]-Tbl_Ballasts[[#This Row],[Distrib]]/2,"")</f>
        <v/>
      </c>
      <c r="P24" s="439" t="str">
        <f ca="1">IF(Tbl_Ballasts[[#This Row],[Weight Fact]],Tbl_Ballasts[[#This Row],[COG x ]]+Tbl_Ballasts[[#This Row],[Distrib]]/2,"")</f>
        <v/>
      </c>
      <c r="Q24" s="440" t="str">
        <f ca="1">IF(Tbl_Ballasts[[#This Row],[Weight Fact]],ROUND(Tbl_Ballasts[[#This Row],[AP from]]/FE_size,0),"")</f>
        <v/>
      </c>
      <c r="R24" s="441" t="str">
        <f ca="1">IF(Tbl_Ballasts[[#This Row],[Weight Fact]],ROUND(Tbl_Ballasts[[#This Row],[AP to]]/FE_size,0),"")</f>
        <v/>
      </c>
      <c r="S24" s="114" t="str">
        <f ca="1">IF(Tbl_Ballasts[[#This Row],[Weight Fact]]=0,"",IF(AND(Tbl_Ballasts[[#This Row],[COG x ]]&gt;=(Tbl_Ballasts[[#This Row],[L to]]-Tbl_Ballasts[[#This Row],[L from]])/3+Tbl_Ballasts[[#This Row],[L from]],Tbl_Ballasts[[#This Row],[COG x ]]&lt;=(Tbl_Ballasts[[#This Row],[L to]]-Tbl_Ballasts[[#This Row],[L from]])*2/3+Tbl_Ballasts[[#This Row],[L from]],Tbl_Ballasts[[#This Row],[L to]]&gt;Tbl_Ballasts[[#This Row],[L from]]),"OK","KO"))</f>
        <v/>
      </c>
      <c r="T24" s="442" t="str">
        <f ca="1">IF(Tbl_Ballasts[[#This Row],[Weight Fact]],IF(Tbl_Ballasts[[#This Row],[Fr from]]*FE_size&lt;0,0,Tbl_Ballasts[[#This Row],[Fr from]]*FE_size),"")</f>
        <v/>
      </c>
      <c r="U24" s="443" t="str">
        <f ca="1">IF(Tbl_Ballasts[[#This Row],[Weight Fact]],IF(Tbl_Ballasts[[#This Row],[Fr to]]*FE_size=Tbl_Ballasts[[#This Row],[L from]],Tbl_Ballasts[[#This Row],[L from]]+FE_size,IF(Tbl_Ballasts[[#This Row],[Fr to]]*FE_size&gt;Lpp,Lpp,Tbl_Ballasts[[#This Row],[Fr to]]*FE_size)),"")</f>
        <v/>
      </c>
      <c r="V24" s="444" t="str">
        <f ca="1">IFERROR(Tbl_Ballasts[[#This Row],[Weight Fact]]/(Tbl_Ballasts[[#This Row],[L to]]-Tbl_Ballasts[[#This Row],[L from]]),"")</f>
        <v/>
      </c>
      <c r="W24" s="145" t="str">
        <f ca="1">IF(Tbl_Ballasts[[#This Row],[Weight Fact]],Tbl_Ballasts[[#This Row],[Spread]]*(Tbl_Ballasts[[#This Row],[L to]]-Tbl_Ballasts[[#This Row],[L from]])-Tbl_Ballasts[[#This Row],[Weight Fact]],"")</f>
        <v/>
      </c>
      <c r="X24" s="141" t="str">
        <f ca="1">IF(AND(ISNUMBER(Tbl_Ballasts[[#This Row],[L from]]),ISNUMBER(Tbl_Ballasts[[#This Row],[L to]])),IF(AND(Tbl_Ballasts[[#This Row],[L from]]&gt;=0,Tbl_Ballasts[[#This Row],[L to]]&lt;=Lpp),"OK","KO"),"OK")</f>
        <v>OK</v>
      </c>
      <c r="Y24" s="481"/>
      <c r="Z24" s="413"/>
      <c r="AA24" s="396">
        <f t="shared" si="1"/>
        <v>2.4878</v>
      </c>
      <c r="AB24" s="397">
        <f t="shared" si="2"/>
        <v>20</v>
      </c>
      <c r="AC24" s="398">
        <f t="shared" si="3"/>
        <v>1.4000000000000001</v>
      </c>
      <c r="AD24" s="398">
        <f t="shared" si="146"/>
        <v>34.73102473188397</v>
      </c>
      <c r="AE24" s="398">
        <f t="shared" si="4"/>
        <v>4.1700203130285614</v>
      </c>
      <c r="AF24" s="398">
        <f t="shared" si="5"/>
        <v>0</v>
      </c>
      <c r="AG24" s="398">
        <f t="shared" si="147"/>
        <v>0.93413583226948649</v>
      </c>
      <c r="AH24" s="399">
        <f t="shared" si="148"/>
        <v>1618.0813008130085</v>
      </c>
      <c r="AI24" s="367"/>
      <c r="AJ24" s="66"/>
      <c r="AK24" s="396">
        <f t="shared" si="6"/>
        <v>10</v>
      </c>
      <c r="AL24" s="397">
        <f t="shared" si="7"/>
        <v>5</v>
      </c>
      <c r="AM24" s="398">
        <f t="shared" si="8"/>
        <v>1.4000000000000001</v>
      </c>
      <c r="AN24" s="398">
        <f t="shared" si="149"/>
        <v>70.000000000000014</v>
      </c>
      <c r="AO24" s="398">
        <f t="shared" si="9"/>
        <v>10.000000000000002</v>
      </c>
      <c r="AP24" s="398">
        <f t="shared" si="10"/>
        <v>7.5</v>
      </c>
      <c r="AQ24" s="398">
        <f t="shared" si="150"/>
        <v>0.70000000000000018</v>
      </c>
      <c r="AR24" s="399">
        <f t="shared" si="151"/>
        <v>101.62601626016261</v>
      </c>
      <c r="AS24" s="66"/>
      <c r="AT24" s="66"/>
      <c r="AU24" s="396">
        <f t="shared" si="11"/>
        <v>10</v>
      </c>
      <c r="AV24" s="397">
        <f t="shared" si="12"/>
        <v>5</v>
      </c>
      <c r="AW24" s="398">
        <f t="shared" si="13"/>
        <v>1.4000000000000001</v>
      </c>
      <c r="AX24" s="398">
        <f t="shared" si="152"/>
        <v>70.000000000000014</v>
      </c>
      <c r="AY24" s="398">
        <f t="shared" si="14"/>
        <v>10.000000000000002</v>
      </c>
      <c r="AZ24" s="398">
        <f t="shared" si="15"/>
        <v>2.5000000000000004</v>
      </c>
      <c r="BA24" s="398">
        <f t="shared" si="153"/>
        <v>0.70000000000000018</v>
      </c>
      <c r="BB24" s="399">
        <f t="shared" si="154"/>
        <v>101.62601626016261</v>
      </c>
      <c r="BC24" s="66"/>
      <c r="BD24" s="66"/>
      <c r="BE24" s="396">
        <f t="shared" si="16"/>
        <v>10</v>
      </c>
      <c r="BF24" s="397">
        <f t="shared" si="17"/>
        <v>5</v>
      </c>
      <c r="BG24" s="398">
        <f t="shared" si="18"/>
        <v>1.4000000000000001</v>
      </c>
      <c r="BH24" s="398">
        <f t="shared" si="155"/>
        <v>70.000000000000014</v>
      </c>
      <c r="BI24" s="398">
        <f t="shared" si="19"/>
        <v>10.000000000000002</v>
      </c>
      <c r="BJ24" s="398">
        <f t="shared" si="20"/>
        <v>-2.5000000000000004</v>
      </c>
      <c r="BK24" s="398">
        <f t="shared" si="156"/>
        <v>0.70000000000000018</v>
      </c>
      <c r="BL24" s="399">
        <f t="shared" si="157"/>
        <v>101.62601626016261</v>
      </c>
      <c r="BM24" s="66"/>
      <c r="BN24" s="66"/>
      <c r="BO24" s="396">
        <f t="shared" si="21"/>
        <v>10</v>
      </c>
      <c r="BP24" s="397">
        <f t="shared" si="22"/>
        <v>5</v>
      </c>
      <c r="BQ24" s="398">
        <f t="shared" si="23"/>
        <v>1.4000000000000001</v>
      </c>
      <c r="BR24" s="398">
        <f t="shared" si="158"/>
        <v>70.000000000000014</v>
      </c>
      <c r="BS24" s="398">
        <f t="shared" si="24"/>
        <v>10.000000000000002</v>
      </c>
      <c r="BT24" s="398">
        <f t="shared" si="25"/>
        <v>-7.5</v>
      </c>
      <c r="BU24" s="398">
        <f t="shared" si="159"/>
        <v>0.70000000000000018</v>
      </c>
      <c r="BV24" s="399">
        <f t="shared" si="160"/>
        <v>101.62601626016261</v>
      </c>
      <c r="BW24" s="66"/>
      <c r="BX24" s="66"/>
      <c r="BY24" s="396">
        <f t="shared" si="26"/>
        <v>10</v>
      </c>
      <c r="BZ24" s="397">
        <f t="shared" si="27"/>
        <v>5</v>
      </c>
      <c r="CA24" s="398">
        <f t="shared" si="28"/>
        <v>1.4000000000000001</v>
      </c>
      <c r="CB24" s="398">
        <f t="shared" si="161"/>
        <v>70.000000000000014</v>
      </c>
      <c r="CC24" s="398">
        <f t="shared" si="29"/>
        <v>20.000000000000004</v>
      </c>
      <c r="CD24" s="398">
        <f t="shared" si="30"/>
        <v>7.5</v>
      </c>
      <c r="CE24" s="398">
        <f t="shared" si="162"/>
        <v>0.70000000000000018</v>
      </c>
      <c r="CF24" s="399">
        <f t="shared" si="163"/>
        <v>101.62601626016261</v>
      </c>
      <c r="CG24" s="66"/>
      <c r="CH24" s="66"/>
      <c r="CI24" s="396">
        <f t="shared" si="31"/>
        <v>10</v>
      </c>
      <c r="CJ24" s="397">
        <f t="shared" si="32"/>
        <v>5</v>
      </c>
      <c r="CK24" s="398">
        <f t="shared" si="33"/>
        <v>1.4000000000000001</v>
      </c>
      <c r="CL24" s="398">
        <f t="shared" si="164"/>
        <v>70.000000000000014</v>
      </c>
      <c r="CM24" s="398">
        <f t="shared" si="34"/>
        <v>20.000000000000004</v>
      </c>
      <c r="CN24" s="398">
        <f t="shared" si="35"/>
        <v>2.5000000000000004</v>
      </c>
      <c r="CO24" s="398">
        <f t="shared" si="165"/>
        <v>0.70000000000000018</v>
      </c>
      <c r="CP24" s="399">
        <f t="shared" si="166"/>
        <v>101.62601626016261</v>
      </c>
      <c r="CQ24" s="66"/>
      <c r="CS24" s="396">
        <f t="shared" si="36"/>
        <v>10</v>
      </c>
      <c r="CT24" s="397">
        <f t="shared" si="37"/>
        <v>5</v>
      </c>
      <c r="CU24" s="398">
        <f t="shared" si="38"/>
        <v>1.4000000000000001</v>
      </c>
      <c r="CV24" s="398">
        <f t="shared" si="167"/>
        <v>70.000000000000014</v>
      </c>
      <c r="CW24" s="398">
        <f t="shared" si="39"/>
        <v>20.000000000000004</v>
      </c>
      <c r="CX24" s="398">
        <f t="shared" si="40"/>
        <v>-2.5000000000000004</v>
      </c>
      <c r="CY24" s="398">
        <f t="shared" si="168"/>
        <v>0.70000000000000018</v>
      </c>
      <c r="CZ24" s="399">
        <f t="shared" si="169"/>
        <v>101.62601626016261</v>
      </c>
      <c r="DA24" s="66"/>
      <c r="DB24" s="66"/>
      <c r="DC24" s="396">
        <f t="shared" si="41"/>
        <v>10</v>
      </c>
      <c r="DD24" s="397">
        <f t="shared" si="42"/>
        <v>5</v>
      </c>
      <c r="DE24" s="398">
        <f t="shared" si="43"/>
        <v>1.4000000000000001</v>
      </c>
      <c r="DF24" s="398">
        <f t="shared" si="170"/>
        <v>70.000000000000014</v>
      </c>
      <c r="DG24" s="398">
        <f t="shared" si="44"/>
        <v>20.000000000000004</v>
      </c>
      <c r="DH24" s="398">
        <f t="shared" si="45"/>
        <v>-7.5</v>
      </c>
      <c r="DI24" s="398">
        <f t="shared" si="171"/>
        <v>0.70000000000000018</v>
      </c>
      <c r="DJ24" s="399">
        <f t="shared" si="172"/>
        <v>101.62601626016261</v>
      </c>
      <c r="DK24" s="66"/>
      <c r="DM24" s="396">
        <f t="shared" si="46"/>
        <v>10</v>
      </c>
      <c r="DN24" s="397">
        <f t="shared" si="47"/>
        <v>5</v>
      </c>
      <c r="DO24" s="398">
        <f t="shared" si="48"/>
        <v>1.4000000000000001</v>
      </c>
      <c r="DP24" s="398">
        <f t="shared" si="173"/>
        <v>70.000000000000014</v>
      </c>
      <c r="DQ24" s="398">
        <f t="shared" si="49"/>
        <v>30</v>
      </c>
      <c r="DR24" s="398">
        <f t="shared" si="50"/>
        <v>7.5</v>
      </c>
      <c r="DS24" s="398">
        <f t="shared" si="174"/>
        <v>0.70000000000000018</v>
      </c>
      <c r="DT24" s="399">
        <f t="shared" si="175"/>
        <v>101.62601626016261</v>
      </c>
      <c r="DU24" s="66"/>
      <c r="DV24" s="66"/>
      <c r="DW24" s="396">
        <f t="shared" si="51"/>
        <v>10</v>
      </c>
      <c r="DX24" s="397">
        <f t="shared" si="52"/>
        <v>5</v>
      </c>
      <c r="DY24" s="398">
        <f t="shared" si="53"/>
        <v>1.4000000000000001</v>
      </c>
      <c r="DZ24" s="398">
        <f t="shared" si="176"/>
        <v>70.000000000000014</v>
      </c>
      <c r="EA24" s="398">
        <f t="shared" si="54"/>
        <v>30</v>
      </c>
      <c r="EB24" s="398">
        <f t="shared" si="55"/>
        <v>2.5000000000000004</v>
      </c>
      <c r="EC24" s="398">
        <f t="shared" si="177"/>
        <v>0.70000000000000018</v>
      </c>
      <c r="ED24" s="399">
        <f t="shared" si="178"/>
        <v>101.62601626016261</v>
      </c>
      <c r="EE24" s="66"/>
      <c r="EF24" s="66"/>
      <c r="EG24" s="396">
        <f t="shared" si="56"/>
        <v>10</v>
      </c>
      <c r="EH24" s="397">
        <f t="shared" si="57"/>
        <v>5</v>
      </c>
      <c r="EI24" s="398">
        <f t="shared" si="58"/>
        <v>1.4000000000000001</v>
      </c>
      <c r="EJ24" s="398">
        <f t="shared" si="179"/>
        <v>70.000000000000014</v>
      </c>
      <c r="EK24" s="398">
        <f t="shared" si="59"/>
        <v>30</v>
      </c>
      <c r="EL24" s="398">
        <f t="shared" si="60"/>
        <v>-2.5000000000000004</v>
      </c>
      <c r="EM24" s="398">
        <f t="shared" si="180"/>
        <v>0.70000000000000018</v>
      </c>
      <c r="EN24" s="399">
        <f t="shared" si="181"/>
        <v>101.62601626016261</v>
      </c>
      <c r="EO24" s="66"/>
      <c r="EP24" s="66"/>
      <c r="EQ24" s="396">
        <f t="shared" si="61"/>
        <v>10</v>
      </c>
      <c r="ER24" s="397">
        <f t="shared" si="62"/>
        <v>5</v>
      </c>
      <c r="ES24" s="398">
        <f t="shared" si="63"/>
        <v>1.4000000000000001</v>
      </c>
      <c r="ET24" s="398">
        <f t="shared" si="182"/>
        <v>70.000000000000014</v>
      </c>
      <c r="EU24" s="398">
        <f t="shared" si="64"/>
        <v>30</v>
      </c>
      <c r="EV24" s="398">
        <f t="shared" si="65"/>
        <v>-7.5</v>
      </c>
      <c r="EW24" s="398">
        <f t="shared" si="183"/>
        <v>0.70000000000000018</v>
      </c>
      <c r="EX24" s="399">
        <f t="shared" si="184"/>
        <v>101.62601626016261</v>
      </c>
      <c r="EY24" s="66"/>
      <c r="EZ24" s="66"/>
      <c r="FA24" s="396">
        <f t="shared" si="66"/>
        <v>10</v>
      </c>
      <c r="FB24" s="397">
        <f t="shared" si="67"/>
        <v>5</v>
      </c>
      <c r="FC24" s="398">
        <f t="shared" si="68"/>
        <v>1.4000000000000001</v>
      </c>
      <c r="FD24" s="398">
        <f t="shared" si="185"/>
        <v>70.000000000000014</v>
      </c>
      <c r="FE24" s="398">
        <f t="shared" si="69"/>
        <v>40.000000000000007</v>
      </c>
      <c r="FF24" s="398">
        <f t="shared" si="70"/>
        <v>7.5</v>
      </c>
      <c r="FG24" s="398">
        <f t="shared" si="186"/>
        <v>0.70000000000000018</v>
      </c>
      <c r="FH24" s="399">
        <f t="shared" si="187"/>
        <v>101.62601626016261</v>
      </c>
      <c r="FI24" s="66"/>
      <c r="FJ24" s="66"/>
      <c r="FK24" s="396">
        <f t="shared" si="71"/>
        <v>10</v>
      </c>
      <c r="FL24" s="397">
        <f t="shared" si="72"/>
        <v>5</v>
      </c>
      <c r="FM24" s="398">
        <f t="shared" si="73"/>
        <v>1.4000000000000001</v>
      </c>
      <c r="FN24" s="398">
        <f t="shared" si="188"/>
        <v>70.000000000000014</v>
      </c>
      <c r="FO24" s="398">
        <f t="shared" si="74"/>
        <v>40.000000000000007</v>
      </c>
      <c r="FP24" s="398">
        <f t="shared" si="75"/>
        <v>2.5000000000000004</v>
      </c>
      <c r="FQ24" s="398">
        <f t="shared" si="189"/>
        <v>0.70000000000000018</v>
      </c>
      <c r="FR24" s="399">
        <f t="shared" si="190"/>
        <v>101.62601626016261</v>
      </c>
      <c r="FS24" s="66"/>
      <c r="FT24" s="66"/>
      <c r="FU24" s="396">
        <f t="shared" si="76"/>
        <v>10</v>
      </c>
      <c r="FV24" s="397">
        <f t="shared" si="77"/>
        <v>5</v>
      </c>
      <c r="FW24" s="398">
        <f t="shared" si="78"/>
        <v>1.4000000000000001</v>
      </c>
      <c r="FX24" s="398">
        <f t="shared" si="191"/>
        <v>70.000000000000014</v>
      </c>
      <c r="FY24" s="398">
        <f t="shared" si="79"/>
        <v>40.000000000000007</v>
      </c>
      <c r="FZ24" s="398">
        <f t="shared" si="80"/>
        <v>-2.5000000000000004</v>
      </c>
      <c r="GA24" s="398">
        <f t="shared" si="192"/>
        <v>0.70000000000000018</v>
      </c>
      <c r="GB24" s="399">
        <f t="shared" si="193"/>
        <v>101.62601626016261</v>
      </c>
      <c r="GC24" s="66"/>
      <c r="GD24" s="66"/>
      <c r="GE24" s="396">
        <f t="shared" si="81"/>
        <v>10</v>
      </c>
      <c r="GF24" s="397">
        <f t="shared" si="82"/>
        <v>5</v>
      </c>
      <c r="GG24" s="398">
        <f t="shared" si="83"/>
        <v>1.4000000000000001</v>
      </c>
      <c r="GH24" s="398">
        <f t="shared" si="194"/>
        <v>70.000000000000014</v>
      </c>
      <c r="GI24" s="398">
        <f t="shared" si="84"/>
        <v>40.000000000000007</v>
      </c>
      <c r="GJ24" s="398">
        <f t="shared" si="85"/>
        <v>-7.5</v>
      </c>
      <c r="GK24" s="398">
        <f t="shared" si="195"/>
        <v>0.70000000000000018</v>
      </c>
      <c r="GL24" s="399">
        <f t="shared" si="196"/>
        <v>101.62601626016261</v>
      </c>
      <c r="GM24" s="66"/>
      <c r="GN24" s="66"/>
      <c r="GO24" s="396">
        <f t="shared" si="86"/>
        <v>10</v>
      </c>
      <c r="GP24" s="397">
        <f t="shared" si="87"/>
        <v>5</v>
      </c>
      <c r="GQ24" s="398">
        <f t="shared" si="88"/>
        <v>1.4000000000000001</v>
      </c>
      <c r="GR24" s="398">
        <f t="shared" si="197"/>
        <v>70.000000000000014</v>
      </c>
      <c r="GS24" s="398">
        <f t="shared" si="89"/>
        <v>50</v>
      </c>
      <c r="GT24" s="398">
        <f t="shared" si="90"/>
        <v>7.5</v>
      </c>
      <c r="GU24" s="398">
        <f t="shared" si="198"/>
        <v>0.70000000000000018</v>
      </c>
      <c r="GV24" s="399">
        <f t="shared" si="199"/>
        <v>101.62601626016261</v>
      </c>
      <c r="GW24" s="66"/>
      <c r="GX24" s="66"/>
      <c r="GY24" s="396">
        <f t="shared" si="91"/>
        <v>10</v>
      </c>
      <c r="GZ24" s="397">
        <f t="shared" si="92"/>
        <v>5</v>
      </c>
      <c r="HA24" s="398">
        <f t="shared" si="93"/>
        <v>1.4000000000000001</v>
      </c>
      <c r="HB24" s="398">
        <f t="shared" si="200"/>
        <v>70.000000000000014</v>
      </c>
      <c r="HC24" s="398">
        <f t="shared" si="94"/>
        <v>50</v>
      </c>
      <c r="HD24" s="398">
        <f t="shared" si="95"/>
        <v>2.5000000000000004</v>
      </c>
      <c r="HE24" s="398">
        <f t="shared" si="201"/>
        <v>0.70000000000000018</v>
      </c>
      <c r="HF24" s="399">
        <f t="shared" si="202"/>
        <v>101.62601626016261</v>
      </c>
      <c r="HH24" s="66"/>
      <c r="HI24" s="396">
        <f t="shared" si="96"/>
        <v>10</v>
      </c>
      <c r="HJ24" s="397">
        <f t="shared" si="97"/>
        <v>5</v>
      </c>
      <c r="HK24" s="398">
        <f t="shared" si="98"/>
        <v>1.4000000000000001</v>
      </c>
      <c r="HL24" s="398">
        <f t="shared" si="203"/>
        <v>70.000000000000014</v>
      </c>
      <c r="HM24" s="398">
        <f t="shared" si="99"/>
        <v>50</v>
      </c>
      <c r="HN24" s="398">
        <f t="shared" si="100"/>
        <v>-2.5000000000000004</v>
      </c>
      <c r="HO24" s="398">
        <f t="shared" si="204"/>
        <v>0.70000000000000018</v>
      </c>
      <c r="HP24" s="399">
        <f t="shared" si="205"/>
        <v>101.62601626016261</v>
      </c>
      <c r="HQ24" s="66"/>
      <c r="HR24" s="66"/>
      <c r="HS24" s="396">
        <f t="shared" si="101"/>
        <v>10</v>
      </c>
      <c r="HT24" s="397">
        <f t="shared" si="102"/>
        <v>5</v>
      </c>
      <c r="HU24" s="398">
        <f t="shared" si="103"/>
        <v>1.4000000000000001</v>
      </c>
      <c r="HV24" s="398">
        <f t="shared" si="206"/>
        <v>70.000000000000014</v>
      </c>
      <c r="HW24" s="398">
        <f t="shared" si="104"/>
        <v>50</v>
      </c>
      <c r="HX24" s="398">
        <f t="shared" si="105"/>
        <v>-7.5</v>
      </c>
      <c r="HY24" s="398">
        <f t="shared" si="207"/>
        <v>0.70000000000000018</v>
      </c>
      <c r="HZ24" s="399">
        <f t="shared" si="208"/>
        <v>101.62601626016261</v>
      </c>
      <c r="IA24" s="66"/>
      <c r="IB24" s="66"/>
      <c r="IC24" s="396">
        <f t="shared" si="106"/>
        <v>2.4780000000000006</v>
      </c>
      <c r="ID24" s="397">
        <f t="shared" si="107"/>
        <v>20</v>
      </c>
      <c r="IE24" s="398">
        <f t="shared" si="108"/>
        <v>1.4000000000000001</v>
      </c>
      <c r="IF24" s="398">
        <f t="shared" si="209"/>
        <v>34.594211466198445</v>
      </c>
      <c r="IG24" s="398">
        <f t="shared" si="109"/>
        <v>55.826710211558492</v>
      </c>
      <c r="IH24" s="398">
        <f t="shared" si="110"/>
        <v>0</v>
      </c>
      <c r="II24" s="398">
        <f t="shared" si="210"/>
        <v>0.9341358322694866</v>
      </c>
      <c r="IJ24" s="399">
        <f t="shared" si="211"/>
        <v>1611.707317073171</v>
      </c>
      <c r="IK24" s="66"/>
      <c r="IL24" s="66"/>
      <c r="IM24" s="396">
        <f t="shared" si="111"/>
        <v>11</v>
      </c>
      <c r="IN24" s="397">
        <f t="shared" si="112"/>
        <v>13.75</v>
      </c>
      <c r="IO24" s="398">
        <f t="shared" si="113"/>
        <v>1.4000000000000001</v>
      </c>
      <c r="IP24" s="398">
        <f t="shared" si="212"/>
        <v>187.15359441245002</v>
      </c>
      <c r="IQ24" s="398">
        <f t="shared" si="114"/>
        <v>67.513023257544745</v>
      </c>
      <c r="IR24" s="398">
        <f t="shared" si="115"/>
        <v>6.8749999999999991</v>
      </c>
      <c r="IS24" s="398">
        <f t="shared" si="213"/>
        <v>0.73938819405430511</v>
      </c>
      <c r="IT24" s="399">
        <f t="shared" si="214"/>
        <v>2324.8539126016262</v>
      </c>
      <c r="IU24" s="66"/>
      <c r="IV24" s="66"/>
      <c r="IW24" s="396">
        <f t="shared" si="116"/>
        <v>11</v>
      </c>
      <c r="IX24" s="397">
        <f t="shared" si="117"/>
        <v>13.75</v>
      </c>
      <c r="IY24" s="398">
        <f t="shared" si="118"/>
        <v>1.4000000000000001</v>
      </c>
      <c r="IZ24" s="398">
        <f t="shared" si="215"/>
        <v>187.15359441245002</v>
      </c>
      <c r="JA24" s="398">
        <f t="shared" si="119"/>
        <v>67.513023257544745</v>
      </c>
      <c r="JB24" s="398">
        <f t="shared" si="120"/>
        <v>-6.8749999999999991</v>
      </c>
      <c r="JC24" s="398">
        <f t="shared" si="216"/>
        <v>0.73938819405430511</v>
      </c>
      <c r="JD24" s="399">
        <f t="shared" si="217"/>
        <v>2324.8539126016262</v>
      </c>
      <c r="JE24" s="66"/>
      <c r="JF24" s="66"/>
      <c r="JG24" s="396">
        <f t="shared" si="121"/>
        <v>3.5</v>
      </c>
      <c r="JH24" s="397">
        <f t="shared" si="122"/>
        <v>6.875</v>
      </c>
      <c r="JI24" s="398">
        <f t="shared" si="123"/>
        <v>1.4000000000000001</v>
      </c>
      <c r="JJ24" s="398">
        <f t="shared" si="218"/>
        <v>16.796271456928974</v>
      </c>
      <c r="JK24" s="398">
        <f t="shared" si="124"/>
        <v>70.767669790336853</v>
      </c>
      <c r="JL24" s="398">
        <f t="shared" si="125"/>
        <v>10.3125</v>
      </c>
      <c r="JM24" s="398">
        <f t="shared" si="219"/>
        <v>2.1301358322694863</v>
      </c>
      <c r="JN24" s="399">
        <f t="shared" si="220"/>
        <v>92.465780614837399</v>
      </c>
      <c r="JO24" s="66"/>
      <c r="JP24" s="66"/>
      <c r="JQ24" s="396">
        <f t="shared" si="126"/>
        <v>3.5</v>
      </c>
      <c r="JR24" s="397">
        <f t="shared" si="127"/>
        <v>6.875</v>
      </c>
      <c r="JS24" s="398">
        <f t="shared" si="128"/>
        <v>1.4000000000000001</v>
      </c>
      <c r="JT24" s="398">
        <f t="shared" si="221"/>
        <v>16.796271456928974</v>
      </c>
      <c r="JU24" s="398">
        <f t="shared" si="129"/>
        <v>70.767669790336853</v>
      </c>
      <c r="JV24" s="398">
        <f t="shared" si="130"/>
        <v>3.4375000000000004</v>
      </c>
      <c r="JW24" s="398">
        <f t="shared" si="222"/>
        <v>2.1301358322694863</v>
      </c>
      <c r="JX24" s="399">
        <f t="shared" si="223"/>
        <v>92.465780614837399</v>
      </c>
      <c r="JY24" s="66"/>
      <c r="JZ24" s="66"/>
      <c r="KA24" s="396">
        <f t="shared" si="131"/>
        <v>3.5</v>
      </c>
      <c r="KB24" s="397">
        <f t="shared" si="132"/>
        <v>6.875</v>
      </c>
      <c r="KC24" s="398">
        <f t="shared" si="133"/>
        <v>1.4000000000000001</v>
      </c>
      <c r="KD24" s="398">
        <f t="shared" si="224"/>
        <v>16.796271456928974</v>
      </c>
      <c r="KE24" s="398">
        <f t="shared" si="134"/>
        <v>70.767669790336853</v>
      </c>
      <c r="KF24" s="398">
        <f t="shared" si="135"/>
        <v>-3.4375000000000004</v>
      </c>
      <c r="KG24" s="398">
        <f t="shared" si="225"/>
        <v>2.1301358322694863</v>
      </c>
      <c r="KH24" s="399">
        <f t="shared" si="226"/>
        <v>92.465780614837399</v>
      </c>
      <c r="KI24" s="66"/>
      <c r="KJ24" s="66"/>
      <c r="KK24" s="396">
        <f t="shared" si="136"/>
        <v>3.5</v>
      </c>
      <c r="KL24" s="397">
        <f t="shared" si="137"/>
        <v>6.875</v>
      </c>
      <c r="KM24" s="398">
        <f t="shared" si="138"/>
        <v>1.4000000000000001</v>
      </c>
      <c r="KN24" s="398">
        <f t="shared" si="227"/>
        <v>16.796271456928974</v>
      </c>
      <c r="KO24" s="398">
        <f t="shared" si="139"/>
        <v>70.767669790336853</v>
      </c>
      <c r="KP24" s="398">
        <f t="shared" si="140"/>
        <v>-10.3125</v>
      </c>
      <c r="KQ24" s="398">
        <f t="shared" si="228"/>
        <v>2.1301358322694863</v>
      </c>
      <c r="KR24" s="399">
        <f t="shared" si="229"/>
        <v>92.465780614837399</v>
      </c>
      <c r="KS24" s="66"/>
      <c r="KT24" s="66"/>
      <c r="KU24" s="396">
        <f t="shared" si="141"/>
        <v>5</v>
      </c>
      <c r="KV24" s="397">
        <f t="shared" si="142"/>
        <v>5</v>
      </c>
      <c r="KW24" s="398">
        <f t="shared" si="143"/>
        <v>1.4000000000000001</v>
      </c>
      <c r="KX24" s="398">
        <f t="shared" si="230"/>
        <v>35.000000000000007</v>
      </c>
      <c r="KY24" s="398">
        <f t="shared" si="144"/>
        <v>57.5</v>
      </c>
      <c r="KZ24" s="398">
        <f t="shared" si="145"/>
        <v>0</v>
      </c>
      <c r="LA24" s="398">
        <f t="shared" si="231"/>
        <v>0.70000000000000018</v>
      </c>
      <c r="LB24" s="399">
        <f t="shared" si="232"/>
        <v>50.813008130081307</v>
      </c>
      <c r="LC24" s="66"/>
    </row>
    <row r="25" spans="1:315" s="67" customFormat="1" ht="15" customHeight="1" x14ac:dyDescent="0.25">
      <c r="A25" s="481"/>
      <c r="B25" s="73">
        <f t="shared" si="0"/>
        <v>15</v>
      </c>
      <c r="C25" s="347" t="str">
        <f>INDEX($AA$1:$LC$6,C$5,C$6+Tbl_Ballasts[[#This Row],[Index]]*Ballasts_columns_step)</f>
        <v>WB3Cs</v>
      </c>
      <c r="D25" s="114" t="str">
        <f ca="1">IFERROR(OFFSET($AA$1,D$5,D$6+Tbl_Ballasts[[#This Row],[Index]]*Ballasts_columns_step),0)</f>
        <v>OK</v>
      </c>
      <c r="E25" s="348">
        <v>3</v>
      </c>
      <c r="F25" s="349">
        <v>3</v>
      </c>
      <c r="G25" s="763" t="str">
        <f>TEXT(Tbl_Ballasts[[#This Row],[Recap Row]],"00")&amp;TEXT(Tbl_Ballasts[[#This Row],[Recap Col]],"00")</f>
        <v>0303</v>
      </c>
      <c r="H25" s="760">
        <f>INDEX(Recap_Ballasts,Tbl_Ballasts[[#This Row],[Recap Row]],Tbl_Ballasts[[#This Row],[Recap Col]])</f>
        <v>0</v>
      </c>
      <c r="I25" s="493">
        <f ca="1">IFERROR(OFFSET($AA$1,I$5,I$6+Tbl_Ballasts[[#This Row],[Index]]*Ballasts_columns_step),0)</f>
        <v>0</v>
      </c>
      <c r="J25" s="103">
        <f ca="1">IFERROR(OFFSET($AA$1,J$5,J$6+Tbl_Ballasts[[#This Row],[Index]]*Ballasts_columns_step),0)</f>
        <v>0</v>
      </c>
      <c r="K25" s="427">
        <f ca="1">IFERROR(OFFSET($AA$1,K$5,K$6+Tbl_Ballasts[[#This Row],[Index]]*Ballasts_columns_step),0)</f>
        <v>40</v>
      </c>
      <c r="L25" s="428">
        <f ca="1">IFERROR(OFFSET($AA$1,L$5,L$6+Tbl_Ballasts[[#This Row],[Index]]*Ballasts_columns_step),0)</f>
        <v>-2.5</v>
      </c>
      <c r="M25" s="429">
        <f ca="1">IFERROR(OFFSET($AA$1,M$5,M$6+Tbl_Ballasts[[#This Row],[Index]]*Ballasts_columns_step),0)</f>
        <v>0</v>
      </c>
      <c r="N25" s="438">
        <f ca="1">IFERROR(OFFSET($AA$1,N$5,N$6+Tbl_Ballasts[[#This Row],[Index]]*Ballasts_columns_step),0)</f>
        <v>10</v>
      </c>
      <c r="O25" s="437" t="str">
        <f ca="1">IF(Tbl_Ballasts[[#This Row],[Weight Fact]],Tbl_Ballasts[[#This Row],[COG x ]]-Tbl_Ballasts[[#This Row],[Distrib]]/2,"")</f>
        <v/>
      </c>
      <c r="P25" s="439" t="str">
        <f ca="1">IF(Tbl_Ballasts[[#This Row],[Weight Fact]],Tbl_Ballasts[[#This Row],[COG x ]]+Tbl_Ballasts[[#This Row],[Distrib]]/2,"")</f>
        <v/>
      </c>
      <c r="Q25" s="440" t="str">
        <f ca="1">IF(Tbl_Ballasts[[#This Row],[Weight Fact]],ROUND(Tbl_Ballasts[[#This Row],[AP from]]/FE_size,0),"")</f>
        <v/>
      </c>
      <c r="R25" s="441" t="str">
        <f ca="1">IF(Tbl_Ballasts[[#This Row],[Weight Fact]],ROUND(Tbl_Ballasts[[#This Row],[AP to]]/FE_size,0),"")</f>
        <v/>
      </c>
      <c r="S25" s="114" t="str">
        <f ca="1">IF(Tbl_Ballasts[[#This Row],[Weight Fact]]=0,"",IF(AND(Tbl_Ballasts[[#This Row],[COG x ]]&gt;=(Tbl_Ballasts[[#This Row],[L to]]-Tbl_Ballasts[[#This Row],[L from]])/3+Tbl_Ballasts[[#This Row],[L from]],Tbl_Ballasts[[#This Row],[COG x ]]&lt;=(Tbl_Ballasts[[#This Row],[L to]]-Tbl_Ballasts[[#This Row],[L from]])*2/3+Tbl_Ballasts[[#This Row],[L from]],Tbl_Ballasts[[#This Row],[L to]]&gt;Tbl_Ballasts[[#This Row],[L from]]),"OK","KO"))</f>
        <v/>
      </c>
      <c r="T25" s="442" t="str">
        <f ca="1">IF(Tbl_Ballasts[[#This Row],[Weight Fact]],IF(Tbl_Ballasts[[#This Row],[Fr from]]*FE_size&lt;0,0,Tbl_Ballasts[[#This Row],[Fr from]]*FE_size),"")</f>
        <v/>
      </c>
      <c r="U25" s="443" t="str">
        <f ca="1">IF(Tbl_Ballasts[[#This Row],[Weight Fact]],IF(Tbl_Ballasts[[#This Row],[Fr to]]*FE_size=Tbl_Ballasts[[#This Row],[L from]],Tbl_Ballasts[[#This Row],[L from]]+FE_size,IF(Tbl_Ballasts[[#This Row],[Fr to]]*FE_size&gt;Lpp,Lpp,Tbl_Ballasts[[#This Row],[Fr to]]*FE_size)),"")</f>
        <v/>
      </c>
      <c r="V25" s="444" t="str">
        <f ca="1">IFERROR(Tbl_Ballasts[[#This Row],[Weight Fact]]/(Tbl_Ballasts[[#This Row],[L to]]-Tbl_Ballasts[[#This Row],[L from]]),"")</f>
        <v/>
      </c>
      <c r="W25" s="145" t="str">
        <f ca="1">IF(Tbl_Ballasts[[#This Row],[Weight Fact]],Tbl_Ballasts[[#This Row],[Spread]]*(Tbl_Ballasts[[#This Row],[L to]]-Tbl_Ballasts[[#This Row],[L from]])-Tbl_Ballasts[[#This Row],[Weight Fact]],"")</f>
        <v/>
      </c>
      <c r="X25" s="141" t="str">
        <f ca="1">IF(AND(ISNUMBER(Tbl_Ballasts[[#This Row],[L from]]),ISNUMBER(Tbl_Ballasts[[#This Row],[L to]])),IF(AND(Tbl_Ballasts[[#This Row],[L from]]&gt;=0,Tbl_Ballasts[[#This Row],[L to]]&lt;=Lpp),"OK","KO"),"OK")</f>
        <v>OK</v>
      </c>
      <c r="Y25" s="481"/>
      <c r="Z25" s="413"/>
      <c r="AA25" s="396">
        <f t="shared" si="1"/>
        <v>2.6655000000000002</v>
      </c>
      <c r="AB25" s="397">
        <f t="shared" si="2"/>
        <v>20</v>
      </c>
      <c r="AC25" s="398">
        <f t="shared" si="3"/>
        <v>1.5000000000000002</v>
      </c>
      <c r="AD25" s="398">
        <f t="shared" si="146"/>
        <v>39.883303163749218</v>
      </c>
      <c r="AE25" s="398">
        <f t="shared" si="4"/>
        <v>4.1108095034081078</v>
      </c>
      <c r="AF25" s="398">
        <f t="shared" si="5"/>
        <v>0</v>
      </c>
      <c r="AG25" s="398">
        <f t="shared" si="147"/>
        <v>1.0007771486684209</v>
      </c>
      <c r="AH25" s="399">
        <f t="shared" si="148"/>
        <v>1733.6585365853659</v>
      </c>
      <c r="AI25" s="367"/>
      <c r="AJ25" s="66"/>
      <c r="AK25" s="396">
        <f t="shared" si="6"/>
        <v>10</v>
      </c>
      <c r="AL25" s="397">
        <f t="shared" si="7"/>
        <v>5</v>
      </c>
      <c r="AM25" s="398">
        <f t="shared" si="8"/>
        <v>1.5000000000000002</v>
      </c>
      <c r="AN25" s="398">
        <f t="shared" si="149"/>
        <v>75.000000000000014</v>
      </c>
      <c r="AO25" s="398">
        <f t="shared" si="9"/>
        <v>10.000000000000002</v>
      </c>
      <c r="AP25" s="398">
        <f t="shared" si="10"/>
        <v>7.5</v>
      </c>
      <c r="AQ25" s="398">
        <f t="shared" si="150"/>
        <v>0.75000000000000011</v>
      </c>
      <c r="AR25" s="399">
        <f t="shared" si="151"/>
        <v>101.62601626016261</v>
      </c>
      <c r="AS25" s="66"/>
      <c r="AT25" s="66"/>
      <c r="AU25" s="396">
        <f t="shared" si="11"/>
        <v>10</v>
      </c>
      <c r="AV25" s="397">
        <f t="shared" si="12"/>
        <v>5</v>
      </c>
      <c r="AW25" s="398">
        <f t="shared" si="13"/>
        <v>1.5000000000000002</v>
      </c>
      <c r="AX25" s="398">
        <f t="shared" si="152"/>
        <v>75.000000000000014</v>
      </c>
      <c r="AY25" s="398">
        <f t="shared" si="14"/>
        <v>10.000000000000002</v>
      </c>
      <c r="AZ25" s="398">
        <f t="shared" si="15"/>
        <v>2.5000000000000004</v>
      </c>
      <c r="BA25" s="398">
        <f t="shared" si="153"/>
        <v>0.75000000000000011</v>
      </c>
      <c r="BB25" s="399">
        <f t="shared" si="154"/>
        <v>101.62601626016261</v>
      </c>
      <c r="BC25" s="66"/>
      <c r="BD25" s="66"/>
      <c r="BE25" s="396">
        <f t="shared" si="16"/>
        <v>10</v>
      </c>
      <c r="BF25" s="397">
        <f t="shared" si="17"/>
        <v>5</v>
      </c>
      <c r="BG25" s="398">
        <f t="shared" si="18"/>
        <v>1.5000000000000002</v>
      </c>
      <c r="BH25" s="398">
        <f t="shared" si="155"/>
        <v>75.000000000000014</v>
      </c>
      <c r="BI25" s="398">
        <f t="shared" si="19"/>
        <v>10.000000000000002</v>
      </c>
      <c r="BJ25" s="398">
        <f t="shared" si="20"/>
        <v>-2.5000000000000004</v>
      </c>
      <c r="BK25" s="398">
        <f t="shared" si="156"/>
        <v>0.75000000000000011</v>
      </c>
      <c r="BL25" s="399">
        <f t="shared" si="157"/>
        <v>101.62601626016261</v>
      </c>
      <c r="BM25" s="66"/>
      <c r="BN25" s="66"/>
      <c r="BO25" s="396">
        <f t="shared" si="21"/>
        <v>10</v>
      </c>
      <c r="BP25" s="397">
        <f t="shared" si="22"/>
        <v>5</v>
      </c>
      <c r="BQ25" s="398">
        <f t="shared" si="23"/>
        <v>1.5000000000000002</v>
      </c>
      <c r="BR25" s="398">
        <f t="shared" si="158"/>
        <v>75.000000000000014</v>
      </c>
      <c r="BS25" s="398">
        <f t="shared" si="24"/>
        <v>10.000000000000002</v>
      </c>
      <c r="BT25" s="398">
        <f t="shared" si="25"/>
        <v>-7.5</v>
      </c>
      <c r="BU25" s="398">
        <f t="shared" si="159"/>
        <v>0.75000000000000011</v>
      </c>
      <c r="BV25" s="399">
        <f t="shared" si="160"/>
        <v>101.62601626016261</v>
      </c>
      <c r="BW25" s="66"/>
      <c r="BX25" s="66"/>
      <c r="BY25" s="396">
        <f t="shared" si="26"/>
        <v>10</v>
      </c>
      <c r="BZ25" s="397">
        <f t="shared" si="27"/>
        <v>5</v>
      </c>
      <c r="CA25" s="398">
        <f t="shared" si="28"/>
        <v>1.5000000000000002</v>
      </c>
      <c r="CB25" s="398">
        <f t="shared" si="161"/>
        <v>75.000000000000014</v>
      </c>
      <c r="CC25" s="398">
        <f t="shared" si="29"/>
        <v>20.000000000000004</v>
      </c>
      <c r="CD25" s="398">
        <f t="shared" si="30"/>
        <v>7.5</v>
      </c>
      <c r="CE25" s="398">
        <f t="shared" si="162"/>
        <v>0.75000000000000011</v>
      </c>
      <c r="CF25" s="399">
        <f t="shared" si="163"/>
        <v>101.62601626016261</v>
      </c>
      <c r="CG25" s="66"/>
      <c r="CH25" s="66"/>
      <c r="CI25" s="396">
        <f t="shared" si="31"/>
        <v>10</v>
      </c>
      <c r="CJ25" s="397">
        <f t="shared" si="32"/>
        <v>5</v>
      </c>
      <c r="CK25" s="398">
        <f t="shared" si="33"/>
        <v>1.5000000000000002</v>
      </c>
      <c r="CL25" s="398">
        <f t="shared" si="164"/>
        <v>75.000000000000014</v>
      </c>
      <c r="CM25" s="398">
        <f t="shared" si="34"/>
        <v>20.000000000000004</v>
      </c>
      <c r="CN25" s="398">
        <f t="shared" si="35"/>
        <v>2.5000000000000004</v>
      </c>
      <c r="CO25" s="398">
        <f t="shared" si="165"/>
        <v>0.75000000000000011</v>
      </c>
      <c r="CP25" s="399">
        <f t="shared" si="166"/>
        <v>101.62601626016261</v>
      </c>
      <c r="CQ25" s="66"/>
      <c r="CS25" s="396">
        <f t="shared" si="36"/>
        <v>10</v>
      </c>
      <c r="CT25" s="397">
        <f t="shared" si="37"/>
        <v>5</v>
      </c>
      <c r="CU25" s="398">
        <f t="shared" si="38"/>
        <v>1.5000000000000002</v>
      </c>
      <c r="CV25" s="398">
        <f t="shared" si="167"/>
        <v>75.000000000000014</v>
      </c>
      <c r="CW25" s="398">
        <f t="shared" si="39"/>
        <v>20.000000000000004</v>
      </c>
      <c r="CX25" s="398">
        <f t="shared" si="40"/>
        <v>-2.5000000000000004</v>
      </c>
      <c r="CY25" s="398">
        <f t="shared" si="168"/>
        <v>0.75000000000000011</v>
      </c>
      <c r="CZ25" s="399">
        <f t="shared" si="169"/>
        <v>101.62601626016261</v>
      </c>
      <c r="DA25" s="66"/>
      <c r="DB25" s="66"/>
      <c r="DC25" s="396">
        <f t="shared" si="41"/>
        <v>10</v>
      </c>
      <c r="DD25" s="397">
        <f t="shared" si="42"/>
        <v>5</v>
      </c>
      <c r="DE25" s="398">
        <f t="shared" si="43"/>
        <v>1.5000000000000002</v>
      </c>
      <c r="DF25" s="398">
        <f t="shared" si="170"/>
        <v>75.000000000000014</v>
      </c>
      <c r="DG25" s="398">
        <f t="shared" si="44"/>
        <v>20.000000000000004</v>
      </c>
      <c r="DH25" s="398">
        <f t="shared" si="45"/>
        <v>-7.5</v>
      </c>
      <c r="DI25" s="398">
        <f t="shared" si="171"/>
        <v>0.75000000000000011</v>
      </c>
      <c r="DJ25" s="399">
        <f t="shared" si="172"/>
        <v>101.62601626016261</v>
      </c>
      <c r="DK25" s="66"/>
      <c r="DM25" s="396">
        <f t="shared" si="46"/>
        <v>10</v>
      </c>
      <c r="DN25" s="397">
        <f t="shared" si="47"/>
        <v>5</v>
      </c>
      <c r="DO25" s="398">
        <f t="shared" si="48"/>
        <v>1.5000000000000002</v>
      </c>
      <c r="DP25" s="398">
        <f t="shared" si="173"/>
        <v>75.000000000000014</v>
      </c>
      <c r="DQ25" s="398">
        <f t="shared" si="49"/>
        <v>30</v>
      </c>
      <c r="DR25" s="398">
        <f t="shared" si="50"/>
        <v>7.5</v>
      </c>
      <c r="DS25" s="398">
        <f t="shared" si="174"/>
        <v>0.75000000000000011</v>
      </c>
      <c r="DT25" s="399">
        <f t="shared" si="175"/>
        <v>101.62601626016261</v>
      </c>
      <c r="DU25" s="66"/>
      <c r="DV25" s="66"/>
      <c r="DW25" s="396">
        <f t="shared" si="51"/>
        <v>10</v>
      </c>
      <c r="DX25" s="397">
        <f t="shared" si="52"/>
        <v>5</v>
      </c>
      <c r="DY25" s="398">
        <f t="shared" si="53"/>
        <v>1.5000000000000002</v>
      </c>
      <c r="DZ25" s="398">
        <f t="shared" si="176"/>
        <v>75.000000000000014</v>
      </c>
      <c r="EA25" s="398">
        <f t="shared" si="54"/>
        <v>30</v>
      </c>
      <c r="EB25" s="398">
        <f t="shared" si="55"/>
        <v>2.5000000000000004</v>
      </c>
      <c r="EC25" s="398">
        <f t="shared" si="177"/>
        <v>0.75000000000000011</v>
      </c>
      <c r="ED25" s="399">
        <f t="shared" si="178"/>
        <v>101.62601626016261</v>
      </c>
      <c r="EE25" s="66"/>
      <c r="EF25" s="66"/>
      <c r="EG25" s="396">
        <f t="shared" si="56"/>
        <v>10</v>
      </c>
      <c r="EH25" s="397">
        <f t="shared" si="57"/>
        <v>5</v>
      </c>
      <c r="EI25" s="398">
        <f t="shared" si="58"/>
        <v>1.5000000000000002</v>
      </c>
      <c r="EJ25" s="398">
        <f t="shared" si="179"/>
        <v>75.000000000000014</v>
      </c>
      <c r="EK25" s="398">
        <f t="shared" si="59"/>
        <v>30</v>
      </c>
      <c r="EL25" s="398">
        <f t="shared" si="60"/>
        <v>-2.5000000000000004</v>
      </c>
      <c r="EM25" s="398">
        <f t="shared" si="180"/>
        <v>0.75000000000000011</v>
      </c>
      <c r="EN25" s="399">
        <f t="shared" si="181"/>
        <v>101.62601626016261</v>
      </c>
      <c r="EO25" s="66"/>
      <c r="EP25" s="66"/>
      <c r="EQ25" s="396">
        <f t="shared" si="61"/>
        <v>10</v>
      </c>
      <c r="ER25" s="397">
        <f t="shared" si="62"/>
        <v>5</v>
      </c>
      <c r="ES25" s="398">
        <f t="shared" si="63"/>
        <v>1.5000000000000002</v>
      </c>
      <c r="ET25" s="398">
        <f t="shared" si="182"/>
        <v>75.000000000000014</v>
      </c>
      <c r="EU25" s="398">
        <f t="shared" si="64"/>
        <v>30</v>
      </c>
      <c r="EV25" s="398">
        <f t="shared" si="65"/>
        <v>-7.5</v>
      </c>
      <c r="EW25" s="398">
        <f t="shared" si="183"/>
        <v>0.75000000000000011</v>
      </c>
      <c r="EX25" s="399">
        <f t="shared" si="184"/>
        <v>101.62601626016261</v>
      </c>
      <c r="EY25" s="66"/>
      <c r="EZ25" s="66"/>
      <c r="FA25" s="396">
        <f t="shared" si="66"/>
        <v>10</v>
      </c>
      <c r="FB25" s="397">
        <f t="shared" si="67"/>
        <v>5</v>
      </c>
      <c r="FC25" s="398">
        <f t="shared" si="68"/>
        <v>1.5000000000000002</v>
      </c>
      <c r="FD25" s="398">
        <f t="shared" si="185"/>
        <v>75.000000000000014</v>
      </c>
      <c r="FE25" s="398">
        <f t="shared" si="69"/>
        <v>40.000000000000007</v>
      </c>
      <c r="FF25" s="398">
        <f t="shared" si="70"/>
        <v>7.5</v>
      </c>
      <c r="FG25" s="398">
        <f t="shared" si="186"/>
        <v>0.75000000000000011</v>
      </c>
      <c r="FH25" s="399">
        <f t="shared" si="187"/>
        <v>101.62601626016261</v>
      </c>
      <c r="FI25" s="66"/>
      <c r="FJ25" s="66"/>
      <c r="FK25" s="396">
        <f t="shared" si="71"/>
        <v>10</v>
      </c>
      <c r="FL25" s="397">
        <f t="shared" si="72"/>
        <v>5</v>
      </c>
      <c r="FM25" s="398">
        <f t="shared" si="73"/>
        <v>1.5000000000000002</v>
      </c>
      <c r="FN25" s="398">
        <f t="shared" si="188"/>
        <v>75.000000000000014</v>
      </c>
      <c r="FO25" s="398">
        <f t="shared" si="74"/>
        <v>40.000000000000007</v>
      </c>
      <c r="FP25" s="398">
        <f t="shared" si="75"/>
        <v>2.5000000000000004</v>
      </c>
      <c r="FQ25" s="398">
        <f t="shared" si="189"/>
        <v>0.75000000000000011</v>
      </c>
      <c r="FR25" s="399">
        <f t="shared" si="190"/>
        <v>101.62601626016261</v>
      </c>
      <c r="FS25" s="66"/>
      <c r="FT25" s="66"/>
      <c r="FU25" s="396">
        <f t="shared" si="76"/>
        <v>10</v>
      </c>
      <c r="FV25" s="397">
        <f t="shared" si="77"/>
        <v>5</v>
      </c>
      <c r="FW25" s="398">
        <f t="shared" si="78"/>
        <v>1.5000000000000002</v>
      </c>
      <c r="FX25" s="398">
        <f t="shared" si="191"/>
        <v>75.000000000000014</v>
      </c>
      <c r="FY25" s="398">
        <f t="shared" si="79"/>
        <v>40.000000000000007</v>
      </c>
      <c r="FZ25" s="398">
        <f t="shared" si="80"/>
        <v>-2.5000000000000004</v>
      </c>
      <c r="GA25" s="398">
        <f t="shared" si="192"/>
        <v>0.75000000000000011</v>
      </c>
      <c r="GB25" s="399">
        <f t="shared" si="193"/>
        <v>101.62601626016261</v>
      </c>
      <c r="GC25" s="66"/>
      <c r="GD25" s="66"/>
      <c r="GE25" s="396">
        <f t="shared" si="81"/>
        <v>10</v>
      </c>
      <c r="GF25" s="397">
        <f t="shared" si="82"/>
        <v>5</v>
      </c>
      <c r="GG25" s="398">
        <f t="shared" si="83"/>
        <v>1.5000000000000002</v>
      </c>
      <c r="GH25" s="398">
        <f t="shared" si="194"/>
        <v>75.000000000000014</v>
      </c>
      <c r="GI25" s="398">
        <f t="shared" si="84"/>
        <v>40.000000000000007</v>
      </c>
      <c r="GJ25" s="398">
        <f t="shared" si="85"/>
        <v>-7.5</v>
      </c>
      <c r="GK25" s="398">
        <f t="shared" si="195"/>
        <v>0.75000000000000011</v>
      </c>
      <c r="GL25" s="399">
        <f t="shared" si="196"/>
        <v>101.62601626016261</v>
      </c>
      <c r="GM25" s="66"/>
      <c r="GN25" s="66"/>
      <c r="GO25" s="396">
        <f t="shared" si="86"/>
        <v>10</v>
      </c>
      <c r="GP25" s="397">
        <f t="shared" si="87"/>
        <v>5</v>
      </c>
      <c r="GQ25" s="398">
        <f t="shared" si="88"/>
        <v>1.5000000000000002</v>
      </c>
      <c r="GR25" s="398">
        <f t="shared" si="197"/>
        <v>75.000000000000014</v>
      </c>
      <c r="GS25" s="398">
        <f t="shared" si="89"/>
        <v>50</v>
      </c>
      <c r="GT25" s="398">
        <f t="shared" si="90"/>
        <v>7.5</v>
      </c>
      <c r="GU25" s="398">
        <f t="shared" si="198"/>
        <v>0.75000000000000011</v>
      </c>
      <c r="GV25" s="399">
        <f t="shared" si="199"/>
        <v>101.62601626016261</v>
      </c>
      <c r="GW25" s="66"/>
      <c r="GX25" s="66"/>
      <c r="GY25" s="396">
        <f t="shared" si="91"/>
        <v>10</v>
      </c>
      <c r="GZ25" s="397">
        <f t="shared" si="92"/>
        <v>5</v>
      </c>
      <c r="HA25" s="398">
        <f t="shared" si="93"/>
        <v>1.5000000000000002</v>
      </c>
      <c r="HB25" s="398">
        <f t="shared" si="200"/>
        <v>75.000000000000014</v>
      </c>
      <c r="HC25" s="398">
        <f t="shared" si="94"/>
        <v>50</v>
      </c>
      <c r="HD25" s="398">
        <f t="shared" si="95"/>
        <v>2.5000000000000004</v>
      </c>
      <c r="HE25" s="398">
        <f t="shared" si="201"/>
        <v>0.75000000000000011</v>
      </c>
      <c r="HF25" s="399">
        <f t="shared" si="202"/>
        <v>101.62601626016261</v>
      </c>
      <c r="HH25" s="66"/>
      <c r="HI25" s="396">
        <f t="shared" si="96"/>
        <v>10</v>
      </c>
      <c r="HJ25" s="397">
        <f t="shared" si="97"/>
        <v>5</v>
      </c>
      <c r="HK25" s="398">
        <f t="shared" si="98"/>
        <v>1.5000000000000002</v>
      </c>
      <c r="HL25" s="398">
        <f t="shared" si="203"/>
        <v>75.000000000000014</v>
      </c>
      <c r="HM25" s="398">
        <f t="shared" si="99"/>
        <v>50</v>
      </c>
      <c r="HN25" s="398">
        <f t="shared" si="100"/>
        <v>-2.5000000000000004</v>
      </c>
      <c r="HO25" s="398">
        <f t="shared" si="204"/>
        <v>0.75000000000000011</v>
      </c>
      <c r="HP25" s="399">
        <f t="shared" si="205"/>
        <v>101.62601626016261</v>
      </c>
      <c r="HQ25" s="66"/>
      <c r="HR25" s="66"/>
      <c r="HS25" s="396">
        <f t="shared" si="101"/>
        <v>10</v>
      </c>
      <c r="HT25" s="397">
        <f t="shared" si="102"/>
        <v>5</v>
      </c>
      <c r="HU25" s="398">
        <f t="shared" si="103"/>
        <v>1.5000000000000002</v>
      </c>
      <c r="HV25" s="398">
        <f t="shared" si="206"/>
        <v>75.000000000000014</v>
      </c>
      <c r="HW25" s="398">
        <f t="shared" si="104"/>
        <v>50</v>
      </c>
      <c r="HX25" s="398">
        <f t="shared" si="105"/>
        <v>-7.5</v>
      </c>
      <c r="HY25" s="398">
        <f t="shared" si="207"/>
        <v>0.75000000000000011</v>
      </c>
      <c r="HZ25" s="399">
        <f t="shared" si="208"/>
        <v>101.62601626016261</v>
      </c>
      <c r="IA25" s="66"/>
      <c r="IB25" s="66"/>
      <c r="IC25" s="396">
        <f t="shared" si="106"/>
        <v>2.6550000000000007</v>
      </c>
      <c r="ID25" s="397">
        <f t="shared" si="107"/>
        <v>20</v>
      </c>
      <c r="IE25" s="398">
        <f t="shared" si="108"/>
        <v>1.5000000000000002</v>
      </c>
      <c r="IF25" s="398">
        <f t="shared" si="209"/>
        <v>39.726193922248804</v>
      </c>
      <c r="IG25" s="398">
        <f t="shared" si="109"/>
        <v>55.885687776571551</v>
      </c>
      <c r="IH25" s="398">
        <f t="shared" si="110"/>
        <v>0</v>
      </c>
      <c r="II25" s="398">
        <f t="shared" si="210"/>
        <v>1.0007771486684212</v>
      </c>
      <c r="IJ25" s="399">
        <f t="shared" si="211"/>
        <v>1726.8292682926838</v>
      </c>
      <c r="IK25" s="66"/>
      <c r="IL25" s="66"/>
      <c r="IM25" s="396">
        <f t="shared" si="111"/>
        <v>11</v>
      </c>
      <c r="IN25" s="397">
        <f t="shared" si="112"/>
        <v>13.75</v>
      </c>
      <c r="IO25" s="398">
        <f t="shared" si="113"/>
        <v>1.5000000000000002</v>
      </c>
      <c r="IP25" s="398">
        <f t="shared" si="212"/>
        <v>202.27859441245002</v>
      </c>
      <c r="IQ25" s="398">
        <f t="shared" si="114"/>
        <v>67.557287200823779</v>
      </c>
      <c r="IR25" s="398">
        <f t="shared" si="115"/>
        <v>6.8749999999999991</v>
      </c>
      <c r="IS25" s="398">
        <f t="shared" si="213"/>
        <v>0.79252285022565094</v>
      </c>
      <c r="IT25" s="399">
        <f t="shared" si="214"/>
        <v>2324.8539126016262</v>
      </c>
      <c r="IU25" s="66"/>
      <c r="IV25" s="66"/>
      <c r="IW25" s="396">
        <f t="shared" si="116"/>
        <v>11</v>
      </c>
      <c r="IX25" s="397">
        <f t="shared" si="117"/>
        <v>13.75</v>
      </c>
      <c r="IY25" s="398">
        <f t="shared" si="118"/>
        <v>1.5000000000000002</v>
      </c>
      <c r="IZ25" s="398">
        <f t="shared" si="215"/>
        <v>202.27859441245002</v>
      </c>
      <c r="JA25" s="398">
        <f t="shared" si="119"/>
        <v>67.557287200823779</v>
      </c>
      <c r="JB25" s="398">
        <f t="shared" si="120"/>
        <v>-6.8749999999999991</v>
      </c>
      <c r="JC25" s="398">
        <f t="shared" si="216"/>
        <v>0.79252285022565094</v>
      </c>
      <c r="JD25" s="399">
        <f t="shared" si="217"/>
        <v>2324.8539126016262</v>
      </c>
      <c r="JE25" s="66"/>
      <c r="JF25" s="66"/>
      <c r="JG25" s="396">
        <f t="shared" si="121"/>
        <v>3.75</v>
      </c>
      <c r="JH25" s="397">
        <f t="shared" si="122"/>
        <v>6.875</v>
      </c>
      <c r="JI25" s="398">
        <f t="shared" si="123"/>
        <v>1.5000000000000002</v>
      </c>
      <c r="JJ25" s="398">
        <f t="shared" si="218"/>
        <v>19.28796491634608</v>
      </c>
      <c r="JK25" s="398">
        <f t="shared" si="124"/>
        <v>70.850971435835518</v>
      </c>
      <c r="JL25" s="398">
        <f t="shared" si="125"/>
        <v>10.3125</v>
      </c>
      <c r="JM25" s="398">
        <f t="shared" si="219"/>
        <v>2.1967771486684211</v>
      </c>
      <c r="JN25" s="399">
        <f t="shared" si="220"/>
        <v>99.07047923018294</v>
      </c>
      <c r="JO25" s="66"/>
      <c r="JP25" s="66"/>
      <c r="JQ25" s="396">
        <f t="shared" si="126"/>
        <v>3.75</v>
      </c>
      <c r="JR25" s="397">
        <f t="shared" si="127"/>
        <v>6.875</v>
      </c>
      <c r="JS25" s="398">
        <f t="shared" si="128"/>
        <v>1.5000000000000002</v>
      </c>
      <c r="JT25" s="398">
        <f t="shared" si="221"/>
        <v>19.28796491634608</v>
      </c>
      <c r="JU25" s="398">
        <f t="shared" si="129"/>
        <v>70.850971435835518</v>
      </c>
      <c r="JV25" s="398">
        <f t="shared" si="130"/>
        <v>3.4375000000000009</v>
      </c>
      <c r="JW25" s="398">
        <f t="shared" si="222"/>
        <v>2.1967771486684211</v>
      </c>
      <c r="JX25" s="399">
        <f t="shared" si="223"/>
        <v>99.07047923018294</v>
      </c>
      <c r="JY25" s="66"/>
      <c r="JZ25" s="66"/>
      <c r="KA25" s="396">
        <f t="shared" si="131"/>
        <v>3.75</v>
      </c>
      <c r="KB25" s="397">
        <f t="shared" si="132"/>
        <v>6.875</v>
      </c>
      <c r="KC25" s="398">
        <f t="shared" si="133"/>
        <v>1.5000000000000002</v>
      </c>
      <c r="KD25" s="398">
        <f t="shared" si="224"/>
        <v>19.28796491634608</v>
      </c>
      <c r="KE25" s="398">
        <f t="shared" si="134"/>
        <v>70.850971435835518</v>
      </c>
      <c r="KF25" s="398">
        <f t="shared" si="135"/>
        <v>-3.4375000000000009</v>
      </c>
      <c r="KG25" s="398">
        <f t="shared" si="225"/>
        <v>2.1967771486684211</v>
      </c>
      <c r="KH25" s="399">
        <f t="shared" si="226"/>
        <v>99.07047923018294</v>
      </c>
      <c r="KI25" s="66"/>
      <c r="KJ25" s="66"/>
      <c r="KK25" s="396">
        <f t="shared" si="136"/>
        <v>3.75</v>
      </c>
      <c r="KL25" s="397">
        <f t="shared" si="137"/>
        <v>6.875</v>
      </c>
      <c r="KM25" s="398">
        <f t="shared" si="138"/>
        <v>1.5000000000000002</v>
      </c>
      <c r="KN25" s="398">
        <f t="shared" si="227"/>
        <v>19.28796491634608</v>
      </c>
      <c r="KO25" s="398">
        <f t="shared" si="139"/>
        <v>70.850971435835518</v>
      </c>
      <c r="KP25" s="398">
        <f t="shared" si="140"/>
        <v>-10.3125</v>
      </c>
      <c r="KQ25" s="398">
        <f t="shared" si="228"/>
        <v>2.1967771486684211</v>
      </c>
      <c r="KR25" s="399">
        <f t="shared" si="229"/>
        <v>99.07047923018294</v>
      </c>
      <c r="KS25" s="66"/>
      <c r="KT25" s="66"/>
      <c r="KU25" s="396">
        <f t="shared" si="141"/>
        <v>5</v>
      </c>
      <c r="KV25" s="397">
        <f t="shared" si="142"/>
        <v>5</v>
      </c>
      <c r="KW25" s="398">
        <f t="shared" si="143"/>
        <v>1.5000000000000002</v>
      </c>
      <c r="KX25" s="398">
        <f t="shared" si="230"/>
        <v>37.500000000000007</v>
      </c>
      <c r="KY25" s="398">
        <f t="shared" si="144"/>
        <v>57.5</v>
      </c>
      <c r="KZ25" s="398">
        <f t="shared" si="145"/>
        <v>0</v>
      </c>
      <c r="LA25" s="398">
        <f t="shared" si="231"/>
        <v>0.75000000000000011</v>
      </c>
      <c r="LB25" s="399">
        <f t="shared" si="232"/>
        <v>50.813008130081307</v>
      </c>
      <c r="LC25" s="66"/>
    </row>
    <row r="26" spans="1:315" s="67" customFormat="1" ht="15" customHeight="1" x14ac:dyDescent="0.25">
      <c r="A26" s="481"/>
      <c r="B26" s="73">
        <f t="shared" si="0"/>
        <v>16</v>
      </c>
      <c r="C26" s="347" t="str">
        <f>INDEX($AA$1:$LC$6,C$5,C$6+Tbl_Ballasts[[#This Row],[Index]]*Ballasts_columns_step)</f>
        <v>WB3Sb</v>
      </c>
      <c r="D26" s="114" t="str">
        <f ca="1">IFERROR(OFFSET($AA$1,D$5,D$6+Tbl_Ballasts[[#This Row],[Index]]*Ballasts_columns_step),0)</f>
        <v>OK</v>
      </c>
      <c r="E26" s="348">
        <v>3</v>
      </c>
      <c r="F26" s="350">
        <v>4</v>
      </c>
      <c r="G26" s="763" t="str">
        <f>TEXT(Tbl_Ballasts[[#This Row],[Recap Row]],"00")&amp;TEXT(Tbl_Ballasts[[#This Row],[Recap Col]],"00")</f>
        <v>0304</v>
      </c>
      <c r="H26" s="760">
        <f>INDEX(Recap_Ballasts,Tbl_Ballasts[[#This Row],[Recap Row]],Tbl_Ballasts[[#This Row],[Recap Col]])</f>
        <v>0</v>
      </c>
      <c r="I26" s="493">
        <f ca="1">IFERROR(OFFSET($AA$1,I$5,I$6+Tbl_Ballasts[[#This Row],[Index]]*Ballasts_columns_step),0)</f>
        <v>0</v>
      </c>
      <c r="J26" s="103">
        <f ca="1">IFERROR(OFFSET($AA$1,J$5,J$6+Tbl_Ballasts[[#This Row],[Index]]*Ballasts_columns_step),0)</f>
        <v>0</v>
      </c>
      <c r="K26" s="427">
        <f ca="1">IFERROR(OFFSET($AA$1,K$5,K$6+Tbl_Ballasts[[#This Row],[Index]]*Ballasts_columns_step),0)</f>
        <v>40</v>
      </c>
      <c r="L26" s="428">
        <f ca="1">IFERROR(OFFSET($AA$1,L$5,L$6+Tbl_Ballasts[[#This Row],[Index]]*Ballasts_columns_step),0)</f>
        <v>-7.5</v>
      </c>
      <c r="M26" s="429">
        <f ca="1">IFERROR(OFFSET($AA$1,M$5,M$6+Tbl_Ballasts[[#This Row],[Index]]*Ballasts_columns_step),0)</f>
        <v>0</v>
      </c>
      <c r="N26" s="438">
        <f ca="1">IFERROR(OFFSET($AA$1,N$5,N$6+Tbl_Ballasts[[#This Row],[Index]]*Ballasts_columns_step),0)</f>
        <v>10</v>
      </c>
      <c r="O26" s="437" t="str">
        <f ca="1">IF(Tbl_Ballasts[[#This Row],[Weight Fact]],Tbl_Ballasts[[#This Row],[COG x ]]-Tbl_Ballasts[[#This Row],[Distrib]]/2,"")</f>
        <v/>
      </c>
      <c r="P26" s="439" t="str">
        <f ca="1">IF(Tbl_Ballasts[[#This Row],[Weight Fact]],Tbl_Ballasts[[#This Row],[COG x ]]+Tbl_Ballasts[[#This Row],[Distrib]]/2,"")</f>
        <v/>
      </c>
      <c r="Q26" s="440" t="str">
        <f ca="1">IF(Tbl_Ballasts[[#This Row],[Weight Fact]],ROUND(Tbl_Ballasts[[#This Row],[AP from]]/FE_size,0),"")</f>
        <v/>
      </c>
      <c r="R26" s="441" t="str">
        <f ca="1">IF(Tbl_Ballasts[[#This Row],[Weight Fact]],ROUND(Tbl_Ballasts[[#This Row],[AP to]]/FE_size,0),"")</f>
        <v/>
      </c>
      <c r="S26" s="114" t="str">
        <f ca="1">IF(Tbl_Ballasts[[#This Row],[Weight Fact]]=0,"",IF(AND(Tbl_Ballasts[[#This Row],[COG x ]]&gt;=(Tbl_Ballasts[[#This Row],[L to]]-Tbl_Ballasts[[#This Row],[L from]])/3+Tbl_Ballasts[[#This Row],[L from]],Tbl_Ballasts[[#This Row],[COG x ]]&lt;=(Tbl_Ballasts[[#This Row],[L to]]-Tbl_Ballasts[[#This Row],[L from]])*2/3+Tbl_Ballasts[[#This Row],[L from]],Tbl_Ballasts[[#This Row],[L to]]&gt;Tbl_Ballasts[[#This Row],[L from]]),"OK","KO"))</f>
        <v/>
      </c>
      <c r="T26" s="442" t="str">
        <f ca="1">IF(Tbl_Ballasts[[#This Row],[Weight Fact]],IF(Tbl_Ballasts[[#This Row],[Fr from]]*FE_size&lt;0,0,Tbl_Ballasts[[#This Row],[Fr from]]*FE_size),"")</f>
        <v/>
      </c>
      <c r="U26" s="443" t="str">
        <f ca="1">IF(Tbl_Ballasts[[#This Row],[Weight Fact]],IF(Tbl_Ballasts[[#This Row],[Fr to]]*FE_size=Tbl_Ballasts[[#This Row],[L from]],Tbl_Ballasts[[#This Row],[L from]]+FE_size,IF(Tbl_Ballasts[[#This Row],[Fr to]]*FE_size&gt;Lpp,Lpp,Tbl_Ballasts[[#This Row],[Fr to]]*FE_size)),"")</f>
        <v/>
      </c>
      <c r="V26" s="444" t="str">
        <f ca="1">IFERROR(Tbl_Ballasts[[#This Row],[Weight Fact]]/(Tbl_Ballasts[[#This Row],[L to]]-Tbl_Ballasts[[#This Row],[L from]]),"")</f>
        <v/>
      </c>
      <c r="W26" s="145" t="str">
        <f ca="1">IF(Tbl_Ballasts[[#This Row],[Weight Fact]],Tbl_Ballasts[[#This Row],[Spread]]*(Tbl_Ballasts[[#This Row],[L to]]-Tbl_Ballasts[[#This Row],[L from]])-Tbl_Ballasts[[#This Row],[Weight Fact]],"")</f>
        <v/>
      </c>
      <c r="X26" s="141" t="str">
        <f ca="1">IF(AND(ISNUMBER(Tbl_Ballasts[[#This Row],[L from]]),ISNUMBER(Tbl_Ballasts[[#This Row],[L to]])),IF(AND(Tbl_Ballasts[[#This Row],[L from]]&gt;=0,Tbl_Ballasts[[#This Row],[L to]]&lt;=Lpp),"OK","KO"),"OK")</f>
        <v>OK</v>
      </c>
      <c r="Y26" s="481"/>
      <c r="Z26" s="413"/>
      <c r="AA26" s="396">
        <f t="shared" si="1"/>
        <v>2.8432000000000004</v>
      </c>
      <c r="AB26" s="397">
        <f t="shared" si="2"/>
        <v>20</v>
      </c>
      <c r="AC26" s="398">
        <f t="shared" si="3"/>
        <v>1.6000000000000003</v>
      </c>
      <c r="AD26" s="398">
        <f t="shared" si="146"/>
        <v>45.391047538738711</v>
      </c>
      <c r="AE26" s="398">
        <f t="shared" si="4"/>
        <v>4.0515975211018116</v>
      </c>
      <c r="AF26" s="398">
        <f t="shared" si="5"/>
        <v>0</v>
      </c>
      <c r="AG26" s="398">
        <f t="shared" si="147"/>
        <v>1.0674197849163627</v>
      </c>
      <c r="AH26" s="399">
        <f t="shared" si="148"/>
        <v>1849.235772357724</v>
      </c>
      <c r="AI26" s="367"/>
      <c r="AJ26" s="66"/>
      <c r="AK26" s="396">
        <f t="shared" si="6"/>
        <v>10</v>
      </c>
      <c r="AL26" s="397">
        <f t="shared" si="7"/>
        <v>5</v>
      </c>
      <c r="AM26" s="398">
        <f t="shared" si="8"/>
        <v>1.6000000000000003</v>
      </c>
      <c r="AN26" s="398">
        <f t="shared" si="149"/>
        <v>80.000000000000014</v>
      </c>
      <c r="AO26" s="398">
        <f t="shared" si="9"/>
        <v>10.000000000000002</v>
      </c>
      <c r="AP26" s="398">
        <f t="shared" si="10"/>
        <v>7.5</v>
      </c>
      <c r="AQ26" s="398">
        <f t="shared" si="150"/>
        <v>0.80000000000000027</v>
      </c>
      <c r="AR26" s="399">
        <f t="shared" si="151"/>
        <v>101.62601626016261</v>
      </c>
      <c r="AS26" s="66"/>
      <c r="AT26" s="66"/>
      <c r="AU26" s="396">
        <f t="shared" si="11"/>
        <v>10</v>
      </c>
      <c r="AV26" s="397">
        <f t="shared" si="12"/>
        <v>5</v>
      </c>
      <c r="AW26" s="398">
        <f t="shared" si="13"/>
        <v>1.6000000000000003</v>
      </c>
      <c r="AX26" s="398">
        <f t="shared" si="152"/>
        <v>80.000000000000014</v>
      </c>
      <c r="AY26" s="398">
        <f t="shared" si="14"/>
        <v>10.000000000000002</v>
      </c>
      <c r="AZ26" s="398">
        <f t="shared" si="15"/>
        <v>2.5000000000000004</v>
      </c>
      <c r="BA26" s="398">
        <f t="shared" si="153"/>
        <v>0.80000000000000027</v>
      </c>
      <c r="BB26" s="399">
        <f t="shared" si="154"/>
        <v>101.62601626016261</v>
      </c>
      <c r="BC26" s="66"/>
      <c r="BD26" s="66"/>
      <c r="BE26" s="396">
        <f t="shared" si="16"/>
        <v>10</v>
      </c>
      <c r="BF26" s="397">
        <f t="shared" si="17"/>
        <v>5</v>
      </c>
      <c r="BG26" s="398">
        <f t="shared" si="18"/>
        <v>1.6000000000000003</v>
      </c>
      <c r="BH26" s="398">
        <f t="shared" si="155"/>
        <v>80.000000000000014</v>
      </c>
      <c r="BI26" s="398">
        <f t="shared" si="19"/>
        <v>10.000000000000002</v>
      </c>
      <c r="BJ26" s="398">
        <f t="shared" si="20"/>
        <v>-2.5000000000000004</v>
      </c>
      <c r="BK26" s="398">
        <f t="shared" si="156"/>
        <v>0.80000000000000027</v>
      </c>
      <c r="BL26" s="399">
        <f t="shared" si="157"/>
        <v>101.62601626016261</v>
      </c>
      <c r="BM26" s="66"/>
      <c r="BN26" s="66"/>
      <c r="BO26" s="396">
        <f t="shared" si="21"/>
        <v>10</v>
      </c>
      <c r="BP26" s="397">
        <f t="shared" si="22"/>
        <v>5</v>
      </c>
      <c r="BQ26" s="398">
        <f t="shared" si="23"/>
        <v>1.6000000000000003</v>
      </c>
      <c r="BR26" s="398">
        <f t="shared" si="158"/>
        <v>80.000000000000014</v>
      </c>
      <c r="BS26" s="398">
        <f t="shared" si="24"/>
        <v>10.000000000000002</v>
      </c>
      <c r="BT26" s="398">
        <f t="shared" si="25"/>
        <v>-7.5</v>
      </c>
      <c r="BU26" s="398">
        <f t="shared" si="159"/>
        <v>0.80000000000000027</v>
      </c>
      <c r="BV26" s="399">
        <f t="shared" si="160"/>
        <v>101.62601626016261</v>
      </c>
      <c r="BW26" s="66"/>
      <c r="BX26" s="66"/>
      <c r="BY26" s="396">
        <f t="shared" si="26"/>
        <v>10</v>
      </c>
      <c r="BZ26" s="397">
        <f t="shared" si="27"/>
        <v>5</v>
      </c>
      <c r="CA26" s="398">
        <f t="shared" si="28"/>
        <v>1.6000000000000003</v>
      </c>
      <c r="CB26" s="398">
        <f t="shared" si="161"/>
        <v>80.000000000000014</v>
      </c>
      <c r="CC26" s="398">
        <f t="shared" si="29"/>
        <v>20.000000000000004</v>
      </c>
      <c r="CD26" s="398">
        <f t="shared" si="30"/>
        <v>7.5</v>
      </c>
      <c r="CE26" s="398">
        <f t="shared" si="162"/>
        <v>0.80000000000000027</v>
      </c>
      <c r="CF26" s="399">
        <f t="shared" si="163"/>
        <v>101.62601626016261</v>
      </c>
      <c r="CG26" s="66"/>
      <c r="CH26" s="66"/>
      <c r="CI26" s="396">
        <f t="shared" si="31"/>
        <v>10</v>
      </c>
      <c r="CJ26" s="397">
        <f t="shared" si="32"/>
        <v>5</v>
      </c>
      <c r="CK26" s="398">
        <f t="shared" si="33"/>
        <v>1.6000000000000003</v>
      </c>
      <c r="CL26" s="398">
        <f t="shared" si="164"/>
        <v>80.000000000000014</v>
      </c>
      <c r="CM26" s="398">
        <f t="shared" si="34"/>
        <v>20.000000000000004</v>
      </c>
      <c r="CN26" s="398">
        <f t="shared" si="35"/>
        <v>2.5000000000000004</v>
      </c>
      <c r="CO26" s="398">
        <f t="shared" si="165"/>
        <v>0.80000000000000027</v>
      </c>
      <c r="CP26" s="399">
        <f t="shared" si="166"/>
        <v>101.62601626016261</v>
      </c>
      <c r="CQ26" s="66"/>
      <c r="CS26" s="396">
        <f t="shared" si="36"/>
        <v>10</v>
      </c>
      <c r="CT26" s="397">
        <f t="shared" si="37"/>
        <v>5</v>
      </c>
      <c r="CU26" s="398">
        <f t="shared" si="38"/>
        <v>1.6000000000000003</v>
      </c>
      <c r="CV26" s="398">
        <f t="shared" si="167"/>
        <v>80.000000000000014</v>
      </c>
      <c r="CW26" s="398">
        <f t="shared" si="39"/>
        <v>20.000000000000004</v>
      </c>
      <c r="CX26" s="398">
        <f t="shared" si="40"/>
        <v>-2.5000000000000004</v>
      </c>
      <c r="CY26" s="398">
        <f t="shared" si="168"/>
        <v>0.80000000000000027</v>
      </c>
      <c r="CZ26" s="399">
        <f t="shared" si="169"/>
        <v>101.62601626016261</v>
      </c>
      <c r="DA26" s="66"/>
      <c r="DB26" s="66"/>
      <c r="DC26" s="396">
        <f t="shared" si="41"/>
        <v>10</v>
      </c>
      <c r="DD26" s="397">
        <f t="shared" si="42"/>
        <v>5</v>
      </c>
      <c r="DE26" s="398">
        <f t="shared" si="43"/>
        <v>1.6000000000000003</v>
      </c>
      <c r="DF26" s="398">
        <f t="shared" si="170"/>
        <v>80.000000000000014</v>
      </c>
      <c r="DG26" s="398">
        <f t="shared" si="44"/>
        <v>20.000000000000004</v>
      </c>
      <c r="DH26" s="398">
        <f t="shared" si="45"/>
        <v>-7.5</v>
      </c>
      <c r="DI26" s="398">
        <f t="shared" si="171"/>
        <v>0.80000000000000027</v>
      </c>
      <c r="DJ26" s="399">
        <f t="shared" si="172"/>
        <v>101.62601626016261</v>
      </c>
      <c r="DK26" s="66"/>
      <c r="DM26" s="396">
        <f t="shared" si="46"/>
        <v>10</v>
      </c>
      <c r="DN26" s="397">
        <f t="shared" si="47"/>
        <v>5</v>
      </c>
      <c r="DO26" s="398">
        <f t="shared" si="48"/>
        <v>1.6000000000000003</v>
      </c>
      <c r="DP26" s="398">
        <f t="shared" si="173"/>
        <v>80.000000000000014</v>
      </c>
      <c r="DQ26" s="398">
        <f t="shared" si="49"/>
        <v>30</v>
      </c>
      <c r="DR26" s="398">
        <f t="shared" si="50"/>
        <v>7.5</v>
      </c>
      <c r="DS26" s="398">
        <f t="shared" si="174"/>
        <v>0.80000000000000027</v>
      </c>
      <c r="DT26" s="399">
        <f t="shared" si="175"/>
        <v>101.62601626016261</v>
      </c>
      <c r="DU26" s="66"/>
      <c r="DV26" s="66"/>
      <c r="DW26" s="396">
        <f t="shared" si="51"/>
        <v>10</v>
      </c>
      <c r="DX26" s="397">
        <f t="shared" si="52"/>
        <v>5</v>
      </c>
      <c r="DY26" s="398">
        <f t="shared" si="53"/>
        <v>1.6000000000000003</v>
      </c>
      <c r="DZ26" s="398">
        <f t="shared" si="176"/>
        <v>80.000000000000014</v>
      </c>
      <c r="EA26" s="398">
        <f t="shared" si="54"/>
        <v>30</v>
      </c>
      <c r="EB26" s="398">
        <f t="shared" si="55"/>
        <v>2.5000000000000004</v>
      </c>
      <c r="EC26" s="398">
        <f t="shared" si="177"/>
        <v>0.80000000000000027</v>
      </c>
      <c r="ED26" s="399">
        <f t="shared" si="178"/>
        <v>101.62601626016261</v>
      </c>
      <c r="EE26" s="66"/>
      <c r="EF26" s="66"/>
      <c r="EG26" s="396">
        <f t="shared" si="56"/>
        <v>10</v>
      </c>
      <c r="EH26" s="397">
        <f t="shared" si="57"/>
        <v>5</v>
      </c>
      <c r="EI26" s="398">
        <f t="shared" si="58"/>
        <v>1.6000000000000003</v>
      </c>
      <c r="EJ26" s="398">
        <f t="shared" si="179"/>
        <v>80.000000000000014</v>
      </c>
      <c r="EK26" s="398">
        <f t="shared" si="59"/>
        <v>30</v>
      </c>
      <c r="EL26" s="398">
        <f t="shared" si="60"/>
        <v>-2.5000000000000004</v>
      </c>
      <c r="EM26" s="398">
        <f t="shared" si="180"/>
        <v>0.80000000000000027</v>
      </c>
      <c r="EN26" s="399">
        <f t="shared" si="181"/>
        <v>101.62601626016261</v>
      </c>
      <c r="EO26" s="66"/>
      <c r="EP26" s="66"/>
      <c r="EQ26" s="396">
        <f t="shared" si="61"/>
        <v>10</v>
      </c>
      <c r="ER26" s="397">
        <f t="shared" si="62"/>
        <v>5</v>
      </c>
      <c r="ES26" s="398">
        <f t="shared" si="63"/>
        <v>1.6000000000000003</v>
      </c>
      <c r="ET26" s="398">
        <f t="shared" si="182"/>
        <v>80.000000000000014</v>
      </c>
      <c r="EU26" s="398">
        <f t="shared" si="64"/>
        <v>30</v>
      </c>
      <c r="EV26" s="398">
        <f t="shared" si="65"/>
        <v>-7.5</v>
      </c>
      <c r="EW26" s="398">
        <f t="shared" si="183"/>
        <v>0.80000000000000027</v>
      </c>
      <c r="EX26" s="399">
        <f t="shared" si="184"/>
        <v>101.62601626016261</v>
      </c>
      <c r="EY26" s="66"/>
      <c r="EZ26" s="66"/>
      <c r="FA26" s="396">
        <f t="shared" si="66"/>
        <v>10</v>
      </c>
      <c r="FB26" s="397">
        <f t="shared" si="67"/>
        <v>5</v>
      </c>
      <c r="FC26" s="398">
        <f t="shared" si="68"/>
        <v>1.6000000000000003</v>
      </c>
      <c r="FD26" s="398">
        <f t="shared" si="185"/>
        <v>80.000000000000014</v>
      </c>
      <c r="FE26" s="398">
        <f t="shared" si="69"/>
        <v>40.000000000000007</v>
      </c>
      <c r="FF26" s="398">
        <f t="shared" si="70"/>
        <v>7.5</v>
      </c>
      <c r="FG26" s="398">
        <f t="shared" si="186"/>
        <v>0.80000000000000027</v>
      </c>
      <c r="FH26" s="399">
        <f t="shared" si="187"/>
        <v>101.62601626016261</v>
      </c>
      <c r="FI26" s="66"/>
      <c r="FJ26" s="66"/>
      <c r="FK26" s="396">
        <f t="shared" si="71"/>
        <v>10</v>
      </c>
      <c r="FL26" s="397">
        <f t="shared" si="72"/>
        <v>5</v>
      </c>
      <c r="FM26" s="398">
        <f t="shared" si="73"/>
        <v>1.6000000000000003</v>
      </c>
      <c r="FN26" s="398">
        <f t="shared" si="188"/>
        <v>80.000000000000014</v>
      </c>
      <c r="FO26" s="398">
        <f t="shared" si="74"/>
        <v>40.000000000000007</v>
      </c>
      <c r="FP26" s="398">
        <f t="shared" si="75"/>
        <v>2.5000000000000004</v>
      </c>
      <c r="FQ26" s="398">
        <f t="shared" si="189"/>
        <v>0.80000000000000027</v>
      </c>
      <c r="FR26" s="399">
        <f t="shared" si="190"/>
        <v>101.62601626016261</v>
      </c>
      <c r="FS26" s="66"/>
      <c r="FT26" s="66"/>
      <c r="FU26" s="396">
        <f t="shared" si="76"/>
        <v>10</v>
      </c>
      <c r="FV26" s="397">
        <f t="shared" si="77"/>
        <v>5</v>
      </c>
      <c r="FW26" s="398">
        <f t="shared" si="78"/>
        <v>1.6000000000000003</v>
      </c>
      <c r="FX26" s="398">
        <f t="shared" si="191"/>
        <v>80.000000000000014</v>
      </c>
      <c r="FY26" s="398">
        <f t="shared" si="79"/>
        <v>40.000000000000007</v>
      </c>
      <c r="FZ26" s="398">
        <f t="shared" si="80"/>
        <v>-2.5000000000000004</v>
      </c>
      <c r="GA26" s="398">
        <f t="shared" si="192"/>
        <v>0.80000000000000027</v>
      </c>
      <c r="GB26" s="399">
        <f t="shared" si="193"/>
        <v>101.62601626016261</v>
      </c>
      <c r="GC26" s="66"/>
      <c r="GD26" s="66"/>
      <c r="GE26" s="396">
        <f t="shared" si="81"/>
        <v>10</v>
      </c>
      <c r="GF26" s="397">
        <f t="shared" si="82"/>
        <v>5</v>
      </c>
      <c r="GG26" s="398">
        <f t="shared" si="83"/>
        <v>1.6000000000000003</v>
      </c>
      <c r="GH26" s="398">
        <f t="shared" si="194"/>
        <v>80.000000000000014</v>
      </c>
      <c r="GI26" s="398">
        <f t="shared" si="84"/>
        <v>40.000000000000007</v>
      </c>
      <c r="GJ26" s="398">
        <f t="shared" si="85"/>
        <v>-7.5</v>
      </c>
      <c r="GK26" s="398">
        <f t="shared" si="195"/>
        <v>0.80000000000000027</v>
      </c>
      <c r="GL26" s="399">
        <f t="shared" si="196"/>
        <v>101.62601626016261</v>
      </c>
      <c r="GM26" s="66"/>
      <c r="GN26" s="66"/>
      <c r="GO26" s="396">
        <f t="shared" si="86"/>
        <v>10</v>
      </c>
      <c r="GP26" s="397">
        <f t="shared" si="87"/>
        <v>5</v>
      </c>
      <c r="GQ26" s="398">
        <f t="shared" si="88"/>
        <v>1.6000000000000003</v>
      </c>
      <c r="GR26" s="398">
        <f t="shared" si="197"/>
        <v>80.000000000000014</v>
      </c>
      <c r="GS26" s="398">
        <f t="shared" si="89"/>
        <v>50</v>
      </c>
      <c r="GT26" s="398">
        <f t="shared" si="90"/>
        <v>7.5</v>
      </c>
      <c r="GU26" s="398">
        <f t="shared" si="198"/>
        <v>0.80000000000000027</v>
      </c>
      <c r="GV26" s="399">
        <f t="shared" si="199"/>
        <v>101.62601626016261</v>
      </c>
      <c r="GW26" s="66"/>
      <c r="GX26" s="66"/>
      <c r="GY26" s="396">
        <f t="shared" si="91"/>
        <v>10</v>
      </c>
      <c r="GZ26" s="397">
        <f t="shared" si="92"/>
        <v>5</v>
      </c>
      <c r="HA26" s="398">
        <f t="shared" si="93"/>
        <v>1.6000000000000003</v>
      </c>
      <c r="HB26" s="398">
        <f t="shared" si="200"/>
        <v>80.000000000000014</v>
      </c>
      <c r="HC26" s="398">
        <f t="shared" si="94"/>
        <v>50</v>
      </c>
      <c r="HD26" s="398">
        <f t="shared" si="95"/>
        <v>2.5000000000000004</v>
      </c>
      <c r="HE26" s="398">
        <f t="shared" si="201"/>
        <v>0.80000000000000027</v>
      </c>
      <c r="HF26" s="399">
        <f t="shared" si="202"/>
        <v>101.62601626016261</v>
      </c>
      <c r="HH26" s="66"/>
      <c r="HI26" s="396">
        <f t="shared" si="96"/>
        <v>10</v>
      </c>
      <c r="HJ26" s="397">
        <f t="shared" si="97"/>
        <v>5</v>
      </c>
      <c r="HK26" s="398">
        <f t="shared" si="98"/>
        <v>1.6000000000000003</v>
      </c>
      <c r="HL26" s="398">
        <f t="shared" si="203"/>
        <v>80.000000000000014</v>
      </c>
      <c r="HM26" s="398">
        <f t="shared" si="99"/>
        <v>50</v>
      </c>
      <c r="HN26" s="398">
        <f t="shared" si="100"/>
        <v>-2.5000000000000004</v>
      </c>
      <c r="HO26" s="398">
        <f t="shared" si="204"/>
        <v>0.80000000000000027</v>
      </c>
      <c r="HP26" s="399">
        <f t="shared" si="205"/>
        <v>101.62601626016261</v>
      </c>
      <c r="HQ26" s="66"/>
      <c r="HR26" s="66"/>
      <c r="HS26" s="396">
        <f t="shared" si="101"/>
        <v>10</v>
      </c>
      <c r="HT26" s="397">
        <f t="shared" si="102"/>
        <v>5</v>
      </c>
      <c r="HU26" s="398">
        <f t="shared" si="103"/>
        <v>1.6000000000000003</v>
      </c>
      <c r="HV26" s="398">
        <f t="shared" si="206"/>
        <v>80.000000000000014</v>
      </c>
      <c r="HW26" s="398">
        <f t="shared" si="104"/>
        <v>50</v>
      </c>
      <c r="HX26" s="398">
        <f t="shared" si="105"/>
        <v>-7.5</v>
      </c>
      <c r="HY26" s="398">
        <f t="shared" si="207"/>
        <v>0.80000000000000027</v>
      </c>
      <c r="HZ26" s="399">
        <f t="shared" si="208"/>
        <v>101.62601626016261</v>
      </c>
      <c r="IA26" s="66"/>
      <c r="IB26" s="66"/>
      <c r="IC26" s="396">
        <f t="shared" si="106"/>
        <v>2.8320000000000007</v>
      </c>
      <c r="ID26" s="397">
        <f t="shared" si="107"/>
        <v>20</v>
      </c>
      <c r="IE26" s="398">
        <f t="shared" si="108"/>
        <v>1.6000000000000003</v>
      </c>
      <c r="IF26" s="398">
        <f t="shared" si="209"/>
        <v>45.212242061658714</v>
      </c>
      <c r="IG26" s="398">
        <f t="shared" si="109"/>
        <v>55.944666509650979</v>
      </c>
      <c r="IH26" s="398">
        <f t="shared" si="110"/>
        <v>0</v>
      </c>
      <c r="II26" s="398">
        <f t="shared" si="210"/>
        <v>1.0674197849163629</v>
      </c>
      <c r="IJ26" s="399">
        <f t="shared" si="211"/>
        <v>1841.9512195121958</v>
      </c>
      <c r="IK26" s="66"/>
      <c r="IL26" s="66"/>
      <c r="IM26" s="396">
        <f t="shared" si="111"/>
        <v>11</v>
      </c>
      <c r="IN26" s="397">
        <f t="shared" si="112"/>
        <v>13.75</v>
      </c>
      <c r="IO26" s="398">
        <f t="shared" si="113"/>
        <v>1.6000000000000003</v>
      </c>
      <c r="IP26" s="398">
        <f t="shared" si="212"/>
        <v>217.40359441245002</v>
      </c>
      <c r="IQ26" s="398">
        <f t="shared" si="114"/>
        <v>67.595392164589114</v>
      </c>
      <c r="IR26" s="398">
        <f t="shared" si="115"/>
        <v>6.8749999999999991</v>
      </c>
      <c r="IS26" s="398">
        <f t="shared" si="213"/>
        <v>0.84522134364890833</v>
      </c>
      <c r="IT26" s="399">
        <f t="shared" si="214"/>
        <v>2324.8539126016262</v>
      </c>
      <c r="IU26" s="66"/>
      <c r="IV26" s="66"/>
      <c r="IW26" s="396">
        <f t="shared" si="116"/>
        <v>11</v>
      </c>
      <c r="IX26" s="397">
        <f t="shared" si="117"/>
        <v>13.75</v>
      </c>
      <c r="IY26" s="398">
        <f t="shared" si="118"/>
        <v>1.6000000000000003</v>
      </c>
      <c r="IZ26" s="398">
        <f t="shared" si="215"/>
        <v>217.40359441245002</v>
      </c>
      <c r="JA26" s="398">
        <f t="shared" si="119"/>
        <v>67.595392164589114</v>
      </c>
      <c r="JB26" s="398">
        <f t="shared" si="120"/>
        <v>-6.8749999999999991</v>
      </c>
      <c r="JC26" s="398">
        <f t="shared" si="216"/>
        <v>0.84522134364890833</v>
      </c>
      <c r="JD26" s="399">
        <f t="shared" si="217"/>
        <v>2324.8539126016262</v>
      </c>
      <c r="JE26" s="66"/>
      <c r="JF26" s="66"/>
      <c r="JG26" s="396">
        <f t="shared" si="121"/>
        <v>4</v>
      </c>
      <c r="JH26" s="397">
        <f t="shared" si="122"/>
        <v>6.875</v>
      </c>
      <c r="JI26" s="398">
        <f t="shared" si="123"/>
        <v>1.6000000000000003</v>
      </c>
      <c r="JJ26" s="398">
        <f t="shared" si="218"/>
        <v>21.951565266518614</v>
      </c>
      <c r="JK26" s="398">
        <f t="shared" si="124"/>
        <v>70.93427473114545</v>
      </c>
      <c r="JL26" s="398">
        <f t="shared" si="125"/>
        <v>10.312499999999998</v>
      </c>
      <c r="JM26" s="398">
        <f t="shared" si="219"/>
        <v>2.2634197849163624</v>
      </c>
      <c r="JN26" s="399">
        <f t="shared" si="220"/>
        <v>105.67517784552847</v>
      </c>
      <c r="JO26" s="66"/>
      <c r="JP26" s="66"/>
      <c r="JQ26" s="396">
        <f t="shared" si="126"/>
        <v>4</v>
      </c>
      <c r="JR26" s="397">
        <f t="shared" si="127"/>
        <v>6.875</v>
      </c>
      <c r="JS26" s="398">
        <f t="shared" si="128"/>
        <v>1.6000000000000003</v>
      </c>
      <c r="JT26" s="398">
        <f t="shared" si="221"/>
        <v>21.951565266518614</v>
      </c>
      <c r="JU26" s="398">
        <f t="shared" si="129"/>
        <v>70.93427473114545</v>
      </c>
      <c r="JV26" s="398">
        <f t="shared" si="130"/>
        <v>3.4375000000000009</v>
      </c>
      <c r="JW26" s="398">
        <f t="shared" si="222"/>
        <v>2.2634197849163624</v>
      </c>
      <c r="JX26" s="399">
        <f t="shared" si="223"/>
        <v>105.67517784552847</v>
      </c>
      <c r="JY26" s="66"/>
      <c r="JZ26" s="66"/>
      <c r="KA26" s="396">
        <f t="shared" si="131"/>
        <v>4</v>
      </c>
      <c r="KB26" s="397">
        <f t="shared" si="132"/>
        <v>6.875</v>
      </c>
      <c r="KC26" s="398">
        <f t="shared" si="133"/>
        <v>1.6000000000000003</v>
      </c>
      <c r="KD26" s="398">
        <f t="shared" si="224"/>
        <v>21.951565266518614</v>
      </c>
      <c r="KE26" s="398">
        <f t="shared" si="134"/>
        <v>70.93427473114545</v>
      </c>
      <c r="KF26" s="398">
        <f t="shared" si="135"/>
        <v>-3.4375000000000009</v>
      </c>
      <c r="KG26" s="398">
        <f t="shared" si="225"/>
        <v>2.2634197849163624</v>
      </c>
      <c r="KH26" s="399">
        <f t="shared" si="226"/>
        <v>105.67517784552847</v>
      </c>
      <c r="KI26" s="66"/>
      <c r="KJ26" s="66"/>
      <c r="KK26" s="396">
        <f t="shared" si="136"/>
        <v>4</v>
      </c>
      <c r="KL26" s="397">
        <f t="shared" si="137"/>
        <v>6.875</v>
      </c>
      <c r="KM26" s="398">
        <f t="shared" si="138"/>
        <v>1.6000000000000003</v>
      </c>
      <c r="KN26" s="398">
        <f t="shared" si="227"/>
        <v>21.951565266518614</v>
      </c>
      <c r="KO26" s="398">
        <f t="shared" si="139"/>
        <v>70.93427473114545</v>
      </c>
      <c r="KP26" s="398">
        <f t="shared" si="140"/>
        <v>-10.312499999999998</v>
      </c>
      <c r="KQ26" s="398">
        <f t="shared" si="228"/>
        <v>2.2634197849163624</v>
      </c>
      <c r="KR26" s="399">
        <f t="shared" si="229"/>
        <v>105.67517784552847</v>
      </c>
      <c r="KS26" s="66"/>
      <c r="KT26" s="66"/>
      <c r="KU26" s="396">
        <f t="shared" si="141"/>
        <v>5</v>
      </c>
      <c r="KV26" s="397">
        <f t="shared" si="142"/>
        <v>5</v>
      </c>
      <c r="KW26" s="398">
        <f t="shared" si="143"/>
        <v>1.6000000000000003</v>
      </c>
      <c r="KX26" s="398">
        <f t="shared" si="230"/>
        <v>40.000000000000007</v>
      </c>
      <c r="KY26" s="398">
        <f t="shared" si="144"/>
        <v>57.5</v>
      </c>
      <c r="KZ26" s="398">
        <f t="shared" si="145"/>
        <v>0</v>
      </c>
      <c r="LA26" s="398">
        <f t="shared" si="231"/>
        <v>0.80000000000000027</v>
      </c>
      <c r="LB26" s="399">
        <f t="shared" si="232"/>
        <v>50.813008130081307</v>
      </c>
      <c r="LC26" s="66"/>
    </row>
    <row r="27" spans="1:315" s="67" customFormat="1" ht="15" customHeight="1" x14ac:dyDescent="0.25">
      <c r="A27" s="481"/>
      <c r="B27" s="73">
        <f t="shared" si="0"/>
        <v>17</v>
      </c>
      <c r="C27" s="347" t="str">
        <f>INDEX($AA$1:$LC$6,C$5,C$6+Tbl_Ballasts[[#This Row],[Index]]*Ballasts_columns_step)</f>
        <v>WB2Ps</v>
      </c>
      <c r="D27" s="114" t="str">
        <f ca="1">IFERROR(OFFSET($AA$1,D$5,D$6+Tbl_Ballasts[[#This Row],[Index]]*Ballasts_columns_step),0)</f>
        <v>OK</v>
      </c>
      <c r="E27" s="348">
        <v>2</v>
      </c>
      <c r="F27" s="349">
        <v>1</v>
      </c>
      <c r="G27" s="763" t="str">
        <f>TEXT(Tbl_Ballasts[[#This Row],[Recap Row]],"00")&amp;TEXT(Tbl_Ballasts[[#This Row],[Recap Col]],"00")</f>
        <v>0201</v>
      </c>
      <c r="H27" s="760">
        <f>INDEX(Recap_Ballasts,Tbl_Ballasts[[#This Row],[Recap Row]],Tbl_Ballasts[[#This Row],[Recap Col]])</f>
        <v>0</v>
      </c>
      <c r="I27" s="493">
        <f ca="1">IFERROR(OFFSET($AA$1,I$5,I$6+Tbl_Ballasts[[#This Row],[Index]]*Ballasts_columns_step),0)</f>
        <v>0</v>
      </c>
      <c r="J27" s="103">
        <f ca="1">IFERROR(OFFSET($AA$1,J$5,J$6+Tbl_Ballasts[[#This Row],[Index]]*Ballasts_columns_step),0)</f>
        <v>0</v>
      </c>
      <c r="K27" s="427">
        <f ca="1">IFERROR(OFFSET($AA$1,K$5,K$6+Tbl_Ballasts[[#This Row],[Index]]*Ballasts_columns_step),0)</f>
        <v>50</v>
      </c>
      <c r="L27" s="428">
        <f ca="1">IFERROR(OFFSET($AA$1,L$5,L$6+Tbl_Ballasts[[#This Row],[Index]]*Ballasts_columns_step),0)</f>
        <v>7.5</v>
      </c>
      <c r="M27" s="429">
        <f ca="1">IFERROR(OFFSET($AA$1,M$5,M$6+Tbl_Ballasts[[#This Row],[Index]]*Ballasts_columns_step),0)</f>
        <v>0</v>
      </c>
      <c r="N27" s="438">
        <f ca="1">IFERROR(OFFSET($AA$1,N$5,N$6+Tbl_Ballasts[[#This Row],[Index]]*Ballasts_columns_step),0)</f>
        <v>10</v>
      </c>
      <c r="O27" s="437" t="str">
        <f ca="1">IF(Tbl_Ballasts[[#This Row],[Weight Fact]],Tbl_Ballasts[[#This Row],[COG x ]]-Tbl_Ballasts[[#This Row],[Distrib]]/2,"")</f>
        <v/>
      </c>
      <c r="P27" s="439" t="str">
        <f ca="1">IF(Tbl_Ballasts[[#This Row],[Weight Fact]],Tbl_Ballasts[[#This Row],[COG x ]]+Tbl_Ballasts[[#This Row],[Distrib]]/2,"")</f>
        <v/>
      </c>
      <c r="Q27" s="440" t="str">
        <f ca="1">IF(Tbl_Ballasts[[#This Row],[Weight Fact]],ROUND(Tbl_Ballasts[[#This Row],[AP from]]/FE_size,0),"")</f>
        <v/>
      </c>
      <c r="R27" s="441" t="str">
        <f ca="1">IF(Tbl_Ballasts[[#This Row],[Weight Fact]],ROUND(Tbl_Ballasts[[#This Row],[AP to]]/FE_size,0),"")</f>
        <v/>
      </c>
      <c r="S27" s="114" t="str">
        <f ca="1">IF(Tbl_Ballasts[[#This Row],[Weight Fact]]=0,"",IF(AND(Tbl_Ballasts[[#This Row],[COG x ]]&gt;=(Tbl_Ballasts[[#This Row],[L to]]-Tbl_Ballasts[[#This Row],[L from]])/3+Tbl_Ballasts[[#This Row],[L from]],Tbl_Ballasts[[#This Row],[COG x ]]&lt;=(Tbl_Ballasts[[#This Row],[L to]]-Tbl_Ballasts[[#This Row],[L from]])*2/3+Tbl_Ballasts[[#This Row],[L from]],Tbl_Ballasts[[#This Row],[L to]]&gt;Tbl_Ballasts[[#This Row],[L from]]),"OK","KO"))</f>
        <v/>
      </c>
      <c r="T27" s="442" t="str">
        <f ca="1">IF(Tbl_Ballasts[[#This Row],[Weight Fact]],IF(Tbl_Ballasts[[#This Row],[Fr from]]*FE_size&lt;0,0,Tbl_Ballasts[[#This Row],[Fr from]]*FE_size),"")</f>
        <v/>
      </c>
      <c r="U27" s="443" t="str">
        <f ca="1">IF(Tbl_Ballasts[[#This Row],[Weight Fact]],IF(Tbl_Ballasts[[#This Row],[Fr to]]*FE_size=Tbl_Ballasts[[#This Row],[L from]],Tbl_Ballasts[[#This Row],[L from]]+FE_size,IF(Tbl_Ballasts[[#This Row],[Fr to]]*FE_size&gt;Lpp,Lpp,Tbl_Ballasts[[#This Row],[Fr to]]*FE_size)),"")</f>
        <v/>
      </c>
      <c r="V27" s="444" t="str">
        <f ca="1">IFERROR(Tbl_Ballasts[[#This Row],[Weight Fact]]/(Tbl_Ballasts[[#This Row],[L to]]-Tbl_Ballasts[[#This Row],[L from]]),"")</f>
        <v/>
      </c>
      <c r="W27" s="145" t="str">
        <f ca="1">IF(Tbl_Ballasts[[#This Row],[Weight Fact]],Tbl_Ballasts[[#This Row],[Spread]]*(Tbl_Ballasts[[#This Row],[L to]]-Tbl_Ballasts[[#This Row],[L from]])-Tbl_Ballasts[[#This Row],[Weight Fact]],"")</f>
        <v/>
      </c>
      <c r="X27" s="141" t="str">
        <f ca="1">IF(AND(ISNUMBER(Tbl_Ballasts[[#This Row],[L from]]),ISNUMBER(Tbl_Ballasts[[#This Row],[L to]])),IF(AND(Tbl_Ballasts[[#This Row],[L from]]&gt;=0,Tbl_Ballasts[[#This Row],[L to]]&lt;=Lpp),"OK","KO"),"OK")</f>
        <v>OK</v>
      </c>
      <c r="Y27" s="481"/>
      <c r="Z27" s="413"/>
      <c r="AA27" s="396">
        <f t="shared" si="1"/>
        <v>3.0209000000000006</v>
      </c>
      <c r="AB27" s="397">
        <f t="shared" si="2"/>
        <v>20</v>
      </c>
      <c r="AC27" s="398">
        <f t="shared" si="3"/>
        <v>1.7000000000000004</v>
      </c>
      <c r="AD27" s="398">
        <f t="shared" si="146"/>
        <v>51.254249857864735</v>
      </c>
      <c r="AE27" s="398">
        <f t="shared" si="4"/>
        <v>3.9923843714689076</v>
      </c>
      <c r="AF27" s="398">
        <f t="shared" si="5"/>
        <v>0</v>
      </c>
      <c r="AG27" s="398">
        <f t="shared" si="147"/>
        <v>1.1340637349815337</v>
      </c>
      <c r="AH27" s="399">
        <f t="shared" si="148"/>
        <v>1964.8130081300817</v>
      </c>
      <c r="AI27" s="367"/>
      <c r="AJ27" s="66"/>
      <c r="AK27" s="396">
        <f t="shared" si="6"/>
        <v>10</v>
      </c>
      <c r="AL27" s="397">
        <f t="shared" si="7"/>
        <v>5</v>
      </c>
      <c r="AM27" s="398">
        <f t="shared" si="8"/>
        <v>1.7000000000000004</v>
      </c>
      <c r="AN27" s="398">
        <f t="shared" si="149"/>
        <v>85.000000000000014</v>
      </c>
      <c r="AO27" s="398">
        <f t="shared" si="9"/>
        <v>10.000000000000002</v>
      </c>
      <c r="AP27" s="398">
        <f t="shared" si="10"/>
        <v>7.5</v>
      </c>
      <c r="AQ27" s="398">
        <f t="shared" si="150"/>
        <v>0.8500000000000002</v>
      </c>
      <c r="AR27" s="399">
        <f t="shared" si="151"/>
        <v>101.62601626016261</v>
      </c>
      <c r="AS27" s="66"/>
      <c r="AT27" s="66"/>
      <c r="AU27" s="396">
        <f t="shared" si="11"/>
        <v>10</v>
      </c>
      <c r="AV27" s="397">
        <f t="shared" si="12"/>
        <v>5</v>
      </c>
      <c r="AW27" s="398">
        <f t="shared" si="13"/>
        <v>1.7000000000000004</v>
      </c>
      <c r="AX27" s="398">
        <f t="shared" si="152"/>
        <v>85.000000000000014</v>
      </c>
      <c r="AY27" s="398">
        <f t="shared" si="14"/>
        <v>10.000000000000002</v>
      </c>
      <c r="AZ27" s="398">
        <f t="shared" si="15"/>
        <v>2.5000000000000004</v>
      </c>
      <c r="BA27" s="398">
        <f t="shared" si="153"/>
        <v>0.8500000000000002</v>
      </c>
      <c r="BB27" s="399">
        <f t="shared" si="154"/>
        <v>101.62601626016261</v>
      </c>
      <c r="BC27" s="66"/>
      <c r="BD27" s="66"/>
      <c r="BE27" s="396">
        <f t="shared" si="16"/>
        <v>10</v>
      </c>
      <c r="BF27" s="397">
        <f t="shared" si="17"/>
        <v>5</v>
      </c>
      <c r="BG27" s="398">
        <f t="shared" si="18"/>
        <v>1.7000000000000004</v>
      </c>
      <c r="BH27" s="398">
        <f t="shared" si="155"/>
        <v>85.000000000000014</v>
      </c>
      <c r="BI27" s="398">
        <f t="shared" si="19"/>
        <v>10.000000000000002</v>
      </c>
      <c r="BJ27" s="398">
        <f t="shared" si="20"/>
        <v>-2.5000000000000004</v>
      </c>
      <c r="BK27" s="398">
        <f t="shared" si="156"/>
        <v>0.8500000000000002</v>
      </c>
      <c r="BL27" s="399">
        <f t="shared" si="157"/>
        <v>101.62601626016261</v>
      </c>
      <c r="BM27" s="66"/>
      <c r="BN27" s="66"/>
      <c r="BO27" s="396">
        <f t="shared" si="21"/>
        <v>10</v>
      </c>
      <c r="BP27" s="397">
        <f t="shared" si="22"/>
        <v>5</v>
      </c>
      <c r="BQ27" s="398">
        <f t="shared" si="23"/>
        <v>1.7000000000000004</v>
      </c>
      <c r="BR27" s="398">
        <f t="shared" si="158"/>
        <v>85.000000000000014</v>
      </c>
      <c r="BS27" s="398">
        <f t="shared" si="24"/>
        <v>10.000000000000002</v>
      </c>
      <c r="BT27" s="398">
        <f t="shared" si="25"/>
        <v>-7.5</v>
      </c>
      <c r="BU27" s="398">
        <f t="shared" si="159"/>
        <v>0.8500000000000002</v>
      </c>
      <c r="BV27" s="399">
        <f t="shared" si="160"/>
        <v>101.62601626016261</v>
      </c>
      <c r="BW27" s="66"/>
      <c r="BX27" s="66"/>
      <c r="BY27" s="396">
        <f t="shared" si="26"/>
        <v>10</v>
      </c>
      <c r="BZ27" s="397">
        <f t="shared" si="27"/>
        <v>5</v>
      </c>
      <c r="CA27" s="398">
        <f t="shared" si="28"/>
        <v>1.7000000000000004</v>
      </c>
      <c r="CB27" s="398">
        <f t="shared" si="161"/>
        <v>85.000000000000014</v>
      </c>
      <c r="CC27" s="398">
        <f t="shared" si="29"/>
        <v>20.000000000000004</v>
      </c>
      <c r="CD27" s="398">
        <f t="shared" si="30"/>
        <v>7.5</v>
      </c>
      <c r="CE27" s="398">
        <f t="shared" si="162"/>
        <v>0.8500000000000002</v>
      </c>
      <c r="CF27" s="399">
        <f t="shared" si="163"/>
        <v>101.62601626016261</v>
      </c>
      <c r="CG27" s="66"/>
      <c r="CH27" s="66"/>
      <c r="CI27" s="396">
        <f t="shared" si="31"/>
        <v>10</v>
      </c>
      <c r="CJ27" s="397">
        <f t="shared" si="32"/>
        <v>5</v>
      </c>
      <c r="CK27" s="398">
        <f t="shared" si="33"/>
        <v>1.7000000000000004</v>
      </c>
      <c r="CL27" s="398">
        <f t="shared" si="164"/>
        <v>85.000000000000014</v>
      </c>
      <c r="CM27" s="398">
        <f t="shared" si="34"/>
        <v>20.000000000000004</v>
      </c>
      <c r="CN27" s="398">
        <f t="shared" si="35"/>
        <v>2.5000000000000004</v>
      </c>
      <c r="CO27" s="398">
        <f t="shared" si="165"/>
        <v>0.8500000000000002</v>
      </c>
      <c r="CP27" s="399">
        <f t="shared" si="166"/>
        <v>101.62601626016261</v>
      </c>
      <c r="CQ27" s="66"/>
      <c r="CS27" s="396">
        <f t="shared" si="36"/>
        <v>10</v>
      </c>
      <c r="CT27" s="397">
        <f t="shared" si="37"/>
        <v>5</v>
      </c>
      <c r="CU27" s="398">
        <f t="shared" si="38"/>
        <v>1.7000000000000004</v>
      </c>
      <c r="CV27" s="398">
        <f t="shared" si="167"/>
        <v>85.000000000000014</v>
      </c>
      <c r="CW27" s="398">
        <f t="shared" si="39"/>
        <v>20.000000000000004</v>
      </c>
      <c r="CX27" s="398">
        <f t="shared" si="40"/>
        <v>-2.5000000000000004</v>
      </c>
      <c r="CY27" s="398">
        <f t="shared" si="168"/>
        <v>0.8500000000000002</v>
      </c>
      <c r="CZ27" s="399">
        <f t="shared" si="169"/>
        <v>101.62601626016261</v>
      </c>
      <c r="DA27" s="66"/>
      <c r="DB27" s="66"/>
      <c r="DC27" s="396">
        <f t="shared" si="41"/>
        <v>10</v>
      </c>
      <c r="DD27" s="397">
        <f t="shared" si="42"/>
        <v>5</v>
      </c>
      <c r="DE27" s="398">
        <f t="shared" si="43"/>
        <v>1.7000000000000004</v>
      </c>
      <c r="DF27" s="398">
        <f t="shared" si="170"/>
        <v>85.000000000000014</v>
      </c>
      <c r="DG27" s="398">
        <f t="shared" si="44"/>
        <v>20.000000000000004</v>
      </c>
      <c r="DH27" s="398">
        <f t="shared" si="45"/>
        <v>-7.5</v>
      </c>
      <c r="DI27" s="398">
        <f t="shared" si="171"/>
        <v>0.8500000000000002</v>
      </c>
      <c r="DJ27" s="399">
        <f t="shared" si="172"/>
        <v>101.62601626016261</v>
      </c>
      <c r="DK27" s="66"/>
      <c r="DM27" s="396">
        <f t="shared" si="46"/>
        <v>10</v>
      </c>
      <c r="DN27" s="397">
        <f t="shared" si="47"/>
        <v>5</v>
      </c>
      <c r="DO27" s="398">
        <f t="shared" si="48"/>
        <v>1.7000000000000004</v>
      </c>
      <c r="DP27" s="398">
        <f t="shared" si="173"/>
        <v>85.000000000000014</v>
      </c>
      <c r="DQ27" s="398">
        <f t="shared" si="49"/>
        <v>30</v>
      </c>
      <c r="DR27" s="398">
        <f t="shared" si="50"/>
        <v>7.5</v>
      </c>
      <c r="DS27" s="398">
        <f t="shared" si="174"/>
        <v>0.8500000000000002</v>
      </c>
      <c r="DT27" s="399">
        <f t="shared" si="175"/>
        <v>101.62601626016261</v>
      </c>
      <c r="DU27" s="66"/>
      <c r="DV27" s="66"/>
      <c r="DW27" s="396">
        <f t="shared" si="51"/>
        <v>10</v>
      </c>
      <c r="DX27" s="397">
        <f t="shared" si="52"/>
        <v>5</v>
      </c>
      <c r="DY27" s="398">
        <f t="shared" si="53"/>
        <v>1.7000000000000004</v>
      </c>
      <c r="DZ27" s="398">
        <f t="shared" si="176"/>
        <v>85.000000000000014</v>
      </c>
      <c r="EA27" s="398">
        <f t="shared" si="54"/>
        <v>30</v>
      </c>
      <c r="EB27" s="398">
        <f t="shared" si="55"/>
        <v>2.5000000000000004</v>
      </c>
      <c r="EC27" s="398">
        <f t="shared" si="177"/>
        <v>0.8500000000000002</v>
      </c>
      <c r="ED27" s="399">
        <f t="shared" si="178"/>
        <v>101.62601626016261</v>
      </c>
      <c r="EE27" s="66"/>
      <c r="EF27" s="66"/>
      <c r="EG27" s="396">
        <f t="shared" si="56"/>
        <v>10</v>
      </c>
      <c r="EH27" s="397">
        <f t="shared" si="57"/>
        <v>5</v>
      </c>
      <c r="EI27" s="398">
        <f t="shared" si="58"/>
        <v>1.7000000000000004</v>
      </c>
      <c r="EJ27" s="398">
        <f t="shared" si="179"/>
        <v>85.000000000000014</v>
      </c>
      <c r="EK27" s="398">
        <f t="shared" si="59"/>
        <v>30</v>
      </c>
      <c r="EL27" s="398">
        <f t="shared" si="60"/>
        <v>-2.5000000000000004</v>
      </c>
      <c r="EM27" s="398">
        <f t="shared" si="180"/>
        <v>0.8500000000000002</v>
      </c>
      <c r="EN27" s="399">
        <f t="shared" si="181"/>
        <v>101.62601626016261</v>
      </c>
      <c r="EO27" s="66"/>
      <c r="EP27" s="66"/>
      <c r="EQ27" s="396">
        <f t="shared" si="61"/>
        <v>10</v>
      </c>
      <c r="ER27" s="397">
        <f t="shared" si="62"/>
        <v>5</v>
      </c>
      <c r="ES27" s="398">
        <f t="shared" si="63"/>
        <v>1.7000000000000004</v>
      </c>
      <c r="ET27" s="398">
        <f t="shared" si="182"/>
        <v>85.000000000000014</v>
      </c>
      <c r="EU27" s="398">
        <f t="shared" si="64"/>
        <v>30</v>
      </c>
      <c r="EV27" s="398">
        <f t="shared" si="65"/>
        <v>-7.5</v>
      </c>
      <c r="EW27" s="398">
        <f t="shared" si="183"/>
        <v>0.8500000000000002</v>
      </c>
      <c r="EX27" s="399">
        <f t="shared" si="184"/>
        <v>101.62601626016261</v>
      </c>
      <c r="EY27" s="66"/>
      <c r="EZ27" s="66"/>
      <c r="FA27" s="396">
        <f t="shared" si="66"/>
        <v>10</v>
      </c>
      <c r="FB27" s="397">
        <f t="shared" si="67"/>
        <v>5</v>
      </c>
      <c r="FC27" s="398">
        <f t="shared" si="68"/>
        <v>1.7000000000000004</v>
      </c>
      <c r="FD27" s="398">
        <f t="shared" si="185"/>
        <v>85.000000000000014</v>
      </c>
      <c r="FE27" s="398">
        <f t="shared" si="69"/>
        <v>40.000000000000007</v>
      </c>
      <c r="FF27" s="398">
        <f t="shared" si="70"/>
        <v>7.5</v>
      </c>
      <c r="FG27" s="398">
        <f t="shared" si="186"/>
        <v>0.8500000000000002</v>
      </c>
      <c r="FH27" s="399">
        <f t="shared" si="187"/>
        <v>101.62601626016261</v>
      </c>
      <c r="FI27" s="66"/>
      <c r="FJ27" s="66"/>
      <c r="FK27" s="396">
        <f t="shared" si="71"/>
        <v>10</v>
      </c>
      <c r="FL27" s="397">
        <f t="shared" si="72"/>
        <v>5</v>
      </c>
      <c r="FM27" s="398">
        <f t="shared" si="73"/>
        <v>1.7000000000000004</v>
      </c>
      <c r="FN27" s="398">
        <f t="shared" si="188"/>
        <v>85.000000000000014</v>
      </c>
      <c r="FO27" s="398">
        <f t="shared" si="74"/>
        <v>40.000000000000007</v>
      </c>
      <c r="FP27" s="398">
        <f t="shared" si="75"/>
        <v>2.5000000000000004</v>
      </c>
      <c r="FQ27" s="398">
        <f t="shared" si="189"/>
        <v>0.8500000000000002</v>
      </c>
      <c r="FR27" s="399">
        <f t="shared" si="190"/>
        <v>101.62601626016261</v>
      </c>
      <c r="FS27" s="66"/>
      <c r="FT27" s="66"/>
      <c r="FU27" s="396">
        <f t="shared" si="76"/>
        <v>10</v>
      </c>
      <c r="FV27" s="397">
        <f t="shared" si="77"/>
        <v>5</v>
      </c>
      <c r="FW27" s="398">
        <f t="shared" si="78"/>
        <v>1.7000000000000004</v>
      </c>
      <c r="FX27" s="398">
        <f t="shared" si="191"/>
        <v>85.000000000000014</v>
      </c>
      <c r="FY27" s="398">
        <f t="shared" si="79"/>
        <v>40.000000000000007</v>
      </c>
      <c r="FZ27" s="398">
        <f t="shared" si="80"/>
        <v>-2.5000000000000004</v>
      </c>
      <c r="GA27" s="398">
        <f t="shared" si="192"/>
        <v>0.8500000000000002</v>
      </c>
      <c r="GB27" s="399">
        <f t="shared" si="193"/>
        <v>101.62601626016261</v>
      </c>
      <c r="GC27" s="66"/>
      <c r="GD27" s="66"/>
      <c r="GE27" s="396">
        <f t="shared" si="81"/>
        <v>10</v>
      </c>
      <c r="GF27" s="397">
        <f t="shared" si="82"/>
        <v>5</v>
      </c>
      <c r="GG27" s="398">
        <f t="shared" si="83"/>
        <v>1.7000000000000004</v>
      </c>
      <c r="GH27" s="398">
        <f t="shared" si="194"/>
        <v>85.000000000000014</v>
      </c>
      <c r="GI27" s="398">
        <f t="shared" si="84"/>
        <v>40.000000000000007</v>
      </c>
      <c r="GJ27" s="398">
        <f t="shared" si="85"/>
        <v>-7.5</v>
      </c>
      <c r="GK27" s="398">
        <f t="shared" si="195"/>
        <v>0.8500000000000002</v>
      </c>
      <c r="GL27" s="399">
        <f t="shared" si="196"/>
        <v>101.62601626016261</v>
      </c>
      <c r="GM27" s="66"/>
      <c r="GN27" s="66"/>
      <c r="GO27" s="396">
        <f t="shared" si="86"/>
        <v>10</v>
      </c>
      <c r="GP27" s="397">
        <f t="shared" si="87"/>
        <v>5</v>
      </c>
      <c r="GQ27" s="398">
        <f t="shared" si="88"/>
        <v>1.7000000000000004</v>
      </c>
      <c r="GR27" s="398">
        <f t="shared" si="197"/>
        <v>85.000000000000014</v>
      </c>
      <c r="GS27" s="398">
        <f t="shared" si="89"/>
        <v>50</v>
      </c>
      <c r="GT27" s="398">
        <f t="shared" si="90"/>
        <v>7.5</v>
      </c>
      <c r="GU27" s="398">
        <f t="shared" si="198"/>
        <v>0.8500000000000002</v>
      </c>
      <c r="GV27" s="399">
        <f t="shared" si="199"/>
        <v>101.62601626016261</v>
      </c>
      <c r="GW27" s="66"/>
      <c r="GX27" s="66"/>
      <c r="GY27" s="396">
        <f t="shared" si="91"/>
        <v>10</v>
      </c>
      <c r="GZ27" s="397">
        <f t="shared" si="92"/>
        <v>5</v>
      </c>
      <c r="HA27" s="398">
        <f t="shared" si="93"/>
        <v>1.7000000000000004</v>
      </c>
      <c r="HB27" s="398">
        <f t="shared" si="200"/>
        <v>85.000000000000014</v>
      </c>
      <c r="HC27" s="398">
        <f t="shared" si="94"/>
        <v>50</v>
      </c>
      <c r="HD27" s="398">
        <f t="shared" si="95"/>
        <v>2.5000000000000004</v>
      </c>
      <c r="HE27" s="398">
        <f t="shared" si="201"/>
        <v>0.8500000000000002</v>
      </c>
      <c r="HF27" s="399">
        <f t="shared" si="202"/>
        <v>101.62601626016261</v>
      </c>
      <c r="HH27" s="66"/>
      <c r="HI27" s="396">
        <f t="shared" si="96"/>
        <v>10</v>
      </c>
      <c r="HJ27" s="397">
        <f t="shared" si="97"/>
        <v>5</v>
      </c>
      <c r="HK27" s="398">
        <f t="shared" si="98"/>
        <v>1.7000000000000004</v>
      </c>
      <c r="HL27" s="398">
        <f t="shared" si="203"/>
        <v>85.000000000000014</v>
      </c>
      <c r="HM27" s="398">
        <f t="shared" si="99"/>
        <v>50</v>
      </c>
      <c r="HN27" s="398">
        <f t="shared" si="100"/>
        <v>-2.5000000000000004</v>
      </c>
      <c r="HO27" s="398">
        <f t="shared" si="204"/>
        <v>0.8500000000000002</v>
      </c>
      <c r="HP27" s="399">
        <f t="shared" si="205"/>
        <v>101.62601626016261</v>
      </c>
      <c r="HQ27" s="66"/>
      <c r="HR27" s="66"/>
      <c r="HS27" s="396">
        <f t="shared" si="101"/>
        <v>10</v>
      </c>
      <c r="HT27" s="397">
        <f t="shared" si="102"/>
        <v>5</v>
      </c>
      <c r="HU27" s="398">
        <f t="shared" si="103"/>
        <v>1.7000000000000004</v>
      </c>
      <c r="HV27" s="398">
        <f t="shared" si="206"/>
        <v>85.000000000000014</v>
      </c>
      <c r="HW27" s="398">
        <f t="shared" si="104"/>
        <v>50</v>
      </c>
      <c r="HX27" s="398">
        <f t="shared" si="105"/>
        <v>-7.5</v>
      </c>
      <c r="HY27" s="398">
        <f t="shared" si="207"/>
        <v>0.8500000000000002</v>
      </c>
      <c r="HZ27" s="399">
        <f t="shared" si="208"/>
        <v>101.62601626016261</v>
      </c>
      <c r="IA27" s="66"/>
      <c r="IB27" s="66"/>
      <c r="IC27" s="396">
        <f t="shared" si="106"/>
        <v>3.0090000000000008</v>
      </c>
      <c r="ID27" s="397">
        <f t="shared" si="107"/>
        <v>20</v>
      </c>
      <c r="IE27" s="398">
        <f t="shared" si="108"/>
        <v>1.7000000000000004</v>
      </c>
      <c r="IF27" s="398">
        <f t="shared" si="209"/>
        <v>51.052347916950254</v>
      </c>
      <c r="IG27" s="398">
        <f t="shared" si="109"/>
        <v>56.00364640545866</v>
      </c>
      <c r="IH27" s="398">
        <f t="shared" si="110"/>
        <v>0</v>
      </c>
      <c r="II27" s="398">
        <f t="shared" si="210"/>
        <v>1.1340637349815337</v>
      </c>
      <c r="IJ27" s="399">
        <f t="shared" si="211"/>
        <v>1957.0731707317082</v>
      </c>
      <c r="IK27" s="66"/>
      <c r="IL27" s="66"/>
      <c r="IM27" s="396">
        <f t="shared" si="111"/>
        <v>11</v>
      </c>
      <c r="IN27" s="397">
        <f t="shared" si="112"/>
        <v>13.75</v>
      </c>
      <c r="IO27" s="398">
        <f t="shared" si="113"/>
        <v>1.7000000000000004</v>
      </c>
      <c r="IP27" s="398">
        <f t="shared" si="212"/>
        <v>232.52859441245002</v>
      </c>
      <c r="IQ27" s="398">
        <f t="shared" si="114"/>
        <v>67.628539995418549</v>
      </c>
      <c r="IR27" s="398">
        <f t="shared" si="115"/>
        <v>6.8749999999999991</v>
      </c>
      <c r="IS27" s="398">
        <f t="shared" si="213"/>
        <v>0.8975687859411865</v>
      </c>
      <c r="IT27" s="399">
        <f t="shared" si="214"/>
        <v>2324.8539126016262</v>
      </c>
      <c r="IU27" s="66"/>
      <c r="IV27" s="66"/>
      <c r="IW27" s="396">
        <f t="shared" si="116"/>
        <v>11</v>
      </c>
      <c r="IX27" s="397">
        <f t="shared" si="117"/>
        <v>13.75</v>
      </c>
      <c r="IY27" s="398">
        <f t="shared" si="118"/>
        <v>1.7000000000000004</v>
      </c>
      <c r="IZ27" s="398">
        <f t="shared" si="215"/>
        <v>232.52859441245002</v>
      </c>
      <c r="JA27" s="398">
        <f t="shared" si="119"/>
        <v>67.628539995418549</v>
      </c>
      <c r="JB27" s="398">
        <f t="shared" si="120"/>
        <v>-6.8749999999999991</v>
      </c>
      <c r="JC27" s="398">
        <f t="shared" si="216"/>
        <v>0.8975687859411865</v>
      </c>
      <c r="JD27" s="399">
        <f t="shared" si="217"/>
        <v>2324.8539126016262</v>
      </c>
      <c r="JE27" s="66"/>
      <c r="JF27" s="66"/>
      <c r="JG27" s="396">
        <f t="shared" si="121"/>
        <v>4.25</v>
      </c>
      <c r="JH27" s="397">
        <f t="shared" si="122"/>
        <v>6.875</v>
      </c>
      <c r="JI27" s="398">
        <f t="shared" si="123"/>
        <v>1.7000000000000004</v>
      </c>
      <c r="JJ27" s="398">
        <f t="shared" si="218"/>
        <v>24.787068639055995</v>
      </c>
      <c r="JK27" s="398">
        <f t="shared" si="124"/>
        <v>71.01757966872691</v>
      </c>
      <c r="JL27" s="398">
        <f t="shared" si="125"/>
        <v>10.312499999999998</v>
      </c>
      <c r="JM27" s="398">
        <f t="shared" si="219"/>
        <v>2.330063734981533</v>
      </c>
      <c r="JN27" s="399">
        <f t="shared" si="220"/>
        <v>112.27987646087399</v>
      </c>
      <c r="JO27" s="66"/>
      <c r="JP27" s="66"/>
      <c r="JQ27" s="396">
        <f t="shared" si="126"/>
        <v>4.25</v>
      </c>
      <c r="JR27" s="397">
        <f t="shared" si="127"/>
        <v>6.875</v>
      </c>
      <c r="JS27" s="398">
        <f t="shared" si="128"/>
        <v>1.7000000000000004</v>
      </c>
      <c r="JT27" s="398">
        <f t="shared" si="221"/>
        <v>24.787068639055995</v>
      </c>
      <c r="JU27" s="398">
        <f t="shared" si="129"/>
        <v>71.01757966872691</v>
      </c>
      <c r="JV27" s="398">
        <f t="shared" si="130"/>
        <v>3.4375000000000009</v>
      </c>
      <c r="JW27" s="398">
        <f t="shared" si="222"/>
        <v>2.330063734981533</v>
      </c>
      <c r="JX27" s="399">
        <f t="shared" si="223"/>
        <v>112.27987646087399</v>
      </c>
      <c r="JY27" s="66"/>
      <c r="JZ27" s="66"/>
      <c r="KA27" s="396">
        <f t="shared" si="131"/>
        <v>4.25</v>
      </c>
      <c r="KB27" s="397">
        <f t="shared" si="132"/>
        <v>6.875</v>
      </c>
      <c r="KC27" s="398">
        <f t="shared" si="133"/>
        <v>1.7000000000000004</v>
      </c>
      <c r="KD27" s="398">
        <f t="shared" si="224"/>
        <v>24.787068639055995</v>
      </c>
      <c r="KE27" s="398">
        <f t="shared" si="134"/>
        <v>71.01757966872691</v>
      </c>
      <c r="KF27" s="398">
        <f t="shared" si="135"/>
        <v>-3.4375000000000009</v>
      </c>
      <c r="KG27" s="398">
        <f t="shared" si="225"/>
        <v>2.330063734981533</v>
      </c>
      <c r="KH27" s="399">
        <f t="shared" si="226"/>
        <v>112.27987646087399</v>
      </c>
      <c r="KI27" s="66"/>
      <c r="KJ27" s="66"/>
      <c r="KK27" s="396">
        <f t="shared" si="136"/>
        <v>4.25</v>
      </c>
      <c r="KL27" s="397">
        <f t="shared" si="137"/>
        <v>6.875</v>
      </c>
      <c r="KM27" s="398">
        <f t="shared" si="138"/>
        <v>1.7000000000000004</v>
      </c>
      <c r="KN27" s="398">
        <f t="shared" si="227"/>
        <v>24.787068639055995</v>
      </c>
      <c r="KO27" s="398">
        <f t="shared" si="139"/>
        <v>71.01757966872691</v>
      </c>
      <c r="KP27" s="398">
        <f t="shared" si="140"/>
        <v>-10.312499999999998</v>
      </c>
      <c r="KQ27" s="398">
        <f t="shared" si="228"/>
        <v>2.330063734981533</v>
      </c>
      <c r="KR27" s="399">
        <f t="shared" si="229"/>
        <v>112.27987646087399</v>
      </c>
      <c r="KS27" s="66"/>
      <c r="KT27" s="66"/>
      <c r="KU27" s="396">
        <f t="shared" si="141"/>
        <v>5</v>
      </c>
      <c r="KV27" s="397">
        <f t="shared" si="142"/>
        <v>5</v>
      </c>
      <c r="KW27" s="398">
        <f t="shared" si="143"/>
        <v>1.7000000000000004</v>
      </c>
      <c r="KX27" s="398">
        <f t="shared" si="230"/>
        <v>42.500000000000007</v>
      </c>
      <c r="KY27" s="398">
        <f t="shared" si="144"/>
        <v>57.5</v>
      </c>
      <c r="KZ27" s="398">
        <f t="shared" si="145"/>
        <v>0</v>
      </c>
      <c r="LA27" s="398">
        <f t="shared" si="231"/>
        <v>0.8500000000000002</v>
      </c>
      <c r="LB27" s="399">
        <f t="shared" si="232"/>
        <v>50.813008130081307</v>
      </c>
      <c r="LC27" s="66"/>
    </row>
    <row r="28" spans="1:315" s="67" customFormat="1" ht="15" customHeight="1" x14ac:dyDescent="0.25">
      <c r="A28" s="481"/>
      <c r="B28" s="73">
        <f t="shared" si="0"/>
        <v>18</v>
      </c>
      <c r="C28" s="347" t="str">
        <f>INDEX($AA$1:$LC$6,C$5,C$6+Tbl_Ballasts[[#This Row],[Index]]*Ballasts_columns_step)</f>
        <v>WB2Cp</v>
      </c>
      <c r="D28" s="114" t="str">
        <f ca="1">IFERROR(OFFSET($AA$1,D$5,D$6+Tbl_Ballasts[[#This Row],[Index]]*Ballasts_columns_step),0)</f>
        <v>OK</v>
      </c>
      <c r="E28" s="348">
        <v>2</v>
      </c>
      <c r="F28" s="349">
        <v>2</v>
      </c>
      <c r="G28" s="763" t="str">
        <f>TEXT(Tbl_Ballasts[[#This Row],[Recap Row]],"00")&amp;TEXT(Tbl_Ballasts[[#This Row],[Recap Col]],"00")</f>
        <v>0202</v>
      </c>
      <c r="H28" s="760">
        <f>INDEX(Recap_Ballasts,Tbl_Ballasts[[#This Row],[Recap Row]],Tbl_Ballasts[[#This Row],[Recap Col]])</f>
        <v>0</v>
      </c>
      <c r="I28" s="493">
        <f ca="1">IFERROR(OFFSET($AA$1,I$5,I$6+Tbl_Ballasts[[#This Row],[Index]]*Ballasts_columns_step),0)</f>
        <v>0</v>
      </c>
      <c r="J28" s="103">
        <f ca="1">IFERROR(OFFSET($AA$1,J$5,J$6+Tbl_Ballasts[[#This Row],[Index]]*Ballasts_columns_step),0)</f>
        <v>0</v>
      </c>
      <c r="K28" s="427">
        <f ca="1">IFERROR(OFFSET($AA$1,K$5,K$6+Tbl_Ballasts[[#This Row],[Index]]*Ballasts_columns_step),0)</f>
        <v>50</v>
      </c>
      <c r="L28" s="428">
        <f ca="1">IFERROR(OFFSET($AA$1,L$5,L$6+Tbl_Ballasts[[#This Row],[Index]]*Ballasts_columns_step),0)</f>
        <v>2.5</v>
      </c>
      <c r="M28" s="429">
        <f ca="1">IFERROR(OFFSET($AA$1,M$5,M$6+Tbl_Ballasts[[#This Row],[Index]]*Ballasts_columns_step),0)</f>
        <v>0</v>
      </c>
      <c r="N28" s="438">
        <f ca="1">IFERROR(OFFSET($AA$1,N$5,N$6+Tbl_Ballasts[[#This Row],[Index]]*Ballasts_columns_step),0)</f>
        <v>10</v>
      </c>
      <c r="O28" s="437" t="str">
        <f ca="1">IF(Tbl_Ballasts[[#This Row],[Weight Fact]],Tbl_Ballasts[[#This Row],[COG x ]]-Tbl_Ballasts[[#This Row],[Distrib]]/2,"")</f>
        <v/>
      </c>
      <c r="P28" s="439" t="str">
        <f ca="1">IF(Tbl_Ballasts[[#This Row],[Weight Fact]],Tbl_Ballasts[[#This Row],[COG x ]]+Tbl_Ballasts[[#This Row],[Distrib]]/2,"")</f>
        <v/>
      </c>
      <c r="Q28" s="440" t="str">
        <f ca="1">IF(Tbl_Ballasts[[#This Row],[Weight Fact]],ROUND(Tbl_Ballasts[[#This Row],[AP from]]/FE_size,0),"")</f>
        <v/>
      </c>
      <c r="R28" s="441" t="str">
        <f ca="1">IF(Tbl_Ballasts[[#This Row],[Weight Fact]],ROUND(Tbl_Ballasts[[#This Row],[AP to]]/FE_size,0),"")</f>
        <v/>
      </c>
      <c r="S28" s="114" t="str">
        <f ca="1">IF(Tbl_Ballasts[[#This Row],[Weight Fact]]=0,"",IF(AND(Tbl_Ballasts[[#This Row],[COG x ]]&gt;=(Tbl_Ballasts[[#This Row],[L to]]-Tbl_Ballasts[[#This Row],[L from]])/3+Tbl_Ballasts[[#This Row],[L from]],Tbl_Ballasts[[#This Row],[COG x ]]&lt;=(Tbl_Ballasts[[#This Row],[L to]]-Tbl_Ballasts[[#This Row],[L from]])*2/3+Tbl_Ballasts[[#This Row],[L from]],Tbl_Ballasts[[#This Row],[L to]]&gt;Tbl_Ballasts[[#This Row],[L from]]),"OK","KO"))</f>
        <v/>
      </c>
      <c r="T28" s="442" t="str">
        <f ca="1">IF(Tbl_Ballasts[[#This Row],[Weight Fact]],IF(Tbl_Ballasts[[#This Row],[Fr from]]*FE_size&lt;0,0,Tbl_Ballasts[[#This Row],[Fr from]]*FE_size),"")</f>
        <v/>
      </c>
      <c r="U28" s="443" t="str">
        <f ca="1">IF(Tbl_Ballasts[[#This Row],[Weight Fact]],IF(Tbl_Ballasts[[#This Row],[Fr to]]*FE_size=Tbl_Ballasts[[#This Row],[L from]],Tbl_Ballasts[[#This Row],[L from]]+FE_size,IF(Tbl_Ballasts[[#This Row],[Fr to]]*FE_size&gt;Lpp,Lpp,Tbl_Ballasts[[#This Row],[Fr to]]*FE_size)),"")</f>
        <v/>
      </c>
      <c r="V28" s="444" t="str">
        <f ca="1">IFERROR(Tbl_Ballasts[[#This Row],[Weight Fact]]/(Tbl_Ballasts[[#This Row],[L to]]-Tbl_Ballasts[[#This Row],[L from]]),"")</f>
        <v/>
      </c>
      <c r="W28" s="145" t="str">
        <f ca="1">IF(Tbl_Ballasts[[#This Row],[Weight Fact]],Tbl_Ballasts[[#This Row],[Spread]]*(Tbl_Ballasts[[#This Row],[L to]]-Tbl_Ballasts[[#This Row],[L from]])-Tbl_Ballasts[[#This Row],[Weight Fact]],"")</f>
        <v/>
      </c>
      <c r="X28" s="141" t="str">
        <f ca="1">IF(AND(ISNUMBER(Tbl_Ballasts[[#This Row],[L from]]),ISNUMBER(Tbl_Ballasts[[#This Row],[L to]])),IF(AND(Tbl_Ballasts[[#This Row],[L from]]&gt;=0,Tbl_Ballasts[[#This Row],[L to]]&lt;=Lpp),"OK","KO"),"OK")</f>
        <v>OK</v>
      </c>
      <c r="Y28" s="481"/>
      <c r="Z28" s="413"/>
      <c r="AA28" s="396">
        <f t="shared" si="1"/>
        <v>3.1986000000000008</v>
      </c>
      <c r="AB28" s="397">
        <f t="shared" si="2"/>
        <v>20</v>
      </c>
      <c r="AC28" s="398">
        <f t="shared" si="3"/>
        <v>1.8000000000000005</v>
      </c>
      <c r="AD28" s="398">
        <f t="shared" si="146"/>
        <v>57.472903494626095</v>
      </c>
      <c r="AE28" s="398">
        <f t="shared" si="4"/>
        <v>3.9331700935447884</v>
      </c>
      <c r="AF28" s="398">
        <f t="shared" si="5"/>
        <v>0</v>
      </c>
      <c r="AG28" s="398">
        <f t="shared" si="147"/>
        <v>1.200708954929895</v>
      </c>
      <c r="AH28" s="399">
        <f t="shared" si="148"/>
        <v>2080.3902439024396</v>
      </c>
      <c r="AI28" s="367"/>
      <c r="AJ28" s="66"/>
      <c r="AK28" s="396">
        <f t="shared" si="6"/>
        <v>10</v>
      </c>
      <c r="AL28" s="397">
        <f t="shared" si="7"/>
        <v>5</v>
      </c>
      <c r="AM28" s="398">
        <f t="shared" si="8"/>
        <v>1.8000000000000005</v>
      </c>
      <c r="AN28" s="398">
        <f t="shared" si="149"/>
        <v>90.000000000000014</v>
      </c>
      <c r="AO28" s="398">
        <f t="shared" si="9"/>
        <v>10.000000000000002</v>
      </c>
      <c r="AP28" s="398">
        <f t="shared" si="10"/>
        <v>7.5</v>
      </c>
      <c r="AQ28" s="398">
        <f t="shared" si="150"/>
        <v>0.90000000000000013</v>
      </c>
      <c r="AR28" s="399">
        <f t="shared" si="151"/>
        <v>101.62601626016261</v>
      </c>
      <c r="AS28" s="66"/>
      <c r="AT28" s="66"/>
      <c r="AU28" s="396">
        <f t="shared" si="11"/>
        <v>10</v>
      </c>
      <c r="AV28" s="397">
        <f t="shared" si="12"/>
        <v>5</v>
      </c>
      <c r="AW28" s="398">
        <f t="shared" si="13"/>
        <v>1.8000000000000005</v>
      </c>
      <c r="AX28" s="398">
        <f t="shared" si="152"/>
        <v>90.000000000000014</v>
      </c>
      <c r="AY28" s="398">
        <f t="shared" si="14"/>
        <v>10.000000000000002</v>
      </c>
      <c r="AZ28" s="398">
        <f t="shared" si="15"/>
        <v>2.5000000000000004</v>
      </c>
      <c r="BA28" s="398">
        <f t="shared" si="153"/>
        <v>0.90000000000000013</v>
      </c>
      <c r="BB28" s="399">
        <f t="shared" si="154"/>
        <v>101.62601626016261</v>
      </c>
      <c r="BC28" s="66"/>
      <c r="BD28" s="66"/>
      <c r="BE28" s="396">
        <f t="shared" si="16"/>
        <v>10</v>
      </c>
      <c r="BF28" s="397">
        <f t="shared" si="17"/>
        <v>5</v>
      </c>
      <c r="BG28" s="398">
        <f t="shared" si="18"/>
        <v>1.8000000000000005</v>
      </c>
      <c r="BH28" s="398">
        <f t="shared" si="155"/>
        <v>90.000000000000014</v>
      </c>
      <c r="BI28" s="398">
        <f t="shared" si="19"/>
        <v>10.000000000000002</v>
      </c>
      <c r="BJ28" s="398">
        <f t="shared" si="20"/>
        <v>-2.5000000000000004</v>
      </c>
      <c r="BK28" s="398">
        <f t="shared" si="156"/>
        <v>0.90000000000000013</v>
      </c>
      <c r="BL28" s="399">
        <f t="shared" si="157"/>
        <v>101.62601626016261</v>
      </c>
      <c r="BM28" s="66"/>
      <c r="BN28" s="66"/>
      <c r="BO28" s="396">
        <f t="shared" si="21"/>
        <v>10</v>
      </c>
      <c r="BP28" s="397">
        <f t="shared" si="22"/>
        <v>5</v>
      </c>
      <c r="BQ28" s="398">
        <f t="shared" si="23"/>
        <v>1.8000000000000005</v>
      </c>
      <c r="BR28" s="398">
        <f t="shared" si="158"/>
        <v>90.000000000000014</v>
      </c>
      <c r="BS28" s="398">
        <f t="shared" si="24"/>
        <v>10.000000000000002</v>
      </c>
      <c r="BT28" s="398">
        <f t="shared" si="25"/>
        <v>-7.5</v>
      </c>
      <c r="BU28" s="398">
        <f t="shared" si="159"/>
        <v>0.90000000000000013</v>
      </c>
      <c r="BV28" s="399">
        <f t="shared" si="160"/>
        <v>101.62601626016261</v>
      </c>
      <c r="BW28" s="66"/>
      <c r="BX28" s="66"/>
      <c r="BY28" s="396">
        <f t="shared" si="26"/>
        <v>10</v>
      </c>
      <c r="BZ28" s="397">
        <f t="shared" si="27"/>
        <v>5</v>
      </c>
      <c r="CA28" s="398">
        <f t="shared" si="28"/>
        <v>1.8000000000000005</v>
      </c>
      <c r="CB28" s="398">
        <f t="shared" si="161"/>
        <v>90.000000000000014</v>
      </c>
      <c r="CC28" s="398">
        <f t="shared" si="29"/>
        <v>20.000000000000004</v>
      </c>
      <c r="CD28" s="398">
        <f t="shared" si="30"/>
        <v>7.5</v>
      </c>
      <c r="CE28" s="398">
        <f t="shared" si="162"/>
        <v>0.90000000000000013</v>
      </c>
      <c r="CF28" s="399">
        <f t="shared" si="163"/>
        <v>101.62601626016261</v>
      </c>
      <c r="CG28" s="66"/>
      <c r="CH28" s="66"/>
      <c r="CI28" s="396">
        <f t="shared" si="31"/>
        <v>10</v>
      </c>
      <c r="CJ28" s="397">
        <f t="shared" si="32"/>
        <v>5</v>
      </c>
      <c r="CK28" s="398">
        <f t="shared" si="33"/>
        <v>1.8000000000000005</v>
      </c>
      <c r="CL28" s="398">
        <f t="shared" si="164"/>
        <v>90.000000000000014</v>
      </c>
      <c r="CM28" s="398">
        <f t="shared" si="34"/>
        <v>20.000000000000004</v>
      </c>
      <c r="CN28" s="398">
        <f t="shared" si="35"/>
        <v>2.5000000000000004</v>
      </c>
      <c r="CO28" s="398">
        <f t="shared" si="165"/>
        <v>0.90000000000000013</v>
      </c>
      <c r="CP28" s="399">
        <f t="shared" si="166"/>
        <v>101.62601626016261</v>
      </c>
      <c r="CQ28" s="66"/>
      <c r="CS28" s="396">
        <f t="shared" si="36"/>
        <v>10</v>
      </c>
      <c r="CT28" s="397">
        <f t="shared" si="37"/>
        <v>5</v>
      </c>
      <c r="CU28" s="398">
        <f t="shared" si="38"/>
        <v>1.8000000000000005</v>
      </c>
      <c r="CV28" s="398">
        <f t="shared" si="167"/>
        <v>90.000000000000014</v>
      </c>
      <c r="CW28" s="398">
        <f t="shared" si="39"/>
        <v>20.000000000000004</v>
      </c>
      <c r="CX28" s="398">
        <f t="shared" si="40"/>
        <v>-2.5000000000000004</v>
      </c>
      <c r="CY28" s="398">
        <f t="shared" si="168"/>
        <v>0.90000000000000013</v>
      </c>
      <c r="CZ28" s="399">
        <f t="shared" si="169"/>
        <v>101.62601626016261</v>
      </c>
      <c r="DA28" s="66"/>
      <c r="DB28" s="66"/>
      <c r="DC28" s="396">
        <f t="shared" si="41"/>
        <v>10</v>
      </c>
      <c r="DD28" s="397">
        <f t="shared" si="42"/>
        <v>5</v>
      </c>
      <c r="DE28" s="398">
        <f t="shared" si="43"/>
        <v>1.8000000000000005</v>
      </c>
      <c r="DF28" s="398">
        <f t="shared" si="170"/>
        <v>90.000000000000014</v>
      </c>
      <c r="DG28" s="398">
        <f t="shared" si="44"/>
        <v>20.000000000000004</v>
      </c>
      <c r="DH28" s="398">
        <f t="shared" si="45"/>
        <v>-7.5</v>
      </c>
      <c r="DI28" s="398">
        <f t="shared" si="171"/>
        <v>0.90000000000000013</v>
      </c>
      <c r="DJ28" s="399">
        <f t="shared" si="172"/>
        <v>101.62601626016261</v>
      </c>
      <c r="DK28" s="66"/>
      <c r="DM28" s="396">
        <f t="shared" si="46"/>
        <v>10</v>
      </c>
      <c r="DN28" s="397">
        <f t="shared" si="47"/>
        <v>5</v>
      </c>
      <c r="DO28" s="398">
        <f t="shared" si="48"/>
        <v>1.8000000000000005</v>
      </c>
      <c r="DP28" s="398">
        <f t="shared" si="173"/>
        <v>90.000000000000014</v>
      </c>
      <c r="DQ28" s="398">
        <f t="shared" si="49"/>
        <v>30</v>
      </c>
      <c r="DR28" s="398">
        <f t="shared" si="50"/>
        <v>7.5</v>
      </c>
      <c r="DS28" s="398">
        <f t="shared" si="174"/>
        <v>0.90000000000000013</v>
      </c>
      <c r="DT28" s="399">
        <f t="shared" si="175"/>
        <v>101.62601626016261</v>
      </c>
      <c r="DU28" s="66"/>
      <c r="DV28" s="66"/>
      <c r="DW28" s="396">
        <f t="shared" si="51"/>
        <v>10</v>
      </c>
      <c r="DX28" s="397">
        <f t="shared" si="52"/>
        <v>5</v>
      </c>
      <c r="DY28" s="398">
        <f t="shared" si="53"/>
        <v>1.8000000000000005</v>
      </c>
      <c r="DZ28" s="398">
        <f t="shared" si="176"/>
        <v>90.000000000000014</v>
      </c>
      <c r="EA28" s="398">
        <f t="shared" si="54"/>
        <v>30</v>
      </c>
      <c r="EB28" s="398">
        <f t="shared" si="55"/>
        <v>2.5000000000000004</v>
      </c>
      <c r="EC28" s="398">
        <f t="shared" si="177"/>
        <v>0.90000000000000013</v>
      </c>
      <c r="ED28" s="399">
        <f t="shared" si="178"/>
        <v>101.62601626016261</v>
      </c>
      <c r="EE28" s="66"/>
      <c r="EF28" s="66"/>
      <c r="EG28" s="396">
        <f t="shared" si="56"/>
        <v>10</v>
      </c>
      <c r="EH28" s="397">
        <f t="shared" si="57"/>
        <v>5</v>
      </c>
      <c r="EI28" s="398">
        <f t="shared" si="58"/>
        <v>1.8000000000000005</v>
      </c>
      <c r="EJ28" s="398">
        <f t="shared" si="179"/>
        <v>90.000000000000014</v>
      </c>
      <c r="EK28" s="398">
        <f t="shared" si="59"/>
        <v>30</v>
      </c>
      <c r="EL28" s="398">
        <f t="shared" si="60"/>
        <v>-2.5000000000000004</v>
      </c>
      <c r="EM28" s="398">
        <f t="shared" si="180"/>
        <v>0.90000000000000013</v>
      </c>
      <c r="EN28" s="399">
        <f t="shared" si="181"/>
        <v>101.62601626016261</v>
      </c>
      <c r="EO28" s="66"/>
      <c r="EP28" s="66"/>
      <c r="EQ28" s="396">
        <f t="shared" si="61"/>
        <v>10</v>
      </c>
      <c r="ER28" s="397">
        <f t="shared" si="62"/>
        <v>5</v>
      </c>
      <c r="ES28" s="398">
        <f t="shared" si="63"/>
        <v>1.8000000000000005</v>
      </c>
      <c r="ET28" s="398">
        <f t="shared" si="182"/>
        <v>90.000000000000014</v>
      </c>
      <c r="EU28" s="398">
        <f t="shared" si="64"/>
        <v>30</v>
      </c>
      <c r="EV28" s="398">
        <f t="shared" si="65"/>
        <v>-7.5</v>
      </c>
      <c r="EW28" s="398">
        <f t="shared" si="183"/>
        <v>0.90000000000000013</v>
      </c>
      <c r="EX28" s="399">
        <f t="shared" si="184"/>
        <v>101.62601626016261</v>
      </c>
      <c r="EY28" s="66"/>
      <c r="EZ28" s="66"/>
      <c r="FA28" s="396">
        <f t="shared" si="66"/>
        <v>10</v>
      </c>
      <c r="FB28" s="397">
        <f t="shared" si="67"/>
        <v>5</v>
      </c>
      <c r="FC28" s="398">
        <f t="shared" si="68"/>
        <v>1.8000000000000005</v>
      </c>
      <c r="FD28" s="398">
        <f t="shared" si="185"/>
        <v>90.000000000000014</v>
      </c>
      <c r="FE28" s="398">
        <f t="shared" si="69"/>
        <v>40.000000000000007</v>
      </c>
      <c r="FF28" s="398">
        <f t="shared" si="70"/>
        <v>7.5</v>
      </c>
      <c r="FG28" s="398">
        <f t="shared" si="186"/>
        <v>0.90000000000000013</v>
      </c>
      <c r="FH28" s="399">
        <f t="shared" si="187"/>
        <v>101.62601626016261</v>
      </c>
      <c r="FI28" s="66"/>
      <c r="FJ28" s="66"/>
      <c r="FK28" s="396">
        <f t="shared" si="71"/>
        <v>10</v>
      </c>
      <c r="FL28" s="397">
        <f t="shared" si="72"/>
        <v>5</v>
      </c>
      <c r="FM28" s="398">
        <f t="shared" si="73"/>
        <v>1.8000000000000005</v>
      </c>
      <c r="FN28" s="398">
        <f t="shared" si="188"/>
        <v>90.000000000000014</v>
      </c>
      <c r="FO28" s="398">
        <f t="shared" si="74"/>
        <v>40.000000000000007</v>
      </c>
      <c r="FP28" s="398">
        <f t="shared" si="75"/>
        <v>2.5000000000000004</v>
      </c>
      <c r="FQ28" s="398">
        <f t="shared" si="189"/>
        <v>0.90000000000000013</v>
      </c>
      <c r="FR28" s="399">
        <f t="shared" si="190"/>
        <v>101.62601626016261</v>
      </c>
      <c r="FS28" s="66"/>
      <c r="FT28" s="66"/>
      <c r="FU28" s="396">
        <f t="shared" si="76"/>
        <v>10</v>
      </c>
      <c r="FV28" s="397">
        <f t="shared" si="77"/>
        <v>5</v>
      </c>
      <c r="FW28" s="398">
        <f t="shared" si="78"/>
        <v>1.8000000000000005</v>
      </c>
      <c r="FX28" s="398">
        <f t="shared" si="191"/>
        <v>90.000000000000014</v>
      </c>
      <c r="FY28" s="398">
        <f t="shared" si="79"/>
        <v>40.000000000000007</v>
      </c>
      <c r="FZ28" s="398">
        <f t="shared" si="80"/>
        <v>-2.5000000000000004</v>
      </c>
      <c r="GA28" s="398">
        <f t="shared" si="192"/>
        <v>0.90000000000000013</v>
      </c>
      <c r="GB28" s="399">
        <f t="shared" si="193"/>
        <v>101.62601626016261</v>
      </c>
      <c r="GC28" s="66"/>
      <c r="GD28" s="66"/>
      <c r="GE28" s="396">
        <f t="shared" si="81"/>
        <v>10</v>
      </c>
      <c r="GF28" s="397">
        <f t="shared" si="82"/>
        <v>5</v>
      </c>
      <c r="GG28" s="398">
        <f t="shared" si="83"/>
        <v>1.8000000000000005</v>
      </c>
      <c r="GH28" s="398">
        <f t="shared" si="194"/>
        <v>90.000000000000014</v>
      </c>
      <c r="GI28" s="398">
        <f t="shared" si="84"/>
        <v>40.000000000000007</v>
      </c>
      <c r="GJ28" s="398">
        <f t="shared" si="85"/>
        <v>-7.5</v>
      </c>
      <c r="GK28" s="398">
        <f t="shared" si="195"/>
        <v>0.90000000000000013</v>
      </c>
      <c r="GL28" s="399">
        <f t="shared" si="196"/>
        <v>101.62601626016261</v>
      </c>
      <c r="GM28" s="66"/>
      <c r="GN28" s="66"/>
      <c r="GO28" s="396">
        <f t="shared" si="86"/>
        <v>10</v>
      </c>
      <c r="GP28" s="397">
        <f t="shared" si="87"/>
        <v>5</v>
      </c>
      <c r="GQ28" s="398">
        <f t="shared" si="88"/>
        <v>1.8000000000000005</v>
      </c>
      <c r="GR28" s="398">
        <f t="shared" si="197"/>
        <v>90.000000000000014</v>
      </c>
      <c r="GS28" s="398">
        <f t="shared" si="89"/>
        <v>50</v>
      </c>
      <c r="GT28" s="398">
        <f t="shared" si="90"/>
        <v>7.5</v>
      </c>
      <c r="GU28" s="398">
        <f t="shared" si="198"/>
        <v>0.90000000000000013</v>
      </c>
      <c r="GV28" s="399">
        <f t="shared" si="199"/>
        <v>101.62601626016261</v>
      </c>
      <c r="GW28" s="66"/>
      <c r="GX28" s="66"/>
      <c r="GY28" s="396">
        <f t="shared" si="91"/>
        <v>10</v>
      </c>
      <c r="GZ28" s="397">
        <f t="shared" si="92"/>
        <v>5</v>
      </c>
      <c r="HA28" s="398">
        <f t="shared" si="93"/>
        <v>1.8000000000000005</v>
      </c>
      <c r="HB28" s="398">
        <f t="shared" si="200"/>
        <v>90.000000000000014</v>
      </c>
      <c r="HC28" s="398">
        <f t="shared" si="94"/>
        <v>50</v>
      </c>
      <c r="HD28" s="398">
        <f t="shared" si="95"/>
        <v>2.5000000000000004</v>
      </c>
      <c r="HE28" s="398">
        <f t="shared" si="201"/>
        <v>0.90000000000000013</v>
      </c>
      <c r="HF28" s="399">
        <f t="shared" si="202"/>
        <v>101.62601626016261</v>
      </c>
      <c r="HH28" s="66"/>
      <c r="HI28" s="396">
        <f t="shared" si="96"/>
        <v>10</v>
      </c>
      <c r="HJ28" s="397">
        <f t="shared" si="97"/>
        <v>5</v>
      </c>
      <c r="HK28" s="398">
        <f t="shared" si="98"/>
        <v>1.8000000000000005</v>
      </c>
      <c r="HL28" s="398">
        <f t="shared" si="203"/>
        <v>90.000000000000014</v>
      </c>
      <c r="HM28" s="398">
        <f t="shared" si="99"/>
        <v>50</v>
      </c>
      <c r="HN28" s="398">
        <f t="shared" si="100"/>
        <v>-2.5000000000000004</v>
      </c>
      <c r="HO28" s="398">
        <f t="shared" si="204"/>
        <v>0.90000000000000013</v>
      </c>
      <c r="HP28" s="399">
        <f t="shared" si="205"/>
        <v>101.62601626016261</v>
      </c>
      <c r="HQ28" s="66"/>
      <c r="HR28" s="66"/>
      <c r="HS28" s="396">
        <f t="shared" si="101"/>
        <v>10</v>
      </c>
      <c r="HT28" s="397">
        <f t="shared" si="102"/>
        <v>5</v>
      </c>
      <c r="HU28" s="398">
        <f t="shared" si="103"/>
        <v>1.8000000000000005</v>
      </c>
      <c r="HV28" s="398">
        <f t="shared" si="206"/>
        <v>90.000000000000014</v>
      </c>
      <c r="HW28" s="398">
        <f t="shared" si="104"/>
        <v>50</v>
      </c>
      <c r="HX28" s="398">
        <f t="shared" si="105"/>
        <v>-7.5</v>
      </c>
      <c r="HY28" s="398">
        <f t="shared" si="207"/>
        <v>0.90000000000000013</v>
      </c>
      <c r="HZ28" s="399">
        <f t="shared" si="208"/>
        <v>101.62601626016261</v>
      </c>
      <c r="IA28" s="66"/>
      <c r="IB28" s="66"/>
      <c r="IC28" s="396">
        <f t="shared" si="106"/>
        <v>3.1860000000000008</v>
      </c>
      <c r="ID28" s="397">
        <f t="shared" si="107"/>
        <v>20</v>
      </c>
      <c r="IE28" s="398">
        <f t="shared" si="108"/>
        <v>1.8000000000000005</v>
      </c>
      <c r="IF28" s="398">
        <f t="shared" si="209"/>
        <v>57.2465048877255</v>
      </c>
      <c r="IG28" s="398">
        <f t="shared" si="109"/>
        <v>56.062627425112957</v>
      </c>
      <c r="IH28" s="398">
        <f t="shared" si="110"/>
        <v>0</v>
      </c>
      <c r="II28" s="398">
        <f t="shared" si="210"/>
        <v>1.2007089549298948</v>
      </c>
      <c r="IJ28" s="399">
        <f t="shared" si="211"/>
        <v>2072.1951219512202</v>
      </c>
      <c r="IK28" s="66"/>
      <c r="IL28" s="66"/>
      <c r="IM28" s="396">
        <f t="shared" si="111"/>
        <v>11</v>
      </c>
      <c r="IN28" s="397">
        <f t="shared" si="112"/>
        <v>13.75</v>
      </c>
      <c r="IO28" s="398">
        <f t="shared" si="113"/>
        <v>1.8000000000000005</v>
      </c>
      <c r="IP28" s="398">
        <f t="shared" si="212"/>
        <v>247.65359441245002</v>
      </c>
      <c r="IQ28" s="398">
        <f t="shared" si="114"/>
        <v>67.657638937375722</v>
      </c>
      <c r="IR28" s="398">
        <f t="shared" si="115"/>
        <v>6.8749999999999991</v>
      </c>
      <c r="IS28" s="398">
        <f t="shared" si="213"/>
        <v>0.94962949656090445</v>
      </c>
      <c r="IT28" s="399">
        <f t="shared" si="214"/>
        <v>2324.8539126016262</v>
      </c>
      <c r="IU28" s="66"/>
      <c r="IV28" s="66"/>
      <c r="IW28" s="396">
        <f t="shared" si="116"/>
        <v>11</v>
      </c>
      <c r="IX28" s="397">
        <f t="shared" si="117"/>
        <v>13.75</v>
      </c>
      <c r="IY28" s="398">
        <f t="shared" si="118"/>
        <v>1.8000000000000005</v>
      </c>
      <c r="IZ28" s="398">
        <f t="shared" si="215"/>
        <v>247.65359441245002</v>
      </c>
      <c r="JA28" s="398">
        <f t="shared" si="119"/>
        <v>67.657638937375722</v>
      </c>
      <c r="JB28" s="398">
        <f t="shared" si="120"/>
        <v>-6.8749999999999991</v>
      </c>
      <c r="JC28" s="398">
        <f t="shared" si="216"/>
        <v>0.94962949656090445</v>
      </c>
      <c r="JD28" s="399">
        <f t="shared" si="217"/>
        <v>2324.8539126016262</v>
      </c>
      <c r="JE28" s="66"/>
      <c r="JF28" s="66"/>
      <c r="JG28" s="396">
        <f t="shared" si="121"/>
        <v>4.5</v>
      </c>
      <c r="JH28" s="397">
        <f t="shared" si="122"/>
        <v>6.875</v>
      </c>
      <c r="JI28" s="398">
        <f t="shared" si="123"/>
        <v>1.8000000000000005</v>
      </c>
      <c r="JJ28" s="398">
        <f t="shared" si="218"/>
        <v>27.794471829315867</v>
      </c>
      <c r="JK28" s="398">
        <f t="shared" si="124"/>
        <v>71.100886193662376</v>
      </c>
      <c r="JL28" s="398">
        <f t="shared" si="125"/>
        <v>10.312499999999998</v>
      </c>
      <c r="JM28" s="398">
        <f t="shared" si="219"/>
        <v>2.3967089549298941</v>
      </c>
      <c r="JN28" s="399">
        <f t="shared" si="220"/>
        <v>118.88457507621952</v>
      </c>
      <c r="JO28" s="66"/>
      <c r="JP28" s="66"/>
      <c r="JQ28" s="396">
        <f t="shared" si="126"/>
        <v>4.5</v>
      </c>
      <c r="JR28" s="397">
        <f t="shared" si="127"/>
        <v>6.875</v>
      </c>
      <c r="JS28" s="398">
        <f t="shared" si="128"/>
        <v>1.8000000000000005</v>
      </c>
      <c r="JT28" s="398">
        <f t="shared" si="221"/>
        <v>27.794471829315867</v>
      </c>
      <c r="JU28" s="398">
        <f t="shared" si="129"/>
        <v>71.100886193662376</v>
      </c>
      <c r="JV28" s="398">
        <f t="shared" si="130"/>
        <v>3.4375000000000009</v>
      </c>
      <c r="JW28" s="398">
        <f t="shared" si="222"/>
        <v>2.3967089549298941</v>
      </c>
      <c r="JX28" s="399">
        <f t="shared" si="223"/>
        <v>118.88457507621952</v>
      </c>
      <c r="JY28" s="66"/>
      <c r="JZ28" s="66"/>
      <c r="KA28" s="396">
        <f t="shared" si="131"/>
        <v>4.5</v>
      </c>
      <c r="KB28" s="397">
        <f t="shared" si="132"/>
        <v>6.875</v>
      </c>
      <c r="KC28" s="398">
        <f t="shared" si="133"/>
        <v>1.8000000000000005</v>
      </c>
      <c r="KD28" s="398">
        <f t="shared" si="224"/>
        <v>27.794471829315867</v>
      </c>
      <c r="KE28" s="398">
        <f t="shared" si="134"/>
        <v>71.100886193662376</v>
      </c>
      <c r="KF28" s="398">
        <f t="shared" si="135"/>
        <v>-3.4375000000000009</v>
      </c>
      <c r="KG28" s="398">
        <f t="shared" si="225"/>
        <v>2.3967089549298941</v>
      </c>
      <c r="KH28" s="399">
        <f t="shared" si="226"/>
        <v>118.88457507621952</v>
      </c>
      <c r="KI28" s="66"/>
      <c r="KJ28" s="66"/>
      <c r="KK28" s="396">
        <f t="shared" si="136"/>
        <v>4.5</v>
      </c>
      <c r="KL28" s="397">
        <f t="shared" si="137"/>
        <v>6.875</v>
      </c>
      <c r="KM28" s="398">
        <f t="shared" si="138"/>
        <v>1.8000000000000005</v>
      </c>
      <c r="KN28" s="398">
        <f t="shared" si="227"/>
        <v>27.794471829315867</v>
      </c>
      <c r="KO28" s="398">
        <f t="shared" si="139"/>
        <v>71.100886193662376</v>
      </c>
      <c r="KP28" s="398">
        <f t="shared" si="140"/>
        <v>-10.312499999999998</v>
      </c>
      <c r="KQ28" s="398">
        <f t="shared" si="228"/>
        <v>2.3967089549298941</v>
      </c>
      <c r="KR28" s="399">
        <f t="shared" si="229"/>
        <v>118.88457507621952</v>
      </c>
      <c r="KS28" s="66"/>
      <c r="KT28" s="66"/>
      <c r="KU28" s="396">
        <f t="shared" si="141"/>
        <v>5</v>
      </c>
      <c r="KV28" s="397">
        <f t="shared" si="142"/>
        <v>5</v>
      </c>
      <c r="KW28" s="398">
        <f t="shared" si="143"/>
        <v>1.8000000000000005</v>
      </c>
      <c r="KX28" s="398">
        <f t="shared" si="230"/>
        <v>45.000000000000007</v>
      </c>
      <c r="KY28" s="398">
        <f t="shared" si="144"/>
        <v>57.5</v>
      </c>
      <c r="KZ28" s="398">
        <f t="shared" si="145"/>
        <v>0</v>
      </c>
      <c r="LA28" s="398">
        <f t="shared" si="231"/>
        <v>0.90000000000000013</v>
      </c>
      <c r="LB28" s="399">
        <f t="shared" si="232"/>
        <v>50.813008130081307</v>
      </c>
      <c r="LC28" s="66"/>
    </row>
    <row r="29" spans="1:315" s="67" customFormat="1" ht="15" customHeight="1" x14ac:dyDescent="0.25">
      <c r="A29" s="481"/>
      <c r="B29" s="73">
        <f t="shared" si="0"/>
        <v>19</v>
      </c>
      <c r="C29" s="347" t="str">
        <f>INDEX($AA$1:$LC$6,C$5,C$6+Tbl_Ballasts[[#This Row],[Index]]*Ballasts_columns_step)</f>
        <v>WB2Cs</v>
      </c>
      <c r="D29" s="114" t="str">
        <f ca="1">IFERROR(OFFSET($AA$1,D$5,D$6+Tbl_Ballasts[[#This Row],[Index]]*Ballasts_columns_step),0)</f>
        <v>OK</v>
      </c>
      <c r="E29" s="348">
        <v>2</v>
      </c>
      <c r="F29" s="349">
        <v>3</v>
      </c>
      <c r="G29" s="763" t="str">
        <f>TEXT(Tbl_Ballasts[[#This Row],[Recap Row]],"00")&amp;TEXT(Tbl_Ballasts[[#This Row],[Recap Col]],"00")</f>
        <v>0203</v>
      </c>
      <c r="H29" s="760">
        <f>INDEX(Recap_Ballasts,Tbl_Ballasts[[#This Row],[Recap Row]],Tbl_Ballasts[[#This Row],[Recap Col]])</f>
        <v>0</v>
      </c>
      <c r="I29" s="493">
        <f ca="1">IFERROR(OFFSET($AA$1,I$5,I$6+Tbl_Ballasts[[#This Row],[Index]]*Ballasts_columns_step),0)</f>
        <v>0</v>
      </c>
      <c r="J29" s="103">
        <f ca="1">IFERROR(OFFSET($AA$1,J$5,J$6+Tbl_Ballasts[[#This Row],[Index]]*Ballasts_columns_step),0)</f>
        <v>0</v>
      </c>
      <c r="K29" s="427">
        <f ca="1">IFERROR(OFFSET($AA$1,K$5,K$6+Tbl_Ballasts[[#This Row],[Index]]*Ballasts_columns_step),0)</f>
        <v>50</v>
      </c>
      <c r="L29" s="428">
        <f ca="1">IFERROR(OFFSET($AA$1,L$5,L$6+Tbl_Ballasts[[#This Row],[Index]]*Ballasts_columns_step),0)</f>
        <v>-2.5</v>
      </c>
      <c r="M29" s="429">
        <f ca="1">IFERROR(OFFSET($AA$1,M$5,M$6+Tbl_Ballasts[[#This Row],[Index]]*Ballasts_columns_step),0)</f>
        <v>0</v>
      </c>
      <c r="N29" s="438">
        <f ca="1">IFERROR(OFFSET($AA$1,N$5,N$6+Tbl_Ballasts[[#This Row],[Index]]*Ballasts_columns_step),0)</f>
        <v>10</v>
      </c>
      <c r="O29" s="437" t="str">
        <f ca="1">IF(Tbl_Ballasts[[#This Row],[Weight Fact]],Tbl_Ballasts[[#This Row],[COG x ]]-Tbl_Ballasts[[#This Row],[Distrib]]/2,"")</f>
        <v/>
      </c>
      <c r="P29" s="439" t="str">
        <f ca="1">IF(Tbl_Ballasts[[#This Row],[Weight Fact]],Tbl_Ballasts[[#This Row],[COG x ]]+Tbl_Ballasts[[#This Row],[Distrib]]/2,"")</f>
        <v/>
      </c>
      <c r="Q29" s="440" t="str">
        <f ca="1">IF(Tbl_Ballasts[[#This Row],[Weight Fact]],ROUND(Tbl_Ballasts[[#This Row],[AP from]]/FE_size,0),"")</f>
        <v/>
      </c>
      <c r="R29" s="441" t="str">
        <f ca="1">IF(Tbl_Ballasts[[#This Row],[Weight Fact]],ROUND(Tbl_Ballasts[[#This Row],[AP to]]/FE_size,0),"")</f>
        <v/>
      </c>
      <c r="S29" s="114" t="str">
        <f ca="1">IF(Tbl_Ballasts[[#This Row],[Weight Fact]]=0,"",IF(AND(Tbl_Ballasts[[#This Row],[COG x ]]&gt;=(Tbl_Ballasts[[#This Row],[L to]]-Tbl_Ballasts[[#This Row],[L from]])/3+Tbl_Ballasts[[#This Row],[L from]],Tbl_Ballasts[[#This Row],[COG x ]]&lt;=(Tbl_Ballasts[[#This Row],[L to]]-Tbl_Ballasts[[#This Row],[L from]])*2/3+Tbl_Ballasts[[#This Row],[L from]],Tbl_Ballasts[[#This Row],[L to]]&gt;Tbl_Ballasts[[#This Row],[L from]]),"OK","KO"))</f>
        <v/>
      </c>
      <c r="T29" s="442" t="str">
        <f ca="1">IF(Tbl_Ballasts[[#This Row],[Weight Fact]],IF(Tbl_Ballasts[[#This Row],[Fr from]]*FE_size&lt;0,0,Tbl_Ballasts[[#This Row],[Fr from]]*FE_size),"")</f>
        <v/>
      </c>
      <c r="U29" s="443" t="str">
        <f ca="1">IF(Tbl_Ballasts[[#This Row],[Weight Fact]],IF(Tbl_Ballasts[[#This Row],[Fr to]]*FE_size=Tbl_Ballasts[[#This Row],[L from]],Tbl_Ballasts[[#This Row],[L from]]+FE_size,IF(Tbl_Ballasts[[#This Row],[Fr to]]*FE_size&gt;Lpp,Lpp,Tbl_Ballasts[[#This Row],[Fr to]]*FE_size)),"")</f>
        <v/>
      </c>
      <c r="V29" s="444" t="str">
        <f ca="1">IFERROR(Tbl_Ballasts[[#This Row],[Weight Fact]]/(Tbl_Ballasts[[#This Row],[L to]]-Tbl_Ballasts[[#This Row],[L from]]),"")</f>
        <v/>
      </c>
      <c r="W29" s="145" t="str">
        <f ca="1">IF(Tbl_Ballasts[[#This Row],[Weight Fact]],Tbl_Ballasts[[#This Row],[Spread]]*(Tbl_Ballasts[[#This Row],[L to]]-Tbl_Ballasts[[#This Row],[L from]])-Tbl_Ballasts[[#This Row],[Weight Fact]],"")</f>
        <v/>
      </c>
      <c r="X29" s="141" t="str">
        <f ca="1">IF(AND(ISNUMBER(Tbl_Ballasts[[#This Row],[L from]]),ISNUMBER(Tbl_Ballasts[[#This Row],[L to]])),IF(AND(Tbl_Ballasts[[#This Row],[L from]]&gt;=0,Tbl_Ballasts[[#This Row],[L to]]&lt;=Lpp),"OK","KO"),"OK")</f>
        <v>OK</v>
      </c>
      <c r="Y29" s="481"/>
      <c r="Z29" s="413"/>
      <c r="AA29" s="396">
        <f t="shared" si="1"/>
        <v>3.376300000000001</v>
      </c>
      <c r="AB29" s="397">
        <f t="shared" si="2"/>
        <v>20</v>
      </c>
      <c r="AC29" s="398">
        <f t="shared" si="3"/>
        <v>1.9000000000000006</v>
      </c>
      <c r="AD29" s="398">
        <f t="shared" si="146"/>
        <v>64.047002897947948</v>
      </c>
      <c r="AE29" s="398">
        <f t="shared" si="4"/>
        <v>3.8739547435885204</v>
      </c>
      <c r="AF29" s="398">
        <f t="shared" si="5"/>
        <v>0</v>
      </c>
      <c r="AG29" s="398">
        <f t="shared" si="147"/>
        <v>1.2673553814422958</v>
      </c>
      <c r="AH29" s="399">
        <f t="shared" si="148"/>
        <v>2195.9674796747977</v>
      </c>
      <c r="AI29" s="367"/>
      <c r="AJ29" s="66"/>
      <c r="AK29" s="396">
        <f t="shared" si="6"/>
        <v>10</v>
      </c>
      <c r="AL29" s="397">
        <f t="shared" si="7"/>
        <v>5</v>
      </c>
      <c r="AM29" s="398">
        <f t="shared" si="8"/>
        <v>1.9000000000000006</v>
      </c>
      <c r="AN29" s="398">
        <f t="shared" si="149"/>
        <v>95.000000000000014</v>
      </c>
      <c r="AO29" s="398">
        <f t="shared" si="9"/>
        <v>10.000000000000002</v>
      </c>
      <c r="AP29" s="398">
        <f t="shared" si="10"/>
        <v>7.5</v>
      </c>
      <c r="AQ29" s="398">
        <f t="shared" si="150"/>
        <v>0.95000000000000018</v>
      </c>
      <c r="AR29" s="399">
        <f t="shared" si="151"/>
        <v>101.62601626016261</v>
      </c>
      <c r="AS29" s="66"/>
      <c r="AT29" s="66"/>
      <c r="AU29" s="396">
        <f t="shared" si="11"/>
        <v>10</v>
      </c>
      <c r="AV29" s="397">
        <f t="shared" si="12"/>
        <v>5</v>
      </c>
      <c r="AW29" s="398">
        <f t="shared" si="13"/>
        <v>1.9000000000000006</v>
      </c>
      <c r="AX29" s="398">
        <f t="shared" si="152"/>
        <v>95.000000000000014</v>
      </c>
      <c r="AY29" s="398">
        <f t="shared" si="14"/>
        <v>10.000000000000002</v>
      </c>
      <c r="AZ29" s="398">
        <f t="shared" si="15"/>
        <v>2.5000000000000004</v>
      </c>
      <c r="BA29" s="398">
        <f t="shared" si="153"/>
        <v>0.95000000000000018</v>
      </c>
      <c r="BB29" s="399">
        <f t="shared" si="154"/>
        <v>101.62601626016261</v>
      </c>
      <c r="BC29" s="66"/>
      <c r="BD29" s="66"/>
      <c r="BE29" s="396">
        <f t="shared" si="16"/>
        <v>10</v>
      </c>
      <c r="BF29" s="397">
        <f t="shared" si="17"/>
        <v>5</v>
      </c>
      <c r="BG29" s="398">
        <f t="shared" si="18"/>
        <v>1.9000000000000006</v>
      </c>
      <c r="BH29" s="398">
        <f t="shared" si="155"/>
        <v>95.000000000000014</v>
      </c>
      <c r="BI29" s="398">
        <f t="shared" si="19"/>
        <v>10.000000000000002</v>
      </c>
      <c r="BJ29" s="398">
        <f t="shared" si="20"/>
        <v>-2.5000000000000004</v>
      </c>
      <c r="BK29" s="398">
        <f t="shared" si="156"/>
        <v>0.95000000000000018</v>
      </c>
      <c r="BL29" s="399">
        <f t="shared" si="157"/>
        <v>101.62601626016261</v>
      </c>
      <c r="BM29" s="66"/>
      <c r="BN29" s="66"/>
      <c r="BO29" s="396">
        <f t="shared" si="21"/>
        <v>10</v>
      </c>
      <c r="BP29" s="397">
        <f t="shared" si="22"/>
        <v>5</v>
      </c>
      <c r="BQ29" s="398">
        <f t="shared" si="23"/>
        <v>1.9000000000000006</v>
      </c>
      <c r="BR29" s="398">
        <f t="shared" si="158"/>
        <v>95.000000000000014</v>
      </c>
      <c r="BS29" s="398">
        <f t="shared" si="24"/>
        <v>10.000000000000002</v>
      </c>
      <c r="BT29" s="398">
        <f t="shared" si="25"/>
        <v>-7.5</v>
      </c>
      <c r="BU29" s="398">
        <f t="shared" si="159"/>
        <v>0.95000000000000018</v>
      </c>
      <c r="BV29" s="399">
        <f t="shared" si="160"/>
        <v>101.62601626016261</v>
      </c>
      <c r="BW29" s="66"/>
      <c r="BX29" s="66"/>
      <c r="BY29" s="396">
        <f t="shared" si="26"/>
        <v>10</v>
      </c>
      <c r="BZ29" s="397">
        <f t="shared" si="27"/>
        <v>5</v>
      </c>
      <c r="CA29" s="398">
        <f t="shared" si="28"/>
        <v>1.9000000000000006</v>
      </c>
      <c r="CB29" s="398">
        <f t="shared" si="161"/>
        <v>95.000000000000014</v>
      </c>
      <c r="CC29" s="398">
        <f t="shared" si="29"/>
        <v>20.000000000000004</v>
      </c>
      <c r="CD29" s="398">
        <f t="shared" si="30"/>
        <v>7.5</v>
      </c>
      <c r="CE29" s="398">
        <f t="shared" si="162"/>
        <v>0.95000000000000018</v>
      </c>
      <c r="CF29" s="399">
        <f t="shared" si="163"/>
        <v>101.62601626016261</v>
      </c>
      <c r="CG29" s="66"/>
      <c r="CH29" s="66"/>
      <c r="CI29" s="396">
        <f t="shared" si="31"/>
        <v>10</v>
      </c>
      <c r="CJ29" s="397">
        <f t="shared" si="32"/>
        <v>5</v>
      </c>
      <c r="CK29" s="398">
        <f t="shared" si="33"/>
        <v>1.9000000000000006</v>
      </c>
      <c r="CL29" s="398">
        <f t="shared" si="164"/>
        <v>95.000000000000014</v>
      </c>
      <c r="CM29" s="398">
        <f t="shared" si="34"/>
        <v>20.000000000000004</v>
      </c>
      <c r="CN29" s="398">
        <f t="shared" si="35"/>
        <v>2.5000000000000004</v>
      </c>
      <c r="CO29" s="398">
        <f t="shared" si="165"/>
        <v>0.95000000000000018</v>
      </c>
      <c r="CP29" s="399">
        <f t="shared" si="166"/>
        <v>101.62601626016261</v>
      </c>
      <c r="CQ29" s="66"/>
      <c r="CS29" s="396">
        <f t="shared" si="36"/>
        <v>10</v>
      </c>
      <c r="CT29" s="397">
        <f t="shared" si="37"/>
        <v>5</v>
      </c>
      <c r="CU29" s="398">
        <f t="shared" si="38"/>
        <v>1.9000000000000006</v>
      </c>
      <c r="CV29" s="398">
        <f t="shared" si="167"/>
        <v>95.000000000000014</v>
      </c>
      <c r="CW29" s="398">
        <f t="shared" si="39"/>
        <v>20.000000000000004</v>
      </c>
      <c r="CX29" s="398">
        <f t="shared" si="40"/>
        <v>-2.5000000000000004</v>
      </c>
      <c r="CY29" s="398">
        <f t="shared" si="168"/>
        <v>0.95000000000000018</v>
      </c>
      <c r="CZ29" s="399">
        <f t="shared" si="169"/>
        <v>101.62601626016261</v>
      </c>
      <c r="DA29" s="66"/>
      <c r="DB29" s="66"/>
      <c r="DC29" s="396">
        <f t="shared" si="41"/>
        <v>10</v>
      </c>
      <c r="DD29" s="397">
        <f t="shared" si="42"/>
        <v>5</v>
      </c>
      <c r="DE29" s="398">
        <f t="shared" si="43"/>
        <v>1.9000000000000006</v>
      </c>
      <c r="DF29" s="398">
        <f t="shared" si="170"/>
        <v>95.000000000000014</v>
      </c>
      <c r="DG29" s="398">
        <f t="shared" si="44"/>
        <v>20.000000000000004</v>
      </c>
      <c r="DH29" s="398">
        <f t="shared" si="45"/>
        <v>-7.5</v>
      </c>
      <c r="DI29" s="398">
        <f t="shared" si="171"/>
        <v>0.95000000000000018</v>
      </c>
      <c r="DJ29" s="399">
        <f t="shared" si="172"/>
        <v>101.62601626016261</v>
      </c>
      <c r="DK29" s="66"/>
      <c r="DM29" s="396">
        <f t="shared" si="46"/>
        <v>10</v>
      </c>
      <c r="DN29" s="397">
        <f t="shared" si="47"/>
        <v>5</v>
      </c>
      <c r="DO29" s="398">
        <f t="shared" si="48"/>
        <v>1.9000000000000006</v>
      </c>
      <c r="DP29" s="398">
        <f t="shared" si="173"/>
        <v>95.000000000000014</v>
      </c>
      <c r="DQ29" s="398">
        <f t="shared" si="49"/>
        <v>30</v>
      </c>
      <c r="DR29" s="398">
        <f t="shared" si="50"/>
        <v>7.5</v>
      </c>
      <c r="DS29" s="398">
        <f t="shared" si="174"/>
        <v>0.95000000000000018</v>
      </c>
      <c r="DT29" s="399">
        <f t="shared" si="175"/>
        <v>101.62601626016261</v>
      </c>
      <c r="DU29" s="66"/>
      <c r="DV29" s="66"/>
      <c r="DW29" s="396">
        <f t="shared" si="51"/>
        <v>10</v>
      </c>
      <c r="DX29" s="397">
        <f t="shared" si="52"/>
        <v>5</v>
      </c>
      <c r="DY29" s="398">
        <f t="shared" si="53"/>
        <v>1.9000000000000006</v>
      </c>
      <c r="DZ29" s="398">
        <f t="shared" si="176"/>
        <v>95.000000000000014</v>
      </c>
      <c r="EA29" s="398">
        <f t="shared" si="54"/>
        <v>30</v>
      </c>
      <c r="EB29" s="398">
        <f t="shared" si="55"/>
        <v>2.5000000000000004</v>
      </c>
      <c r="EC29" s="398">
        <f t="shared" si="177"/>
        <v>0.95000000000000018</v>
      </c>
      <c r="ED29" s="399">
        <f t="shared" si="178"/>
        <v>101.62601626016261</v>
      </c>
      <c r="EE29" s="66"/>
      <c r="EF29" s="66"/>
      <c r="EG29" s="396">
        <f t="shared" si="56"/>
        <v>10</v>
      </c>
      <c r="EH29" s="397">
        <f t="shared" si="57"/>
        <v>5</v>
      </c>
      <c r="EI29" s="398">
        <f t="shared" si="58"/>
        <v>1.9000000000000006</v>
      </c>
      <c r="EJ29" s="398">
        <f t="shared" si="179"/>
        <v>95.000000000000014</v>
      </c>
      <c r="EK29" s="398">
        <f t="shared" si="59"/>
        <v>30</v>
      </c>
      <c r="EL29" s="398">
        <f t="shared" si="60"/>
        <v>-2.5000000000000004</v>
      </c>
      <c r="EM29" s="398">
        <f t="shared" si="180"/>
        <v>0.95000000000000018</v>
      </c>
      <c r="EN29" s="399">
        <f t="shared" si="181"/>
        <v>101.62601626016261</v>
      </c>
      <c r="EO29" s="66"/>
      <c r="EP29" s="66"/>
      <c r="EQ29" s="396">
        <f t="shared" si="61"/>
        <v>10</v>
      </c>
      <c r="ER29" s="397">
        <f t="shared" si="62"/>
        <v>5</v>
      </c>
      <c r="ES29" s="398">
        <f t="shared" si="63"/>
        <v>1.9000000000000006</v>
      </c>
      <c r="ET29" s="398">
        <f t="shared" si="182"/>
        <v>95.000000000000014</v>
      </c>
      <c r="EU29" s="398">
        <f t="shared" si="64"/>
        <v>30</v>
      </c>
      <c r="EV29" s="398">
        <f t="shared" si="65"/>
        <v>-7.5</v>
      </c>
      <c r="EW29" s="398">
        <f t="shared" si="183"/>
        <v>0.95000000000000018</v>
      </c>
      <c r="EX29" s="399">
        <f t="shared" si="184"/>
        <v>101.62601626016261</v>
      </c>
      <c r="EY29" s="66"/>
      <c r="EZ29" s="66"/>
      <c r="FA29" s="396">
        <f t="shared" si="66"/>
        <v>10</v>
      </c>
      <c r="FB29" s="397">
        <f t="shared" si="67"/>
        <v>5</v>
      </c>
      <c r="FC29" s="398">
        <f t="shared" si="68"/>
        <v>1.9000000000000006</v>
      </c>
      <c r="FD29" s="398">
        <f t="shared" si="185"/>
        <v>95.000000000000014</v>
      </c>
      <c r="FE29" s="398">
        <f t="shared" si="69"/>
        <v>40.000000000000007</v>
      </c>
      <c r="FF29" s="398">
        <f t="shared" si="70"/>
        <v>7.5</v>
      </c>
      <c r="FG29" s="398">
        <f t="shared" si="186"/>
        <v>0.95000000000000018</v>
      </c>
      <c r="FH29" s="399">
        <f t="shared" si="187"/>
        <v>101.62601626016261</v>
      </c>
      <c r="FI29" s="66"/>
      <c r="FJ29" s="66"/>
      <c r="FK29" s="396">
        <f t="shared" si="71"/>
        <v>10</v>
      </c>
      <c r="FL29" s="397">
        <f t="shared" si="72"/>
        <v>5</v>
      </c>
      <c r="FM29" s="398">
        <f t="shared" si="73"/>
        <v>1.9000000000000006</v>
      </c>
      <c r="FN29" s="398">
        <f t="shared" si="188"/>
        <v>95.000000000000014</v>
      </c>
      <c r="FO29" s="398">
        <f t="shared" si="74"/>
        <v>40.000000000000007</v>
      </c>
      <c r="FP29" s="398">
        <f t="shared" si="75"/>
        <v>2.5000000000000004</v>
      </c>
      <c r="FQ29" s="398">
        <f t="shared" si="189"/>
        <v>0.95000000000000018</v>
      </c>
      <c r="FR29" s="399">
        <f t="shared" si="190"/>
        <v>101.62601626016261</v>
      </c>
      <c r="FS29" s="66"/>
      <c r="FT29" s="66"/>
      <c r="FU29" s="396">
        <f t="shared" si="76"/>
        <v>10</v>
      </c>
      <c r="FV29" s="397">
        <f t="shared" si="77"/>
        <v>5</v>
      </c>
      <c r="FW29" s="398">
        <f t="shared" si="78"/>
        <v>1.9000000000000006</v>
      </c>
      <c r="FX29" s="398">
        <f t="shared" si="191"/>
        <v>95.000000000000014</v>
      </c>
      <c r="FY29" s="398">
        <f t="shared" si="79"/>
        <v>40.000000000000007</v>
      </c>
      <c r="FZ29" s="398">
        <f t="shared" si="80"/>
        <v>-2.5000000000000004</v>
      </c>
      <c r="GA29" s="398">
        <f t="shared" si="192"/>
        <v>0.95000000000000018</v>
      </c>
      <c r="GB29" s="399">
        <f t="shared" si="193"/>
        <v>101.62601626016261</v>
      </c>
      <c r="GC29" s="66"/>
      <c r="GD29" s="66"/>
      <c r="GE29" s="396">
        <f t="shared" si="81"/>
        <v>10</v>
      </c>
      <c r="GF29" s="397">
        <f t="shared" si="82"/>
        <v>5</v>
      </c>
      <c r="GG29" s="398">
        <f t="shared" si="83"/>
        <v>1.9000000000000006</v>
      </c>
      <c r="GH29" s="398">
        <f t="shared" si="194"/>
        <v>95.000000000000014</v>
      </c>
      <c r="GI29" s="398">
        <f t="shared" si="84"/>
        <v>40.000000000000007</v>
      </c>
      <c r="GJ29" s="398">
        <f t="shared" si="85"/>
        <v>-7.5</v>
      </c>
      <c r="GK29" s="398">
        <f t="shared" si="195"/>
        <v>0.95000000000000018</v>
      </c>
      <c r="GL29" s="399">
        <f t="shared" si="196"/>
        <v>101.62601626016261</v>
      </c>
      <c r="GM29" s="66"/>
      <c r="GN29" s="66"/>
      <c r="GO29" s="396">
        <f t="shared" si="86"/>
        <v>10</v>
      </c>
      <c r="GP29" s="397">
        <f t="shared" si="87"/>
        <v>5</v>
      </c>
      <c r="GQ29" s="398">
        <f t="shared" si="88"/>
        <v>1.9000000000000006</v>
      </c>
      <c r="GR29" s="398">
        <f t="shared" si="197"/>
        <v>95.000000000000014</v>
      </c>
      <c r="GS29" s="398">
        <f t="shared" si="89"/>
        <v>50</v>
      </c>
      <c r="GT29" s="398">
        <f t="shared" si="90"/>
        <v>7.5</v>
      </c>
      <c r="GU29" s="398">
        <f t="shared" si="198"/>
        <v>0.95000000000000018</v>
      </c>
      <c r="GV29" s="399">
        <f t="shared" si="199"/>
        <v>101.62601626016261</v>
      </c>
      <c r="GW29" s="66"/>
      <c r="GX29" s="66"/>
      <c r="GY29" s="396">
        <f t="shared" si="91"/>
        <v>10</v>
      </c>
      <c r="GZ29" s="397">
        <f t="shared" si="92"/>
        <v>5</v>
      </c>
      <c r="HA29" s="398">
        <f t="shared" si="93"/>
        <v>1.9000000000000006</v>
      </c>
      <c r="HB29" s="398">
        <f t="shared" si="200"/>
        <v>95.000000000000014</v>
      </c>
      <c r="HC29" s="398">
        <f t="shared" si="94"/>
        <v>50</v>
      </c>
      <c r="HD29" s="398">
        <f t="shared" si="95"/>
        <v>2.5000000000000004</v>
      </c>
      <c r="HE29" s="398">
        <f t="shared" si="201"/>
        <v>0.95000000000000018</v>
      </c>
      <c r="HF29" s="399">
        <f t="shared" si="202"/>
        <v>101.62601626016261</v>
      </c>
      <c r="HH29" s="66"/>
      <c r="HI29" s="396">
        <f t="shared" si="96"/>
        <v>10</v>
      </c>
      <c r="HJ29" s="397">
        <f t="shared" si="97"/>
        <v>5</v>
      </c>
      <c r="HK29" s="398">
        <f t="shared" si="98"/>
        <v>1.9000000000000006</v>
      </c>
      <c r="HL29" s="398">
        <f t="shared" si="203"/>
        <v>95.000000000000014</v>
      </c>
      <c r="HM29" s="398">
        <f t="shared" si="99"/>
        <v>50</v>
      </c>
      <c r="HN29" s="398">
        <f t="shared" si="100"/>
        <v>-2.5000000000000004</v>
      </c>
      <c r="HO29" s="398">
        <f t="shared" si="204"/>
        <v>0.95000000000000018</v>
      </c>
      <c r="HP29" s="399">
        <f t="shared" si="205"/>
        <v>101.62601626016261</v>
      </c>
      <c r="HQ29" s="66"/>
      <c r="HR29" s="66"/>
      <c r="HS29" s="396">
        <f t="shared" si="101"/>
        <v>10</v>
      </c>
      <c r="HT29" s="397">
        <f t="shared" si="102"/>
        <v>5</v>
      </c>
      <c r="HU29" s="398">
        <f t="shared" si="103"/>
        <v>1.9000000000000006</v>
      </c>
      <c r="HV29" s="398">
        <f t="shared" si="206"/>
        <v>95.000000000000014</v>
      </c>
      <c r="HW29" s="398">
        <f t="shared" si="104"/>
        <v>50</v>
      </c>
      <c r="HX29" s="398">
        <f t="shared" si="105"/>
        <v>-7.5</v>
      </c>
      <c r="HY29" s="398">
        <f t="shared" si="207"/>
        <v>0.95000000000000018</v>
      </c>
      <c r="HZ29" s="399">
        <f t="shared" si="208"/>
        <v>101.62601626016261</v>
      </c>
      <c r="IA29" s="66"/>
      <c r="IB29" s="66"/>
      <c r="IC29" s="396">
        <f t="shared" si="106"/>
        <v>3.3630000000000009</v>
      </c>
      <c r="ID29" s="397">
        <f t="shared" si="107"/>
        <v>20</v>
      </c>
      <c r="IE29" s="398">
        <f t="shared" si="108"/>
        <v>1.9000000000000006</v>
      </c>
      <c r="IF29" s="398">
        <f t="shared" si="209"/>
        <v>63.79470744477652</v>
      </c>
      <c r="IG29" s="398">
        <f t="shared" si="109"/>
        <v>56.121609512576427</v>
      </c>
      <c r="IH29" s="398">
        <f t="shared" si="110"/>
        <v>0</v>
      </c>
      <c r="II29" s="398">
        <f t="shared" si="210"/>
        <v>1.2673553814422955</v>
      </c>
      <c r="IJ29" s="399">
        <f t="shared" si="211"/>
        <v>2187.3170731707323</v>
      </c>
      <c r="IK29" s="66"/>
      <c r="IL29" s="66"/>
      <c r="IM29" s="396">
        <f t="shared" si="111"/>
        <v>11</v>
      </c>
      <c r="IN29" s="397">
        <f t="shared" si="112"/>
        <v>13.75</v>
      </c>
      <c r="IO29" s="398">
        <f t="shared" si="113"/>
        <v>1.9000000000000006</v>
      </c>
      <c r="IP29" s="398">
        <f t="shared" si="212"/>
        <v>262.77859441245005</v>
      </c>
      <c r="IQ29" s="398">
        <f t="shared" si="114"/>
        <v>67.683388127819953</v>
      </c>
      <c r="IR29" s="398">
        <f t="shared" si="115"/>
        <v>6.8749999999999991</v>
      </c>
      <c r="IS29" s="398">
        <f t="shared" si="213"/>
        <v>1.0014529865790516</v>
      </c>
      <c r="IT29" s="399">
        <f t="shared" si="214"/>
        <v>2324.8539126016262</v>
      </c>
      <c r="IU29" s="66"/>
      <c r="IV29" s="66"/>
      <c r="IW29" s="396">
        <f t="shared" si="116"/>
        <v>11</v>
      </c>
      <c r="IX29" s="397">
        <f t="shared" si="117"/>
        <v>13.75</v>
      </c>
      <c r="IY29" s="398">
        <f t="shared" si="118"/>
        <v>1.9000000000000006</v>
      </c>
      <c r="IZ29" s="398">
        <f t="shared" si="215"/>
        <v>262.77859441245005</v>
      </c>
      <c r="JA29" s="398">
        <f t="shared" si="119"/>
        <v>67.683388127819953</v>
      </c>
      <c r="JB29" s="398">
        <f t="shared" si="120"/>
        <v>-6.8749999999999991</v>
      </c>
      <c r="JC29" s="398">
        <f t="shared" si="216"/>
        <v>1.0014529865790516</v>
      </c>
      <c r="JD29" s="399">
        <f t="shared" si="217"/>
        <v>2324.8539126016262</v>
      </c>
      <c r="JE29" s="66"/>
      <c r="JF29" s="66"/>
      <c r="JG29" s="396">
        <f t="shared" si="121"/>
        <v>4.75</v>
      </c>
      <c r="JH29" s="397">
        <f t="shared" si="122"/>
        <v>6.875</v>
      </c>
      <c r="JI29" s="398">
        <f t="shared" si="123"/>
        <v>1.9000000000000006</v>
      </c>
      <c r="JJ29" s="398">
        <f t="shared" si="218"/>
        <v>30.973772152742828</v>
      </c>
      <c r="JK29" s="398">
        <f t="shared" si="124"/>
        <v>71.184194226802873</v>
      </c>
      <c r="JL29" s="398">
        <f t="shared" si="125"/>
        <v>10.312499999999998</v>
      </c>
      <c r="JM29" s="398">
        <f t="shared" si="219"/>
        <v>2.463355381442295</v>
      </c>
      <c r="JN29" s="399">
        <f t="shared" si="220"/>
        <v>125.48927369156505</v>
      </c>
      <c r="JO29" s="66"/>
      <c r="JP29" s="66"/>
      <c r="JQ29" s="396">
        <f t="shared" si="126"/>
        <v>4.75</v>
      </c>
      <c r="JR29" s="397">
        <f t="shared" si="127"/>
        <v>6.875</v>
      </c>
      <c r="JS29" s="398">
        <f t="shared" si="128"/>
        <v>1.9000000000000006</v>
      </c>
      <c r="JT29" s="398">
        <f t="shared" si="221"/>
        <v>30.973772152742828</v>
      </c>
      <c r="JU29" s="398">
        <f t="shared" si="129"/>
        <v>71.184194226802873</v>
      </c>
      <c r="JV29" s="398">
        <f t="shared" si="130"/>
        <v>3.4375000000000009</v>
      </c>
      <c r="JW29" s="398">
        <f t="shared" si="222"/>
        <v>2.463355381442295</v>
      </c>
      <c r="JX29" s="399">
        <f t="shared" si="223"/>
        <v>125.48927369156505</v>
      </c>
      <c r="JY29" s="66"/>
      <c r="JZ29" s="66"/>
      <c r="KA29" s="396">
        <f t="shared" si="131"/>
        <v>4.75</v>
      </c>
      <c r="KB29" s="397">
        <f t="shared" si="132"/>
        <v>6.875</v>
      </c>
      <c r="KC29" s="398">
        <f t="shared" si="133"/>
        <v>1.9000000000000006</v>
      </c>
      <c r="KD29" s="398">
        <f t="shared" si="224"/>
        <v>30.973772152742828</v>
      </c>
      <c r="KE29" s="398">
        <f t="shared" si="134"/>
        <v>71.184194226802873</v>
      </c>
      <c r="KF29" s="398">
        <f t="shared" si="135"/>
        <v>-3.4375000000000009</v>
      </c>
      <c r="KG29" s="398">
        <f t="shared" si="225"/>
        <v>2.463355381442295</v>
      </c>
      <c r="KH29" s="399">
        <f t="shared" si="226"/>
        <v>125.48927369156505</v>
      </c>
      <c r="KI29" s="66"/>
      <c r="KJ29" s="66"/>
      <c r="KK29" s="396">
        <f t="shared" si="136"/>
        <v>4.75</v>
      </c>
      <c r="KL29" s="397">
        <f t="shared" si="137"/>
        <v>6.875</v>
      </c>
      <c r="KM29" s="398">
        <f t="shared" si="138"/>
        <v>1.9000000000000006</v>
      </c>
      <c r="KN29" s="398">
        <f t="shared" si="227"/>
        <v>30.973772152742828</v>
      </c>
      <c r="KO29" s="398">
        <f t="shared" si="139"/>
        <v>71.184194226802873</v>
      </c>
      <c r="KP29" s="398">
        <f t="shared" si="140"/>
        <v>-10.312499999999998</v>
      </c>
      <c r="KQ29" s="398">
        <f t="shared" si="228"/>
        <v>2.463355381442295</v>
      </c>
      <c r="KR29" s="399">
        <f t="shared" si="229"/>
        <v>125.48927369156505</v>
      </c>
      <c r="KS29" s="66"/>
      <c r="KT29" s="66"/>
      <c r="KU29" s="396">
        <f t="shared" si="141"/>
        <v>5</v>
      </c>
      <c r="KV29" s="397">
        <f t="shared" si="142"/>
        <v>5</v>
      </c>
      <c r="KW29" s="398">
        <f t="shared" si="143"/>
        <v>1.9000000000000006</v>
      </c>
      <c r="KX29" s="398">
        <f t="shared" si="230"/>
        <v>47.500000000000007</v>
      </c>
      <c r="KY29" s="398">
        <f t="shared" si="144"/>
        <v>57.5</v>
      </c>
      <c r="KZ29" s="398">
        <f t="shared" si="145"/>
        <v>0</v>
      </c>
      <c r="LA29" s="398">
        <f t="shared" si="231"/>
        <v>0.95000000000000018</v>
      </c>
      <c r="LB29" s="399">
        <f t="shared" si="232"/>
        <v>50.813008130081307</v>
      </c>
      <c r="LC29" s="66"/>
    </row>
    <row r="30" spans="1:315" s="67" customFormat="1" ht="15" customHeight="1" x14ac:dyDescent="0.25">
      <c r="A30" s="481"/>
      <c r="B30" s="73">
        <f t="shared" si="0"/>
        <v>20</v>
      </c>
      <c r="C30" s="347" t="str">
        <f>INDEX($AA$1:$LC$6,C$5,C$6+Tbl_Ballasts[[#This Row],[Index]]*Ballasts_columns_step)</f>
        <v>WB2Sb</v>
      </c>
      <c r="D30" s="114" t="str">
        <f ca="1">IFERROR(OFFSET($AA$1,D$5,D$6+Tbl_Ballasts[[#This Row],[Index]]*Ballasts_columns_step),0)</f>
        <v>OK</v>
      </c>
      <c r="E30" s="348">
        <v>2</v>
      </c>
      <c r="F30" s="350">
        <v>4</v>
      </c>
      <c r="G30" s="763" t="str">
        <f>TEXT(Tbl_Ballasts[[#This Row],[Recap Row]],"00")&amp;TEXT(Tbl_Ballasts[[#This Row],[Recap Col]],"00")</f>
        <v>0204</v>
      </c>
      <c r="H30" s="760">
        <f>INDEX(Recap_Ballasts,Tbl_Ballasts[[#This Row],[Recap Row]],Tbl_Ballasts[[#This Row],[Recap Col]])</f>
        <v>0</v>
      </c>
      <c r="I30" s="493">
        <f ca="1">IFERROR(OFFSET($AA$1,I$5,I$6+Tbl_Ballasts[[#This Row],[Index]]*Ballasts_columns_step),0)</f>
        <v>0</v>
      </c>
      <c r="J30" s="103">
        <f ca="1">IFERROR(OFFSET($AA$1,J$5,J$6+Tbl_Ballasts[[#This Row],[Index]]*Ballasts_columns_step),0)</f>
        <v>0</v>
      </c>
      <c r="K30" s="427">
        <f ca="1">IFERROR(OFFSET($AA$1,K$5,K$6+Tbl_Ballasts[[#This Row],[Index]]*Ballasts_columns_step),0)</f>
        <v>50</v>
      </c>
      <c r="L30" s="428">
        <f ca="1">IFERROR(OFFSET($AA$1,L$5,L$6+Tbl_Ballasts[[#This Row],[Index]]*Ballasts_columns_step),0)</f>
        <v>-7.5</v>
      </c>
      <c r="M30" s="429">
        <f ca="1">IFERROR(OFFSET($AA$1,M$5,M$6+Tbl_Ballasts[[#This Row],[Index]]*Ballasts_columns_step),0)</f>
        <v>0</v>
      </c>
      <c r="N30" s="438">
        <f ca="1">IFERROR(OFFSET($AA$1,N$5,N$6+Tbl_Ballasts[[#This Row],[Index]]*Ballasts_columns_step),0)</f>
        <v>10</v>
      </c>
      <c r="O30" s="437" t="str">
        <f ca="1">IF(Tbl_Ballasts[[#This Row],[Weight Fact]],Tbl_Ballasts[[#This Row],[COG x ]]-Tbl_Ballasts[[#This Row],[Distrib]]/2,"")</f>
        <v/>
      </c>
      <c r="P30" s="439" t="str">
        <f ca="1">IF(Tbl_Ballasts[[#This Row],[Weight Fact]],Tbl_Ballasts[[#This Row],[COG x ]]+Tbl_Ballasts[[#This Row],[Distrib]]/2,"")</f>
        <v/>
      </c>
      <c r="Q30" s="440" t="str">
        <f ca="1">IF(Tbl_Ballasts[[#This Row],[Weight Fact]],ROUND(Tbl_Ballasts[[#This Row],[AP from]]/FE_size,0),"")</f>
        <v/>
      </c>
      <c r="R30" s="441" t="str">
        <f ca="1">IF(Tbl_Ballasts[[#This Row],[Weight Fact]],ROUND(Tbl_Ballasts[[#This Row],[AP to]]/FE_size,0),"")</f>
        <v/>
      </c>
      <c r="S30" s="114" t="str">
        <f ca="1">IF(Tbl_Ballasts[[#This Row],[Weight Fact]]=0,"",IF(AND(Tbl_Ballasts[[#This Row],[COG x ]]&gt;=(Tbl_Ballasts[[#This Row],[L to]]-Tbl_Ballasts[[#This Row],[L from]])/3+Tbl_Ballasts[[#This Row],[L from]],Tbl_Ballasts[[#This Row],[COG x ]]&lt;=(Tbl_Ballasts[[#This Row],[L to]]-Tbl_Ballasts[[#This Row],[L from]])*2/3+Tbl_Ballasts[[#This Row],[L from]],Tbl_Ballasts[[#This Row],[L to]]&gt;Tbl_Ballasts[[#This Row],[L from]]),"OK","KO"))</f>
        <v/>
      </c>
      <c r="T30" s="442" t="str">
        <f ca="1">IF(Tbl_Ballasts[[#This Row],[Weight Fact]],IF(Tbl_Ballasts[[#This Row],[Fr from]]*FE_size&lt;0,0,Tbl_Ballasts[[#This Row],[Fr from]]*FE_size),"")</f>
        <v/>
      </c>
      <c r="U30" s="443" t="str">
        <f ca="1">IF(Tbl_Ballasts[[#This Row],[Weight Fact]],IF(Tbl_Ballasts[[#This Row],[Fr to]]*FE_size=Tbl_Ballasts[[#This Row],[L from]],Tbl_Ballasts[[#This Row],[L from]]+FE_size,IF(Tbl_Ballasts[[#This Row],[Fr to]]*FE_size&gt;Lpp,Lpp,Tbl_Ballasts[[#This Row],[Fr to]]*FE_size)),"")</f>
        <v/>
      </c>
      <c r="V30" s="444" t="str">
        <f ca="1">IFERROR(Tbl_Ballasts[[#This Row],[Weight Fact]]/(Tbl_Ballasts[[#This Row],[L to]]-Tbl_Ballasts[[#This Row],[L from]]),"")</f>
        <v/>
      </c>
      <c r="W30" s="145" t="str">
        <f ca="1">IF(Tbl_Ballasts[[#This Row],[Weight Fact]],Tbl_Ballasts[[#This Row],[Spread]]*(Tbl_Ballasts[[#This Row],[L to]]-Tbl_Ballasts[[#This Row],[L from]])-Tbl_Ballasts[[#This Row],[Weight Fact]],"")</f>
        <v/>
      </c>
      <c r="X30" s="141" t="str">
        <f ca="1">IF(AND(ISNUMBER(Tbl_Ballasts[[#This Row],[L from]]),ISNUMBER(Tbl_Ballasts[[#This Row],[L to]])),IF(AND(Tbl_Ballasts[[#This Row],[L from]]&gt;=0,Tbl_Ballasts[[#This Row],[L to]]&lt;=Lpp),"OK","KO"),"OK")</f>
        <v>OK</v>
      </c>
      <c r="Y30" s="481"/>
      <c r="Z30" s="413"/>
      <c r="AA30" s="396">
        <f t="shared" si="1"/>
        <v>3.5540000000000007</v>
      </c>
      <c r="AB30" s="397">
        <f t="shared" si="2"/>
        <v>20</v>
      </c>
      <c r="AC30" s="398">
        <f t="shared" si="3"/>
        <v>2.0000000000000004</v>
      </c>
      <c r="AD30" s="398">
        <f t="shared" si="146"/>
        <v>70.976543371378014</v>
      </c>
      <c r="AE30" s="398">
        <f t="shared" si="4"/>
        <v>3.8147383855229529</v>
      </c>
      <c r="AF30" s="398">
        <f t="shared" si="5"/>
        <v>0</v>
      </c>
      <c r="AG30" s="398">
        <f t="shared" si="147"/>
        <v>1.3340029425740545</v>
      </c>
      <c r="AH30" s="399">
        <f t="shared" si="148"/>
        <v>2311.5447154471553</v>
      </c>
      <c r="AI30" s="367"/>
      <c r="AJ30" s="66"/>
      <c r="AK30" s="396">
        <f t="shared" si="6"/>
        <v>10</v>
      </c>
      <c r="AL30" s="397">
        <f t="shared" si="7"/>
        <v>5</v>
      </c>
      <c r="AM30" s="398">
        <f t="shared" si="8"/>
        <v>2.0000000000000004</v>
      </c>
      <c r="AN30" s="398">
        <f t="shared" si="149"/>
        <v>100.00000000000001</v>
      </c>
      <c r="AO30" s="398">
        <f t="shared" si="9"/>
        <v>10.000000000000002</v>
      </c>
      <c r="AP30" s="398">
        <f t="shared" si="10"/>
        <v>7.5</v>
      </c>
      <c r="AQ30" s="398">
        <f t="shared" si="150"/>
        <v>1.0000000000000002</v>
      </c>
      <c r="AR30" s="399">
        <f t="shared" si="151"/>
        <v>101.62601626016261</v>
      </c>
      <c r="AS30" s="66"/>
      <c r="AT30" s="66"/>
      <c r="AU30" s="396">
        <f t="shared" si="11"/>
        <v>10</v>
      </c>
      <c r="AV30" s="397">
        <f t="shared" si="12"/>
        <v>5</v>
      </c>
      <c r="AW30" s="398">
        <f t="shared" si="13"/>
        <v>2.0000000000000004</v>
      </c>
      <c r="AX30" s="398">
        <f t="shared" si="152"/>
        <v>100.00000000000001</v>
      </c>
      <c r="AY30" s="398">
        <f t="shared" si="14"/>
        <v>10.000000000000002</v>
      </c>
      <c r="AZ30" s="398">
        <f t="shared" si="15"/>
        <v>2.5000000000000004</v>
      </c>
      <c r="BA30" s="398">
        <f t="shared" si="153"/>
        <v>1.0000000000000002</v>
      </c>
      <c r="BB30" s="399">
        <f t="shared" si="154"/>
        <v>101.62601626016261</v>
      </c>
      <c r="BC30" s="66"/>
      <c r="BD30" s="66"/>
      <c r="BE30" s="396">
        <f t="shared" si="16"/>
        <v>10</v>
      </c>
      <c r="BF30" s="397">
        <f t="shared" si="17"/>
        <v>5</v>
      </c>
      <c r="BG30" s="398">
        <f t="shared" si="18"/>
        <v>2.0000000000000004</v>
      </c>
      <c r="BH30" s="398">
        <f t="shared" si="155"/>
        <v>100.00000000000001</v>
      </c>
      <c r="BI30" s="398">
        <f t="shared" si="19"/>
        <v>10.000000000000002</v>
      </c>
      <c r="BJ30" s="398">
        <f t="shared" si="20"/>
        <v>-2.5000000000000004</v>
      </c>
      <c r="BK30" s="398">
        <f t="shared" si="156"/>
        <v>1.0000000000000002</v>
      </c>
      <c r="BL30" s="399">
        <f t="shared" si="157"/>
        <v>101.62601626016261</v>
      </c>
      <c r="BM30" s="66"/>
      <c r="BN30" s="66"/>
      <c r="BO30" s="396">
        <f t="shared" si="21"/>
        <v>10</v>
      </c>
      <c r="BP30" s="397">
        <f t="shared" si="22"/>
        <v>5</v>
      </c>
      <c r="BQ30" s="398">
        <f t="shared" si="23"/>
        <v>2.0000000000000004</v>
      </c>
      <c r="BR30" s="398">
        <f t="shared" si="158"/>
        <v>100.00000000000001</v>
      </c>
      <c r="BS30" s="398">
        <f t="shared" si="24"/>
        <v>10.000000000000002</v>
      </c>
      <c r="BT30" s="398">
        <f t="shared" si="25"/>
        <v>-7.5</v>
      </c>
      <c r="BU30" s="398">
        <f t="shared" si="159"/>
        <v>1.0000000000000002</v>
      </c>
      <c r="BV30" s="399">
        <f t="shared" si="160"/>
        <v>101.62601626016261</v>
      </c>
      <c r="BW30" s="66"/>
      <c r="BX30" s="66"/>
      <c r="BY30" s="396">
        <f t="shared" si="26"/>
        <v>10</v>
      </c>
      <c r="BZ30" s="397">
        <f t="shared" si="27"/>
        <v>5</v>
      </c>
      <c r="CA30" s="398">
        <f t="shared" si="28"/>
        <v>2.0000000000000004</v>
      </c>
      <c r="CB30" s="398">
        <f t="shared" si="161"/>
        <v>100.00000000000001</v>
      </c>
      <c r="CC30" s="398">
        <f t="shared" si="29"/>
        <v>20.000000000000004</v>
      </c>
      <c r="CD30" s="398">
        <f t="shared" si="30"/>
        <v>7.5</v>
      </c>
      <c r="CE30" s="398">
        <f t="shared" si="162"/>
        <v>1.0000000000000002</v>
      </c>
      <c r="CF30" s="399">
        <f t="shared" si="163"/>
        <v>101.62601626016261</v>
      </c>
      <c r="CG30" s="66"/>
      <c r="CH30" s="66"/>
      <c r="CI30" s="396">
        <f t="shared" si="31"/>
        <v>10</v>
      </c>
      <c r="CJ30" s="397">
        <f t="shared" si="32"/>
        <v>5</v>
      </c>
      <c r="CK30" s="398">
        <f t="shared" si="33"/>
        <v>2.0000000000000004</v>
      </c>
      <c r="CL30" s="398">
        <f t="shared" si="164"/>
        <v>100.00000000000001</v>
      </c>
      <c r="CM30" s="398">
        <f t="shared" si="34"/>
        <v>20.000000000000004</v>
      </c>
      <c r="CN30" s="398">
        <f t="shared" si="35"/>
        <v>2.5000000000000004</v>
      </c>
      <c r="CO30" s="398">
        <f t="shared" si="165"/>
        <v>1.0000000000000002</v>
      </c>
      <c r="CP30" s="399">
        <f t="shared" si="166"/>
        <v>101.62601626016261</v>
      </c>
      <c r="CQ30" s="66"/>
      <c r="CS30" s="396">
        <f t="shared" si="36"/>
        <v>10</v>
      </c>
      <c r="CT30" s="397">
        <f t="shared" si="37"/>
        <v>5</v>
      </c>
      <c r="CU30" s="398">
        <f t="shared" si="38"/>
        <v>2.0000000000000004</v>
      </c>
      <c r="CV30" s="398">
        <f t="shared" si="167"/>
        <v>100.00000000000001</v>
      </c>
      <c r="CW30" s="398">
        <f t="shared" si="39"/>
        <v>20.000000000000004</v>
      </c>
      <c r="CX30" s="398">
        <f t="shared" si="40"/>
        <v>-2.5000000000000004</v>
      </c>
      <c r="CY30" s="398">
        <f t="shared" si="168"/>
        <v>1.0000000000000002</v>
      </c>
      <c r="CZ30" s="399">
        <f t="shared" si="169"/>
        <v>101.62601626016261</v>
      </c>
      <c r="DA30" s="66"/>
      <c r="DB30" s="66"/>
      <c r="DC30" s="396">
        <f t="shared" si="41"/>
        <v>10</v>
      </c>
      <c r="DD30" s="397">
        <f t="shared" si="42"/>
        <v>5</v>
      </c>
      <c r="DE30" s="398">
        <f t="shared" si="43"/>
        <v>2.0000000000000004</v>
      </c>
      <c r="DF30" s="398">
        <f t="shared" si="170"/>
        <v>100.00000000000001</v>
      </c>
      <c r="DG30" s="398">
        <f t="shared" si="44"/>
        <v>20.000000000000004</v>
      </c>
      <c r="DH30" s="398">
        <f t="shared" si="45"/>
        <v>-7.5</v>
      </c>
      <c r="DI30" s="398">
        <f t="shared" si="171"/>
        <v>1.0000000000000002</v>
      </c>
      <c r="DJ30" s="399">
        <f t="shared" si="172"/>
        <v>101.62601626016261</v>
      </c>
      <c r="DK30" s="66"/>
      <c r="DM30" s="396">
        <f t="shared" si="46"/>
        <v>10</v>
      </c>
      <c r="DN30" s="397">
        <f t="shared" si="47"/>
        <v>5</v>
      </c>
      <c r="DO30" s="398">
        <f t="shared" si="48"/>
        <v>2.0000000000000004</v>
      </c>
      <c r="DP30" s="398">
        <f t="shared" si="173"/>
        <v>100.00000000000001</v>
      </c>
      <c r="DQ30" s="398">
        <f t="shared" si="49"/>
        <v>30</v>
      </c>
      <c r="DR30" s="398">
        <f t="shared" si="50"/>
        <v>7.5</v>
      </c>
      <c r="DS30" s="398">
        <f t="shared" si="174"/>
        <v>1.0000000000000002</v>
      </c>
      <c r="DT30" s="399">
        <f t="shared" si="175"/>
        <v>101.62601626016261</v>
      </c>
      <c r="DU30" s="66"/>
      <c r="DV30" s="66"/>
      <c r="DW30" s="396">
        <f t="shared" si="51"/>
        <v>10</v>
      </c>
      <c r="DX30" s="397">
        <f t="shared" si="52"/>
        <v>5</v>
      </c>
      <c r="DY30" s="398">
        <f t="shared" si="53"/>
        <v>2.0000000000000004</v>
      </c>
      <c r="DZ30" s="398">
        <f t="shared" si="176"/>
        <v>100.00000000000001</v>
      </c>
      <c r="EA30" s="398">
        <f t="shared" si="54"/>
        <v>30</v>
      </c>
      <c r="EB30" s="398">
        <f t="shared" si="55"/>
        <v>2.5000000000000004</v>
      </c>
      <c r="EC30" s="398">
        <f t="shared" si="177"/>
        <v>1.0000000000000002</v>
      </c>
      <c r="ED30" s="399">
        <f t="shared" si="178"/>
        <v>101.62601626016261</v>
      </c>
      <c r="EE30" s="66"/>
      <c r="EF30" s="66"/>
      <c r="EG30" s="396">
        <f t="shared" si="56"/>
        <v>10</v>
      </c>
      <c r="EH30" s="397">
        <f t="shared" si="57"/>
        <v>5</v>
      </c>
      <c r="EI30" s="398">
        <f t="shared" si="58"/>
        <v>2.0000000000000004</v>
      </c>
      <c r="EJ30" s="398">
        <f t="shared" si="179"/>
        <v>100.00000000000001</v>
      </c>
      <c r="EK30" s="398">
        <f t="shared" si="59"/>
        <v>30</v>
      </c>
      <c r="EL30" s="398">
        <f t="shared" si="60"/>
        <v>-2.5000000000000004</v>
      </c>
      <c r="EM30" s="398">
        <f t="shared" si="180"/>
        <v>1.0000000000000002</v>
      </c>
      <c r="EN30" s="399">
        <f t="shared" si="181"/>
        <v>101.62601626016261</v>
      </c>
      <c r="EO30" s="66"/>
      <c r="EP30" s="66"/>
      <c r="EQ30" s="396">
        <f t="shared" si="61"/>
        <v>10</v>
      </c>
      <c r="ER30" s="397">
        <f t="shared" si="62"/>
        <v>5</v>
      </c>
      <c r="ES30" s="398">
        <f t="shared" si="63"/>
        <v>2.0000000000000004</v>
      </c>
      <c r="ET30" s="398">
        <f t="shared" si="182"/>
        <v>100.00000000000001</v>
      </c>
      <c r="EU30" s="398">
        <f t="shared" si="64"/>
        <v>30</v>
      </c>
      <c r="EV30" s="398">
        <f t="shared" si="65"/>
        <v>-7.5</v>
      </c>
      <c r="EW30" s="398">
        <f t="shared" si="183"/>
        <v>1.0000000000000002</v>
      </c>
      <c r="EX30" s="399">
        <f t="shared" si="184"/>
        <v>101.62601626016261</v>
      </c>
      <c r="EY30" s="66"/>
      <c r="EZ30" s="66"/>
      <c r="FA30" s="396">
        <f t="shared" si="66"/>
        <v>10</v>
      </c>
      <c r="FB30" s="397">
        <f t="shared" si="67"/>
        <v>5</v>
      </c>
      <c r="FC30" s="398">
        <f t="shared" si="68"/>
        <v>2.0000000000000004</v>
      </c>
      <c r="FD30" s="398">
        <f t="shared" si="185"/>
        <v>100.00000000000001</v>
      </c>
      <c r="FE30" s="398">
        <f t="shared" si="69"/>
        <v>40.000000000000007</v>
      </c>
      <c r="FF30" s="398">
        <f t="shared" si="70"/>
        <v>7.5</v>
      </c>
      <c r="FG30" s="398">
        <f t="shared" si="186"/>
        <v>1.0000000000000002</v>
      </c>
      <c r="FH30" s="399">
        <f t="shared" si="187"/>
        <v>101.62601626016261</v>
      </c>
      <c r="FI30" s="66"/>
      <c r="FJ30" s="66"/>
      <c r="FK30" s="396">
        <f t="shared" si="71"/>
        <v>10</v>
      </c>
      <c r="FL30" s="397">
        <f t="shared" si="72"/>
        <v>5</v>
      </c>
      <c r="FM30" s="398">
        <f t="shared" si="73"/>
        <v>2.0000000000000004</v>
      </c>
      <c r="FN30" s="398">
        <f t="shared" si="188"/>
        <v>100.00000000000001</v>
      </c>
      <c r="FO30" s="398">
        <f t="shared" si="74"/>
        <v>40.000000000000007</v>
      </c>
      <c r="FP30" s="398">
        <f t="shared" si="75"/>
        <v>2.5000000000000004</v>
      </c>
      <c r="FQ30" s="398">
        <f t="shared" si="189"/>
        <v>1.0000000000000002</v>
      </c>
      <c r="FR30" s="399">
        <f t="shared" si="190"/>
        <v>101.62601626016261</v>
      </c>
      <c r="FS30" s="66"/>
      <c r="FT30" s="66"/>
      <c r="FU30" s="396">
        <f t="shared" si="76"/>
        <v>10</v>
      </c>
      <c r="FV30" s="397">
        <f t="shared" si="77"/>
        <v>5</v>
      </c>
      <c r="FW30" s="398">
        <f t="shared" si="78"/>
        <v>2.0000000000000004</v>
      </c>
      <c r="FX30" s="398">
        <f t="shared" si="191"/>
        <v>100.00000000000001</v>
      </c>
      <c r="FY30" s="398">
        <f t="shared" si="79"/>
        <v>40.000000000000007</v>
      </c>
      <c r="FZ30" s="398">
        <f t="shared" si="80"/>
        <v>-2.5000000000000004</v>
      </c>
      <c r="GA30" s="398">
        <f t="shared" si="192"/>
        <v>1.0000000000000002</v>
      </c>
      <c r="GB30" s="399">
        <f t="shared" si="193"/>
        <v>101.62601626016261</v>
      </c>
      <c r="GC30" s="66"/>
      <c r="GD30" s="66"/>
      <c r="GE30" s="396">
        <f t="shared" si="81"/>
        <v>10</v>
      </c>
      <c r="GF30" s="397">
        <f t="shared" si="82"/>
        <v>5</v>
      </c>
      <c r="GG30" s="398">
        <f t="shared" si="83"/>
        <v>2.0000000000000004</v>
      </c>
      <c r="GH30" s="398">
        <f t="shared" si="194"/>
        <v>100.00000000000001</v>
      </c>
      <c r="GI30" s="398">
        <f t="shared" si="84"/>
        <v>40.000000000000007</v>
      </c>
      <c r="GJ30" s="398">
        <f t="shared" si="85"/>
        <v>-7.5</v>
      </c>
      <c r="GK30" s="398">
        <f t="shared" si="195"/>
        <v>1.0000000000000002</v>
      </c>
      <c r="GL30" s="399">
        <f t="shared" si="196"/>
        <v>101.62601626016261</v>
      </c>
      <c r="GM30" s="66"/>
      <c r="GN30" s="66"/>
      <c r="GO30" s="396">
        <f t="shared" si="86"/>
        <v>10</v>
      </c>
      <c r="GP30" s="397">
        <f t="shared" si="87"/>
        <v>5</v>
      </c>
      <c r="GQ30" s="398">
        <f t="shared" si="88"/>
        <v>2.0000000000000004</v>
      </c>
      <c r="GR30" s="398">
        <f t="shared" si="197"/>
        <v>100.00000000000001</v>
      </c>
      <c r="GS30" s="398">
        <f t="shared" si="89"/>
        <v>50</v>
      </c>
      <c r="GT30" s="398">
        <f t="shared" si="90"/>
        <v>7.5</v>
      </c>
      <c r="GU30" s="398">
        <f t="shared" si="198"/>
        <v>1.0000000000000002</v>
      </c>
      <c r="GV30" s="399">
        <f t="shared" si="199"/>
        <v>101.62601626016261</v>
      </c>
      <c r="GW30" s="66"/>
      <c r="GX30" s="66"/>
      <c r="GY30" s="396">
        <f t="shared" si="91"/>
        <v>10</v>
      </c>
      <c r="GZ30" s="397">
        <f t="shared" si="92"/>
        <v>5</v>
      </c>
      <c r="HA30" s="398">
        <f t="shared" si="93"/>
        <v>2.0000000000000004</v>
      </c>
      <c r="HB30" s="398">
        <f t="shared" si="200"/>
        <v>100.00000000000001</v>
      </c>
      <c r="HC30" s="398">
        <f t="shared" si="94"/>
        <v>50</v>
      </c>
      <c r="HD30" s="398">
        <f t="shared" si="95"/>
        <v>2.5000000000000004</v>
      </c>
      <c r="HE30" s="398">
        <f t="shared" si="201"/>
        <v>1.0000000000000002</v>
      </c>
      <c r="HF30" s="399">
        <f t="shared" si="202"/>
        <v>101.62601626016261</v>
      </c>
      <c r="HH30" s="66"/>
      <c r="HI30" s="396">
        <f t="shared" si="96"/>
        <v>10</v>
      </c>
      <c r="HJ30" s="397">
        <f t="shared" si="97"/>
        <v>5</v>
      </c>
      <c r="HK30" s="398">
        <f t="shared" si="98"/>
        <v>2.0000000000000004</v>
      </c>
      <c r="HL30" s="398">
        <f t="shared" si="203"/>
        <v>100.00000000000001</v>
      </c>
      <c r="HM30" s="398">
        <f t="shared" si="99"/>
        <v>50</v>
      </c>
      <c r="HN30" s="398">
        <f t="shared" si="100"/>
        <v>-2.5000000000000004</v>
      </c>
      <c r="HO30" s="398">
        <f t="shared" si="204"/>
        <v>1.0000000000000002</v>
      </c>
      <c r="HP30" s="399">
        <f t="shared" si="205"/>
        <v>101.62601626016261</v>
      </c>
      <c r="HQ30" s="66"/>
      <c r="HR30" s="66"/>
      <c r="HS30" s="396">
        <f t="shared" si="101"/>
        <v>10</v>
      </c>
      <c r="HT30" s="397">
        <f t="shared" si="102"/>
        <v>5</v>
      </c>
      <c r="HU30" s="398">
        <f t="shared" si="103"/>
        <v>2.0000000000000004</v>
      </c>
      <c r="HV30" s="398">
        <f t="shared" si="206"/>
        <v>100.00000000000001</v>
      </c>
      <c r="HW30" s="398">
        <f t="shared" si="104"/>
        <v>50</v>
      </c>
      <c r="HX30" s="398">
        <f t="shared" si="105"/>
        <v>-7.5</v>
      </c>
      <c r="HY30" s="398">
        <f t="shared" si="207"/>
        <v>1.0000000000000002</v>
      </c>
      <c r="HZ30" s="399">
        <f t="shared" si="208"/>
        <v>101.62601626016261</v>
      </c>
      <c r="IA30" s="66"/>
      <c r="IB30" s="66"/>
      <c r="IC30" s="396">
        <f t="shared" si="106"/>
        <v>3.5400000000000005</v>
      </c>
      <c r="ID30" s="397">
        <f t="shared" si="107"/>
        <v>20</v>
      </c>
      <c r="IE30" s="398">
        <f t="shared" si="108"/>
        <v>2.0000000000000004</v>
      </c>
      <c r="IF30" s="398">
        <f t="shared" si="209"/>
        <v>70.696950910151429</v>
      </c>
      <c r="IG30" s="398">
        <f t="shared" si="109"/>
        <v>56.180592604178038</v>
      </c>
      <c r="IH30" s="398">
        <f t="shared" si="110"/>
        <v>0</v>
      </c>
      <c r="II30" s="398">
        <f t="shared" si="210"/>
        <v>1.3340029425740543</v>
      </c>
      <c r="IJ30" s="399">
        <f t="shared" si="211"/>
        <v>2302.4390243902444</v>
      </c>
      <c r="IK30" s="66"/>
      <c r="IL30" s="66"/>
      <c r="IM30" s="396">
        <f t="shared" si="111"/>
        <v>11</v>
      </c>
      <c r="IN30" s="397">
        <f t="shared" si="112"/>
        <v>13.75</v>
      </c>
      <c r="IO30" s="398">
        <f t="shared" si="113"/>
        <v>2.0000000000000004</v>
      </c>
      <c r="IP30" s="398">
        <f t="shared" si="212"/>
        <v>277.90359441245005</v>
      </c>
      <c r="IQ30" s="398">
        <f t="shared" si="114"/>
        <v>67.706334500932556</v>
      </c>
      <c r="IR30" s="398">
        <f t="shared" si="115"/>
        <v>6.8749999999999991</v>
      </c>
      <c r="IS30" s="398">
        <f t="shared" si="213"/>
        <v>1.0530779884374268</v>
      </c>
      <c r="IT30" s="399">
        <f t="shared" si="214"/>
        <v>2324.8539126016262</v>
      </c>
      <c r="IU30" s="66"/>
      <c r="IV30" s="66"/>
      <c r="IW30" s="396">
        <f t="shared" si="116"/>
        <v>11</v>
      </c>
      <c r="IX30" s="397">
        <f t="shared" si="117"/>
        <v>13.75</v>
      </c>
      <c r="IY30" s="398">
        <f t="shared" si="118"/>
        <v>2.0000000000000004</v>
      </c>
      <c r="IZ30" s="398">
        <f t="shared" si="215"/>
        <v>277.90359441245005</v>
      </c>
      <c r="JA30" s="398">
        <f t="shared" si="119"/>
        <v>67.706334500932556</v>
      </c>
      <c r="JB30" s="398">
        <f t="shared" si="120"/>
        <v>-6.8749999999999991</v>
      </c>
      <c r="JC30" s="398">
        <f t="shared" si="216"/>
        <v>1.0530779884374268</v>
      </c>
      <c r="JD30" s="399">
        <f t="shared" si="217"/>
        <v>2324.8539126016262</v>
      </c>
      <c r="JE30" s="66"/>
      <c r="JF30" s="66"/>
      <c r="JG30" s="396">
        <f t="shared" si="121"/>
        <v>5</v>
      </c>
      <c r="JH30" s="397">
        <f t="shared" si="122"/>
        <v>6.875</v>
      </c>
      <c r="JI30" s="398">
        <f t="shared" si="123"/>
        <v>2.0000000000000004</v>
      </c>
      <c r="JJ30" s="398">
        <f t="shared" si="218"/>
        <v>34.324967338085521</v>
      </c>
      <c r="JK30" s="398">
        <f t="shared" si="124"/>
        <v>71.267503678217579</v>
      </c>
      <c r="JL30" s="398">
        <f t="shared" si="125"/>
        <v>10.312499999999998</v>
      </c>
      <c r="JM30" s="398">
        <f t="shared" si="219"/>
        <v>2.530002942574054</v>
      </c>
      <c r="JN30" s="399">
        <f t="shared" si="220"/>
        <v>132.09397230691059</v>
      </c>
      <c r="JO30" s="66"/>
      <c r="JP30" s="66"/>
      <c r="JQ30" s="396">
        <f t="shared" si="126"/>
        <v>5</v>
      </c>
      <c r="JR30" s="397">
        <f t="shared" si="127"/>
        <v>6.875</v>
      </c>
      <c r="JS30" s="398">
        <f t="shared" si="128"/>
        <v>2.0000000000000004</v>
      </c>
      <c r="JT30" s="398">
        <f t="shared" si="221"/>
        <v>34.324967338085521</v>
      </c>
      <c r="JU30" s="398">
        <f t="shared" si="129"/>
        <v>71.267503678217579</v>
      </c>
      <c r="JV30" s="398">
        <f t="shared" si="130"/>
        <v>3.4375000000000004</v>
      </c>
      <c r="JW30" s="398">
        <f t="shared" si="222"/>
        <v>2.530002942574054</v>
      </c>
      <c r="JX30" s="399">
        <f t="shared" si="223"/>
        <v>132.09397230691059</v>
      </c>
      <c r="JY30" s="66"/>
      <c r="JZ30" s="66"/>
      <c r="KA30" s="396">
        <f t="shared" si="131"/>
        <v>5</v>
      </c>
      <c r="KB30" s="397">
        <f t="shared" si="132"/>
        <v>6.875</v>
      </c>
      <c r="KC30" s="398">
        <f t="shared" si="133"/>
        <v>2.0000000000000004</v>
      </c>
      <c r="KD30" s="398">
        <f t="shared" si="224"/>
        <v>34.324967338085521</v>
      </c>
      <c r="KE30" s="398">
        <f t="shared" si="134"/>
        <v>71.267503678217579</v>
      </c>
      <c r="KF30" s="398">
        <f t="shared" si="135"/>
        <v>-3.4375000000000004</v>
      </c>
      <c r="KG30" s="398">
        <f t="shared" si="225"/>
        <v>2.530002942574054</v>
      </c>
      <c r="KH30" s="399">
        <f t="shared" si="226"/>
        <v>132.09397230691059</v>
      </c>
      <c r="KI30" s="66"/>
      <c r="KJ30" s="66"/>
      <c r="KK30" s="396">
        <f t="shared" si="136"/>
        <v>5</v>
      </c>
      <c r="KL30" s="397">
        <f t="shared" si="137"/>
        <v>6.875</v>
      </c>
      <c r="KM30" s="398">
        <f t="shared" si="138"/>
        <v>2.0000000000000004</v>
      </c>
      <c r="KN30" s="398">
        <f t="shared" si="227"/>
        <v>34.324967338085521</v>
      </c>
      <c r="KO30" s="398">
        <f t="shared" si="139"/>
        <v>71.267503678217579</v>
      </c>
      <c r="KP30" s="398">
        <f t="shared" si="140"/>
        <v>-10.312499999999998</v>
      </c>
      <c r="KQ30" s="398">
        <f t="shared" si="228"/>
        <v>2.530002942574054</v>
      </c>
      <c r="KR30" s="399">
        <f t="shared" si="229"/>
        <v>132.09397230691059</v>
      </c>
      <c r="KS30" s="66"/>
      <c r="KT30" s="66"/>
      <c r="KU30" s="396">
        <f t="shared" si="141"/>
        <v>5</v>
      </c>
      <c r="KV30" s="397">
        <f t="shared" si="142"/>
        <v>5</v>
      </c>
      <c r="KW30" s="398">
        <f t="shared" si="143"/>
        <v>2.0000000000000004</v>
      </c>
      <c r="KX30" s="398">
        <f t="shared" si="230"/>
        <v>50.000000000000007</v>
      </c>
      <c r="KY30" s="398">
        <f t="shared" si="144"/>
        <v>57.5</v>
      </c>
      <c r="KZ30" s="398">
        <f t="shared" si="145"/>
        <v>0</v>
      </c>
      <c r="LA30" s="398">
        <f t="shared" si="231"/>
        <v>1.0000000000000002</v>
      </c>
      <c r="LB30" s="399">
        <f t="shared" si="232"/>
        <v>50.813008130081307</v>
      </c>
      <c r="LC30" s="66"/>
    </row>
    <row r="31" spans="1:315" s="67" customFormat="1" ht="15" customHeight="1" x14ac:dyDescent="0.25">
      <c r="A31" s="481"/>
      <c r="B31" s="73">
        <f t="shared" si="0"/>
        <v>21</v>
      </c>
      <c r="C31" s="347" t="str">
        <f>INDEX($AA$1:$LC$6,C$5,C$6+Tbl_Ballasts[[#This Row],[Index]]*Ballasts_columns_step)</f>
        <v>WB1F</v>
      </c>
      <c r="D31" s="114" t="str">
        <f ca="1">IFERROR(OFFSET($AA$1,D$5,D$6+Tbl_Ballasts[[#This Row],[Index]]*Ballasts_columns_step),0)</f>
        <v>OK</v>
      </c>
      <c r="E31" s="348">
        <v>1</v>
      </c>
      <c r="F31" s="350">
        <v>1</v>
      </c>
      <c r="G31" s="763" t="str">
        <f>TEXT(Tbl_Ballasts[[#This Row],[Recap Row]],"00")&amp;TEXT(Tbl_Ballasts[[#This Row],[Recap Col]],"00")</f>
        <v>0101</v>
      </c>
      <c r="H31" s="760">
        <f>INDEX(Recap_Ballasts,Tbl_Ballasts[[#This Row],[Recap Row]],Tbl_Ballasts[[#This Row],[Recap Col]])</f>
        <v>0</v>
      </c>
      <c r="I31" s="493">
        <f ca="1">IFERROR(OFFSET($AA$1,I$5,I$6+Tbl_Ballasts[[#This Row],[Index]]*Ballasts_columns_step),0)</f>
        <v>0</v>
      </c>
      <c r="J31" s="103">
        <f ca="1">IFERROR(OFFSET($AA$1,J$5,J$6+Tbl_Ballasts[[#This Row],[Index]]*Ballasts_columns_step),0)</f>
        <v>0</v>
      </c>
      <c r="K31" s="427">
        <f ca="1">IFERROR(OFFSET($AA$1,K$5,K$6+Tbl_Ballasts[[#This Row],[Index]]*Ballasts_columns_step),0)</f>
        <v>55</v>
      </c>
      <c r="L31" s="428">
        <f ca="1">IFERROR(OFFSET($AA$1,L$5,L$6+Tbl_Ballasts[[#This Row],[Index]]*Ballasts_columns_step),0)</f>
        <v>0</v>
      </c>
      <c r="M31" s="429">
        <f ca="1">IFERROR(OFFSET($AA$1,M$5,M$6+Tbl_Ballasts[[#This Row],[Index]]*Ballasts_columns_step),0)</f>
        <v>0</v>
      </c>
      <c r="N31" s="438">
        <f ca="1">IFERROR(OFFSET($AA$1,N$5,N$6+Tbl_Ballasts[[#This Row],[Index]]*Ballasts_columns_step),0)</f>
        <v>0</v>
      </c>
      <c r="O31" s="437" t="str">
        <f ca="1">IF(Tbl_Ballasts[[#This Row],[Weight Fact]],Tbl_Ballasts[[#This Row],[COG x ]]-Tbl_Ballasts[[#This Row],[Distrib]]/2,"")</f>
        <v/>
      </c>
      <c r="P31" s="439" t="str">
        <f ca="1">IF(Tbl_Ballasts[[#This Row],[Weight Fact]],Tbl_Ballasts[[#This Row],[COG x ]]+Tbl_Ballasts[[#This Row],[Distrib]]/2,"")</f>
        <v/>
      </c>
      <c r="Q31" s="440" t="str">
        <f ca="1">IF(Tbl_Ballasts[[#This Row],[Weight Fact]],ROUND(Tbl_Ballasts[[#This Row],[AP from]]/FE_size,0),"")</f>
        <v/>
      </c>
      <c r="R31" s="441" t="str">
        <f ca="1">IF(Tbl_Ballasts[[#This Row],[Weight Fact]],ROUND(Tbl_Ballasts[[#This Row],[AP to]]/FE_size,0),"")</f>
        <v/>
      </c>
      <c r="S31" s="114" t="str">
        <f ca="1">IF(Tbl_Ballasts[[#This Row],[Weight Fact]]=0,"",IF(AND(Tbl_Ballasts[[#This Row],[COG x ]]&gt;=(Tbl_Ballasts[[#This Row],[L to]]-Tbl_Ballasts[[#This Row],[L from]])/3+Tbl_Ballasts[[#This Row],[L from]],Tbl_Ballasts[[#This Row],[COG x ]]&lt;=(Tbl_Ballasts[[#This Row],[L to]]-Tbl_Ballasts[[#This Row],[L from]])*2/3+Tbl_Ballasts[[#This Row],[L from]],Tbl_Ballasts[[#This Row],[L to]]&gt;Tbl_Ballasts[[#This Row],[L from]]),"OK","KO"))</f>
        <v/>
      </c>
      <c r="T31" s="442" t="str">
        <f ca="1">IF(Tbl_Ballasts[[#This Row],[Weight Fact]],IF(Tbl_Ballasts[[#This Row],[Fr from]]*FE_size&lt;0,0,Tbl_Ballasts[[#This Row],[Fr from]]*FE_size),"")</f>
        <v/>
      </c>
      <c r="U31" s="443" t="str">
        <f ca="1">IF(Tbl_Ballasts[[#This Row],[Weight Fact]],IF(Tbl_Ballasts[[#This Row],[Fr to]]*FE_size=Tbl_Ballasts[[#This Row],[L from]],Tbl_Ballasts[[#This Row],[L from]]+FE_size,IF(Tbl_Ballasts[[#This Row],[Fr to]]*FE_size&gt;Lpp,Lpp,Tbl_Ballasts[[#This Row],[Fr to]]*FE_size)),"")</f>
        <v/>
      </c>
      <c r="V31" s="444" t="str">
        <f ca="1">IFERROR(Tbl_Ballasts[[#This Row],[Weight Fact]]/(Tbl_Ballasts[[#This Row],[L to]]-Tbl_Ballasts[[#This Row],[L from]]),"")</f>
        <v/>
      </c>
      <c r="W31" s="145" t="str">
        <f ca="1">IF(Tbl_Ballasts[[#This Row],[Weight Fact]],Tbl_Ballasts[[#This Row],[Spread]]*(Tbl_Ballasts[[#This Row],[L to]]-Tbl_Ballasts[[#This Row],[L from]])-Tbl_Ballasts[[#This Row],[Weight Fact]],"")</f>
        <v/>
      </c>
      <c r="X31" s="141" t="str">
        <f ca="1">IF(AND(ISNUMBER(Tbl_Ballasts[[#This Row],[L from]]),ISNUMBER(Tbl_Ballasts[[#This Row],[L to]])),IF(AND(Tbl_Ballasts[[#This Row],[L from]]&gt;=0,Tbl_Ballasts[[#This Row],[L to]]&lt;=Lpp),"OK","KO"),"OK")</f>
        <v>OK</v>
      </c>
      <c r="Y31" s="481"/>
      <c r="Z31" s="413"/>
      <c r="AA31" s="396">
        <f t="shared" si="1"/>
        <v>3.7317000000000009</v>
      </c>
      <c r="AB31" s="397">
        <f t="shared" si="2"/>
        <v>20</v>
      </c>
      <c r="AC31" s="398">
        <f t="shared" si="3"/>
        <v>2.1000000000000005</v>
      </c>
      <c r="AD31" s="398">
        <f t="shared" si="146"/>
        <v>78.261520906192715</v>
      </c>
      <c r="AE31" s="398">
        <f t="shared" si="4"/>
        <v>3.7555210853945615</v>
      </c>
      <c r="AF31" s="398">
        <f t="shared" si="5"/>
        <v>0</v>
      </c>
      <c r="AG31" s="398">
        <f t="shared" si="147"/>
        <v>1.4006515639903645</v>
      </c>
      <c r="AH31" s="399">
        <f t="shared" si="148"/>
        <v>2427.121951219513</v>
      </c>
      <c r="AI31" s="367"/>
      <c r="AJ31" s="66"/>
      <c r="AK31" s="396">
        <f t="shared" si="6"/>
        <v>10</v>
      </c>
      <c r="AL31" s="397">
        <f t="shared" si="7"/>
        <v>5</v>
      </c>
      <c r="AM31" s="398">
        <f t="shared" si="8"/>
        <v>2.1000000000000005</v>
      </c>
      <c r="AN31" s="398">
        <f t="shared" si="149"/>
        <v>105.00000000000001</v>
      </c>
      <c r="AO31" s="398">
        <f t="shared" si="9"/>
        <v>10.000000000000004</v>
      </c>
      <c r="AP31" s="398">
        <f t="shared" si="10"/>
        <v>7.5</v>
      </c>
      <c r="AQ31" s="398">
        <f t="shared" si="150"/>
        <v>1.0500000000000003</v>
      </c>
      <c r="AR31" s="399">
        <f t="shared" si="151"/>
        <v>101.62601626016261</v>
      </c>
      <c r="AS31" s="66"/>
      <c r="AT31" s="66"/>
      <c r="AU31" s="396">
        <f t="shared" si="11"/>
        <v>10</v>
      </c>
      <c r="AV31" s="397">
        <f t="shared" si="12"/>
        <v>5</v>
      </c>
      <c r="AW31" s="398">
        <f t="shared" si="13"/>
        <v>2.1000000000000005</v>
      </c>
      <c r="AX31" s="398">
        <f t="shared" si="152"/>
        <v>105.00000000000001</v>
      </c>
      <c r="AY31" s="398">
        <f t="shared" si="14"/>
        <v>10.000000000000004</v>
      </c>
      <c r="AZ31" s="398">
        <f t="shared" si="15"/>
        <v>2.5000000000000009</v>
      </c>
      <c r="BA31" s="398">
        <f t="shared" si="153"/>
        <v>1.0500000000000003</v>
      </c>
      <c r="BB31" s="399">
        <f t="shared" si="154"/>
        <v>101.62601626016261</v>
      </c>
      <c r="BC31" s="66"/>
      <c r="BD31" s="66"/>
      <c r="BE31" s="396">
        <f t="shared" si="16"/>
        <v>10</v>
      </c>
      <c r="BF31" s="397">
        <f t="shared" si="17"/>
        <v>5</v>
      </c>
      <c r="BG31" s="398">
        <f t="shared" si="18"/>
        <v>2.1000000000000005</v>
      </c>
      <c r="BH31" s="398">
        <f t="shared" si="155"/>
        <v>105.00000000000001</v>
      </c>
      <c r="BI31" s="398">
        <f t="shared" si="19"/>
        <v>10.000000000000004</v>
      </c>
      <c r="BJ31" s="398">
        <f t="shared" si="20"/>
        <v>-2.5000000000000009</v>
      </c>
      <c r="BK31" s="398">
        <f t="shared" si="156"/>
        <v>1.0500000000000003</v>
      </c>
      <c r="BL31" s="399">
        <f t="shared" si="157"/>
        <v>101.62601626016261</v>
      </c>
      <c r="BM31" s="66"/>
      <c r="BN31" s="66"/>
      <c r="BO31" s="396">
        <f t="shared" si="21"/>
        <v>10</v>
      </c>
      <c r="BP31" s="397">
        <f t="shared" si="22"/>
        <v>5</v>
      </c>
      <c r="BQ31" s="398">
        <f t="shared" si="23"/>
        <v>2.1000000000000005</v>
      </c>
      <c r="BR31" s="398">
        <f t="shared" si="158"/>
        <v>105.00000000000001</v>
      </c>
      <c r="BS31" s="398">
        <f t="shared" si="24"/>
        <v>10.000000000000004</v>
      </c>
      <c r="BT31" s="398">
        <f t="shared" si="25"/>
        <v>-7.5</v>
      </c>
      <c r="BU31" s="398">
        <f t="shared" si="159"/>
        <v>1.0500000000000003</v>
      </c>
      <c r="BV31" s="399">
        <f t="shared" si="160"/>
        <v>101.62601626016261</v>
      </c>
      <c r="BW31" s="66"/>
      <c r="BX31" s="66"/>
      <c r="BY31" s="396">
        <f t="shared" si="26"/>
        <v>10</v>
      </c>
      <c r="BZ31" s="397">
        <f t="shared" si="27"/>
        <v>5</v>
      </c>
      <c r="CA31" s="398">
        <f t="shared" si="28"/>
        <v>2.1000000000000005</v>
      </c>
      <c r="CB31" s="398">
        <f t="shared" si="161"/>
        <v>105.00000000000001</v>
      </c>
      <c r="CC31" s="398">
        <f t="shared" si="29"/>
        <v>20.000000000000007</v>
      </c>
      <c r="CD31" s="398">
        <f t="shared" si="30"/>
        <v>7.5</v>
      </c>
      <c r="CE31" s="398">
        <f t="shared" si="162"/>
        <v>1.0500000000000003</v>
      </c>
      <c r="CF31" s="399">
        <f t="shared" si="163"/>
        <v>101.62601626016261</v>
      </c>
      <c r="CG31" s="66"/>
      <c r="CH31" s="66"/>
      <c r="CI31" s="396">
        <f t="shared" si="31"/>
        <v>10</v>
      </c>
      <c r="CJ31" s="397">
        <f t="shared" si="32"/>
        <v>5</v>
      </c>
      <c r="CK31" s="398">
        <f t="shared" si="33"/>
        <v>2.1000000000000005</v>
      </c>
      <c r="CL31" s="398">
        <f t="shared" si="164"/>
        <v>105.00000000000001</v>
      </c>
      <c r="CM31" s="398">
        <f t="shared" si="34"/>
        <v>20.000000000000007</v>
      </c>
      <c r="CN31" s="398">
        <f t="shared" si="35"/>
        <v>2.5000000000000009</v>
      </c>
      <c r="CO31" s="398">
        <f t="shared" si="165"/>
        <v>1.0500000000000003</v>
      </c>
      <c r="CP31" s="399">
        <f t="shared" si="166"/>
        <v>101.62601626016261</v>
      </c>
      <c r="CQ31" s="66"/>
      <c r="CS31" s="396">
        <f t="shared" si="36"/>
        <v>10</v>
      </c>
      <c r="CT31" s="397">
        <f t="shared" si="37"/>
        <v>5</v>
      </c>
      <c r="CU31" s="398">
        <f t="shared" si="38"/>
        <v>2.1000000000000005</v>
      </c>
      <c r="CV31" s="398">
        <f t="shared" si="167"/>
        <v>105.00000000000001</v>
      </c>
      <c r="CW31" s="398">
        <f t="shared" si="39"/>
        <v>20.000000000000007</v>
      </c>
      <c r="CX31" s="398">
        <f t="shared" si="40"/>
        <v>-2.5000000000000009</v>
      </c>
      <c r="CY31" s="398">
        <f t="shared" si="168"/>
        <v>1.0500000000000003</v>
      </c>
      <c r="CZ31" s="399">
        <f t="shared" si="169"/>
        <v>101.62601626016261</v>
      </c>
      <c r="DA31" s="66"/>
      <c r="DB31" s="66"/>
      <c r="DC31" s="396">
        <f t="shared" si="41"/>
        <v>10</v>
      </c>
      <c r="DD31" s="397">
        <f t="shared" si="42"/>
        <v>5</v>
      </c>
      <c r="DE31" s="398">
        <f t="shared" si="43"/>
        <v>2.1000000000000005</v>
      </c>
      <c r="DF31" s="398">
        <f t="shared" si="170"/>
        <v>105.00000000000001</v>
      </c>
      <c r="DG31" s="398">
        <f t="shared" si="44"/>
        <v>20.000000000000007</v>
      </c>
      <c r="DH31" s="398">
        <f t="shared" si="45"/>
        <v>-7.5</v>
      </c>
      <c r="DI31" s="398">
        <f t="shared" si="171"/>
        <v>1.0500000000000003</v>
      </c>
      <c r="DJ31" s="399">
        <f t="shared" si="172"/>
        <v>101.62601626016261</v>
      </c>
      <c r="DK31" s="66"/>
      <c r="DM31" s="396">
        <f t="shared" si="46"/>
        <v>10</v>
      </c>
      <c r="DN31" s="397">
        <f t="shared" si="47"/>
        <v>5</v>
      </c>
      <c r="DO31" s="398">
        <f t="shared" si="48"/>
        <v>2.1000000000000005</v>
      </c>
      <c r="DP31" s="398">
        <f t="shared" si="173"/>
        <v>105.00000000000001</v>
      </c>
      <c r="DQ31" s="398">
        <f t="shared" si="49"/>
        <v>30</v>
      </c>
      <c r="DR31" s="398">
        <f t="shared" si="50"/>
        <v>7.5</v>
      </c>
      <c r="DS31" s="398">
        <f t="shared" si="174"/>
        <v>1.0500000000000003</v>
      </c>
      <c r="DT31" s="399">
        <f t="shared" si="175"/>
        <v>101.62601626016261</v>
      </c>
      <c r="DU31" s="66"/>
      <c r="DV31" s="66"/>
      <c r="DW31" s="396">
        <f t="shared" si="51"/>
        <v>10</v>
      </c>
      <c r="DX31" s="397">
        <f t="shared" si="52"/>
        <v>5</v>
      </c>
      <c r="DY31" s="398">
        <f t="shared" si="53"/>
        <v>2.1000000000000005</v>
      </c>
      <c r="DZ31" s="398">
        <f t="shared" si="176"/>
        <v>105.00000000000001</v>
      </c>
      <c r="EA31" s="398">
        <f t="shared" si="54"/>
        <v>30</v>
      </c>
      <c r="EB31" s="398">
        <f t="shared" si="55"/>
        <v>2.5000000000000009</v>
      </c>
      <c r="EC31" s="398">
        <f t="shared" si="177"/>
        <v>1.0500000000000003</v>
      </c>
      <c r="ED31" s="399">
        <f t="shared" si="178"/>
        <v>101.62601626016261</v>
      </c>
      <c r="EE31" s="66"/>
      <c r="EF31" s="66"/>
      <c r="EG31" s="396">
        <f t="shared" si="56"/>
        <v>10</v>
      </c>
      <c r="EH31" s="397">
        <f t="shared" si="57"/>
        <v>5</v>
      </c>
      <c r="EI31" s="398">
        <f t="shared" si="58"/>
        <v>2.1000000000000005</v>
      </c>
      <c r="EJ31" s="398">
        <f t="shared" si="179"/>
        <v>105.00000000000001</v>
      </c>
      <c r="EK31" s="398">
        <f t="shared" si="59"/>
        <v>30</v>
      </c>
      <c r="EL31" s="398">
        <f t="shared" si="60"/>
        <v>-2.5000000000000009</v>
      </c>
      <c r="EM31" s="398">
        <f t="shared" si="180"/>
        <v>1.0500000000000003</v>
      </c>
      <c r="EN31" s="399">
        <f t="shared" si="181"/>
        <v>101.62601626016261</v>
      </c>
      <c r="EO31" s="66"/>
      <c r="EP31" s="66"/>
      <c r="EQ31" s="396">
        <f t="shared" si="61"/>
        <v>10</v>
      </c>
      <c r="ER31" s="397">
        <f t="shared" si="62"/>
        <v>5</v>
      </c>
      <c r="ES31" s="398">
        <f t="shared" si="63"/>
        <v>2.1000000000000005</v>
      </c>
      <c r="ET31" s="398">
        <f t="shared" si="182"/>
        <v>105.00000000000001</v>
      </c>
      <c r="EU31" s="398">
        <f t="shared" si="64"/>
        <v>30</v>
      </c>
      <c r="EV31" s="398">
        <f t="shared" si="65"/>
        <v>-7.5</v>
      </c>
      <c r="EW31" s="398">
        <f t="shared" si="183"/>
        <v>1.0500000000000003</v>
      </c>
      <c r="EX31" s="399">
        <f t="shared" si="184"/>
        <v>101.62601626016261</v>
      </c>
      <c r="EY31" s="66"/>
      <c r="EZ31" s="66"/>
      <c r="FA31" s="396">
        <f t="shared" si="66"/>
        <v>10</v>
      </c>
      <c r="FB31" s="397">
        <f t="shared" si="67"/>
        <v>5</v>
      </c>
      <c r="FC31" s="398">
        <f t="shared" si="68"/>
        <v>2.1000000000000005</v>
      </c>
      <c r="FD31" s="398">
        <f t="shared" si="185"/>
        <v>105.00000000000001</v>
      </c>
      <c r="FE31" s="398">
        <f t="shared" si="69"/>
        <v>40.000000000000014</v>
      </c>
      <c r="FF31" s="398">
        <f t="shared" si="70"/>
        <v>7.5</v>
      </c>
      <c r="FG31" s="398">
        <f t="shared" si="186"/>
        <v>1.0500000000000003</v>
      </c>
      <c r="FH31" s="399">
        <f t="shared" si="187"/>
        <v>101.62601626016261</v>
      </c>
      <c r="FI31" s="66"/>
      <c r="FJ31" s="66"/>
      <c r="FK31" s="396">
        <f t="shared" si="71"/>
        <v>10</v>
      </c>
      <c r="FL31" s="397">
        <f t="shared" si="72"/>
        <v>5</v>
      </c>
      <c r="FM31" s="398">
        <f t="shared" si="73"/>
        <v>2.1000000000000005</v>
      </c>
      <c r="FN31" s="398">
        <f t="shared" si="188"/>
        <v>105.00000000000001</v>
      </c>
      <c r="FO31" s="398">
        <f t="shared" si="74"/>
        <v>40.000000000000014</v>
      </c>
      <c r="FP31" s="398">
        <f t="shared" si="75"/>
        <v>2.5000000000000009</v>
      </c>
      <c r="FQ31" s="398">
        <f t="shared" si="189"/>
        <v>1.0500000000000003</v>
      </c>
      <c r="FR31" s="399">
        <f t="shared" si="190"/>
        <v>101.62601626016261</v>
      </c>
      <c r="FS31" s="66"/>
      <c r="FT31" s="66"/>
      <c r="FU31" s="396">
        <f t="shared" si="76"/>
        <v>10</v>
      </c>
      <c r="FV31" s="397">
        <f t="shared" si="77"/>
        <v>5</v>
      </c>
      <c r="FW31" s="398">
        <f t="shared" si="78"/>
        <v>2.1000000000000005</v>
      </c>
      <c r="FX31" s="398">
        <f t="shared" si="191"/>
        <v>105.00000000000001</v>
      </c>
      <c r="FY31" s="398">
        <f t="shared" si="79"/>
        <v>40.000000000000014</v>
      </c>
      <c r="FZ31" s="398">
        <f t="shared" si="80"/>
        <v>-2.5000000000000009</v>
      </c>
      <c r="GA31" s="398">
        <f t="shared" si="192"/>
        <v>1.0500000000000003</v>
      </c>
      <c r="GB31" s="399">
        <f t="shared" si="193"/>
        <v>101.62601626016261</v>
      </c>
      <c r="GC31" s="66"/>
      <c r="GD31" s="66"/>
      <c r="GE31" s="396">
        <f t="shared" si="81"/>
        <v>10</v>
      </c>
      <c r="GF31" s="397">
        <f t="shared" si="82"/>
        <v>5</v>
      </c>
      <c r="GG31" s="398">
        <f t="shared" si="83"/>
        <v>2.1000000000000005</v>
      </c>
      <c r="GH31" s="398">
        <f t="shared" si="194"/>
        <v>105.00000000000001</v>
      </c>
      <c r="GI31" s="398">
        <f t="shared" si="84"/>
        <v>40.000000000000014</v>
      </c>
      <c r="GJ31" s="398">
        <f t="shared" si="85"/>
        <v>-7.5</v>
      </c>
      <c r="GK31" s="398">
        <f t="shared" si="195"/>
        <v>1.0500000000000003</v>
      </c>
      <c r="GL31" s="399">
        <f t="shared" si="196"/>
        <v>101.62601626016261</v>
      </c>
      <c r="GM31" s="66"/>
      <c r="GN31" s="66"/>
      <c r="GO31" s="396">
        <f t="shared" si="86"/>
        <v>10</v>
      </c>
      <c r="GP31" s="397">
        <f t="shared" si="87"/>
        <v>5</v>
      </c>
      <c r="GQ31" s="398">
        <f t="shared" si="88"/>
        <v>2.1000000000000005</v>
      </c>
      <c r="GR31" s="398">
        <f t="shared" si="197"/>
        <v>105.00000000000001</v>
      </c>
      <c r="GS31" s="398">
        <f t="shared" si="89"/>
        <v>50</v>
      </c>
      <c r="GT31" s="398">
        <f t="shared" si="90"/>
        <v>7.5</v>
      </c>
      <c r="GU31" s="398">
        <f t="shared" si="198"/>
        <v>1.0500000000000003</v>
      </c>
      <c r="GV31" s="399">
        <f t="shared" si="199"/>
        <v>101.62601626016261</v>
      </c>
      <c r="GW31" s="66"/>
      <c r="GX31" s="66"/>
      <c r="GY31" s="396">
        <f t="shared" si="91"/>
        <v>10</v>
      </c>
      <c r="GZ31" s="397">
        <f t="shared" si="92"/>
        <v>5</v>
      </c>
      <c r="HA31" s="398">
        <f t="shared" si="93"/>
        <v>2.1000000000000005</v>
      </c>
      <c r="HB31" s="398">
        <f t="shared" si="200"/>
        <v>105.00000000000001</v>
      </c>
      <c r="HC31" s="398">
        <f t="shared" si="94"/>
        <v>50</v>
      </c>
      <c r="HD31" s="398">
        <f t="shared" si="95"/>
        <v>2.5000000000000009</v>
      </c>
      <c r="HE31" s="398">
        <f t="shared" si="201"/>
        <v>1.0500000000000003</v>
      </c>
      <c r="HF31" s="399">
        <f t="shared" si="202"/>
        <v>101.62601626016261</v>
      </c>
      <c r="HH31" s="66"/>
      <c r="HI31" s="396">
        <f t="shared" si="96"/>
        <v>10</v>
      </c>
      <c r="HJ31" s="397">
        <f t="shared" si="97"/>
        <v>5</v>
      </c>
      <c r="HK31" s="398">
        <f t="shared" si="98"/>
        <v>2.1000000000000005</v>
      </c>
      <c r="HL31" s="398">
        <f t="shared" si="203"/>
        <v>105.00000000000001</v>
      </c>
      <c r="HM31" s="398">
        <f t="shared" si="99"/>
        <v>50</v>
      </c>
      <c r="HN31" s="398">
        <f t="shared" si="100"/>
        <v>-2.5000000000000009</v>
      </c>
      <c r="HO31" s="398">
        <f t="shared" si="204"/>
        <v>1.0500000000000003</v>
      </c>
      <c r="HP31" s="399">
        <f t="shared" si="205"/>
        <v>101.62601626016261</v>
      </c>
      <c r="HQ31" s="66"/>
      <c r="HR31" s="66"/>
      <c r="HS31" s="396">
        <f t="shared" si="101"/>
        <v>10</v>
      </c>
      <c r="HT31" s="397">
        <f t="shared" si="102"/>
        <v>5</v>
      </c>
      <c r="HU31" s="398">
        <f t="shared" si="103"/>
        <v>2.1000000000000005</v>
      </c>
      <c r="HV31" s="398">
        <f t="shared" si="206"/>
        <v>105.00000000000001</v>
      </c>
      <c r="HW31" s="398">
        <f t="shared" si="104"/>
        <v>50</v>
      </c>
      <c r="HX31" s="398">
        <f t="shared" si="105"/>
        <v>-7.5</v>
      </c>
      <c r="HY31" s="398">
        <f t="shared" si="207"/>
        <v>1.0500000000000003</v>
      </c>
      <c r="HZ31" s="399">
        <f t="shared" si="208"/>
        <v>101.62601626016261</v>
      </c>
      <c r="IA31" s="66"/>
      <c r="IB31" s="66"/>
      <c r="IC31" s="396">
        <f t="shared" si="106"/>
        <v>3.7170000000000005</v>
      </c>
      <c r="ID31" s="397">
        <f t="shared" si="107"/>
        <v>20</v>
      </c>
      <c r="IE31" s="398">
        <f t="shared" si="108"/>
        <v>2.1000000000000005</v>
      </c>
      <c r="IF31" s="398">
        <f t="shared" si="209"/>
        <v>77.953231290917898</v>
      </c>
      <c r="IG31" s="398">
        <f t="shared" si="109"/>
        <v>56.239576634131467</v>
      </c>
      <c r="IH31" s="398">
        <f t="shared" si="110"/>
        <v>0</v>
      </c>
      <c r="II31" s="398">
        <f t="shared" si="210"/>
        <v>1.4006515639903641</v>
      </c>
      <c r="IJ31" s="399">
        <f t="shared" si="211"/>
        <v>2417.560975609757</v>
      </c>
      <c r="IK31" s="66"/>
      <c r="IL31" s="66"/>
      <c r="IM31" s="396">
        <f t="shared" si="111"/>
        <v>11</v>
      </c>
      <c r="IN31" s="397">
        <f t="shared" si="112"/>
        <v>13.75</v>
      </c>
      <c r="IO31" s="398">
        <f t="shared" si="113"/>
        <v>2.1000000000000005</v>
      </c>
      <c r="IP31" s="398">
        <f t="shared" si="212"/>
        <v>293.02859441245005</v>
      </c>
      <c r="IQ31" s="398">
        <f t="shared" si="114"/>
        <v>67.726912068406762</v>
      </c>
      <c r="IR31" s="398">
        <f t="shared" si="115"/>
        <v>6.8749999999999991</v>
      </c>
      <c r="IS31" s="398">
        <f t="shared" si="213"/>
        <v>1.1045352377038939</v>
      </c>
      <c r="IT31" s="399">
        <f t="shared" si="214"/>
        <v>2324.8539126016262</v>
      </c>
      <c r="IU31" s="66"/>
      <c r="IV31" s="66"/>
      <c r="IW31" s="396">
        <f t="shared" si="116"/>
        <v>11</v>
      </c>
      <c r="IX31" s="397">
        <f t="shared" si="117"/>
        <v>13.75</v>
      </c>
      <c r="IY31" s="398">
        <f t="shared" si="118"/>
        <v>2.1000000000000005</v>
      </c>
      <c r="IZ31" s="398">
        <f t="shared" si="215"/>
        <v>293.02859441245005</v>
      </c>
      <c r="JA31" s="398">
        <f t="shared" si="119"/>
        <v>67.726912068406762</v>
      </c>
      <c r="JB31" s="398">
        <f t="shared" si="120"/>
        <v>-6.8749999999999991</v>
      </c>
      <c r="JC31" s="398">
        <f t="shared" si="216"/>
        <v>1.1045352377038939</v>
      </c>
      <c r="JD31" s="399">
        <f t="shared" si="217"/>
        <v>2324.8539126016262</v>
      </c>
      <c r="JE31" s="66"/>
      <c r="JF31" s="66"/>
      <c r="JG31" s="396">
        <f t="shared" si="121"/>
        <v>5.25</v>
      </c>
      <c r="JH31" s="397">
        <f t="shared" si="122"/>
        <v>6.875</v>
      </c>
      <c r="JI31" s="398">
        <f t="shared" si="123"/>
        <v>2.1000000000000005</v>
      </c>
      <c r="JJ31" s="398">
        <f t="shared" si="218"/>
        <v>37.848055446685059</v>
      </c>
      <c r="JK31" s="398">
        <f t="shared" si="124"/>
        <v>71.350814454987969</v>
      </c>
      <c r="JL31" s="398">
        <f t="shared" si="125"/>
        <v>10.312499999999998</v>
      </c>
      <c r="JM31" s="398">
        <f t="shared" si="219"/>
        <v>2.5966515639903638</v>
      </c>
      <c r="JN31" s="399">
        <f t="shared" si="220"/>
        <v>138.6986709222561</v>
      </c>
      <c r="JO31" s="66"/>
      <c r="JP31" s="66"/>
      <c r="JQ31" s="396">
        <f t="shared" si="126"/>
        <v>5.25</v>
      </c>
      <c r="JR31" s="397">
        <f t="shared" si="127"/>
        <v>6.875</v>
      </c>
      <c r="JS31" s="398">
        <f t="shared" si="128"/>
        <v>2.1000000000000005</v>
      </c>
      <c r="JT31" s="398">
        <f t="shared" si="221"/>
        <v>37.848055446685059</v>
      </c>
      <c r="JU31" s="398">
        <f t="shared" si="129"/>
        <v>71.350814454987969</v>
      </c>
      <c r="JV31" s="398">
        <f t="shared" si="130"/>
        <v>3.4375000000000004</v>
      </c>
      <c r="JW31" s="398">
        <f t="shared" si="222"/>
        <v>2.5966515639903638</v>
      </c>
      <c r="JX31" s="399">
        <f t="shared" si="223"/>
        <v>138.6986709222561</v>
      </c>
      <c r="JY31" s="66"/>
      <c r="JZ31" s="66"/>
      <c r="KA31" s="396">
        <f t="shared" si="131"/>
        <v>5.25</v>
      </c>
      <c r="KB31" s="397">
        <f t="shared" si="132"/>
        <v>6.875</v>
      </c>
      <c r="KC31" s="398">
        <f t="shared" si="133"/>
        <v>2.1000000000000005</v>
      </c>
      <c r="KD31" s="398">
        <f t="shared" si="224"/>
        <v>37.848055446685059</v>
      </c>
      <c r="KE31" s="398">
        <f t="shared" si="134"/>
        <v>71.350814454987969</v>
      </c>
      <c r="KF31" s="398">
        <f t="shared" si="135"/>
        <v>-3.4375000000000004</v>
      </c>
      <c r="KG31" s="398">
        <f t="shared" si="225"/>
        <v>2.5966515639903638</v>
      </c>
      <c r="KH31" s="399">
        <f t="shared" si="226"/>
        <v>138.6986709222561</v>
      </c>
      <c r="KI31" s="66"/>
      <c r="KJ31" s="66"/>
      <c r="KK31" s="396">
        <f t="shared" si="136"/>
        <v>5.25</v>
      </c>
      <c r="KL31" s="397">
        <f t="shared" si="137"/>
        <v>6.875</v>
      </c>
      <c r="KM31" s="398">
        <f t="shared" si="138"/>
        <v>2.1000000000000005</v>
      </c>
      <c r="KN31" s="398">
        <f t="shared" si="227"/>
        <v>37.848055446685059</v>
      </c>
      <c r="KO31" s="398">
        <f t="shared" si="139"/>
        <v>71.350814454987969</v>
      </c>
      <c r="KP31" s="398">
        <f t="shared" si="140"/>
        <v>-10.312499999999998</v>
      </c>
      <c r="KQ31" s="398">
        <f t="shared" si="228"/>
        <v>2.5966515639903638</v>
      </c>
      <c r="KR31" s="399">
        <f t="shared" si="229"/>
        <v>138.6986709222561</v>
      </c>
      <c r="KS31" s="66"/>
      <c r="KT31" s="66"/>
      <c r="KU31" s="396">
        <f t="shared" si="141"/>
        <v>5</v>
      </c>
      <c r="KV31" s="397">
        <f t="shared" si="142"/>
        <v>5</v>
      </c>
      <c r="KW31" s="398">
        <f t="shared" si="143"/>
        <v>2.1000000000000005</v>
      </c>
      <c r="KX31" s="398">
        <f t="shared" si="230"/>
        <v>52.500000000000007</v>
      </c>
      <c r="KY31" s="398">
        <f t="shared" si="144"/>
        <v>57.5</v>
      </c>
      <c r="KZ31" s="398">
        <f t="shared" si="145"/>
        <v>0</v>
      </c>
      <c r="LA31" s="398">
        <f t="shared" si="231"/>
        <v>1.0500000000000003</v>
      </c>
      <c r="LB31" s="399">
        <f t="shared" si="232"/>
        <v>50.813008130081307</v>
      </c>
      <c r="LC31" s="66"/>
    </row>
    <row r="32" spans="1:315" s="67" customFormat="1" ht="15" customHeight="1" x14ac:dyDescent="0.25">
      <c r="A32" s="481"/>
      <c r="Y32" s="481"/>
      <c r="Z32" s="413"/>
      <c r="AA32" s="396">
        <f t="shared" si="1"/>
        <v>3.9094000000000011</v>
      </c>
      <c r="AB32" s="397">
        <f t="shared" si="2"/>
        <v>20</v>
      </c>
      <c r="AC32" s="398">
        <f t="shared" si="3"/>
        <v>2.2000000000000006</v>
      </c>
      <c r="AD32" s="398">
        <f t="shared" si="146"/>
        <v>85.901932053351629</v>
      </c>
      <c r="AE32" s="398">
        <f t="shared" si="4"/>
        <v>3.6963029082128891</v>
      </c>
      <c r="AF32" s="398">
        <f t="shared" si="5"/>
        <v>0</v>
      </c>
      <c r="AG32" s="398">
        <f t="shared" si="147"/>
        <v>1.4673011725234795</v>
      </c>
      <c r="AH32" s="399">
        <f t="shared" si="148"/>
        <v>2542.6991869918706</v>
      </c>
      <c r="AI32" s="367"/>
      <c r="AJ32" s="66"/>
      <c r="AK32" s="396">
        <f t="shared" si="6"/>
        <v>10</v>
      </c>
      <c r="AL32" s="397">
        <f t="shared" si="7"/>
        <v>5</v>
      </c>
      <c r="AM32" s="398">
        <f t="shared" si="8"/>
        <v>2.2000000000000006</v>
      </c>
      <c r="AN32" s="398">
        <f t="shared" si="149"/>
        <v>110.00000000000001</v>
      </c>
      <c r="AO32" s="398">
        <f t="shared" si="9"/>
        <v>10.000000000000004</v>
      </c>
      <c r="AP32" s="398">
        <f t="shared" si="10"/>
        <v>7.5</v>
      </c>
      <c r="AQ32" s="398">
        <f t="shared" si="150"/>
        <v>1.1000000000000003</v>
      </c>
      <c r="AR32" s="399">
        <f t="shared" si="151"/>
        <v>101.62601626016261</v>
      </c>
      <c r="AS32" s="66"/>
      <c r="AT32" s="66"/>
      <c r="AU32" s="396">
        <f t="shared" si="11"/>
        <v>10</v>
      </c>
      <c r="AV32" s="397">
        <f t="shared" si="12"/>
        <v>5</v>
      </c>
      <c r="AW32" s="398">
        <f t="shared" si="13"/>
        <v>2.2000000000000006</v>
      </c>
      <c r="AX32" s="398">
        <f t="shared" si="152"/>
        <v>110.00000000000001</v>
      </c>
      <c r="AY32" s="398">
        <f t="shared" si="14"/>
        <v>10.000000000000004</v>
      </c>
      <c r="AZ32" s="398">
        <f t="shared" si="15"/>
        <v>2.5000000000000009</v>
      </c>
      <c r="BA32" s="398">
        <f t="shared" si="153"/>
        <v>1.1000000000000003</v>
      </c>
      <c r="BB32" s="399">
        <f t="shared" si="154"/>
        <v>101.62601626016261</v>
      </c>
      <c r="BC32" s="66"/>
      <c r="BD32" s="66"/>
      <c r="BE32" s="396">
        <f t="shared" si="16"/>
        <v>10</v>
      </c>
      <c r="BF32" s="397">
        <f t="shared" si="17"/>
        <v>5</v>
      </c>
      <c r="BG32" s="398">
        <f t="shared" si="18"/>
        <v>2.2000000000000006</v>
      </c>
      <c r="BH32" s="398">
        <f t="shared" si="155"/>
        <v>110.00000000000001</v>
      </c>
      <c r="BI32" s="398">
        <f t="shared" si="19"/>
        <v>10.000000000000004</v>
      </c>
      <c r="BJ32" s="398">
        <f t="shared" si="20"/>
        <v>-2.5000000000000009</v>
      </c>
      <c r="BK32" s="398">
        <f t="shared" si="156"/>
        <v>1.1000000000000003</v>
      </c>
      <c r="BL32" s="399">
        <f t="shared" si="157"/>
        <v>101.62601626016261</v>
      </c>
      <c r="BM32" s="66"/>
      <c r="BN32" s="66"/>
      <c r="BO32" s="396">
        <f t="shared" si="21"/>
        <v>10</v>
      </c>
      <c r="BP32" s="397">
        <f t="shared" si="22"/>
        <v>5</v>
      </c>
      <c r="BQ32" s="398">
        <f t="shared" si="23"/>
        <v>2.2000000000000006</v>
      </c>
      <c r="BR32" s="398">
        <f t="shared" si="158"/>
        <v>110.00000000000001</v>
      </c>
      <c r="BS32" s="398">
        <f t="shared" si="24"/>
        <v>10.000000000000004</v>
      </c>
      <c r="BT32" s="398">
        <f t="shared" si="25"/>
        <v>-7.5</v>
      </c>
      <c r="BU32" s="398">
        <f t="shared" si="159"/>
        <v>1.1000000000000003</v>
      </c>
      <c r="BV32" s="399">
        <f t="shared" si="160"/>
        <v>101.62601626016261</v>
      </c>
      <c r="BW32" s="66"/>
      <c r="BX32" s="66"/>
      <c r="BY32" s="396">
        <f t="shared" si="26"/>
        <v>10</v>
      </c>
      <c r="BZ32" s="397">
        <f t="shared" si="27"/>
        <v>5</v>
      </c>
      <c r="CA32" s="398">
        <f t="shared" si="28"/>
        <v>2.2000000000000006</v>
      </c>
      <c r="CB32" s="398">
        <f t="shared" si="161"/>
        <v>110.00000000000001</v>
      </c>
      <c r="CC32" s="398">
        <f t="shared" si="29"/>
        <v>20.000000000000007</v>
      </c>
      <c r="CD32" s="398">
        <f t="shared" si="30"/>
        <v>7.5</v>
      </c>
      <c r="CE32" s="398">
        <f t="shared" si="162"/>
        <v>1.1000000000000003</v>
      </c>
      <c r="CF32" s="399">
        <f t="shared" si="163"/>
        <v>101.62601626016261</v>
      </c>
      <c r="CG32" s="66"/>
      <c r="CH32" s="66"/>
      <c r="CI32" s="396">
        <f t="shared" si="31"/>
        <v>10</v>
      </c>
      <c r="CJ32" s="397">
        <f t="shared" si="32"/>
        <v>5</v>
      </c>
      <c r="CK32" s="398">
        <f t="shared" si="33"/>
        <v>2.2000000000000006</v>
      </c>
      <c r="CL32" s="398">
        <f t="shared" si="164"/>
        <v>110.00000000000001</v>
      </c>
      <c r="CM32" s="398">
        <f t="shared" si="34"/>
        <v>20.000000000000007</v>
      </c>
      <c r="CN32" s="398">
        <f t="shared" si="35"/>
        <v>2.5000000000000009</v>
      </c>
      <c r="CO32" s="398">
        <f t="shared" si="165"/>
        <v>1.1000000000000003</v>
      </c>
      <c r="CP32" s="399">
        <f t="shared" si="166"/>
        <v>101.62601626016261</v>
      </c>
      <c r="CQ32" s="66"/>
      <c r="CS32" s="396">
        <f t="shared" si="36"/>
        <v>10</v>
      </c>
      <c r="CT32" s="397">
        <f t="shared" si="37"/>
        <v>5</v>
      </c>
      <c r="CU32" s="398">
        <f t="shared" si="38"/>
        <v>2.2000000000000006</v>
      </c>
      <c r="CV32" s="398">
        <f t="shared" si="167"/>
        <v>110.00000000000001</v>
      </c>
      <c r="CW32" s="398">
        <f t="shared" si="39"/>
        <v>20.000000000000007</v>
      </c>
      <c r="CX32" s="398">
        <f t="shared" si="40"/>
        <v>-2.5000000000000009</v>
      </c>
      <c r="CY32" s="398">
        <f t="shared" si="168"/>
        <v>1.1000000000000003</v>
      </c>
      <c r="CZ32" s="399">
        <f t="shared" si="169"/>
        <v>101.62601626016261</v>
      </c>
      <c r="DA32" s="66"/>
      <c r="DB32" s="66"/>
      <c r="DC32" s="396">
        <f t="shared" si="41"/>
        <v>10</v>
      </c>
      <c r="DD32" s="397">
        <f t="shared" si="42"/>
        <v>5</v>
      </c>
      <c r="DE32" s="398">
        <f t="shared" si="43"/>
        <v>2.2000000000000006</v>
      </c>
      <c r="DF32" s="398">
        <f t="shared" si="170"/>
        <v>110.00000000000001</v>
      </c>
      <c r="DG32" s="398">
        <f t="shared" si="44"/>
        <v>20.000000000000007</v>
      </c>
      <c r="DH32" s="398">
        <f t="shared" si="45"/>
        <v>-7.5</v>
      </c>
      <c r="DI32" s="398">
        <f t="shared" si="171"/>
        <v>1.1000000000000003</v>
      </c>
      <c r="DJ32" s="399">
        <f t="shared" si="172"/>
        <v>101.62601626016261</v>
      </c>
      <c r="DK32" s="66"/>
      <c r="DM32" s="396">
        <f t="shared" si="46"/>
        <v>10</v>
      </c>
      <c r="DN32" s="397">
        <f t="shared" si="47"/>
        <v>5</v>
      </c>
      <c r="DO32" s="398">
        <f t="shared" si="48"/>
        <v>2.2000000000000006</v>
      </c>
      <c r="DP32" s="398">
        <f t="shared" si="173"/>
        <v>110.00000000000001</v>
      </c>
      <c r="DQ32" s="398">
        <f t="shared" si="49"/>
        <v>30</v>
      </c>
      <c r="DR32" s="398">
        <f t="shared" si="50"/>
        <v>7.5</v>
      </c>
      <c r="DS32" s="398">
        <f t="shared" si="174"/>
        <v>1.1000000000000003</v>
      </c>
      <c r="DT32" s="399">
        <f t="shared" si="175"/>
        <v>101.62601626016261</v>
      </c>
      <c r="DU32" s="66"/>
      <c r="DV32" s="66"/>
      <c r="DW32" s="396">
        <f t="shared" si="51"/>
        <v>10</v>
      </c>
      <c r="DX32" s="397">
        <f t="shared" si="52"/>
        <v>5</v>
      </c>
      <c r="DY32" s="398">
        <f t="shared" si="53"/>
        <v>2.2000000000000006</v>
      </c>
      <c r="DZ32" s="398">
        <f t="shared" si="176"/>
        <v>110.00000000000001</v>
      </c>
      <c r="EA32" s="398">
        <f t="shared" si="54"/>
        <v>30</v>
      </c>
      <c r="EB32" s="398">
        <f t="shared" si="55"/>
        <v>2.5000000000000009</v>
      </c>
      <c r="EC32" s="398">
        <f t="shared" si="177"/>
        <v>1.1000000000000003</v>
      </c>
      <c r="ED32" s="399">
        <f t="shared" si="178"/>
        <v>101.62601626016261</v>
      </c>
      <c r="EE32" s="66"/>
      <c r="EF32" s="66"/>
      <c r="EG32" s="396">
        <f t="shared" si="56"/>
        <v>10</v>
      </c>
      <c r="EH32" s="397">
        <f t="shared" si="57"/>
        <v>5</v>
      </c>
      <c r="EI32" s="398">
        <f t="shared" si="58"/>
        <v>2.2000000000000006</v>
      </c>
      <c r="EJ32" s="398">
        <f t="shared" si="179"/>
        <v>110.00000000000001</v>
      </c>
      <c r="EK32" s="398">
        <f t="shared" si="59"/>
        <v>30</v>
      </c>
      <c r="EL32" s="398">
        <f t="shared" si="60"/>
        <v>-2.5000000000000009</v>
      </c>
      <c r="EM32" s="398">
        <f t="shared" si="180"/>
        <v>1.1000000000000003</v>
      </c>
      <c r="EN32" s="399">
        <f t="shared" si="181"/>
        <v>101.62601626016261</v>
      </c>
      <c r="EO32" s="66"/>
      <c r="EP32" s="66"/>
      <c r="EQ32" s="396">
        <f t="shared" si="61"/>
        <v>10</v>
      </c>
      <c r="ER32" s="397">
        <f t="shared" si="62"/>
        <v>5</v>
      </c>
      <c r="ES32" s="398">
        <f t="shared" si="63"/>
        <v>2.2000000000000006</v>
      </c>
      <c r="ET32" s="398">
        <f t="shared" si="182"/>
        <v>110.00000000000001</v>
      </c>
      <c r="EU32" s="398">
        <f t="shared" si="64"/>
        <v>30</v>
      </c>
      <c r="EV32" s="398">
        <f t="shared" si="65"/>
        <v>-7.5</v>
      </c>
      <c r="EW32" s="398">
        <f t="shared" si="183"/>
        <v>1.1000000000000003</v>
      </c>
      <c r="EX32" s="399">
        <f t="shared" si="184"/>
        <v>101.62601626016261</v>
      </c>
      <c r="EY32" s="66"/>
      <c r="EZ32" s="66"/>
      <c r="FA32" s="396">
        <f t="shared" si="66"/>
        <v>10</v>
      </c>
      <c r="FB32" s="397">
        <f t="shared" si="67"/>
        <v>5</v>
      </c>
      <c r="FC32" s="398">
        <f t="shared" si="68"/>
        <v>2.2000000000000006</v>
      </c>
      <c r="FD32" s="398">
        <f t="shared" si="185"/>
        <v>110.00000000000001</v>
      </c>
      <c r="FE32" s="398">
        <f t="shared" si="69"/>
        <v>40.000000000000014</v>
      </c>
      <c r="FF32" s="398">
        <f t="shared" si="70"/>
        <v>7.5</v>
      </c>
      <c r="FG32" s="398">
        <f t="shared" si="186"/>
        <v>1.1000000000000003</v>
      </c>
      <c r="FH32" s="399">
        <f t="shared" si="187"/>
        <v>101.62601626016261</v>
      </c>
      <c r="FI32" s="66"/>
      <c r="FJ32" s="66"/>
      <c r="FK32" s="396">
        <f t="shared" si="71"/>
        <v>10</v>
      </c>
      <c r="FL32" s="397">
        <f t="shared" si="72"/>
        <v>5</v>
      </c>
      <c r="FM32" s="398">
        <f t="shared" si="73"/>
        <v>2.2000000000000006</v>
      </c>
      <c r="FN32" s="398">
        <f t="shared" si="188"/>
        <v>110.00000000000001</v>
      </c>
      <c r="FO32" s="398">
        <f t="shared" si="74"/>
        <v>40.000000000000014</v>
      </c>
      <c r="FP32" s="398">
        <f t="shared" si="75"/>
        <v>2.5000000000000009</v>
      </c>
      <c r="FQ32" s="398">
        <f t="shared" si="189"/>
        <v>1.1000000000000003</v>
      </c>
      <c r="FR32" s="399">
        <f t="shared" si="190"/>
        <v>101.62601626016261</v>
      </c>
      <c r="FS32" s="66"/>
      <c r="FT32" s="66"/>
      <c r="FU32" s="396">
        <f t="shared" si="76"/>
        <v>10</v>
      </c>
      <c r="FV32" s="397">
        <f t="shared" si="77"/>
        <v>5</v>
      </c>
      <c r="FW32" s="398">
        <f t="shared" si="78"/>
        <v>2.2000000000000006</v>
      </c>
      <c r="FX32" s="398">
        <f t="shared" si="191"/>
        <v>110.00000000000001</v>
      </c>
      <c r="FY32" s="398">
        <f t="shared" si="79"/>
        <v>40.000000000000014</v>
      </c>
      <c r="FZ32" s="398">
        <f t="shared" si="80"/>
        <v>-2.5000000000000009</v>
      </c>
      <c r="GA32" s="398">
        <f t="shared" si="192"/>
        <v>1.1000000000000003</v>
      </c>
      <c r="GB32" s="399">
        <f t="shared" si="193"/>
        <v>101.62601626016261</v>
      </c>
      <c r="GC32" s="66"/>
      <c r="GD32" s="66"/>
      <c r="GE32" s="396">
        <f t="shared" si="81"/>
        <v>10</v>
      </c>
      <c r="GF32" s="397">
        <f t="shared" si="82"/>
        <v>5</v>
      </c>
      <c r="GG32" s="398">
        <f t="shared" si="83"/>
        <v>2.2000000000000006</v>
      </c>
      <c r="GH32" s="398">
        <f t="shared" si="194"/>
        <v>110.00000000000001</v>
      </c>
      <c r="GI32" s="398">
        <f t="shared" si="84"/>
        <v>40.000000000000014</v>
      </c>
      <c r="GJ32" s="398">
        <f t="shared" si="85"/>
        <v>-7.5</v>
      </c>
      <c r="GK32" s="398">
        <f t="shared" si="195"/>
        <v>1.1000000000000003</v>
      </c>
      <c r="GL32" s="399">
        <f t="shared" si="196"/>
        <v>101.62601626016261</v>
      </c>
      <c r="GM32" s="66"/>
      <c r="GN32" s="66"/>
      <c r="GO32" s="396">
        <f t="shared" si="86"/>
        <v>10</v>
      </c>
      <c r="GP32" s="397">
        <f t="shared" si="87"/>
        <v>5</v>
      </c>
      <c r="GQ32" s="398">
        <f t="shared" si="88"/>
        <v>2.2000000000000006</v>
      </c>
      <c r="GR32" s="398">
        <f t="shared" si="197"/>
        <v>110.00000000000001</v>
      </c>
      <c r="GS32" s="398">
        <f t="shared" si="89"/>
        <v>50</v>
      </c>
      <c r="GT32" s="398">
        <f t="shared" si="90"/>
        <v>7.5</v>
      </c>
      <c r="GU32" s="398">
        <f t="shared" si="198"/>
        <v>1.1000000000000003</v>
      </c>
      <c r="GV32" s="399">
        <f t="shared" si="199"/>
        <v>101.62601626016261</v>
      </c>
      <c r="GW32" s="66"/>
      <c r="GX32" s="66"/>
      <c r="GY32" s="396">
        <f t="shared" si="91"/>
        <v>10</v>
      </c>
      <c r="GZ32" s="397">
        <f t="shared" si="92"/>
        <v>5</v>
      </c>
      <c r="HA32" s="398">
        <f t="shared" si="93"/>
        <v>2.2000000000000006</v>
      </c>
      <c r="HB32" s="398">
        <f t="shared" si="200"/>
        <v>110.00000000000001</v>
      </c>
      <c r="HC32" s="398">
        <f t="shared" si="94"/>
        <v>50</v>
      </c>
      <c r="HD32" s="398">
        <f t="shared" si="95"/>
        <v>2.5000000000000009</v>
      </c>
      <c r="HE32" s="398">
        <f t="shared" si="201"/>
        <v>1.1000000000000003</v>
      </c>
      <c r="HF32" s="399">
        <f t="shared" si="202"/>
        <v>101.62601626016261</v>
      </c>
      <c r="HH32" s="66"/>
      <c r="HI32" s="396">
        <f t="shared" si="96"/>
        <v>10</v>
      </c>
      <c r="HJ32" s="397">
        <f t="shared" si="97"/>
        <v>5</v>
      </c>
      <c r="HK32" s="398">
        <f t="shared" si="98"/>
        <v>2.2000000000000006</v>
      </c>
      <c r="HL32" s="398">
        <f t="shared" si="203"/>
        <v>110.00000000000001</v>
      </c>
      <c r="HM32" s="398">
        <f t="shared" si="99"/>
        <v>50</v>
      </c>
      <c r="HN32" s="398">
        <f t="shared" si="100"/>
        <v>-2.5000000000000009</v>
      </c>
      <c r="HO32" s="398">
        <f t="shared" si="204"/>
        <v>1.1000000000000003</v>
      </c>
      <c r="HP32" s="399">
        <f t="shared" si="205"/>
        <v>101.62601626016261</v>
      </c>
      <c r="HQ32" s="66"/>
      <c r="HR32" s="66"/>
      <c r="HS32" s="396">
        <f t="shared" si="101"/>
        <v>10</v>
      </c>
      <c r="HT32" s="397">
        <f t="shared" si="102"/>
        <v>5</v>
      </c>
      <c r="HU32" s="398">
        <f t="shared" si="103"/>
        <v>2.2000000000000006</v>
      </c>
      <c r="HV32" s="398">
        <f t="shared" si="206"/>
        <v>110.00000000000001</v>
      </c>
      <c r="HW32" s="398">
        <f t="shared" si="104"/>
        <v>50</v>
      </c>
      <c r="HX32" s="398">
        <f t="shared" si="105"/>
        <v>-7.5</v>
      </c>
      <c r="HY32" s="398">
        <f t="shared" si="207"/>
        <v>1.1000000000000003</v>
      </c>
      <c r="HZ32" s="399">
        <f t="shared" si="208"/>
        <v>101.62601626016261</v>
      </c>
      <c r="IA32" s="66"/>
      <c r="IB32" s="66"/>
      <c r="IC32" s="396">
        <f t="shared" si="106"/>
        <v>3.8940000000000006</v>
      </c>
      <c r="ID32" s="397">
        <f t="shared" si="107"/>
        <v>20</v>
      </c>
      <c r="IE32" s="398">
        <f t="shared" si="108"/>
        <v>2.2000000000000006</v>
      </c>
      <c r="IF32" s="398">
        <f t="shared" si="209"/>
        <v>85.563545151622051</v>
      </c>
      <c r="IG32" s="398">
        <f t="shared" si="109"/>
        <v>56.298561537683277</v>
      </c>
      <c r="IH32" s="398">
        <f t="shared" si="110"/>
        <v>0</v>
      </c>
      <c r="II32" s="398">
        <f t="shared" si="210"/>
        <v>1.4673011725234788</v>
      </c>
      <c r="IJ32" s="399">
        <f t="shared" si="211"/>
        <v>2532.682926829269</v>
      </c>
      <c r="IK32" s="66"/>
      <c r="IL32" s="66"/>
      <c r="IM32" s="396">
        <f t="shared" si="111"/>
        <v>11</v>
      </c>
      <c r="IN32" s="397">
        <f t="shared" si="112"/>
        <v>13.75</v>
      </c>
      <c r="IO32" s="398">
        <f t="shared" si="113"/>
        <v>2.2000000000000006</v>
      </c>
      <c r="IP32" s="398">
        <f t="shared" si="212"/>
        <v>308.15359441245005</v>
      </c>
      <c r="IQ32" s="398">
        <f t="shared" si="114"/>
        <v>67.745469632131602</v>
      </c>
      <c r="IR32" s="398">
        <f t="shared" si="115"/>
        <v>6.8749999999999982</v>
      </c>
      <c r="IS32" s="398">
        <f t="shared" si="213"/>
        <v>1.1558494356118505</v>
      </c>
      <c r="IT32" s="399">
        <f t="shared" si="214"/>
        <v>2324.8539126016262</v>
      </c>
      <c r="IU32" s="66"/>
      <c r="IV32" s="66"/>
      <c r="IW32" s="396">
        <f t="shared" si="116"/>
        <v>11</v>
      </c>
      <c r="IX32" s="397">
        <f t="shared" si="117"/>
        <v>13.75</v>
      </c>
      <c r="IY32" s="398">
        <f t="shared" si="118"/>
        <v>2.2000000000000006</v>
      </c>
      <c r="IZ32" s="398">
        <f t="shared" si="215"/>
        <v>308.15359441245005</v>
      </c>
      <c r="JA32" s="398">
        <f t="shared" si="119"/>
        <v>67.745469632131602</v>
      </c>
      <c r="JB32" s="398">
        <f t="shared" si="120"/>
        <v>-6.8749999999999982</v>
      </c>
      <c r="JC32" s="398">
        <f t="shared" si="216"/>
        <v>1.1558494356118505</v>
      </c>
      <c r="JD32" s="399">
        <f t="shared" si="217"/>
        <v>2324.8539126016262</v>
      </c>
      <c r="JE32" s="66"/>
      <c r="JF32" s="66"/>
      <c r="JG32" s="396">
        <f t="shared" si="121"/>
        <v>5.5</v>
      </c>
      <c r="JH32" s="397">
        <f t="shared" si="122"/>
        <v>6.875</v>
      </c>
      <c r="JI32" s="398">
        <f t="shared" si="123"/>
        <v>2.2000000000000006</v>
      </c>
      <c r="JJ32" s="398">
        <f t="shared" si="218"/>
        <v>41.543034810550957</v>
      </c>
      <c r="JK32" s="398">
        <f t="shared" si="124"/>
        <v>71.434126465654359</v>
      </c>
      <c r="JL32" s="398">
        <f t="shared" si="125"/>
        <v>10.312499999999998</v>
      </c>
      <c r="JM32" s="398">
        <f t="shared" si="219"/>
        <v>2.6633011725234788</v>
      </c>
      <c r="JN32" s="399">
        <f t="shared" si="220"/>
        <v>145.30336953760164</v>
      </c>
      <c r="JO32" s="66"/>
      <c r="JP32" s="66"/>
      <c r="JQ32" s="396">
        <f t="shared" si="126"/>
        <v>5.5</v>
      </c>
      <c r="JR32" s="397">
        <f t="shared" si="127"/>
        <v>6.875</v>
      </c>
      <c r="JS32" s="398">
        <f t="shared" si="128"/>
        <v>2.2000000000000006</v>
      </c>
      <c r="JT32" s="398">
        <f t="shared" si="221"/>
        <v>41.543034810550957</v>
      </c>
      <c r="JU32" s="398">
        <f t="shared" si="129"/>
        <v>71.434126465654359</v>
      </c>
      <c r="JV32" s="398">
        <f t="shared" si="130"/>
        <v>3.4375000000000004</v>
      </c>
      <c r="JW32" s="398">
        <f t="shared" si="222"/>
        <v>2.6633011725234788</v>
      </c>
      <c r="JX32" s="399">
        <f t="shared" si="223"/>
        <v>145.30336953760164</v>
      </c>
      <c r="JY32" s="66"/>
      <c r="JZ32" s="66"/>
      <c r="KA32" s="396">
        <f t="shared" si="131"/>
        <v>5.5</v>
      </c>
      <c r="KB32" s="397">
        <f t="shared" si="132"/>
        <v>6.875</v>
      </c>
      <c r="KC32" s="398">
        <f t="shared" si="133"/>
        <v>2.2000000000000006</v>
      </c>
      <c r="KD32" s="398">
        <f t="shared" si="224"/>
        <v>41.543034810550957</v>
      </c>
      <c r="KE32" s="398">
        <f t="shared" si="134"/>
        <v>71.434126465654359</v>
      </c>
      <c r="KF32" s="398">
        <f t="shared" si="135"/>
        <v>-3.4375000000000004</v>
      </c>
      <c r="KG32" s="398">
        <f t="shared" si="225"/>
        <v>2.6633011725234788</v>
      </c>
      <c r="KH32" s="399">
        <f t="shared" si="226"/>
        <v>145.30336953760164</v>
      </c>
      <c r="KI32" s="66"/>
      <c r="KJ32" s="66"/>
      <c r="KK32" s="396">
        <f t="shared" si="136"/>
        <v>5.5</v>
      </c>
      <c r="KL32" s="397">
        <f t="shared" si="137"/>
        <v>6.875</v>
      </c>
      <c r="KM32" s="398">
        <f t="shared" si="138"/>
        <v>2.2000000000000006</v>
      </c>
      <c r="KN32" s="398">
        <f t="shared" si="227"/>
        <v>41.543034810550957</v>
      </c>
      <c r="KO32" s="398">
        <f t="shared" si="139"/>
        <v>71.434126465654359</v>
      </c>
      <c r="KP32" s="398">
        <f t="shared" si="140"/>
        <v>-10.312499999999998</v>
      </c>
      <c r="KQ32" s="398">
        <f t="shared" si="228"/>
        <v>2.6633011725234788</v>
      </c>
      <c r="KR32" s="399">
        <f t="shared" si="229"/>
        <v>145.30336953760164</v>
      </c>
      <c r="KS32" s="66"/>
      <c r="KT32" s="66"/>
      <c r="KU32" s="396">
        <f t="shared" si="141"/>
        <v>5</v>
      </c>
      <c r="KV32" s="397">
        <f t="shared" si="142"/>
        <v>5</v>
      </c>
      <c r="KW32" s="398">
        <f t="shared" si="143"/>
        <v>2.2000000000000006</v>
      </c>
      <c r="KX32" s="398">
        <f t="shared" si="230"/>
        <v>55.000000000000007</v>
      </c>
      <c r="KY32" s="398">
        <f t="shared" si="144"/>
        <v>57.5</v>
      </c>
      <c r="KZ32" s="398">
        <f t="shared" si="145"/>
        <v>0</v>
      </c>
      <c r="LA32" s="398">
        <f t="shared" si="231"/>
        <v>1.1000000000000003</v>
      </c>
      <c r="LB32" s="399">
        <f t="shared" si="232"/>
        <v>50.813008130081307</v>
      </c>
      <c r="LC32" s="66"/>
    </row>
    <row r="33" spans="1:315" s="67" customFormat="1" ht="15" customHeight="1" x14ac:dyDescent="0.25">
      <c r="A33" s="481"/>
      <c r="Y33" s="481"/>
      <c r="Z33" s="413"/>
      <c r="AA33" s="396">
        <f t="shared" si="1"/>
        <v>4.0871000000000013</v>
      </c>
      <c r="AB33" s="397">
        <f t="shared" si="2"/>
        <v>20</v>
      </c>
      <c r="AC33" s="398">
        <f t="shared" si="3"/>
        <v>2.3000000000000007</v>
      </c>
      <c r="AD33" s="398">
        <f t="shared" si="146"/>
        <v>93.897773823930564</v>
      </c>
      <c r="AE33" s="398">
        <f t="shared" si="4"/>
        <v>3.6370839162126991</v>
      </c>
      <c r="AF33" s="398">
        <f t="shared" si="5"/>
        <v>0</v>
      </c>
      <c r="AG33" s="398">
        <f t="shared" si="147"/>
        <v>1.533951698128645</v>
      </c>
      <c r="AH33" s="399">
        <f t="shared" si="148"/>
        <v>2658.2764227642288</v>
      </c>
      <c r="AI33" s="367"/>
      <c r="AJ33" s="66"/>
      <c r="AK33" s="396">
        <f t="shared" si="6"/>
        <v>10</v>
      </c>
      <c r="AL33" s="397">
        <f t="shared" si="7"/>
        <v>5</v>
      </c>
      <c r="AM33" s="398">
        <f t="shared" si="8"/>
        <v>2.3000000000000007</v>
      </c>
      <c r="AN33" s="398">
        <f t="shared" si="149"/>
        <v>115.00000000000001</v>
      </c>
      <c r="AO33" s="398">
        <f t="shared" si="9"/>
        <v>10.000000000000004</v>
      </c>
      <c r="AP33" s="398">
        <f t="shared" si="10"/>
        <v>7.5</v>
      </c>
      <c r="AQ33" s="398">
        <f t="shared" si="150"/>
        <v>1.1500000000000004</v>
      </c>
      <c r="AR33" s="399">
        <f t="shared" si="151"/>
        <v>101.62601626016261</v>
      </c>
      <c r="AS33" s="66"/>
      <c r="AT33" s="66"/>
      <c r="AU33" s="396">
        <f t="shared" si="11"/>
        <v>10</v>
      </c>
      <c r="AV33" s="397">
        <f t="shared" si="12"/>
        <v>5</v>
      </c>
      <c r="AW33" s="398">
        <f t="shared" si="13"/>
        <v>2.3000000000000007</v>
      </c>
      <c r="AX33" s="398">
        <f t="shared" si="152"/>
        <v>115.00000000000001</v>
      </c>
      <c r="AY33" s="398">
        <f t="shared" si="14"/>
        <v>10.000000000000004</v>
      </c>
      <c r="AZ33" s="398">
        <f t="shared" si="15"/>
        <v>2.5000000000000009</v>
      </c>
      <c r="BA33" s="398">
        <f t="shared" si="153"/>
        <v>1.1500000000000004</v>
      </c>
      <c r="BB33" s="399">
        <f t="shared" si="154"/>
        <v>101.62601626016261</v>
      </c>
      <c r="BC33" s="66"/>
      <c r="BD33" s="66"/>
      <c r="BE33" s="396">
        <f t="shared" si="16"/>
        <v>10</v>
      </c>
      <c r="BF33" s="397">
        <f t="shared" si="17"/>
        <v>5</v>
      </c>
      <c r="BG33" s="398">
        <f t="shared" si="18"/>
        <v>2.3000000000000007</v>
      </c>
      <c r="BH33" s="398">
        <f t="shared" si="155"/>
        <v>115.00000000000001</v>
      </c>
      <c r="BI33" s="398">
        <f t="shared" si="19"/>
        <v>10.000000000000004</v>
      </c>
      <c r="BJ33" s="398">
        <f t="shared" si="20"/>
        <v>-2.5000000000000009</v>
      </c>
      <c r="BK33" s="398">
        <f t="shared" si="156"/>
        <v>1.1500000000000004</v>
      </c>
      <c r="BL33" s="399">
        <f t="shared" si="157"/>
        <v>101.62601626016261</v>
      </c>
      <c r="BM33" s="66"/>
      <c r="BN33" s="66"/>
      <c r="BO33" s="396">
        <f t="shared" si="21"/>
        <v>10</v>
      </c>
      <c r="BP33" s="397">
        <f t="shared" si="22"/>
        <v>5</v>
      </c>
      <c r="BQ33" s="398">
        <f t="shared" si="23"/>
        <v>2.3000000000000007</v>
      </c>
      <c r="BR33" s="398">
        <f t="shared" si="158"/>
        <v>115.00000000000001</v>
      </c>
      <c r="BS33" s="398">
        <f t="shared" si="24"/>
        <v>10.000000000000004</v>
      </c>
      <c r="BT33" s="398">
        <f t="shared" si="25"/>
        <v>-7.5</v>
      </c>
      <c r="BU33" s="398">
        <f t="shared" si="159"/>
        <v>1.1500000000000004</v>
      </c>
      <c r="BV33" s="399">
        <f t="shared" si="160"/>
        <v>101.62601626016261</v>
      </c>
      <c r="BW33" s="66"/>
      <c r="BX33" s="66"/>
      <c r="BY33" s="396">
        <f t="shared" si="26"/>
        <v>10</v>
      </c>
      <c r="BZ33" s="397">
        <f t="shared" si="27"/>
        <v>5</v>
      </c>
      <c r="CA33" s="398">
        <f t="shared" si="28"/>
        <v>2.3000000000000007</v>
      </c>
      <c r="CB33" s="398">
        <f t="shared" si="161"/>
        <v>115.00000000000001</v>
      </c>
      <c r="CC33" s="398">
        <f t="shared" si="29"/>
        <v>20.000000000000007</v>
      </c>
      <c r="CD33" s="398">
        <f t="shared" si="30"/>
        <v>7.5</v>
      </c>
      <c r="CE33" s="398">
        <f t="shared" si="162"/>
        <v>1.1500000000000004</v>
      </c>
      <c r="CF33" s="399">
        <f t="shared" si="163"/>
        <v>101.62601626016261</v>
      </c>
      <c r="CG33" s="66"/>
      <c r="CH33" s="66"/>
      <c r="CI33" s="396">
        <f t="shared" si="31"/>
        <v>10</v>
      </c>
      <c r="CJ33" s="397">
        <f t="shared" si="32"/>
        <v>5</v>
      </c>
      <c r="CK33" s="398">
        <f t="shared" si="33"/>
        <v>2.3000000000000007</v>
      </c>
      <c r="CL33" s="398">
        <f t="shared" si="164"/>
        <v>115.00000000000001</v>
      </c>
      <c r="CM33" s="398">
        <f t="shared" si="34"/>
        <v>20.000000000000007</v>
      </c>
      <c r="CN33" s="398">
        <f t="shared" si="35"/>
        <v>2.5000000000000009</v>
      </c>
      <c r="CO33" s="398">
        <f t="shared" si="165"/>
        <v>1.1500000000000004</v>
      </c>
      <c r="CP33" s="399">
        <f t="shared" si="166"/>
        <v>101.62601626016261</v>
      </c>
      <c r="CQ33" s="66"/>
      <c r="CS33" s="396">
        <f t="shared" si="36"/>
        <v>10</v>
      </c>
      <c r="CT33" s="397">
        <f t="shared" si="37"/>
        <v>5</v>
      </c>
      <c r="CU33" s="398">
        <f t="shared" si="38"/>
        <v>2.3000000000000007</v>
      </c>
      <c r="CV33" s="398">
        <f t="shared" si="167"/>
        <v>115.00000000000001</v>
      </c>
      <c r="CW33" s="398">
        <f t="shared" si="39"/>
        <v>20.000000000000007</v>
      </c>
      <c r="CX33" s="398">
        <f t="shared" si="40"/>
        <v>-2.5000000000000009</v>
      </c>
      <c r="CY33" s="398">
        <f t="shared" si="168"/>
        <v>1.1500000000000004</v>
      </c>
      <c r="CZ33" s="399">
        <f t="shared" si="169"/>
        <v>101.62601626016261</v>
      </c>
      <c r="DA33" s="66"/>
      <c r="DB33" s="66"/>
      <c r="DC33" s="396">
        <f t="shared" si="41"/>
        <v>10</v>
      </c>
      <c r="DD33" s="397">
        <f t="shared" si="42"/>
        <v>5</v>
      </c>
      <c r="DE33" s="398">
        <f t="shared" si="43"/>
        <v>2.3000000000000007</v>
      </c>
      <c r="DF33" s="398">
        <f t="shared" si="170"/>
        <v>115.00000000000001</v>
      </c>
      <c r="DG33" s="398">
        <f t="shared" si="44"/>
        <v>20.000000000000007</v>
      </c>
      <c r="DH33" s="398">
        <f t="shared" si="45"/>
        <v>-7.5</v>
      </c>
      <c r="DI33" s="398">
        <f t="shared" si="171"/>
        <v>1.1500000000000004</v>
      </c>
      <c r="DJ33" s="399">
        <f t="shared" si="172"/>
        <v>101.62601626016261</v>
      </c>
      <c r="DK33" s="66"/>
      <c r="DM33" s="396">
        <f t="shared" si="46"/>
        <v>10</v>
      </c>
      <c r="DN33" s="397">
        <f t="shared" si="47"/>
        <v>5</v>
      </c>
      <c r="DO33" s="398">
        <f t="shared" si="48"/>
        <v>2.3000000000000007</v>
      </c>
      <c r="DP33" s="398">
        <f t="shared" si="173"/>
        <v>115.00000000000001</v>
      </c>
      <c r="DQ33" s="398">
        <f t="shared" si="49"/>
        <v>30</v>
      </c>
      <c r="DR33" s="398">
        <f t="shared" si="50"/>
        <v>7.5</v>
      </c>
      <c r="DS33" s="398">
        <f t="shared" si="174"/>
        <v>1.1500000000000004</v>
      </c>
      <c r="DT33" s="399">
        <f t="shared" si="175"/>
        <v>101.62601626016261</v>
      </c>
      <c r="DU33" s="66"/>
      <c r="DV33" s="66"/>
      <c r="DW33" s="396">
        <f t="shared" si="51"/>
        <v>10</v>
      </c>
      <c r="DX33" s="397">
        <f t="shared" si="52"/>
        <v>5</v>
      </c>
      <c r="DY33" s="398">
        <f t="shared" si="53"/>
        <v>2.3000000000000007</v>
      </c>
      <c r="DZ33" s="398">
        <f t="shared" si="176"/>
        <v>115.00000000000001</v>
      </c>
      <c r="EA33" s="398">
        <f t="shared" si="54"/>
        <v>30</v>
      </c>
      <c r="EB33" s="398">
        <f t="shared" si="55"/>
        <v>2.5000000000000009</v>
      </c>
      <c r="EC33" s="398">
        <f t="shared" si="177"/>
        <v>1.1500000000000004</v>
      </c>
      <c r="ED33" s="399">
        <f t="shared" si="178"/>
        <v>101.62601626016261</v>
      </c>
      <c r="EE33" s="66"/>
      <c r="EF33" s="66"/>
      <c r="EG33" s="396">
        <f t="shared" si="56"/>
        <v>10</v>
      </c>
      <c r="EH33" s="397">
        <f t="shared" si="57"/>
        <v>5</v>
      </c>
      <c r="EI33" s="398">
        <f t="shared" si="58"/>
        <v>2.3000000000000007</v>
      </c>
      <c r="EJ33" s="398">
        <f t="shared" si="179"/>
        <v>115.00000000000001</v>
      </c>
      <c r="EK33" s="398">
        <f t="shared" si="59"/>
        <v>30</v>
      </c>
      <c r="EL33" s="398">
        <f t="shared" si="60"/>
        <v>-2.5000000000000009</v>
      </c>
      <c r="EM33" s="398">
        <f t="shared" si="180"/>
        <v>1.1500000000000004</v>
      </c>
      <c r="EN33" s="399">
        <f t="shared" si="181"/>
        <v>101.62601626016261</v>
      </c>
      <c r="EO33" s="66"/>
      <c r="EP33" s="66"/>
      <c r="EQ33" s="396">
        <f t="shared" si="61"/>
        <v>10</v>
      </c>
      <c r="ER33" s="397">
        <f t="shared" si="62"/>
        <v>5</v>
      </c>
      <c r="ES33" s="398">
        <f t="shared" si="63"/>
        <v>2.3000000000000007</v>
      </c>
      <c r="ET33" s="398">
        <f t="shared" si="182"/>
        <v>115.00000000000001</v>
      </c>
      <c r="EU33" s="398">
        <f t="shared" si="64"/>
        <v>30</v>
      </c>
      <c r="EV33" s="398">
        <f t="shared" si="65"/>
        <v>-7.5</v>
      </c>
      <c r="EW33" s="398">
        <f t="shared" si="183"/>
        <v>1.1500000000000004</v>
      </c>
      <c r="EX33" s="399">
        <f t="shared" si="184"/>
        <v>101.62601626016261</v>
      </c>
      <c r="EY33" s="66"/>
      <c r="EZ33" s="66"/>
      <c r="FA33" s="396">
        <f t="shared" si="66"/>
        <v>10</v>
      </c>
      <c r="FB33" s="397">
        <f t="shared" si="67"/>
        <v>5</v>
      </c>
      <c r="FC33" s="398">
        <f t="shared" si="68"/>
        <v>2.3000000000000007</v>
      </c>
      <c r="FD33" s="398">
        <f t="shared" si="185"/>
        <v>115.00000000000001</v>
      </c>
      <c r="FE33" s="398">
        <f t="shared" si="69"/>
        <v>40.000000000000014</v>
      </c>
      <c r="FF33" s="398">
        <f t="shared" si="70"/>
        <v>7.5</v>
      </c>
      <c r="FG33" s="398">
        <f t="shared" si="186"/>
        <v>1.1500000000000004</v>
      </c>
      <c r="FH33" s="399">
        <f t="shared" si="187"/>
        <v>101.62601626016261</v>
      </c>
      <c r="FI33" s="66"/>
      <c r="FJ33" s="66"/>
      <c r="FK33" s="396">
        <f t="shared" si="71"/>
        <v>10</v>
      </c>
      <c r="FL33" s="397">
        <f t="shared" si="72"/>
        <v>5</v>
      </c>
      <c r="FM33" s="398">
        <f t="shared" si="73"/>
        <v>2.3000000000000007</v>
      </c>
      <c r="FN33" s="398">
        <f t="shared" si="188"/>
        <v>115.00000000000001</v>
      </c>
      <c r="FO33" s="398">
        <f t="shared" si="74"/>
        <v>40.000000000000014</v>
      </c>
      <c r="FP33" s="398">
        <f t="shared" si="75"/>
        <v>2.5000000000000009</v>
      </c>
      <c r="FQ33" s="398">
        <f t="shared" si="189"/>
        <v>1.1500000000000004</v>
      </c>
      <c r="FR33" s="399">
        <f t="shared" si="190"/>
        <v>101.62601626016261</v>
      </c>
      <c r="FS33" s="66"/>
      <c r="FT33" s="66"/>
      <c r="FU33" s="396">
        <f t="shared" si="76"/>
        <v>10</v>
      </c>
      <c r="FV33" s="397">
        <f t="shared" si="77"/>
        <v>5</v>
      </c>
      <c r="FW33" s="398">
        <f t="shared" si="78"/>
        <v>2.3000000000000007</v>
      </c>
      <c r="FX33" s="398">
        <f t="shared" si="191"/>
        <v>115.00000000000001</v>
      </c>
      <c r="FY33" s="398">
        <f t="shared" si="79"/>
        <v>40.000000000000014</v>
      </c>
      <c r="FZ33" s="398">
        <f t="shared" si="80"/>
        <v>-2.5000000000000009</v>
      </c>
      <c r="GA33" s="398">
        <f t="shared" si="192"/>
        <v>1.1500000000000004</v>
      </c>
      <c r="GB33" s="399">
        <f t="shared" si="193"/>
        <v>101.62601626016261</v>
      </c>
      <c r="GC33" s="66"/>
      <c r="GD33" s="66"/>
      <c r="GE33" s="396">
        <f t="shared" si="81"/>
        <v>10</v>
      </c>
      <c r="GF33" s="397">
        <f t="shared" si="82"/>
        <v>5</v>
      </c>
      <c r="GG33" s="398">
        <f t="shared" si="83"/>
        <v>2.3000000000000007</v>
      </c>
      <c r="GH33" s="398">
        <f t="shared" si="194"/>
        <v>115.00000000000001</v>
      </c>
      <c r="GI33" s="398">
        <f t="shared" si="84"/>
        <v>40.000000000000014</v>
      </c>
      <c r="GJ33" s="398">
        <f t="shared" si="85"/>
        <v>-7.5</v>
      </c>
      <c r="GK33" s="398">
        <f t="shared" si="195"/>
        <v>1.1500000000000004</v>
      </c>
      <c r="GL33" s="399">
        <f t="shared" si="196"/>
        <v>101.62601626016261</v>
      </c>
      <c r="GM33" s="66"/>
      <c r="GN33" s="66"/>
      <c r="GO33" s="396">
        <f t="shared" si="86"/>
        <v>10</v>
      </c>
      <c r="GP33" s="397">
        <f t="shared" si="87"/>
        <v>5</v>
      </c>
      <c r="GQ33" s="398">
        <f t="shared" si="88"/>
        <v>2.3000000000000007</v>
      </c>
      <c r="GR33" s="398">
        <f t="shared" si="197"/>
        <v>115.00000000000001</v>
      </c>
      <c r="GS33" s="398">
        <f t="shared" si="89"/>
        <v>50</v>
      </c>
      <c r="GT33" s="398">
        <f t="shared" si="90"/>
        <v>7.5</v>
      </c>
      <c r="GU33" s="398">
        <f t="shared" si="198"/>
        <v>1.1500000000000004</v>
      </c>
      <c r="GV33" s="399">
        <f t="shared" si="199"/>
        <v>101.62601626016261</v>
      </c>
      <c r="GW33" s="66"/>
      <c r="GX33" s="66"/>
      <c r="GY33" s="396">
        <f t="shared" si="91"/>
        <v>10</v>
      </c>
      <c r="GZ33" s="397">
        <f t="shared" si="92"/>
        <v>5</v>
      </c>
      <c r="HA33" s="398">
        <f t="shared" si="93"/>
        <v>2.3000000000000007</v>
      </c>
      <c r="HB33" s="398">
        <f t="shared" si="200"/>
        <v>115.00000000000001</v>
      </c>
      <c r="HC33" s="398">
        <f t="shared" si="94"/>
        <v>50</v>
      </c>
      <c r="HD33" s="398">
        <f t="shared" si="95"/>
        <v>2.5000000000000009</v>
      </c>
      <c r="HE33" s="398">
        <f t="shared" si="201"/>
        <v>1.1500000000000004</v>
      </c>
      <c r="HF33" s="399">
        <f t="shared" si="202"/>
        <v>101.62601626016261</v>
      </c>
      <c r="HH33" s="66"/>
      <c r="HI33" s="396">
        <f t="shared" si="96"/>
        <v>10</v>
      </c>
      <c r="HJ33" s="397">
        <f t="shared" si="97"/>
        <v>5</v>
      </c>
      <c r="HK33" s="398">
        <f t="shared" si="98"/>
        <v>2.3000000000000007</v>
      </c>
      <c r="HL33" s="398">
        <f t="shared" si="203"/>
        <v>115.00000000000001</v>
      </c>
      <c r="HM33" s="398">
        <f t="shared" si="99"/>
        <v>50</v>
      </c>
      <c r="HN33" s="398">
        <f t="shared" si="100"/>
        <v>-2.5000000000000009</v>
      </c>
      <c r="HO33" s="398">
        <f t="shared" si="204"/>
        <v>1.1500000000000004</v>
      </c>
      <c r="HP33" s="399">
        <f t="shared" si="205"/>
        <v>101.62601626016261</v>
      </c>
      <c r="HQ33" s="66"/>
      <c r="HR33" s="66"/>
      <c r="HS33" s="396">
        <f t="shared" si="101"/>
        <v>10</v>
      </c>
      <c r="HT33" s="397">
        <f t="shared" si="102"/>
        <v>5</v>
      </c>
      <c r="HU33" s="398">
        <f t="shared" si="103"/>
        <v>2.3000000000000007</v>
      </c>
      <c r="HV33" s="398">
        <f t="shared" si="206"/>
        <v>115.00000000000001</v>
      </c>
      <c r="HW33" s="398">
        <f t="shared" si="104"/>
        <v>50</v>
      </c>
      <c r="HX33" s="398">
        <f t="shared" si="105"/>
        <v>-7.5</v>
      </c>
      <c r="HY33" s="398">
        <f t="shared" si="207"/>
        <v>1.1500000000000004</v>
      </c>
      <c r="HZ33" s="399">
        <f t="shared" si="208"/>
        <v>101.62601626016261</v>
      </c>
      <c r="IA33" s="66"/>
      <c r="IB33" s="66"/>
      <c r="IC33" s="396">
        <f t="shared" si="106"/>
        <v>4.0710000000000006</v>
      </c>
      <c r="ID33" s="397">
        <f t="shared" si="107"/>
        <v>20</v>
      </c>
      <c r="IE33" s="398">
        <f t="shared" si="108"/>
        <v>2.3000000000000007</v>
      </c>
      <c r="IF33" s="398">
        <f t="shared" si="209"/>
        <v>93.527889515113728</v>
      </c>
      <c r="IG33" s="398">
        <f t="shared" si="109"/>
        <v>56.357547252843851</v>
      </c>
      <c r="IH33" s="398">
        <f t="shared" si="110"/>
        <v>0</v>
      </c>
      <c r="II33" s="398">
        <f t="shared" si="210"/>
        <v>1.5339516981286445</v>
      </c>
      <c r="IJ33" s="399">
        <f t="shared" si="211"/>
        <v>2647.8048780487811</v>
      </c>
      <c r="IK33" s="66"/>
      <c r="IL33" s="66"/>
      <c r="IM33" s="396">
        <f t="shared" si="111"/>
        <v>11</v>
      </c>
      <c r="IN33" s="397">
        <f t="shared" si="112"/>
        <v>13.75</v>
      </c>
      <c r="IO33" s="398">
        <f t="shared" si="113"/>
        <v>2.3000000000000007</v>
      </c>
      <c r="IP33" s="398">
        <f t="shared" si="212"/>
        <v>323.27859441245005</v>
      </c>
      <c r="IQ33" s="398">
        <f t="shared" si="114"/>
        <v>67.762290717436954</v>
      </c>
      <c r="IR33" s="398">
        <f t="shared" si="115"/>
        <v>6.8749999999999991</v>
      </c>
      <c r="IS33" s="398">
        <f t="shared" si="213"/>
        <v>1.2070406606802724</v>
      </c>
      <c r="IT33" s="399">
        <f t="shared" si="214"/>
        <v>2324.8539126016262</v>
      </c>
      <c r="IU33" s="66"/>
      <c r="IV33" s="66"/>
      <c r="IW33" s="396">
        <f t="shared" si="116"/>
        <v>11</v>
      </c>
      <c r="IX33" s="397">
        <f t="shared" si="117"/>
        <v>13.75</v>
      </c>
      <c r="IY33" s="398">
        <f t="shared" si="118"/>
        <v>2.3000000000000007</v>
      </c>
      <c r="IZ33" s="398">
        <f t="shared" si="215"/>
        <v>323.27859441245005</v>
      </c>
      <c r="JA33" s="398">
        <f t="shared" si="119"/>
        <v>67.762290717436954</v>
      </c>
      <c r="JB33" s="398">
        <f t="shared" si="120"/>
        <v>-6.8749999999999991</v>
      </c>
      <c r="JC33" s="398">
        <f t="shared" si="216"/>
        <v>1.2070406606802724</v>
      </c>
      <c r="JD33" s="399">
        <f t="shared" si="217"/>
        <v>2324.8539126016262</v>
      </c>
      <c r="JE33" s="66"/>
      <c r="JF33" s="66"/>
      <c r="JG33" s="396">
        <f t="shared" si="121"/>
        <v>5.75</v>
      </c>
      <c r="JH33" s="397">
        <f t="shared" si="122"/>
        <v>6.875</v>
      </c>
      <c r="JI33" s="398">
        <f t="shared" si="123"/>
        <v>2.3000000000000007</v>
      </c>
      <c r="JJ33" s="398">
        <f t="shared" si="218"/>
        <v>45.409903984209521</v>
      </c>
      <c r="JK33" s="398">
        <f t="shared" si="124"/>
        <v>71.517439622660817</v>
      </c>
      <c r="JL33" s="398">
        <f t="shared" si="125"/>
        <v>10.312499999999998</v>
      </c>
      <c r="JM33" s="398">
        <f t="shared" si="219"/>
        <v>2.729951698128644</v>
      </c>
      <c r="JN33" s="399">
        <f t="shared" si="220"/>
        <v>151.90806815294718</v>
      </c>
      <c r="JO33" s="66"/>
      <c r="JP33" s="66"/>
      <c r="JQ33" s="396">
        <f t="shared" si="126"/>
        <v>5.75</v>
      </c>
      <c r="JR33" s="397">
        <f t="shared" si="127"/>
        <v>6.875</v>
      </c>
      <c r="JS33" s="398">
        <f t="shared" si="128"/>
        <v>2.3000000000000007</v>
      </c>
      <c r="JT33" s="398">
        <f t="shared" si="221"/>
        <v>45.409903984209521</v>
      </c>
      <c r="JU33" s="398">
        <f t="shared" si="129"/>
        <v>71.517439622660817</v>
      </c>
      <c r="JV33" s="398">
        <f t="shared" si="130"/>
        <v>3.4375000000000004</v>
      </c>
      <c r="JW33" s="398">
        <f t="shared" si="222"/>
        <v>2.729951698128644</v>
      </c>
      <c r="JX33" s="399">
        <f t="shared" si="223"/>
        <v>151.90806815294718</v>
      </c>
      <c r="JY33" s="66"/>
      <c r="JZ33" s="66"/>
      <c r="KA33" s="396">
        <f t="shared" si="131"/>
        <v>5.75</v>
      </c>
      <c r="KB33" s="397">
        <f t="shared" si="132"/>
        <v>6.875</v>
      </c>
      <c r="KC33" s="398">
        <f t="shared" si="133"/>
        <v>2.3000000000000007</v>
      </c>
      <c r="KD33" s="398">
        <f t="shared" si="224"/>
        <v>45.409903984209521</v>
      </c>
      <c r="KE33" s="398">
        <f t="shared" si="134"/>
        <v>71.517439622660817</v>
      </c>
      <c r="KF33" s="398">
        <f t="shared" si="135"/>
        <v>-3.4375000000000004</v>
      </c>
      <c r="KG33" s="398">
        <f t="shared" si="225"/>
        <v>2.729951698128644</v>
      </c>
      <c r="KH33" s="399">
        <f t="shared" si="226"/>
        <v>151.90806815294718</v>
      </c>
      <c r="KI33" s="66"/>
      <c r="KJ33" s="66"/>
      <c r="KK33" s="396">
        <f t="shared" si="136"/>
        <v>5.75</v>
      </c>
      <c r="KL33" s="397">
        <f t="shared" si="137"/>
        <v>6.875</v>
      </c>
      <c r="KM33" s="398">
        <f t="shared" si="138"/>
        <v>2.3000000000000007</v>
      </c>
      <c r="KN33" s="398">
        <f t="shared" si="227"/>
        <v>45.409903984209521</v>
      </c>
      <c r="KO33" s="398">
        <f t="shared" si="139"/>
        <v>71.517439622660817</v>
      </c>
      <c r="KP33" s="398">
        <f t="shared" si="140"/>
        <v>-10.312499999999998</v>
      </c>
      <c r="KQ33" s="398">
        <f t="shared" si="228"/>
        <v>2.729951698128644</v>
      </c>
      <c r="KR33" s="399">
        <f t="shared" si="229"/>
        <v>151.90806815294718</v>
      </c>
      <c r="KS33" s="66"/>
      <c r="KT33" s="66"/>
      <c r="KU33" s="396">
        <f t="shared" si="141"/>
        <v>5</v>
      </c>
      <c r="KV33" s="397">
        <f t="shared" si="142"/>
        <v>5</v>
      </c>
      <c r="KW33" s="398">
        <f t="shared" si="143"/>
        <v>2.3000000000000007</v>
      </c>
      <c r="KX33" s="398">
        <f t="shared" si="230"/>
        <v>57.500000000000007</v>
      </c>
      <c r="KY33" s="398">
        <f t="shared" si="144"/>
        <v>57.5</v>
      </c>
      <c r="KZ33" s="398">
        <f t="shared" si="145"/>
        <v>0</v>
      </c>
      <c r="LA33" s="398">
        <f t="shared" si="231"/>
        <v>1.1500000000000004</v>
      </c>
      <c r="LB33" s="399">
        <f t="shared" si="232"/>
        <v>50.813008130081307</v>
      </c>
      <c r="LC33" s="66"/>
    </row>
    <row r="34" spans="1:315" s="67" customFormat="1" ht="15" customHeight="1" x14ac:dyDescent="0.25">
      <c r="A34" s="481"/>
      <c r="Y34" s="481"/>
      <c r="Z34" s="413"/>
      <c r="AA34" s="396">
        <f t="shared" si="1"/>
        <v>4.264800000000001</v>
      </c>
      <c r="AB34" s="397">
        <f t="shared" si="2"/>
        <v>20</v>
      </c>
      <c r="AC34" s="398">
        <f t="shared" si="3"/>
        <v>2.4000000000000008</v>
      </c>
      <c r="AD34" s="398">
        <f t="shared" si="146"/>
        <v>102.24904361075517</v>
      </c>
      <c r="AE34" s="398">
        <f t="shared" si="4"/>
        <v>3.5778641679704966</v>
      </c>
      <c r="AF34" s="398">
        <f t="shared" si="5"/>
        <v>0</v>
      </c>
      <c r="AG34" s="398">
        <f t="shared" si="147"/>
        <v>1.6006030748784508</v>
      </c>
      <c r="AH34" s="399">
        <f t="shared" si="148"/>
        <v>2773.8536585365864</v>
      </c>
      <c r="AI34" s="367"/>
      <c r="AJ34" s="66"/>
      <c r="AK34" s="396">
        <f t="shared" si="6"/>
        <v>10</v>
      </c>
      <c r="AL34" s="397">
        <f t="shared" si="7"/>
        <v>5</v>
      </c>
      <c r="AM34" s="398">
        <f t="shared" si="8"/>
        <v>2.4000000000000008</v>
      </c>
      <c r="AN34" s="398">
        <f t="shared" si="149"/>
        <v>120.00000000000001</v>
      </c>
      <c r="AO34" s="398">
        <f t="shared" si="9"/>
        <v>10.000000000000002</v>
      </c>
      <c r="AP34" s="398">
        <f t="shared" si="10"/>
        <v>7.5</v>
      </c>
      <c r="AQ34" s="398">
        <f t="shared" si="150"/>
        <v>1.2000000000000004</v>
      </c>
      <c r="AR34" s="399">
        <f t="shared" si="151"/>
        <v>101.62601626016261</v>
      </c>
      <c r="AS34" s="66"/>
      <c r="AT34" s="66"/>
      <c r="AU34" s="396">
        <f t="shared" si="11"/>
        <v>10</v>
      </c>
      <c r="AV34" s="397">
        <f t="shared" si="12"/>
        <v>5</v>
      </c>
      <c r="AW34" s="398">
        <f t="shared" si="13"/>
        <v>2.4000000000000008</v>
      </c>
      <c r="AX34" s="398">
        <f t="shared" si="152"/>
        <v>120.00000000000001</v>
      </c>
      <c r="AY34" s="398">
        <f t="shared" si="14"/>
        <v>10.000000000000002</v>
      </c>
      <c r="AZ34" s="398">
        <f t="shared" si="15"/>
        <v>2.5000000000000004</v>
      </c>
      <c r="BA34" s="398">
        <f t="shared" si="153"/>
        <v>1.2000000000000004</v>
      </c>
      <c r="BB34" s="399">
        <f t="shared" si="154"/>
        <v>101.62601626016261</v>
      </c>
      <c r="BC34" s="66"/>
      <c r="BD34" s="66"/>
      <c r="BE34" s="396">
        <f t="shared" si="16"/>
        <v>10</v>
      </c>
      <c r="BF34" s="397">
        <f t="shared" si="17"/>
        <v>5</v>
      </c>
      <c r="BG34" s="398">
        <f t="shared" si="18"/>
        <v>2.4000000000000008</v>
      </c>
      <c r="BH34" s="398">
        <f t="shared" si="155"/>
        <v>120.00000000000001</v>
      </c>
      <c r="BI34" s="398">
        <f t="shared" si="19"/>
        <v>10.000000000000002</v>
      </c>
      <c r="BJ34" s="398">
        <f t="shared" si="20"/>
        <v>-2.5000000000000004</v>
      </c>
      <c r="BK34" s="398">
        <f t="shared" si="156"/>
        <v>1.2000000000000004</v>
      </c>
      <c r="BL34" s="399">
        <f t="shared" si="157"/>
        <v>101.62601626016261</v>
      </c>
      <c r="BM34" s="66"/>
      <c r="BN34" s="66"/>
      <c r="BO34" s="396">
        <f t="shared" si="21"/>
        <v>10</v>
      </c>
      <c r="BP34" s="397">
        <f t="shared" si="22"/>
        <v>5</v>
      </c>
      <c r="BQ34" s="398">
        <f t="shared" si="23"/>
        <v>2.4000000000000008</v>
      </c>
      <c r="BR34" s="398">
        <f t="shared" si="158"/>
        <v>120.00000000000001</v>
      </c>
      <c r="BS34" s="398">
        <f t="shared" si="24"/>
        <v>10.000000000000002</v>
      </c>
      <c r="BT34" s="398">
        <f t="shared" si="25"/>
        <v>-7.5</v>
      </c>
      <c r="BU34" s="398">
        <f t="shared" si="159"/>
        <v>1.2000000000000004</v>
      </c>
      <c r="BV34" s="399">
        <f t="shared" si="160"/>
        <v>101.62601626016261</v>
      </c>
      <c r="BW34" s="66"/>
      <c r="BX34" s="66"/>
      <c r="BY34" s="396">
        <f t="shared" si="26"/>
        <v>10</v>
      </c>
      <c r="BZ34" s="397">
        <f t="shared" si="27"/>
        <v>5</v>
      </c>
      <c r="CA34" s="398">
        <f t="shared" si="28"/>
        <v>2.4000000000000008</v>
      </c>
      <c r="CB34" s="398">
        <f t="shared" si="161"/>
        <v>120.00000000000001</v>
      </c>
      <c r="CC34" s="398">
        <f t="shared" si="29"/>
        <v>20.000000000000004</v>
      </c>
      <c r="CD34" s="398">
        <f t="shared" si="30"/>
        <v>7.5</v>
      </c>
      <c r="CE34" s="398">
        <f t="shared" si="162"/>
        <v>1.2000000000000004</v>
      </c>
      <c r="CF34" s="399">
        <f t="shared" si="163"/>
        <v>101.62601626016261</v>
      </c>
      <c r="CG34" s="66"/>
      <c r="CH34" s="66"/>
      <c r="CI34" s="396">
        <f t="shared" si="31"/>
        <v>10</v>
      </c>
      <c r="CJ34" s="397">
        <f t="shared" si="32"/>
        <v>5</v>
      </c>
      <c r="CK34" s="398">
        <f t="shared" si="33"/>
        <v>2.4000000000000008</v>
      </c>
      <c r="CL34" s="398">
        <f t="shared" si="164"/>
        <v>120.00000000000001</v>
      </c>
      <c r="CM34" s="398">
        <f t="shared" si="34"/>
        <v>20.000000000000004</v>
      </c>
      <c r="CN34" s="398">
        <f t="shared" si="35"/>
        <v>2.5000000000000004</v>
      </c>
      <c r="CO34" s="398">
        <f t="shared" si="165"/>
        <v>1.2000000000000004</v>
      </c>
      <c r="CP34" s="399">
        <f t="shared" si="166"/>
        <v>101.62601626016261</v>
      </c>
      <c r="CQ34" s="66"/>
      <c r="CS34" s="396">
        <f t="shared" si="36"/>
        <v>10</v>
      </c>
      <c r="CT34" s="397">
        <f t="shared" si="37"/>
        <v>5</v>
      </c>
      <c r="CU34" s="398">
        <f t="shared" si="38"/>
        <v>2.4000000000000008</v>
      </c>
      <c r="CV34" s="398">
        <f t="shared" si="167"/>
        <v>120.00000000000001</v>
      </c>
      <c r="CW34" s="398">
        <f t="shared" si="39"/>
        <v>20.000000000000004</v>
      </c>
      <c r="CX34" s="398">
        <f t="shared" si="40"/>
        <v>-2.5000000000000004</v>
      </c>
      <c r="CY34" s="398">
        <f t="shared" si="168"/>
        <v>1.2000000000000004</v>
      </c>
      <c r="CZ34" s="399">
        <f t="shared" si="169"/>
        <v>101.62601626016261</v>
      </c>
      <c r="DA34" s="66"/>
      <c r="DB34" s="66"/>
      <c r="DC34" s="396">
        <f t="shared" si="41"/>
        <v>10</v>
      </c>
      <c r="DD34" s="397">
        <f t="shared" si="42"/>
        <v>5</v>
      </c>
      <c r="DE34" s="398">
        <f t="shared" si="43"/>
        <v>2.4000000000000008</v>
      </c>
      <c r="DF34" s="398">
        <f t="shared" si="170"/>
        <v>120.00000000000001</v>
      </c>
      <c r="DG34" s="398">
        <f t="shared" si="44"/>
        <v>20.000000000000004</v>
      </c>
      <c r="DH34" s="398">
        <f t="shared" si="45"/>
        <v>-7.5</v>
      </c>
      <c r="DI34" s="398">
        <f t="shared" si="171"/>
        <v>1.2000000000000004</v>
      </c>
      <c r="DJ34" s="399">
        <f t="shared" si="172"/>
        <v>101.62601626016261</v>
      </c>
      <c r="DK34" s="66"/>
      <c r="DM34" s="396">
        <f t="shared" si="46"/>
        <v>10</v>
      </c>
      <c r="DN34" s="397">
        <f t="shared" si="47"/>
        <v>5</v>
      </c>
      <c r="DO34" s="398">
        <f t="shared" si="48"/>
        <v>2.4000000000000008</v>
      </c>
      <c r="DP34" s="398">
        <f t="shared" si="173"/>
        <v>120.00000000000001</v>
      </c>
      <c r="DQ34" s="398">
        <f t="shared" si="49"/>
        <v>30</v>
      </c>
      <c r="DR34" s="398">
        <f t="shared" si="50"/>
        <v>7.5</v>
      </c>
      <c r="DS34" s="398">
        <f t="shared" si="174"/>
        <v>1.2000000000000004</v>
      </c>
      <c r="DT34" s="399">
        <f t="shared" si="175"/>
        <v>101.62601626016261</v>
      </c>
      <c r="DU34" s="66"/>
      <c r="DV34" s="66"/>
      <c r="DW34" s="396">
        <f t="shared" si="51"/>
        <v>10</v>
      </c>
      <c r="DX34" s="397">
        <f t="shared" si="52"/>
        <v>5</v>
      </c>
      <c r="DY34" s="398">
        <f t="shared" si="53"/>
        <v>2.4000000000000008</v>
      </c>
      <c r="DZ34" s="398">
        <f t="shared" si="176"/>
        <v>120.00000000000001</v>
      </c>
      <c r="EA34" s="398">
        <f t="shared" si="54"/>
        <v>30</v>
      </c>
      <c r="EB34" s="398">
        <f t="shared" si="55"/>
        <v>2.5000000000000004</v>
      </c>
      <c r="EC34" s="398">
        <f t="shared" si="177"/>
        <v>1.2000000000000004</v>
      </c>
      <c r="ED34" s="399">
        <f t="shared" si="178"/>
        <v>101.62601626016261</v>
      </c>
      <c r="EE34" s="66"/>
      <c r="EF34" s="66"/>
      <c r="EG34" s="396">
        <f t="shared" si="56"/>
        <v>10</v>
      </c>
      <c r="EH34" s="397">
        <f t="shared" si="57"/>
        <v>5</v>
      </c>
      <c r="EI34" s="398">
        <f t="shared" si="58"/>
        <v>2.4000000000000008</v>
      </c>
      <c r="EJ34" s="398">
        <f t="shared" si="179"/>
        <v>120.00000000000001</v>
      </c>
      <c r="EK34" s="398">
        <f t="shared" si="59"/>
        <v>30</v>
      </c>
      <c r="EL34" s="398">
        <f t="shared" si="60"/>
        <v>-2.5000000000000004</v>
      </c>
      <c r="EM34" s="398">
        <f t="shared" si="180"/>
        <v>1.2000000000000004</v>
      </c>
      <c r="EN34" s="399">
        <f t="shared" si="181"/>
        <v>101.62601626016261</v>
      </c>
      <c r="EO34" s="66"/>
      <c r="EP34" s="66"/>
      <c r="EQ34" s="396">
        <f t="shared" si="61"/>
        <v>10</v>
      </c>
      <c r="ER34" s="397">
        <f t="shared" si="62"/>
        <v>5</v>
      </c>
      <c r="ES34" s="398">
        <f t="shared" si="63"/>
        <v>2.4000000000000008</v>
      </c>
      <c r="ET34" s="398">
        <f t="shared" si="182"/>
        <v>120.00000000000001</v>
      </c>
      <c r="EU34" s="398">
        <f t="shared" si="64"/>
        <v>30</v>
      </c>
      <c r="EV34" s="398">
        <f t="shared" si="65"/>
        <v>-7.5</v>
      </c>
      <c r="EW34" s="398">
        <f t="shared" si="183"/>
        <v>1.2000000000000004</v>
      </c>
      <c r="EX34" s="399">
        <f t="shared" si="184"/>
        <v>101.62601626016261</v>
      </c>
      <c r="EY34" s="66"/>
      <c r="EZ34" s="66"/>
      <c r="FA34" s="396">
        <f t="shared" si="66"/>
        <v>10</v>
      </c>
      <c r="FB34" s="397">
        <f t="shared" si="67"/>
        <v>5</v>
      </c>
      <c r="FC34" s="398">
        <f t="shared" si="68"/>
        <v>2.4000000000000008</v>
      </c>
      <c r="FD34" s="398">
        <f t="shared" si="185"/>
        <v>120.00000000000001</v>
      </c>
      <c r="FE34" s="398">
        <f t="shared" si="69"/>
        <v>40.000000000000007</v>
      </c>
      <c r="FF34" s="398">
        <f t="shared" si="70"/>
        <v>7.5</v>
      </c>
      <c r="FG34" s="398">
        <f t="shared" si="186"/>
        <v>1.2000000000000004</v>
      </c>
      <c r="FH34" s="399">
        <f t="shared" si="187"/>
        <v>101.62601626016261</v>
      </c>
      <c r="FI34" s="66"/>
      <c r="FJ34" s="66"/>
      <c r="FK34" s="396">
        <f t="shared" si="71"/>
        <v>10</v>
      </c>
      <c r="FL34" s="397">
        <f t="shared" si="72"/>
        <v>5</v>
      </c>
      <c r="FM34" s="398">
        <f t="shared" si="73"/>
        <v>2.4000000000000008</v>
      </c>
      <c r="FN34" s="398">
        <f t="shared" si="188"/>
        <v>120.00000000000001</v>
      </c>
      <c r="FO34" s="398">
        <f t="shared" si="74"/>
        <v>40.000000000000007</v>
      </c>
      <c r="FP34" s="398">
        <f t="shared" si="75"/>
        <v>2.5000000000000004</v>
      </c>
      <c r="FQ34" s="398">
        <f t="shared" si="189"/>
        <v>1.2000000000000004</v>
      </c>
      <c r="FR34" s="399">
        <f t="shared" si="190"/>
        <v>101.62601626016261</v>
      </c>
      <c r="FS34" s="66"/>
      <c r="FT34" s="66"/>
      <c r="FU34" s="396">
        <f t="shared" si="76"/>
        <v>10</v>
      </c>
      <c r="FV34" s="397">
        <f t="shared" si="77"/>
        <v>5</v>
      </c>
      <c r="FW34" s="398">
        <f t="shared" si="78"/>
        <v>2.4000000000000008</v>
      </c>
      <c r="FX34" s="398">
        <f t="shared" si="191"/>
        <v>120.00000000000001</v>
      </c>
      <c r="FY34" s="398">
        <f t="shared" si="79"/>
        <v>40.000000000000007</v>
      </c>
      <c r="FZ34" s="398">
        <f t="shared" si="80"/>
        <v>-2.5000000000000004</v>
      </c>
      <c r="GA34" s="398">
        <f t="shared" si="192"/>
        <v>1.2000000000000004</v>
      </c>
      <c r="GB34" s="399">
        <f t="shared" si="193"/>
        <v>101.62601626016261</v>
      </c>
      <c r="GC34" s="66"/>
      <c r="GD34" s="66"/>
      <c r="GE34" s="396">
        <f t="shared" si="81"/>
        <v>10</v>
      </c>
      <c r="GF34" s="397">
        <f t="shared" si="82"/>
        <v>5</v>
      </c>
      <c r="GG34" s="398">
        <f t="shared" si="83"/>
        <v>2.4000000000000008</v>
      </c>
      <c r="GH34" s="398">
        <f t="shared" si="194"/>
        <v>120.00000000000001</v>
      </c>
      <c r="GI34" s="398">
        <f t="shared" si="84"/>
        <v>40.000000000000007</v>
      </c>
      <c r="GJ34" s="398">
        <f t="shared" si="85"/>
        <v>-7.5</v>
      </c>
      <c r="GK34" s="398">
        <f t="shared" si="195"/>
        <v>1.2000000000000004</v>
      </c>
      <c r="GL34" s="399">
        <f t="shared" si="196"/>
        <v>101.62601626016261</v>
      </c>
      <c r="GM34" s="66"/>
      <c r="GN34" s="66"/>
      <c r="GO34" s="396">
        <f t="shared" si="86"/>
        <v>10</v>
      </c>
      <c r="GP34" s="397">
        <f t="shared" si="87"/>
        <v>5</v>
      </c>
      <c r="GQ34" s="398">
        <f t="shared" si="88"/>
        <v>2.4000000000000008</v>
      </c>
      <c r="GR34" s="398">
        <f t="shared" si="197"/>
        <v>120.00000000000001</v>
      </c>
      <c r="GS34" s="398">
        <f t="shared" si="89"/>
        <v>50</v>
      </c>
      <c r="GT34" s="398">
        <f t="shared" si="90"/>
        <v>7.5</v>
      </c>
      <c r="GU34" s="398">
        <f t="shared" si="198"/>
        <v>1.2000000000000004</v>
      </c>
      <c r="GV34" s="399">
        <f t="shared" si="199"/>
        <v>101.62601626016261</v>
      </c>
      <c r="GW34" s="66"/>
      <c r="GX34" s="66"/>
      <c r="GY34" s="396">
        <f t="shared" si="91"/>
        <v>10</v>
      </c>
      <c r="GZ34" s="397">
        <f t="shared" si="92"/>
        <v>5</v>
      </c>
      <c r="HA34" s="398">
        <f t="shared" si="93"/>
        <v>2.4000000000000008</v>
      </c>
      <c r="HB34" s="398">
        <f t="shared" si="200"/>
        <v>120.00000000000001</v>
      </c>
      <c r="HC34" s="398">
        <f t="shared" si="94"/>
        <v>50</v>
      </c>
      <c r="HD34" s="398">
        <f t="shared" si="95"/>
        <v>2.5000000000000004</v>
      </c>
      <c r="HE34" s="398">
        <f t="shared" si="201"/>
        <v>1.2000000000000004</v>
      </c>
      <c r="HF34" s="399">
        <f t="shared" si="202"/>
        <v>101.62601626016261</v>
      </c>
      <c r="HH34" s="66"/>
      <c r="HI34" s="396">
        <f t="shared" si="96"/>
        <v>10</v>
      </c>
      <c r="HJ34" s="397">
        <f t="shared" si="97"/>
        <v>5</v>
      </c>
      <c r="HK34" s="398">
        <f t="shared" si="98"/>
        <v>2.4000000000000008</v>
      </c>
      <c r="HL34" s="398">
        <f t="shared" si="203"/>
        <v>120.00000000000001</v>
      </c>
      <c r="HM34" s="398">
        <f t="shared" si="99"/>
        <v>50</v>
      </c>
      <c r="HN34" s="398">
        <f t="shared" si="100"/>
        <v>-2.5000000000000004</v>
      </c>
      <c r="HO34" s="398">
        <f t="shared" si="204"/>
        <v>1.2000000000000004</v>
      </c>
      <c r="HP34" s="399">
        <f t="shared" si="205"/>
        <v>101.62601626016261</v>
      </c>
      <c r="HQ34" s="66"/>
      <c r="HR34" s="66"/>
      <c r="HS34" s="396">
        <f t="shared" si="101"/>
        <v>10</v>
      </c>
      <c r="HT34" s="397">
        <f t="shared" si="102"/>
        <v>5</v>
      </c>
      <c r="HU34" s="398">
        <f t="shared" si="103"/>
        <v>2.4000000000000008</v>
      </c>
      <c r="HV34" s="398">
        <f t="shared" si="206"/>
        <v>120.00000000000001</v>
      </c>
      <c r="HW34" s="398">
        <f t="shared" si="104"/>
        <v>50</v>
      </c>
      <c r="HX34" s="398">
        <f t="shared" si="105"/>
        <v>-7.5</v>
      </c>
      <c r="HY34" s="398">
        <f t="shared" si="207"/>
        <v>1.2000000000000004</v>
      </c>
      <c r="HZ34" s="399">
        <f t="shared" si="208"/>
        <v>101.62601626016261</v>
      </c>
      <c r="IA34" s="66"/>
      <c r="IB34" s="66"/>
      <c r="IC34" s="396">
        <f t="shared" si="106"/>
        <v>4.2480000000000011</v>
      </c>
      <c r="ID34" s="397">
        <f t="shared" si="107"/>
        <v>20</v>
      </c>
      <c r="IE34" s="398">
        <f t="shared" si="108"/>
        <v>2.4000000000000008</v>
      </c>
      <c r="IF34" s="398">
        <f t="shared" si="209"/>
        <v>101.84626178448883</v>
      </c>
      <c r="IG34" s="398">
        <f t="shared" si="109"/>
        <v>56.416533721267427</v>
      </c>
      <c r="IH34" s="398">
        <f t="shared" si="110"/>
        <v>0</v>
      </c>
      <c r="II34" s="398">
        <f t="shared" si="210"/>
        <v>1.6006030748784505</v>
      </c>
      <c r="IJ34" s="399">
        <f t="shared" si="211"/>
        <v>2762.9268292682932</v>
      </c>
      <c r="IK34" s="66"/>
      <c r="IL34" s="66"/>
      <c r="IM34" s="396">
        <f t="shared" si="111"/>
        <v>11</v>
      </c>
      <c r="IN34" s="397">
        <f t="shared" si="112"/>
        <v>13.75</v>
      </c>
      <c r="IO34" s="398">
        <f t="shared" si="113"/>
        <v>2.4000000000000008</v>
      </c>
      <c r="IP34" s="398">
        <f t="shared" si="212"/>
        <v>338.40359441245005</v>
      </c>
      <c r="IQ34" s="398">
        <f t="shared" si="114"/>
        <v>67.777608160822169</v>
      </c>
      <c r="IR34" s="398">
        <f t="shared" si="115"/>
        <v>6.8749999999999991</v>
      </c>
      <c r="IS34" s="398">
        <f t="shared" si="213"/>
        <v>1.2581254017783263</v>
      </c>
      <c r="IT34" s="399">
        <f t="shared" si="214"/>
        <v>2324.8539126016262</v>
      </c>
      <c r="IU34" s="66"/>
      <c r="IV34" s="66"/>
      <c r="IW34" s="396">
        <f t="shared" si="116"/>
        <v>11</v>
      </c>
      <c r="IX34" s="397">
        <f t="shared" si="117"/>
        <v>13.75</v>
      </c>
      <c r="IY34" s="398">
        <f t="shared" si="118"/>
        <v>2.4000000000000008</v>
      </c>
      <c r="IZ34" s="398">
        <f t="shared" si="215"/>
        <v>338.40359441245005</v>
      </c>
      <c r="JA34" s="398">
        <f t="shared" si="119"/>
        <v>67.777608160822169</v>
      </c>
      <c r="JB34" s="398">
        <f t="shared" si="120"/>
        <v>-6.8749999999999991</v>
      </c>
      <c r="JC34" s="398">
        <f t="shared" si="216"/>
        <v>1.2581254017783263</v>
      </c>
      <c r="JD34" s="399">
        <f t="shared" si="217"/>
        <v>2324.8539126016262</v>
      </c>
      <c r="JE34" s="66"/>
      <c r="JF34" s="66"/>
      <c r="JG34" s="396">
        <f t="shared" si="121"/>
        <v>6</v>
      </c>
      <c r="JH34" s="397">
        <f t="shared" si="122"/>
        <v>6.875</v>
      </c>
      <c r="JI34" s="398">
        <f t="shared" si="123"/>
        <v>2.4000000000000008</v>
      </c>
      <c r="JJ34" s="398">
        <f t="shared" si="218"/>
        <v>49.448661706805126</v>
      </c>
      <c r="JK34" s="398">
        <f t="shared" si="124"/>
        <v>71.600753843598071</v>
      </c>
      <c r="JL34" s="398">
        <f t="shared" si="125"/>
        <v>10.312499999999998</v>
      </c>
      <c r="JM34" s="398">
        <f t="shared" si="219"/>
        <v>2.7966030748784503</v>
      </c>
      <c r="JN34" s="399">
        <f t="shared" si="220"/>
        <v>158.51276676829269</v>
      </c>
      <c r="JO34" s="66"/>
      <c r="JP34" s="66"/>
      <c r="JQ34" s="396">
        <f t="shared" si="126"/>
        <v>6</v>
      </c>
      <c r="JR34" s="397">
        <f t="shared" si="127"/>
        <v>6.875</v>
      </c>
      <c r="JS34" s="398">
        <f t="shared" si="128"/>
        <v>2.4000000000000008</v>
      </c>
      <c r="JT34" s="398">
        <f t="shared" si="221"/>
        <v>49.448661706805126</v>
      </c>
      <c r="JU34" s="398">
        <f t="shared" si="129"/>
        <v>71.600753843598071</v>
      </c>
      <c r="JV34" s="398">
        <f t="shared" si="130"/>
        <v>3.4375</v>
      </c>
      <c r="JW34" s="398">
        <f t="shared" si="222"/>
        <v>2.7966030748784503</v>
      </c>
      <c r="JX34" s="399">
        <f t="shared" si="223"/>
        <v>158.51276676829269</v>
      </c>
      <c r="JY34" s="66"/>
      <c r="JZ34" s="66"/>
      <c r="KA34" s="396">
        <f t="shared" si="131"/>
        <v>6</v>
      </c>
      <c r="KB34" s="397">
        <f t="shared" si="132"/>
        <v>6.875</v>
      </c>
      <c r="KC34" s="398">
        <f t="shared" si="133"/>
        <v>2.4000000000000008</v>
      </c>
      <c r="KD34" s="398">
        <f t="shared" si="224"/>
        <v>49.448661706805126</v>
      </c>
      <c r="KE34" s="398">
        <f t="shared" si="134"/>
        <v>71.600753843598071</v>
      </c>
      <c r="KF34" s="398">
        <f t="shared" si="135"/>
        <v>-3.4375</v>
      </c>
      <c r="KG34" s="398">
        <f t="shared" si="225"/>
        <v>2.7966030748784503</v>
      </c>
      <c r="KH34" s="399">
        <f t="shared" si="226"/>
        <v>158.51276676829269</v>
      </c>
      <c r="KI34" s="66"/>
      <c r="KJ34" s="66"/>
      <c r="KK34" s="396">
        <f t="shared" si="136"/>
        <v>6</v>
      </c>
      <c r="KL34" s="397">
        <f t="shared" si="137"/>
        <v>6.875</v>
      </c>
      <c r="KM34" s="398">
        <f t="shared" si="138"/>
        <v>2.4000000000000008</v>
      </c>
      <c r="KN34" s="398">
        <f t="shared" si="227"/>
        <v>49.448661706805126</v>
      </c>
      <c r="KO34" s="398">
        <f t="shared" si="139"/>
        <v>71.600753843598071</v>
      </c>
      <c r="KP34" s="398">
        <f t="shared" si="140"/>
        <v>-10.312499999999998</v>
      </c>
      <c r="KQ34" s="398">
        <f t="shared" si="228"/>
        <v>2.7966030748784503</v>
      </c>
      <c r="KR34" s="399">
        <f t="shared" si="229"/>
        <v>158.51276676829269</v>
      </c>
      <c r="KS34" s="66"/>
      <c r="KT34" s="66"/>
      <c r="KU34" s="396">
        <f t="shared" si="141"/>
        <v>5</v>
      </c>
      <c r="KV34" s="397">
        <f t="shared" si="142"/>
        <v>5</v>
      </c>
      <c r="KW34" s="398">
        <f t="shared" si="143"/>
        <v>2.4000000000000008</v>
      </c>
      <c r="KX34" s="398">
        <f t="shared" si="230"/>
        <v>60.000000000000007</v>
      </c>
      <c r="KY34" s="398">
        <f t="shared" si="144"/>
        <v>57.5</v>
      </c>
      <c r="KZ34" s="398">
        <f t="shared" si="145"/>
        <v>0</v>
      </c>
      <c r="LA34" s="398">
        <f t="shared" si="231"/>
        <v>1.2000000000000004</v>
      </c>
      <c r="LB34" s="399">
        <f t="shared" si="232"/>
        <v>50.813008130081307</v>
      </c>
      <c r="LC34" s="66"/>
    </row>
    <row r="35" spans="1:315" s="67" customFormat="1" ht="15" customHeight="1" x14ac:dyDescent="0.25">
      <c r="A35" s="481"/>
      <c r="Y35" s="481"/>
      <c r="Z35" s="413"/>
      <c r="AA35" s="396">
        <f t="shared" si="1"/>
        <v>4.4425000000000008</v>
      </c>
      <c r="AB35" s="397">
        <f t="shared" si="2"/>
        <v>20</v>
      </c>
      <c r="AC35" s="398">
        <f t="shared" si="3"/>
        <v>2.5000000000000009</v>
      </c>
      <c r="AD35" s="398">
        <f t="shared" si="146"/>
        <v>110.95573912603898</v>
      </c>
      <c r="AE35" s="398">
        <f t="shared" si="4"/>
        <v>3.518643718032906</v>
      </c>
      <c r="AF35" s="398">
        <f t="shared" si="5"/>
        <v>0</v>
      </c>
      <c r="AG35" s="398">
        <f t="shared" si="147"/>
        <v>1.6672552413810855</v>
      </c>
      <c r="AH35" s="399">
        <f t="shared" si="148"/>
        <v>2889.4308943089441</v>
      </c>
      <c r="AI35" s="367"/>
      <c r="AJ35" s="66"/>
      <c r="AK35" s="396">
        <f t="shared" si="6"/>
        <v>10</v>
      </c>
      <c r="AL35" s="397">
        <f t="shared" si="7"/>
        <v>5</v>
      </c>
      <c r="AM35" s="398">
        <f t="shared" si="8"/>
        <v>2.5000000000000009</v>
      </c>
      <c r="AN35" s="398">
        <f t="shared" si="149"/>
        <v>125.00000000000001</v>
      </c>
      <c r="AO35" s="398">
        <f t="shared" si="9"/>
        <v>10.000000000000002</v>
      </c>
      <c r="AP35" s="398">
        <f t="shared" si="10"/>
        <v>7.5</v>
      </c>
      <c r="AQ35" s="398">
        <f t="shared" si="150"/>
        <v>1.2500000000000002</v>
      </c>
      <c r="AR35" s="399">
        <f t="shared" si="151"/>
        <v>101.62601626016261</v>
      </c>
      <c r="AS35" s="66"/>
      <c r="AT35" s="66"/>
      <c r="AU35" s="396">
        <f t="shared" si="11"/>
        <v>10</v>
      </c>
      <c r="AV35" s="397">
        <f t="shared" si="12"/>
        <v>5</v>
      </c>
      <c r="AW35" s="398">
        <f t="shared" si="13"/>
        <v>2.5000000000000009</v>
      </c>
      <c r="AX35" s="398">
        <f t="shared" si="152"/>
        <v>125.00000000000001</v>
      </c>
      <c r="AY35" s="398">
        <f t="shared" si="14"/>
        <v>10.000000000000002</v>
      </c>
      <c r="AZ35" s="398">
        <f t="shared" si="15"/>
        <v>2.5000000000000004</v>
      </c>
      <c r="BA35" s="398">
        <f t="shared" si="153"/>
        <v>1.2500000000000002</v>
      </c>
      <c r="BB35" s="399">
        <f t="shared" si="154"/>
        <v>101.62601626016261</v>
      </c>
      <c r="BC35" s="66"/>
      <c r="BD35" s="66"/>
      <c r="BE35" s="396">
        <f t="shared" si="16"/>
        <v>10</v>
      </c>
      <c r="BF35" s="397">
        <f t="shared" si="17"/>
        <v>5</v>
      </c>
      <c r="BG35" s="398">
        <f t="shared" si="18"/>
        <v>2.5000000000000009</v>
      </c>
      <c r="BH35" s="398">
        <f t="shared" si="155"/>
        <v>125.00000000000001</v>
      </c>
      <c r="BI35" s="398">
        <f t="shared" si="19"/>
        <v>10.000000000000002</v>
      </c>
      <c r="BJ35" s="398">
        <f t="shared" si="20"/>
        <v>-2.5000000000000004</v>
      </c>
      <c r="BK35" s="398">
        <f t="shared" si="156"/>
        <v>1.2500000000000002</v>
      </c>
      <c r="BL35" s="399">
        <f t="shared" si="157"/>
        <v>101.62601626016261</v>
      </c>
      <c r="BM35" s="66"/>
      <c r="BN35" s="66"/>
      <c r="BO35" s="396">
        <f t="shared" si="21"/>
        <v>10</v>
      </c>
      <c r="BP35" s="397">
        <f t="shared" si="22"/>
        <v>5</v>
      </c>
      <c r="BQ35" s="398">
        <f t="shared" si="23"/>
        <v>2.5000000000000009</v>
      </c>
      <c r="BR35" s="398">
        <f t="shared" si="158"/>
        <v>125.00000000000001</v>
      </c>
      <c r="BS35" s="398">
        <f t="shared" si="24"/>
        <v>10.000000000000002</v>
      </c>
      <c r="BT35" s="398">
        <f t="shared" si="25"/>
        <v>-7.5</v>
      </c>
      <c r="BU35" s="398">
        <f t="shared" si="159"/>
        <v>1.2500000000000002</v>
      </c>
      <c r="BV35" s="399">
        <f t="shared" si="160"/>
        <v>101.62601626016261</v>
      </c>
      <c r="BW35" s="66"/>
      <c r="BX35" s="66"/>
      <c r="BY35" s="396">
        <f t="shared" si="26"/>
        <v>10</v>
      </c>
      <c r="BZ35" s="397">
        <f t="shared" si="27"/>
        <v>5</v>
      </c>
      <c r="CA35" s="398">
        <f t="shared" si="28"/>
        <v>2.5000000000000009</v>
      </c>
      <c r="CB35" s="398">
        <f t="shared" si="161"/>
        <v>125.00000000000001</v>
      </c>
      <c r="CC35" s="398">
        <f t="shared" si="29"/>
        <v>20.000000000000004</v>
      </c>
      <c r="CD35" s="398">
        <f t="shared" si="30"/>
        <v>7.5</v>
      </c>
      <c r="CE35" s="398">
        <f t="shared" si="162"/>
        <v>1.2500000000000002</v>
      </c>
      <c r="CF35" s="399">
        <f t="shared" si="163"/>
        <v>101.62601626016261</v>
      </c>
      <c r="CG35" s="66"/>
      <c r="CH35" s="66"/>
      <c r="CI35" s="396">
        <f t="shared" si="31"/>
        <v>10</v>
      </c>
      <c r="CJ35" s="397">
        <f t="shared" si="32"/>
        <v>5</v>
      </c>
      <c r="CK35" s="398">
        <f t="shared" si="33"/>
        <v>2.5000000000000009</v>
      </c>
      <c r="CL35" s="398">
        <f t="shared" si="164"/>
        <v>125.00000000000001</v>
      </c>
      <c r="CM35" s="398">
        <f t="shared" si="34"/>
        <v>20.000000000000004</v>
      </c>
      <c r="CN35" s="398">
        <f t="shared" si="35"/>
        <v>2.5000000000000004</v>
      </c>
      <c r="CO35" s="398">
        <f t="shared" si="165"/>
        <v>1.2500000000000002</v>
      </c>
      <c r="CP35" s="399">
        <f t="shared" si="166"/>
        <v>101.62601626016261</v>
      </c>
      <c r="CQ35" s="66"/>
      <c r="CS35" s="396">
        <f t="shared" si="36"/>
        <v>10</v>
      </c>
      <c r="CT35" s="397">
        <f t="shared" si="37"/>
        <v>5</v>
      </c>
      <c r="CU35" s="398">
        <f t="shared" si="38"/>
        <v>2.5000000000000009</v>
      </c>
      <c r="CV35" s="398">
        <f t="shared" si="167"/>
        <v>125.00000000000001</v>
      </c>
      <c r="CW35" s="398">
        <f t="shared" si="39"/>
        <v>20.000000000000004</v>
      </c>
      <c r="CX35" s="398">
        <f t="shared" si="40"/>
        <v>-2.5000000000000004</v>
      </c>
      <c r="CY35" s="398">
        <f t="shared" si="168"/>
        <v>1.2500000000000002</v>
      </c>
      <c r="CZ35" s="399">
        <f t="shared" si="169"/>
        <v>101.62601626016261</v>
      </c>
      <c r="DA35" s="66"/>
      <c r="DB35" s="66"/>
      <c r="DC35" s="396">
        <f t="shared" si="41"/>
        <v>10</v>
      </c>
      <c r="DD35" s="397">
        <f t="shared" si="42"/>
        <v>5</v>
      </c>
      <c r="DE35" s="398">
        <f t="shared" si="43"/>
        <v>2.5000000000000009</v>
      </c>
      <c r="DF35" s="398">
        <f t="shared" si="170"/>
        <v>125.00000000000001</v>
      </c>
      <c r="DG35" s="398">
        <f t="shared" si="44"/>
        <v>20.000000000000004</v>
      </c>
      <c r="DH35" s="398">
        <f t="shared" si="45"/>
        <v>-7.5</v>
      </c>
      <c r="DI35" s="398">
        <f t="shared" si="171"/>
        <v>1.2500000000000002</v>
      </c>
      <c r="DJ35" s="399">
        <f t="shared" si="172"/>
        <v>101.62601626016261</v>
      </c>
      <c r="DK35" s="66"/>
      <c r="DM35" s="396">
        <f t="shared" si="46"/>
        <v>10</v>
      </c>
      <c r="DN35" s="397">
        <f t="shared" si="47"/>
        <v>5</v>
      </c>
      <c r="DO35" s="398">
        <f t="shared" si="48"/>
        <v>2.5000000000000009</v>
      </c>
      <c r="DP35" s="398">
        <f t="shared" si="173"/>
        <v>125.00000000000001</v>
      </c>
      <c r="DQ35" s="398">
        <f t="shared" si="49"/>
        <v>30</v>
      </c>
      <c r="DR35" s="398">
        <f t="shared" si="50"/>
        <v>7.5</v>
      </c>
      <c r="DS35" s="398">
        <f t="shared" si="174"/>
        <v>1.2500000000000002</v>
      </c>
      <c r="DT35" s="399">
        <f t="shared" si="175"/>
        <v>101.62601626016261</v>
      </c>
      <c r="DU35" s="66"/>
      <c r="DV35" s="66"/>
      <c r="DW35" s="396">
        <f t="shared" si="51"/>
        <v>10</v>
      </c>
      <c r="DX35" s="397">
        <f t="shared" si="52"/>
        <v>5</v>
      </c>
      <c r="DY35" s="398">
        <f t="shared" si="53"/>
        <v>2.5000000000000009</v>
      </c>
      <c r="DZ35" s="398">
        <f t="shared" si="176"/>
        <v>125.00000000000001</v>
      </c>
      <c r="EA35" s="398">
        <f t="shared" si="54"/>
        <v>30</v>
      </c>
      <c r="EB35" s="398">
        <f t="shared" si="55"/>
        <v>2.5000000000000004</v>
      </c>
      <c r="EC35" s="398">
        <f t="shared" si="177"/>
        <v>1.2500000000000002</v>
      </c>
      <c r="ED35" s="399">
        <f t="shared" si="178"/>
        <v>101.62601626016261</v>
      </c>
      <c r="EE35" s="66"/>
      <c r="EF35" s="66"/>
      <c r="EG35" s="396">
        <f t="shared" si="56"/>
        <v>10</v>
      </c>
      <c r="EH35" s="397">
        <f t="shared" si="57"/>
        <v>5</v>
      </c>
      <c r="EI35" s="398">
        <f t="shared" si="58"/>
        <v>2.5000000000000009</v>
      </c>
      <c r="EJ35" s="398">
        <f t="shared" si="179"/>
        <v>125.00000000000001</v>
      </c>
      <c r="EK35" s="398">
        <f t="shared" si="59"/>
        <v>30</v>
      </c>
      <c r="EL35" s="398">
        <f t="shared" si="60"/>
        <v>-2.5000000000000004</v>
      </c>
      <c r="EM35" s="398">
        <f t="shared" si="180"/>
        <v>1.2500000000000002</v>
      </c>
      <c r="EN35" s="399">
        <f t="shared" si="181"/>
        <v>101.62601626016261</v>
      </c>
      <c r="EO35" s="66"/>
      <c r="EP35" s="66"/>
      <c r="EQ35" s="396">
        <f t="shared" si="61"/>
        <v>10</v>
      </c>
      <c r="ER35" s="397">
        <f t="shared" si="62"/>
        <v>5</v>
      </c>
      <c r="ES35" s="398">
        <f t="shared" si="63"/>
        <v>2.5000000000000009</v>
      </c>
      <c r="ET35" s="398">
        <f t="shared" si="182"/>
        <v>125.00000000000001</v>
      </c>
      <c r="EU35" s="398">
        <f t="shared" si="64"/>
        <v>30</v>
      </c>
      <c r="EV35" s="398">
        <f t="shared" si="65"/>
        <v>-7.5</v>
      </c>
      <c r="EW35" s="398">
        <f t="shared" si="183"/>
        <v>1.2500000000000002</v>
      </c>
      <c r="EX35" s="399">
        <f t="shared" si="184"/>
        <v>101.62601626016261</v>
      </c>
      <c r="EY35" s="66"/>
      <c r="EZ35" s="66"/>
      <c r="FA35" s="396">
        <f t="shared" si="66"/>
        <v>10</v>
      </c>
      <c r="FB35" s="397">
        <f t="shared" si="67"/>
        <v>5</v>
      </c>
      <c r="FC35" s="398">
        <f t="shared" si="68"/>
        <v>2.5000000000000009</v>
      </c>
      <c r="FD35" s="398">
        <f t="shared" si="185"/>
        <v>125.00000000000001</v>
      </c>
      <c r="FE35" s="398">
        <f t="shared" si="69"/>
        <v>40.000000000000007</v>
      </c>
      <c r="FF35" s="398">
        <f t="shared" si="70"/>
        <v>7.5</v>
      </c>
      <c r="FG35" s="398">
        <f t="shared" si="186"/>
        <v>1.2500000000000002</v>
      </c>
      <c r="FH35" s="399">
        <f t="shared" si="187"/>
        <v>101.62601626016261</v>
      </c>
      <c r="FI35" s="66"/>
      <c r="FJ35" s="66"/>
      <c r="FK35" s="396">
        <f t="shared" si="71"/>
        <v>10</v>
      </c>
      <c r="FL35" s="397">
        <f t="shared" si="72"/>
        <v>5</v>
      </c>
      <c r="FM35" s="398">
        <f t="shared" si="73"/>
        <v>2.5000000000000009</v>
      </c>
      <c r="FN35" s="398">
        <f t="shared" si="188"/>
        <v>125.00000000000001</v>
      </c>
      <c r="FO35" s="398">
        <f t="shared" si="74"/>
        <v>40.000000000000007</v>
      </c>
      <c r="FP35" s="398">
        <f t="shared" si="75"/>
        <v>2.5000000000000004</v>
      </c>
      <c r="FQ35" s="398">
        <f t="shared" si="189"/>
        <v>1.2500000000000002</v>
      </c>
      <c r="FR35" s="399">
        <f t="shared" si="190"/>
        <v>101.62601626016261</v>
      </c>
      <c r="FS35" s="66"/>
      <c r="FT35" s="66"/>
      <c r="FU35" s="396">
        <f t="shared" si="76"/>
        <v>10</v>
      </c>
      <c r="FV35" s="397">
        <f t="shared" si="77"/>
        <v>5</v>
      </c>
      <c r="FW35" s="398">
        <f t="shared" si="78"/>
        <v>2.5000000000000009</v>
      </c>
      <c r="FX35" s="398">
        <f t="shared" si="191"/>
        <v>125.00000000000001</v>
      </c>
      <c r="FY35" s="398">
        <f t="shared" si="79"/>
        <v>40.000000000000007</v>
      </c>
      <c r="FZ35" s="398">
        <f t="shared" si="80"/>
        <v>-2.5000000000000004</v>
      </c>
      <c r="GA35" s="398">
        <f t="shared" si="192"/>
        <v>1.2500000000000002</v>
      </c>
      <c r="GB35" s="399">
        <f t="shared" si="193"/>
        <v>101.62601626016261</v>
      </c>
      <c r="GC35" s="66"/>
      <c r="GD35" s="66"/>
      <c r="GE35" s="396">
        <f t="shared" si="81"/>
        <v>10</v>
      </c>
      <c r="GF35" s="397">
        <f t="shared" si="82"/>
        <v>5</v>
      </c>
      <c r="GG35" s="398">
        <f t="shared" si="83"/>
        <v>2.5000000000000009</v>
      </c>
      <c r="GH35" s="398">
        <f t="shared" si="194"/>
        <v>125.00000000000001</v>
      </c>
      <c r="GI35" s="398">
        <f t="shared" si="84"/>
        <v>40.000000000000007</v>
      </c>
      <c r="GJ35" s="398">
        <f t="shared" si="85"/>
        <v>-7.5</v>
      </c>
      <c r="GK35" s="398">
        <f t="shared" si="195"/>
        <v>1.2500000000000002</v>
      </c>
      <c r="GL35" s="399">
        <f t="shared" si="196"/>
        <v>101.62601626016261</v>
      </c>
      <c r="GM35" s="66"/>
      <c r="GN35" s="66"/>
      <c r="GO35" s="396">
        <f t="shared" si="86"/>
        <v>10</v>
      </c>
      <c r="GP35" s="397">
        <f t="shared" si="87"/>
        <v>5</v>
      </c>
      <c r="GQ35" s="398">
        <f t="shared" si="88"/>
        <v>2.5000000000000009</v>
      </c>
      <c r="GR35" s="398">
        <f t="shared" si="197"/>
        <v>125.00000000000001</v>
      </c>
      <c r="GS35" s="398">
        <f t="shared" si="89"/>
        <v>50</v>
      </c>
      <c r="GT35" s="398">
        <f t="shared" si="90"/>
        <v>7.5</v>
      </c>
      <c r="GU35" s="398">
        <f t="shared" si="198"/>
        <v>1.2500000000000002</v>
      </c>
      <c r="GV35" s="399">
        <f t="shared" si="199"/>
        <v>101.62601626016261</v>
      </c>
      <c r="GW35" s="66"/>
      <c r="GX35" s="66"/>
      <c r="GY35" s="396">
        <f t="shared" si="91"/>
        <v>10</v>
      </c>
      <c r="GZ35" s="397">
        <f t="shared" si="92"/>
        <v>5</v>
      </c>
      <c r="HA35" s="398">
        <f t="shared" si="93"/>
        <v>2.5000000000000009</v>
      </c>
      <c r="HB35" s="398">
        <f t="shared" si="200"/>
        <v>125.00000000000001</v>
      </c>
      <c r="HC35" s="398">
        <f t="shared" si="94"/>
        <v>50</v>
      </c>
      <c r="HD35" s="398">
        <f t="shared" si="95"/>
        <v>2.5000000000000004</v>
      </c>
      <c r="HE35" s="398">
        <f t="shared" si="201"/>
        <v>1.2500000000000002</v>
      </c>
      <c r="HF35" s="399">
        <f t="shared" si="202"/>
        <v>101.62601626016261</v>
      </c>
      <c r="HH35" s="66"/>
      <c r="HI35" s="396">
        <f t="shared" si="96"/>
        <v>10</v>
      </c>
      <c r="HJ35" s="397">
        <f t="shared" si="97"/>
        <v>5</v>
      </c>
      <c r="HK35" s="398">
        <f t="shared" si="98"/>
        <v>2.5000000000000009</v>
      </c>
      <c r="HL35" s="398">
        <f t="shared" si="203"/>
        <v>125.00000000000001</v>
      </c>
      <c r="HM35" s="398">
        <f t="shared" si="99"/>
        <v>50</v>
      </c>
      <c r="HN35" s="398">
        <f t="shared" si="100"/>
        <v>-2.5000000000000004</v>
      </c>
      <c r="HO35" s="398">
        <f t="shared" si="204"/>
        <v>1.2500000000000002</v>
      </c>
      <c r="HP35" s="399">
        <f t="shared" si="205"/>
        <v>101.62601626016261</v>
      </c>
      <c r="HQ35" s="66"/>
      <c r="HR35" s="66"/>
      <c r="HS35" s="396">
        <f t="shared" si="101"/>
        <v>10</v>
      </c>
      <c r="HT35" s="397">
        <f t="shared" si="102"/>
        <v>5</v>
      </c>
      <c r="HU35" s="398">
        <f t="shared" si="103"/>
        <v>2.5000000000000009</v>
      </c>
      <c r="HV35" s="398">
        <f t="shared" si="206"/>
        <v>125.00000000000001</v>
      </c>
      <c r="HW35" s="398">
        <f t="shared" si="104"/>
        <v>50</v>
      </c>
      <c r="HX35" s="398">
        <f t="shared" si="105"/>
        <v>-7.5</v>
      </c>
      <c r="HY35" s="398">
        <f t="shared" si="207"/>
        <v>1.2500000000000002</v>
      </c>
      <c r="HZ35" s="399">
        <f t="shared" si="208"/>
        <v>101.62601626016261</v>
      </c>
      <c r="IA35" s="66"/>
      <c r="IB35" s="66"/>
      <c r="IC35" s="396">
        <f t="shared" si="106"/>
        <v>4.4250000000000016</v>
      </c>
      <c r="ID35" s="397">
        <f t="shared" si="107"/>
        <v>20</v>
      </c>
      <c r="IE35" s="398">
        <f t="shared" si="108"/>
        <v>2.5000000000000009</v>
      </c>
      <c r="IF35" s="398">
        <f t="shared" si="209"/>
        <v>110.51865968097299</v>
      </c>
      <c r="IG35" s="398">
        <f t="shared" si="109"/>
        <v>56.475520888622256</v>
      </c>
      <c r="IH35" s="398">
        <f t="shared" si="110"/>
        <v>0</v>
      </c>
      <c r="II35" s="398">
        <f t="shared" si="210"/>
        <v>1.6672552413810855</v>
      </c>
      <c r="IJ35" s="399">
        <f t="shared" si="211"/>
        <v>2878.0487804878067</v>
      </c>
      <c r="IK35" s="66"/>
      <c r="IL35" s="66"/>
      <c r="IM35" s="396">
        <f t="shared" si="111"/>
        <v>11</v>
      </c>
      <c r="IN35" s="397">
        <f t="shared" si="112"/>
        <v>13.75</v>
      </c>
      <c r="IO35" s="398">
        <f t="shared" si="113"/>
        <v>2.5000000000000009</v>
      </c>
      <c r="IP35" s="398">
        <f t="shared" si="212"/>
        <v>353.52859441245005</v>
      </c>
      <c r="IQ35" s="398">
        <f t="shared" si="114"/>
        <v>67.791614953047258</v>
      </c>
      <c r="IR35" s="398">
        <f t="shared" si="115"/>
        <v>6.8749999999999991</v>
      </c>
      <c r="IS35" s="398">
        <f t="shared" si="213"/>
        <v>1.3091173260046061</v>
      </c>
      <c r="IT35" s="399">
        <f t="shared" si="214"/>
        <v>2324.8539126016262</v>
      </c>
      <c r="IU35" s="66"/>
      <c r="IV35" s="66"/>
      <c r="IW35" s="396">
        <f t="shared" si="116"/>
        <v>11</v>
      </c>
      <c r="IX35" s="397">
        <f t="shared" si="117"/>
        <v>13.75</v>
      </c>
      <c r="IY35" s="398">
        <f t="shared" si="118"/>
        <v>2.5000000000000009</v>
      </c>
      <c r="IZ35" s="398">
        <f t="shared" si="215"/>
        <v>353.52859441245005</v>
      </c>
      <c r="JA35" s="398">
        <f t="shared" si="119"/>
        <v>67.791614953047258</v>
      </c>
      <c r="JB35" s="398">
        <f t="shared" si="120"/>
        <v>-6.8749999999999991</v>
      </c>
      <c r="JC35" s="398">
        <f t="shared" si="216"/>
        <v>1.3091173260046061</v>
      </c>
      <c r="JD35" s="399">
        <f t="shared" si="217"/>
        <v>2324.8539126016262</v>
      </c>
      <c r="JE35" s="66"/>
      <c r="JF35" s="66"/>
      <c r="JG35" s="396">
        <f t="shared" si="121"/>
        <v>6.25</v>
      </c>
      <c r="JH35" s="397">
        <f t="shared" si="122"/>
        <v>6.875</v>
      </c>
      <c r="JI35" s="398">
        <f t="shared" si="123"/>
        <v>2.5000000000000009</v>
      </c>
      <c r="JJ35" s="398">
        <f t="shared" si="218"/>
        <v>53.659306871941325</v>
      </c>
      <c r="JK35" s="398">
        <f t="shared" si="124"/>
        <v>71.684069051726354</v>
      </c>
      <c r="JL35" s="398">
        <f t="shared" si="125"/>
        <v>10.312499999999998</v>
      </c>
      <c r="JM35" s="398">
        <f t="shared" si="219"/>
        <v>2.863255241381085</v>
      </c>
      <c r="JN35" s="399">
        <f t="shared" si="220"/>
        <v>165.1174653836382</v>
      </c>
      <c r="JO35" s="66"/>
      <c r="JP35" s="66"/>
      <c r="JQ35" s="396">
        <f t="shared" si="126"/>
        <v>6.25</v>
      </c>
      <c r="JR35" s="397">
        <f t="shared" si="127"/>
        <v>6.875</v>
      </c>
      <c r="JS35" s="398">
        <f t="shared" si="128"/>
        <v>2.5000000000000009</v>
      </c>
      <c r="JT35" s="398">
        <f t="shared" si="221"/>
        <v>53.659306871941325</v>
      </c>
      <c r="JU35" s="398">
        <f t="shared" si="129"/>
        <v>71.684069051726354</v>
      </c>
      <c r="JV35" s="398">
        <f t="shared" si="130"/>
        <v>3.4375</v>
      </c>
      <c r="JW35" s="398">
        <f t="shared" si="222"/>
        <v>2.863255241381085</v>
      </c>
      <c r="JX35" s="399">
        <f t="shared" si="223"/>
        <v>165.1174653836382</v>
      </c>
      <c r="JY35" s="66"/>
      <c r="JZ35" s="66"/>
      <c r="KA35" s="396">
        <f t="shared" si="131"/>
        <v>6.25</v>
      </c>
      <c r="KB35" s="397">
        <f t="shared" si="132"/>
        <v>6.875</v>
      </c>
      <c r="KC35" s="398">
        <f t="shared" si="133"/>
        <v>2.5000000000000009</v>
      </c>
      <c r="KD35" s="398">
        <f t="shared" si="224"/>
        <v>53.659306871941325</v>
      </c>
      <c r="KE35" s="398">
        <f t="shared" si="134"/>
        <v>71.684069051726354</v>
      </c>
      <c r="KF35" s="398">
        <f t="shared" si="135"/>
        <v>-3.4375</v>
      </c>
      <c r="KG35" s="398">
        <f t="shared" si="225"/>
        <v>2.863255241381085</v>
      </c>
      <c r="KH35" s="399">
        <f t="shared" si="226"/>
        <v>165.1174653836382</v>
      </c>
      <c r="KI35" s="66"/>
      <c r="KJ35" s="66"/>
      <c r="KK35" s="396">
        <f t="shared" si="136"/>
        <v>6.25</v>
      </c>
      <c r="KL35" s="397">
        <f t="shared" si="137"/>
        <v>6.875</v>
      </c>
      <c r="KM35" s="398">
        <f t="shared" si="138"/>
        <v>2.5000000000000009</v>
      </c>
      <c r="KN35" s="398">
        <f t="shared" si="227"/>
        <v>53.659306871941325</v>
      </c>
      <c r="KO35" s="398">
        <f t="shared" si="139"/>
        <v>71.684069051726354</v>
      </c>
      <c r="KP35" s="398">
        <f t="shared" si="140"/>
        <v>-10.312499999999998</v>
      </c>
      <c r="KQ35" s="398">
        <f t="shared" si="228"/>
        <v>2.863255241381085</v>
      </c>
      <c r="KR35" s="399">
        <f t="shared" si="229"/>
        <v>165.1174653836382</v>
      </c>
      <c r="KS35" s="66"/>
      <c r="KT35" s="66"/>
      <c r="KU35" s="396">
        <f t="shared" si="141"/>
        <v>5</v>
      </c>
      <c r="KV35" s="397">
        <f t="shared" si="142"/>
        <v>5</v>
      </c>
      <c r="KW35" s="398">
        <f t="shared" si="143"/>
        <v>2.5000000000000009</v>
      </c>
      <c r="KX35" s="398">
        <f t="shared" si="230"/>
        <v>62.500000000000007</v>
      </c>
      <c r="KY35" s="398">
        <f t="shared" si="144"/>
        <v>57.5</v>
      </c>
      <c r="KZ35" s="398">
        <f t="shared" si="145"/>
        <v>0</v>
      </c>
      <c r="LA35" s="398">
        <f t="shared" si="231"/>
        <v>1.2500000000000002</v>
      </c>
      <c r="LB35" s="399">
        <f t="shared" si="232"/>
        <v>50.813008130081307</v>
      </c>
      <c r="LC35" s="66"/>
    </row>
    <row r="36" spans="1:315" s="67" customFormat="1" ht="15" customHeight="1" x14ac:dyDescent="0.25">
      <c r="A36" s="481"/>
      <c r="Y36" s="481"/>
      <c r="Z36" s="413"/>
      <c r="AA36" s="396">
        <f t="shared" si="1"/>
        <v>4.6202000000000005</v>
      </c>
      <c r="AB36" s="397">
        <f t="shared" si="2"/>
        <v>20</v>
      </c>
      <c r="AC36" s="398">
        <f t="shared" si="3"/>
        <v>2.600000000000001</v>
      </c>
      <c r="AD36" s="398">
        <f t="shared" si="146"/>
        <v>120.01785835125712</v>
      </c>
      <c r="AE36" s="398">
        <f t="shared" si="4"/>
        <v>3.4594226168482587</v>
      </c>
      <c r="AF36" s="398">
        <f t="shared" si="5"/>
        <v>0</v>
      </c>
      <c r="AG36" s="398">
        <f t="shared" si="147"/>
        <v>1.7339081408573342</v>
      </c>
      <c r="AH36" s="399">
        <f t="shared" si="148"/>
        <v>3005.0081300813013</v>
      </c>
      <c r="AI36" s="367"/>
      <c r="AJ36" s="66"/>
      <c r="AK36" s="396">
        <f t="shared" si="6"/>
        <v>10</v>
      </c>
      <c r="AL36" s="397">
        <f t="shared" si="7"/>
        <v>5</v>
      </c>
      <c r="AM36" s="398">
        <f t="shared" si="8"/>
        <v>2.600000000000001</v>
      </c>
      <c r="AN36" s="398">
        <f t="shared" si="149"/>
        <v>130.00000000000003</v>
      </c>
      <c r="AO36" s="398">
        <f t="shared" si="9"/>
        <v>10.000000000000004</v>
      </c>
      <c r="AP36" s="398">
        <f t="shared" si="10"/>
        <v>7.5</v>
      </c>
      <c r="AQ36" s="398">
        <f t="shared" si="150"/>
        <v>1.3000000000000003</v>
      </c>
      <c r="AR36" s="399">
        <f t="shared" si="151"/>
        <v>101.62601626016261</v>
      </c>
      <c r="AS36" s="66"/>
      <c r="AT36" s="66"/>
      <c r="AU36" s="396">
        <f t="shared" si="11"/>
        <v>10</v>
      </c>
      <c r="AV36" s="397">
        <f t="shared" si="12"/>
        <v>5</v>
      </c>
      <c r="AW36" s="398">
        <f t="shared" si="13"/>
        <v>2.600000000000001</v>
      </c>
      <c r="AX36" s="398">
        <f t="shared" si="152"/>
        <v>130.00000000000003</v>
      </c>
      <c r="AY36" s="398">
        <f t="shared" si="14"/>
        <v>10.000000000000004</v>
      </c>
      <c r="AZ36" s="398">
        <f t="shared" si="15"/>
        <v>2.5000000000000009</v>
      </c>
      <c r="BA36" s="398">
        <f t="shared" si="153"/>
        <v>1.3000000000000003</v>
      </c>
      <c r="BB36" s="399">
        <f t="shared" si="154"/>
        <v>101.62601626016261</v>
      </c>
      <c r="BC36" s="66"/>
      <c r="BD36" s="66"/>
      <c r="BE36" s="396">
        <f t="shared" si="16"/>
        <v>10</v>
      </c>
      <c r="BF36" s="397">
        <f t="shared" si="17"/>
        <v>5</v>
      </c>
      <c r="BG36" s="398">
        <f t="shared" si="18"/>
        <v>2.600000000000001</v>
      </c>
      <c r="BH36" s="398">
        <f t="shared" si="155"/>
        <v>130.00000000000003</v>
      </c>
      <c r="BI36" s="398">
        <f t="shared" si="19"/>
        <v>10.000000000000004</v>
      </c>
      <c r="BJ36" s="398">
        <f t="shared" si="20"/>
        <v>-2.5000000000000009</v>
      </c>
      <c r="BK36" s="398">
        <f t="shared" si="156"/>
        <v>1.3000000000000003</v>
      </c>
      <c r="BL36" s="399">
        <f t="shared" si="157"/>
        <v>101.62601626016261</v>
      </c>
      <c r="BM36" s="66"/>
      <c r="BN36" s="66"/>
      <c r="BO36" s="396">
        <f t="shared" si="21"/>
        <v>10</v>
      </c>
      <c r="BP36" s="397">
        <f t="shared" si="22"/>
        <v>5</v>
      </c>
      <c r="BQ36" s="398">
        <f t="shared" si="23"/>
        <v>2.600000000000001</v>
      </c>
      <c r="BR36" s="398">
        <f t="shared" si="158"/>
        <v>130.00000000000003</v>
      </c>
      <c r="BS36" s="398">
        <f t="shared" si="24"/>
        <v>10.000000000000004</v>
      </c>
      <c r="BT36" s="398">
        <f t="shared" si="25"/>
        <v>-7.5</v>
      </c>
      <c r="BU36" s="398">
        <f t="shared" si="159"/>
        <v>1.3000000000000003</v>
      </c>
      <c r="BV36" s="399">
        <f t="shared" si="160"/>
        <v>101.62601626016261</v>
      </c>
      <c r="BW36" s="66"/>
      <c r="BX36" s="66"/>
      <c r="BY36" s="396">
        <f t="shared" si="26"/>
        <v>10</v>
      </c>
      <c r="BZ36" s="397">
        <f t="shared" si="27"/>
        <v>5</v>
      </c>
      <c r="CA36" s="398">
        <f t="shared" si="28"/>
        <v>2.600000000000001</v>
      </c>
      <c r="CB36" s="398">
        <f t="shared" si="161"/>
        <v>130.00000000000003</v>
      </c>
      <c r="CC36" s="398">
        <f t="shared" si="29"/>
        <v>20.000000000000007</v>
      </c>
      <c r="CD36" s="398">
        <f t="shared" si="30"/>
        <v>7.5</v>
      </c>
      <c r="CE36" s="398">
        <f t="shared" si="162"/>
        <v>1.3000000000000003</v>
      </c>
      <c r="CF36" s="399">
        <f t="shared" si="163"/>
        <v>101.62601626016261</v>
      </c>
      <c r="CG36" s="66"/>
      <c r="CH36" s="66"/>
      <c r="CI36" s="396">
        <f t="shared" si="31"/>
        <v>10</v>
      </c>
      <c r="CJ36" s="397">
        <f t="shared" si="32"/>
        <v>5</v>
      </c>
      <c r="CK36" s="398">
        <f t="shared" si="33"/>
        <v>2.600000000000001</v>
      </c>
      <c r="CL36" s="398">
        <f t="shared" si="164"/>
        <v>130.00000000000003</v>
      </c>
      <c r="CM36" s="398">
        <f t="shared" si="34"/>
        <v>20.000000000000007</v>
      </c>
      <c r="CN36" s="398">
        <f t="shared" si="35"/>
        <v>2.5000000000000009</v>
      </c>
      <c r="CO36" s="398">
        <f t="shared" si="165"/>
        <v>1.3000000000000003</v>
      </c>
      <c r="CP36" s="399">
        <f t="shared" si="166"/>
        <v>101.62601626016261</v>
      </c>
      <c r="CQ36" s="66"/>
      <c r="CS36" s="396">
        <f t="shared" si="36"/>
        <v>10</v>
      </c>
      <c r="CT36" s="397">
        <f t="shared" si="37"/>
        <v>5</v>
      </c>
      <c r="CU36" s="398">
        <f t="shared" si="38"/>
        <v>2.600000000000001</v>
      </c>
      <c r="CV36" s="398">
        <f t="shared" si="167"/>
        <v>130.00000000000003</v>
      </c>
      <c r="CW36" s="398">
        <f t="shared" si="39"/>
        <v>20.000000000000007</v>
      </c>
      <c r="CX36" s="398">
        <f t="shared" si="40"/>
        <v>-2.5000000000000009</v>
      </c>
      <c r="CY36" s="398">
        <f t="shared" si="168"/>
        <v>1.3000000000000003</v>
      </c>
      <c r="CZ36" s="399">
        <f t="shared" si="169"/>
        <v>101.62601626016261</v>
      </c>
      <c r="DA36" s="66"/>
      <c r="DB36" s="66"/>
      <c r="DC36" s="396">
        <f t="shared" si="41"/>
        <v>10</v>
      </c>
      <c r="DD36" s="397">
        <f t="shared" si="42"/>
        <v>5</v>
      </c>
      <c r="DE36" s="398">
        <f t="shared" si="43"/>
        <v>2.600000000000001</v>
      </c>
      <c r="DF36" s="398">
        <f t="shared" si="170"/>
        <v>130.00000000000003</v>
      </c>
      <c r="DG36" s="398">
        <f t="shared" si="44"/>
        <v>20.000000000000007</v>
      </c>
      <c r="DH36" s="398">
        <f t="shared" si="45"/>
        <v>-7.5</v>
      </c>
      <c r="DI36" s="398">
        <f t="shared" si="171"/>
        <v>1.3000000000000003</v>
      </c>
      <c r="DJ36" s="399">
        <f t="shared" si="172"/>
        <v>101.62601626016261</v>
      </c>
      <c r="DK36" s="66"/>
      <c r="DM36" s="396">
        <f t="shared" si="46"/>
        <v>10</v>
      </c>
      <c r="DN36" s="397">
        <f t="shared" si="47"/>
        <v>5</v>
      </c>
      <c r="DO36" s="398">
        <f t="shared" si="48"/>
        <v>2.600000000000001</v>
      </c>
      <c r="DP36" s="398">
        <f t="shared" si="173"/>
        <v>130.00000000000003</v>
      </c>
      <c r="DQ36" s="398">
        <f t="shared" si="49"/>
        <v>30</v>
      </c>
      <c r="DR36" s="398">
        <f t="shared" si="50"/>
        <v>7.5</v>
      </c>
      <c r="DS36" s="398">
        <f t="shared" si="174"/>
        <v>1.3000000000000003</v>
      </c>
      <c r="DT36" s="399">
        <f t="shared" si="175"/>
        <v>101.62601626016261</v>
      </c>
      <c r="DU36" s="66"/>
      <c r="DV36" s="66"/>
      <c r="DW36" s="396">
        <f t="shared" si="51"/>
        <v>10</v>
      </c>
      <c r="DX36" s="397">
        <f t="shared" si="52"/>
        <v>5</v>
      </c>
      <c r="DY36" s="398">
        <f t="shared" si="53"/>
        <v>2.600000000000001</v>
      </c>
      <c r="DZ36" s="398">
        <f t="shared" si="176"/>
        <v>130.00000000000003</v>
      </c>
      <c r="EA36" s="398">
        <f t="shared" si="54"/>
        <v>30</v>
      </c>
      <c r="EB36" s="398">
        <f t="shared" si="55"/>
        <v>2.5000000000000009</v>
      </c>
      <c r="EC36" s="398">
        <f t="shared" si="177"/>
        <v>1.3000000000000003</v>
      </c>
      <c r="ED36" s="399">
        <f t="shared" si="178"/>
        <v>101.62601626016261</v>
      </c>
      <c r="EE36" s="66"/>
      <c r="EF36" s="66"/>
      <c r="EG36" s="396">
        <f t="shared" si="56"/>
        <v>10</v>
      </c>
      <c r="EH36" s="397">
        <f t="shared" si="57"/>
        <v>5</v>
      </c>
      <c r="EI36" s="398">
        <f t="shared" si="58"/>
        <v>2.600000000000001</v>
      </c>
      <c r="EJ36" s="398">
        <f t="shared" si="179"/>
        <v>130.00000000000003</v>
      </c>
      <c r="EK36" s="398">
        <f t="shared" si="59"/>
        <v>30</v>
      </c>
      <c r="EL36" s="398">
        <f t="shared" si="60"/>
        <v>-2.5000000000000009</v>
      </c>
      <c r="EM36" s="398">
        <f t="shared" si="180"/>
        <v>1.3000000000000003</v>
      </c>
      <c r="EN36" s="399">
        <f t="shared" si="181"/>
        <v>101.62601626016261</v>
      </c>
      <c r="EO36" s="66"/>
      <c r="EP36" s="66"/>
      <c r="EQ36" s="396">
        <f t="shared" si="61"/>
        <v>10</v>
      </c>
      <c r="ER36" s="397">
        <f t="shared" si="62"/>
        <v>5</v>
      </c>
      <c r="ES36" s="398">
        <f t="shared" si="63"/>
        <v>2.600000000000001</v>
      </c>
      <c r="ET36" s="398">
        <f t="shared" si="182"/>
        <v>130.00000000000003</v>
      </c>
      <c r="EU36" s="398">
        <f t="shared" si="64"/>
        <v>30</v>
      </c>
      <c r="EV36" s="398">
        <f t="shared" si="65"/>
        <v>-7.5</v>
      </c>
      <c r="EW36" s="398">
        <f t="shared" si="183"/>
        <v>1.3000000000000003</v>
      </c>
      <c r="EX36" s="399">
        <f t="shared" si="184"/>
        <v>101.62601626016261</v>
      </c>
      <c r="EY36" s="66"/>
      <c r="EZ36" s="66"/>
      <c r="FA36" s="396">
        <f t="shared" si="66"/>
        <v>10</v>
      </c>
      <c r="FB36" s="397">
        <f t="shared" si="67"/>
        <v>5</v>
      </c>
      <c r="FC36" s="398">
        <f t="shared" si="68"/>
        <v>2.600000000000001</v>
      </c>
      <c r="FD36" s="398">
        <f t="shared" si="185"/>
        <v>130.00000000000003</v>
      </c>
      <c r="FE36" s="398">
        <f t="shared" si="69"/>
        <v>40.000000000000014</v>
      </c>
      <c r="FF36" s="398">
        <f t="shared" si="70"/>
        <v>7.5</v>
      </c>
      <c r="FG36" s="398">
        <f t="shared" si="186"/>
        <v>1.3000000000000003</v>
      </c>
      <c r="FH36" s="399">
        <f t="shared" si="187"/>
        <v>101.62601626016261</v>
      </c>
      <c r="FI36" s="66"/>
      <c r="FJ36" s="66"/>
      <c r="FK36" s="396">
        <f t="shared" si="71"/>
        <v>10</v>
      </c>
      <c r="FL36" s="397">
        <f t="shared" si="72"/>
        <v>5</v>
      </c>
      <c r="FM36" s="398">
        <f t="shared" si="73"/>
        <v>2.600000000000001</v>
      </c>
      <c r="FN36" s="398">
        <f t="shared" si="188"/>
        <v>130.00000000000003</v>
      </c>
      <c r="FO36" s="398">
        <f t="shared" si="74"/>
        <v>40.000000000000014</v>
      </c>
      <c r="FP36" s="398">
        <f t="shared" si="75"/>
        <v>2.5000000000000009</v>
      </c>
      <c r="FQ36" s="398">
        <f t="shared" si="189"/>
        <v>1.3000000000000003</v>
      </c>
      <c r="FR36" s="399">
        <f t="shared" si="190"/>
        <v>101.62601626016261</v>
      </c>
      <c r="FS36" s="66"/>
      <c r="FT36" s="66"/>
      <c r="FU36" s="396">
        <f t="shared" si="76"/>
        <v>10</v>
      </c>
      <c r="FV36" s="397">
        <f t="shared" si="77"/>
        <v>5</v>
      </c>
      <c r="FW36" s="398">
        <f t="shared" si="78"/>
        <v>2.600000000000001</v>
      </c>
      <c r="FX36" s="398">
        <f t="shared" si="191"/>
        <v>130.00000000000003</v>
      </c>
      <c r="FY36" s="398">
        <f t="shared" si="79"/>
        <v>40.000000000000014</v>
      </c>
      <c r="FZ36" s="398">
        <f t="shared" si="80"/>
        <v>-2.5000000000000009</v>
      </c>
      <c r="GA36" s="398">
        <f t="shared" si="192"/>
        <v>1.3000000000000003</v>
      </c>
      <c r="GB36" s="399">
        <f t="shared" si="193"/>
        <v>101.62601626016261</v>
      </c>
      <c r="GC36" s="66"/>
      <c r="GD36" s="66"/>
      <c r="GE36" s="396">
        <f t="shared" si="81"/>
        <v>10</v>
      </c>
      <c r="GF36" s="397">
        <f t="shared" si="82"/>
        <v>5</v>
      </c>
      <c r="GG36" s="398">
        <f t="shared" si="83"/>
        <v>2.600000000000001</v>
      </c>
      <c r="GH36" s="398">
        <f t="shared" si="194"/>
        <v>130.00000000000003</v>
      </c>
      <c r="GI36" s="398">
        <f t="shared" si="84"/>
        <v>40.000000000000014</v>
      </c>
      <c r="GJ36" s="398">
        <f t="shared" si="85"/>
        <v>-7.5</v>
      </c>
      <c r="GK36" s="398">
        <f t="shared" si="195"/>
        <v>1.3000000000000003</v>
      </c>
      <c r="GL36" s="399">
        <f t="shared" si="196"/>
        <v>101.62601626016261</v>
      </c>
      <c r="GM36" s="66"/>
      <c r="GN36" s="66"/>
      <c r="GO36" s="396">
        <f t="shared" si="86"/>
        <v>10</v>
      </c>
      <c r="GP36" s="397">
        <f t="shared" si="87"/>
        <v>5</v>
      </c>
      <c r="GQ36" s="398">
        <f t="shared" si="88"/>
        <v>2.600000000000001</v>
      </c>
      <c r="GR36" s="398">
        <f t="shared" si="197"/>
        <v>130.00000000000003</v>
      </c>
      <c r="GS36" s="398">
        <f t="shared" si="89"/>
        <v>50</v>
      </c>
      <c r="GT36" s="398">
        <f t="shared" si="90"/>
        <v>7.5</v>
      </c>
      <c r="GU36" s="398">
        <f t="shared" si="198"/>
        <v>1.3000000000000003</v>
      </c>
      <c r="GV36" s="399">
        <f t="shared" si="199"/>
        <v>101.62601626016261</v>
      </c>
      <c r="GW36" s="66"/>
      <c r="GX36" s="66"/>
      <c r="GY36" s="396">
        <f t="shared" si="91"/>
        <v>10</v>
      </c>
      <c r="GZ36" s="397">
        <f t="shared" si="92"/>
        <v>5</v>
      </c>
      <c r="HA36" s="398">
        <f t="shared" si="93"/>
        <v>2.600000000000001</v>
      </c>
      <c r="HB36" s="398">
        <f t="shared" si="200"/>
        <v>130.00000000000003</v>
      </c>
      <c r="HC36" s="398">
        <f t="shared" si="94"/>
        <v>50</v>
      </c>
      <c r="HD36" s="398">
        <f t="shared" si="95"/>
        <v>2.5000000000000009</v>
      </c>
      <c r="HE36" s="398">
        <f t="shared" si="201"/>
        <v>1.3000000000000003</v>
      </c>
      <c r="HF36" s="399">
        <f t="shared" si="202"/>
        <v>101.62601626016261</v>
      </c>
      <c r="HH36" s="66"/>
      <c r="HI36" s="396">
        <f t="shared" si="96"/>
        <v>10</v>
      </c>
      <c r="HJ36" s="397">
        <f t="shared" si="97"/>
        <v>5</v>
      </c>
      <c r="HK36" s="398">
        <f t="shared" si="98"/>
        <v>2.600000000000001</v>
      </c>
      <c r="HL36" s="398">
        <f t="shared" si="203"/>
        <v>130.00000000000003</v>
      </c>
      <c r="HM36" s="398">
        <f t="shared" si="99"/>
        <v>50</v>
      </c>
      <c r="HN36" s="398">
        <f t="shared" si="100"/>
        <v>-2.5000000000000009</v>
      </c>
      <c r="HO36" s="398">
        <f t="shared" si="204"/>
        <v>1.3000000000000003</v>
      </c>
      <c r="HP36" s="399">
        <f t="shared" si="205"/>
        <v>101.62601626016261</v>
      </c>
      <c r="HQ36" s="66"/>
      <c r="HR36" s="66"/>
      <c r="HS36" s="396">
        <f t="shared" si="101"/>
        <v>10</v>
      </c>
      <c r="HT36" s="397">
        <f t="shared" si="102"/>
        <v>5</v>
      </c>
      <c r="HU36" s="398">
        <f t="shared" si="103"/>
        <v>2.600000000000001</v>
      </c>
      <c r="HV36" s="398">
        <f t="shared" si="206"/>
        <v>130.00000000000003</v>
      </c>
      <c r="HW36" s="398">
        <f t="shared" si="104"/>
        <v>50</v>
      </c>
      <c r="HX36" s="398">
        <f t="shared" si="105"/>
        <v>-7.5</v>
      </c>
      <c r="HY36" s="398">
        <f t="shared" si="207"/>
        <v>1.3000000000000003</v>
      </c>
      <c r="HZ36" s="399">
        <f t="shared" si="208"/>
        <v>101.62601626016261</v>
      </c>
      <c r="IA36" s="66"/>
      <c r="IB36" s="66"/>
      <c r="IC36" s="396">
        <f t="shared" si="106"/>
        <v>4.6020000000000021</v>
      </c>
      <c r="ID36" s="397">
        <f t="shared" si="107"/>
        <v>20</v>
      </c>
      <c r="IE36" s="398">
        <f t="shared" si="108"/>
        <v>2.600000000000001</v>
      </c>
      <c r="IF36" s="398">
        <f t="shared" si="209"/>
        <v>119.54508119399274</v>
      </c>
      <c r="IG36" s="398">
        <f t="shared" si="109"/>
        <v>56.534508704658734</v>
      </c>
      <c r="IH36" s="398">
        <f t="shared" si="110"/>
        <v>0</v>
      </c>
      <c r="II36" s="398">
        <f t="shared" si="210"/>
        <v>1.7339081408573342</v>
      </c>
      <c r="IJ36" s="399">
        <f t="shared" si="211"/>
        <v>2993.1707317073187</v>
      </c>
      <c r="IK36" s="66"/>
      <c r="IL36" s="66"/>
      <c r="IM36" s="396">
        <f t="shared" si="111"/>
        <v>11</v>
      </c>
      <c r="IN36" s="397">
        <f t="shared" si="112"/>
        <v>13.75</v>
      </c>
      <c r="IO36" s="398">
        <f t="shared" si="113"/>
        <v>2.600000000000001</v>
      </c>
      <c r="IP36" s="398">
        <f t="shared" si="212"/>
        <v>368.65359441245005</v>
      </c>
      <c r="IQ36" s="398">
        <f t="shared" si="114"/>
        <v>67.804472413023234</v>
      </c>
      <c r="IR36" s="398">
        <f t="shared" si="115"/>
        <v>6.8749999999999991</v>
      </c>
      <c r="IS36" s="398">
        <f t="shared" si="213"/>
        <v>1.3600278575405669</v>
      </c>
      <c r="IT36" s="399">
        <f t="shared" si="214"/>
        <v>2324.8539126016262</v>
      </c>
      <c r="IU36" s="66"/>
      <c r="IV36" s="66"/>
      <c r="IW36" s="396">
        <f t="shared" si="116"/>
        <v>11</v>
      </c>
      <c r="IX36" s="397">
        <f t="shared" si="117"/>
        <v>13.75</v>
      </c>
      <c r="IY36" s="398">
        <f t="shared" si="118"/>
        <v>2.600000000000001</v>
      </c>
      <c r="IZ36" s="398">
        <f t="shared" si="215"/>
        <v>368.65359441245005</v>
      </c>
      <c r="JA36" s="398">
        <f t="shared" si="119"/>
        <v>67.804472413023234</v>
      </c>
      <c r="JB36" s="398">
        <f t="shared" si="120"/>
        <v>-6.8749999999999991</v>
      </c>
      <c r="JC36" s="398">
        <f t="shared" si="216"/>
        <v>1.3600278575405669</v>
      </c>
      <c r="JD36" s="399">
        <f t="shared" si="217"/>
        <v>2324.8539126016262</v>
      </c>
      <c r="JE36" s="66"/>
      <c r="JF36" s="66"/>
      <c r="JG36" s="396">
        <f t="shared" si="121"/>
        <v>6.5</v>
      </c>
      <c r="JH36" s="397">
        <f t="shared" si="122"/>
        <v>6.875</v>
      </c>
      <c r="JI36" s="398">
        <f t="shared" si="123"/>
        <v>2.600000000000001</v>
      </c>
      <c r="JJ36" s="398">
        <f t="shared" si="218"/>
        <v>58.041838503439266</v>
      </c>
      <c r="JK36" s="398">
        <f t="shared" si="124"/>
        <v>71.76738517607167</v>
      </c>
      <c r="JL36" s="398">
        <f t="shared" si="125"/>
        <v>10.312499999999998</v>
      </c>
      <c r="JM36" s="398">
        <f t="shared" si="219"/>
        <v>2.929908140857334</v>
      </c>
      <c r="JN36" s="399">
        <f t="shared" si="220"/>
        <v>171.72216399898377</v>
      </c>
      <c r="JO36" s="66"/>
      <c r="JP36" s="66"/>
      <c r="JQ36" s="396">
        <f t="shared" si="126"/>
        <v>6.5</v>
      </c>
      <c r="JR36" s="397">
        <f t="shared" si="127"/>
        <v>6.875</v>
      </c>
      <c r="JS36" s="398">
        <f t="shared" si="128"/>
        <v>2.600000000000001</v>
      </c>
      <c r="JT36" s="398">
        <f t="shared" si="221"/>
        <v>58.041838503439266</v>
      </c>
      <c r="JU36" s="398">
        <f t="shared" si="129"/>
        <v>71.76738517607167</v>
      </c>
      <c r="JV36" s="398">
        <f t="shared" si="130"/>
        <v>3.4375</v>
      </c>
      <c r="JW36" s="398">
        <f t="shared" si="222"/>
        <v>2.929908140857334</v>
      </c>
      <c r="JX36" s="399">
        <f t="shared" si="223"/>
        <v>171.72216399898377</v>
      </c>
      <c r="JY36" s="66"/>
      <c r="JZ36" s="66"/>
      <c r="KA36" s="396">
        <f t="shared" si="131"/>
        <v>6.5</v>
      </c>
      <c r="KB36" s="397">
        <f t="shared" si="132"/>
        <v>6.875</v>
      </c>
      <c r="KC36" s="398">
        <f t="shared" si="133"/>
        <v>2.600000000000001</v>
      </c>
      <c r="KD36" s="398">
        <f t="shared" si="224"/>
        <v>58.041838503439266</v>
      </c>
      <c r="KE36" s="398">
        <f t="shared" si="134"/>
        <v>71.76738517607167</v>
      </c>
      <c r="KF36" s="398">
        <f t="shared" si="135"/>
        <v>-3.4375</v>
      </c>
      <c r="KG36" s="398">
        <f t="shared" si="225"/>
        <v>2.929908140857334</v>
      </c>
      <c r="KH36" s="399">
        <f t="shared" si="226"/>
        <v>171.72216399898377</v>
      </c>
      <c r="KI36" s="66"/>
      <c r="KJ36" s="66"/>
      <c r="KK36" s="396">
        <f t="shared" si="136"/>
        <v>6.5</v>
      </c>
      <c r="KL36" s="397">
        <f t="shared" si="137"/>
        <v>6.875</v>
      </c>
      <c r="KM36" s="398">
        <f t="shared" si="138"/>
        <v>2.600000000000001</v>
      </c>
      <c r="KN36" s="398">
        <f t="shared" si="227"/>
        <v>58.041838503439266</v>
      </c>
      <c r="KO36" s="398">
        <f t="shared" si="139"/>
        <v>71.76738517607167</v>
      </c>
      <c r="KP36" s="398">
        <f t="shared" si="140"/>
        <v>-10.312499999999998</v>
      </c>
      <c r="KQ36" s="398">
        <f t="shared" si="228"/>
        <v>2.929908140857334</v>
      </c>
      <c r="KR36" s="399">
        <f t="shared" si="229"/>
        <v>171.72216399898377</v>
      </c>
      <c r="KS36" s="66"/>
      <c r="KT36" s="66"/>
      <c r="KU36" s="396">
        <f t="shared" si="141"/>
        <v>5</v>
      </c>
      <c r="KV36" s="397">
        <f t="shared" si="142"/>
        <v>5</v>
      </c>
      <c r="KW36" s="398">
        <f t="shared" si="143"/>
        <v>2.600000000000001</v>
      </c>
      <c r="KX36" s="398">
        <f t="shared" si="230"/>
        <v>65.000000000000014</v>
      </c>
      <c r="KY36" s="398">
        <f t="shared" si="144"/>
        <v>57.5</v>
      </c>
      <c r="KZ36" s="398">
        <f t="shared" si="145"/>
        <v>0</v>
      </c>
      <c r="LA36" s="398">
        <f t="shared" si="231"/>
        <v>1.3000000000000003</v>
      </c>
      <c r="LB36" s="399">
        <f t="shared" si="232"/>
        <v>50.813008130081307</v>
      </c>
      <c r="LC36" s="66"/>
    </row>
    <row r="37" spans="1:315" s="67" customFormat="1" ht="15" customHeight="1" x14ac:dyDescent="0.25">
      <c r="A37" s="481"/>
      <c r="Y37" s="481"/>
      <c r="Z37" s="413"/>
      <c r="AA37" s="396">
        <f t="shared" si="1"/>
        <v>4.7979000000000003</v>
      </c>
      <c r="AB37" s="397">
        <f t="shared" si="2"/>
        <v>20</v>
      </c>
      <c r="AC37" s="398">
        <f t="shared" si="3"/>
        <v>2.7000000000000011</v>
      </c>
      <c r="AD37" s="398">
        <f t="shared" si="146"/>
        <v>129.43539949648337</v>
      </c>
      <c r="AE37" s="398">
        <f t="shared" si="4"/>
        <v>3.4002009108733366</v>
      </c>
      <c r="AF37" s="398">
        <f t="shared" si="5"/>
        <v>0</v>
      </c>
      <c r="AG37" s="398">
        <f t="shared" si="147"/>
        <v>1.8005617210204432</v>
      </c>
      <c r="AH37" s="399">
        <f t="shared" si="148"/>
        <v>3120.5853658536594</v>
      </c>
      <c r="AI37" s="367"/>
      <c r="AJ37" s="66"/>
      <c r="AK37" s="396">
        <f t="shared" si="6"/>
        <v>10</v>
      </c>
      <c r="AL37" s="397">
        <f t="shared" si="7"/>
        <v>5</v>
      </c>
      <c r="AM37" s="398">
        <f t="shared" si="8"/>
        <v>2.7000000000000011</v>
      </c>
      <c r="AN37" s="398">
        <f t="shared" si="149"/>
        <v>135.00000000000003</v>
      </c>
      <c r="AO37" s="398">
        <f t="shared" si="9"/>
        <v>10.000000000000004</v>
      </c>
      <c r="AP37" s="398">
        <f t="shared" si="10"/>
        <v>7.5</v>
      </c>
      <c r="AQ37" s="398">
        <f t="shared" si="150"/>
        <v>1.3500000000000003</v>
      </c>
      <c r="AR37" s="399">
        <f t="shared" si="151"/>
        <v>101.62601626016261</v>
      </c>
      <c r="AS37" s="66"/>
      <c r="AT37" s="66"/>
      <c r="AU37" s="396">
        <f t="shared" si="11"/>
        <v>10</v>
      </c>
      <c r="AV37" s="397">
        <f t="shared" si="12"/>
        <v>5</v>
      </c>
      <c r="AW37" s="398">
        <f t="shared" si="13"/>
        <v>2.7000000000000011</v>
      </c>
      <c r="AX37" s="398">
        <f t="shared" si="152"/>
        <v>135.00000000000003</v>
      </c>
      <c r="AY37" s="398">
        <f t="shared" si="14"/>
        <v>10.000000000000004</v>
      </c>
      <c r="AZ37" s="398">
        <f t="shared" si="15"/>
        <v>2.5000000000000009</v>
      </c>
      <c r="BA37" s="398">
        <f t="shared" si="153"/>
        <v>1.3500000000000003</v>
      </c>
      <c r="BB37" s="399">
        <f t="shared" si="154"/>
        <v>101.62601626016261</v>
      </c>
      <c r="BC37" s="66"/>
      <c r="BD37" s="66"/>
      <c r="BE37" s="396">
        <f t="shared" si="16"/>
        <v>10</v>
      </c>
      <c r="BF37" s="397">
        <f t="shared" si="17"/>
        <v>5</v>
      </c>
      <c r="BG37" s="398">
        <f t="shared" si="18"/>
        <v>2.7000000000000011</v>
      </c>
      <c r="BH37" s="398">
        <f t="shared" si="155"/>
        <v>135.00000000000003</v>
      </c>
      <c r="BI37" s="398">
        <f t="shared" si="19"/>
        <v>10.000000000000004</v>
      </c>
      <c r="BJ37" s="398">
        <f t="shared" si="20"/>
        <v>-2.5000000000000009</v>
      </c>
      <c r="BK37" s="398">
        <f t="shared" si="156"/>
        <v>1.3500000000000003</v>
      </c>
      <c r="BL37" s="399">
        <f t="shared" si="157"/>
        <v>101.62601626016261</v>
      </c>
      <c r="BM37" s="66"/>
      <c r="BN37" s="66"/>
      <c r="BO37" s="396">
        <f t="shared" si="21"/>
        <v>10</v>
      </c>
      <c r="BP37" s="397">
        <f t="shared" si="22"/>
        <v>5</v>
      </c>
      <c r="BQ37" s="398">
        <f t="shared" si="23"/>
        <v>2.7000000000000011</v>
      </c>
      <c r="BR37" s="398">
        <f t="shared" si="158"/>
        <v>135.00000000000003</v>
      </c>
      <c r="BS37" s="398">
        <f t="shared" si="24"/>
        <v>10.000000000000004</v>
      </c>
      <c r="BT37" s="398">
        <f t="shared" si="25"/>
        <v>-7.5</v>
      </c>
      <c r="BU37" s="398">
        <f t="shared" si="159"/>
        <v>1.3500000000000003</v>
      </c>
      <c r="BV37" s="399">
        <f t="shared" si="160"/>
        <v>101.62601626016261</v>
      </c>
      <c r="BW37" s="66"/>
      <c r="BX37" s="66"/>
      <c r="BY37" s="396">
        <f t="shared" si="26"/>
        <v>10</v>
      </c>
      <c r="BZ37" s="397">
        <f t="shared" si="27"/>
        <v>5</v>
      </c>
      <c r="CA37" s="398">
        <f t="shared" si="28"/>
        <v>2.7000000000000011</v>
      </c>
      <c r="CB37" s="398">
        <f t="shared" si="161"/>
        <v>135.00000000000003</v>
      </c>
      <c r="CC37" s="398">
        <f t="shared" si="29"/>
        <v>20.000000000000007</v>
      </c>
      <c r="CD37" s="398">
        <f t="shared" si="30"/>
        <v>7.5</v>
      </c>
      <c r="CE37" s="398">
        <f t="shared" si="162"/>
        <v>1.3500000000000003</v>
      </c>
      <c r="CF37" s="399">
        <f t="shared" si="163"/>
        <v>101.62601626016261</v>
      </c>
      <c r="CG37" s="66"/>
      <c r="CH37" s="66"/>
      <c r="CI37" s="396">
        <f t="shared" si="31"/>
        <v>10</v>
      </c>
      <c r="CJ37" s="397">
        <f t="shared" si="32"/>
        <v>5</v>
      </c>
      <c r="CK37" s="398">
        <f t="shared" si="33"/>
        <v>2.7000000000000011</v>
      </c>
      <c r="CL37" s="398">
        <f t="shared" si="164"/>
        <v>135.00000000000003</v>
      </c>
      <c r="CM37" s="398">
        <f t="shared" si="34"/>
        <v>20.000000000000007</v>
      </c>
      <c r="CN37" s="398">
        <f t="shared" si="35"/>
        <v>2.5000000000000009</v>
      </c>
      <c r="CO37" s="398">
        <f t="shared" si="165"/>
        <v>1.3500000000000003</v>
      </c>
      <c r="CP37" s="399">
        <f t="shared" si="166"/>
        <v>101.62601626016261</v>
      </c>
      <c r="CQ37" s="66"/>
      <c r="CS37" s="396">
        <f t="shared" si="36"/>
        <v>10</v>
      </c>
      <c r="CT37" s="397">
        <f t="shared" si="37"/>
        <v>5</v>
      </c>
      <c r="CU37" s="398">
        <f t="shared" si="38"/>
        <v>2.7000000000000011</v>
      </c>
      <c r="CV37" s="398">
        <f t="shared" si="167"/>
        <v>135.00000000000003</v>
      </c>
      <c r="CW37" s="398">
        <f t="shared" si="39"/>
        <v>20.000000000000007</v>
      </c>
      <c r="CX37" s="398">
        <f t="shared" si="40"/>
        <v>-2.5000000000000009</v>
      </c>
      <c r="CY37" s="398">
        <f t="shared" si="168"/>
        <v>1.3500000000000003</v>
      </c>
      <c r="CZ37" s="399">
        <f t="shared" si="169"/>
        <v>101.62601626016261</v>
      </c>
      <c r="DA37" s="66"/>
      <c r="DB37" s="66"/>
      <c r="DC37" s="396">
        <f t="shared" si="41"/>
        <v>10</v>
      </c>
      <c r="DD37" s="397">
        <f t="shared" si="42"/>
        <v>5</v>
      </c>
      <c r="DE37" s="398">
        <f t="shared" si="43"/>
        <v>2.7000000000000011</v>
      </c>
      <c r="DF37" s="398">
        <f t="shared" si="170"/>
        <v>135.00000000000003</v>
      </c>
      <c r="DG37" s="398">
        <f t="shared" si="44"/>
        <v>20.000000000000007</v>
      </c>
      <c r="DH37" s="398">
        <f t="shared" si="45"/>
        <v>-7.5</v>
      </c>
      <c r="DI37" s="398">
        <f t="shared" si="171"/>
        <v>1.3500000000000003</v>
      </c>
      <c r="DJ37" s="399">
        <f t="shared" si="172"/>
        <v>101.62601626016261</v>
      </c>
      <c r="DK37" s="66"/>
      <c r="DM37" s="396">
        <f t="shared" si="46"/>
        <v>10</v>
      </c>
      <c r="DN37" s="397">
        <f t="shared" si="47"/>
        <v>5</v>
      </c>
      <c r="DO37" s="398">
        <f t="shared" si="48"/>
        <v>2.7000000000000011</v>
      </c>
      <c r="DP37" s="398">
        <f t="shared" si="173"/>
        <v>135.00000000000003</v>
      </c>
      <c r="DQ37" s="398">
        <f t="shared" si="49"/>
        <v>30</v>
      </c>
      <c r="DR37" s="398">
        <f t="shared" si="50"/>
        <v>7.5</v>
      </c>
      <c r="DS37" s="398">
        <f t="shared" si="174"/>
        <v>1.3500000000000003</v>
      </c>
      <c r="DT37" s="399">
        <f t="shared" si="175"/>
        <v>101.62601626016261</v>
      </c>
      <c r="DU37" s="66"/>
      <c r="DV37" s="66"/>
      <c r="DW37" s="396">
        <f t="shared" si="51"/>
        <v>10</v>
      </c>
      <c r="DX37" s="397">
        <f t="shared" si="52"/>
        <v>5</v>
      </c>
      <c r="DY37" s="398">
        <f t="shared" si="53"/>
        <v>2.7000000000000011</v>
      </c>
      <c r="DZ37" s="398">
        <f t="shared" si="176"/>
        <v>135.00000000000003</v>
      </c>
      <c r="EA37" s="398">
        <f t="shared" si="54"/>
        <v>30</v>
      </c>
      <c r="EB37" s="398">
        <f t="shared" si="55"/>
        <v>2.5000000000000009</v>
      </c>
      <c r="EC37" s="398">
        <f t="shared" si="177"/>
        <v>1.3500000000000003</v>
      </c>
      <c r="ED37" s="399">
        <f t="shared" si="178"/>
        <v>101.62601626016261</v>
      </c>
      <c r="EE37" s="66"/>
      <c r="EF37" s="66"/>
      <c r="EG37" s="396">
        <f t="shared" si="56"/>
        <v>10</v>
      </c>
      <c r="EH37" s="397">
        <f t="shared" si="57"/>
        <v>5</v>
      </c>
      <c r="EI37" s="398">
        <f t="shared" si="58"/>
        <v>2.7000000000000011</v>
      </c>
      <c r="EJ37" s="398">
        <f t="shared" si="179"/>
        <v>135.00000000000003</v>
      </c>
      <c r="EK37" s="398">
        <f t="shared" si="59"/>
        <v>30</v>
      </c>
      <c r="EL37" s="398">
        <f t="shared" si="60"/>
        <v>-2.5000000000000009</v>
      </c>
      <c r="EM37" s="398">
        <f t="shared" si="180"/>
        <v>1.3500000000000003</v>
      </c>
      <c r="EN37" s="399">
        <f t="shared" si="181"/>
        <v>101.62601626016261</v>
      </c>
      <c r="EO37" s="66"/>
      <c r="EP37" s="66"/>
      <c r="EQ37" s="396">
        <f t="shared" si="61"/>
        <v>10</v>
      </c>
      <c r="ER37" s="397">
        <f t="shared" si="62"/>
        <v>5</v>
      </c>
      <c r="ES37" s="398">
        <f t="shared" si="63"/>
        <v>2.7000000000000011</v>
      </c>
      <c r="ET37" s="398">
        <f t="shared" si="182"/>
        <v>135.00000000000003</v>
      </c>
      <c r="EU37" s="398">
        <f t="shared" si="64"/>
        <v>30</v>
      </c>
      <c r="EV37" s="398">
        <f t="shared" si="65"/>
        <v>-7.5</v>
      </c>
      <c r="EW37" s="398">
        <f t="shared" si="183"/>
        <v>1.3500000000000003</v>
      </c>
      <c r="EX37" s="399">
        <f t="shared" si="184"/>
        <v>101.62601626016261</v>
      </c>
      <c r="EY37" s="66"/>
      <c r="EZ37" s="66"/>
      <c r="FA37" s="396">
        <f t="shared" si="66"/>
        <v>10</v>
      </c>
      <c r="FB37" s="397">
        <f t="shared" si="67"/>
        <v>5</v>
      </c>
      <c r="FC37" s="398">
        <f t="shared" si="68"/>
        <v>2.7000000000000011</v>
      </c>
      <c r="FD37" s="398">
        <f t="shared" si="185"/>
        <v>135.00000000000003</v>
      </c>
      <c r="FE37" s="398">
        <f t="shared" si="69"/>
        <v>40.000000000000014</v>
      </c>
      <c r="FF37" s="398">
        <f t="shared" si="70"/>
        <v>7.5</v>
      </c>
      <c r="FG37" s="398">
        <f t="shared" si="186"/>
        <v>1.3500000000000003</v>
      </c>
      <c r="FH37" s="399">
        <f t="shared" si="187"/>
        <v>101.62601626016261</v>
      </c>
      <c r="FI37" s="66"/>
      <c r="FJ37" s="66"/>
      <c r="FK37" s="396">
        <f t="shared" si="71"/>
        <v>10</v>
      </c>
      <c r="FL37" s="397">
        <f t="shared" si="72"/>
        <v>5</v>
      </c>
      <c r="FM37" s="398">
        <f t="shared" si="73"/>
        <v>2.7000000000000011</v>
      </c>
      <c r="FN37" s="398">
        <f t="shared" si="188"/>
        <v>135.00000000000003</v>
      </c>
      <c r="FO37" s="398">
        <f t="shared" si="74"/>
        <v>40.000000000000014</v>
      </c>
      <c r="FP37" s="398">
        <f t="shared" si="75"/>
        <v>2.5000000000000009</v>
      </c>
      <c r="FQ37" s="398">
        <f t="shared" si="189"/>
        <v>1.3500000000000003</v>
      </c>
      <c r="FR37" s="399">
        <f t="shared" si="190"/>
        <v>101.62601626016261</v>
      </c>
      <c r="FS37" s="66"/>
      <c r="FT37" s="66"/>
      <c r="FU37" s="396">
        <f t="shared" si="76"/>
        <v>10</v>
      </c>
      <c r="FV37" s="397">
        <f t="shared" si="77"/>
        <v>5</v>
      </c>
      <c r="FW37" s="398">
        <f t="shared" si="78"/>
        <v>2.7000000000000011</v>
      </c>
      <c r="FX37" s="398">
        <f t="shared" si="191"/>
        <v>135.00000000000003</v>
      </c>
      <c r="FY37" s="398">
        <f t="shared" si="79"/>
        <v>40.000000000000014</v>
      </c>
      <c r="FZ37" s="398">
        <f t="shared" si="80"/>
        <v>-2.5000000000000009</v>
      </c>
      <c r="GA37" s="398">
        <f t="shared" si="192"/>
        <v>1.3500000000000003</v>
      </c>
      <c r="GB37" s="399">
        <f t="shared" si="193"/>
        <v>101.62601626016261</v>
      </c>
      <c r="GC37" s="66"/>
      <c r="GD37" s="66"/>
      <c r="GE37" s="396">
        <f t="shared" si="81"/>
        <v>10</v>
      </c>
      <c r="GF37" s="397">
        <f t="shared" si="82"/>
        <v>5</v>
      </c>
      <c r="GG37" s="398">
        <f t="shared" si="83"/>
        <v>2.7000000000000011</v>
      </c>
      <c r="GH37" s="398">
        <f t="shared" si="194"/>
        <v>135.00000000000003</v>
      </c>
      <c r="GI37" s="398">
        <f t="shared" si="84"/>
        <v>40.000000000000014</v>
      </c>
      <c r="GJ37" s="398">
        <f t="shared" si="85"/>
        <v>-7.5</v>
      </c>
      <c r="GK37" s="398">
        <f t="shared" si="195"/>
        <v>1.3500000000000003</v>
      </c>
      <c r="GL37" s="399">
        <f t="shared" si="196"/>
        <v>101.62601626016261</v>
      </c>
      <c r="GM37" s="66"/>
      <c r="GN37" s="66"/>
      <c r="GO37" s="396">
        <f t="shared" si="86"/>
        <v>10</v>
      </c>
      <c r="GP37" s="397">
        <f t="shared" si="87"/>
        <v>5</v>
      </c>
      <c r="GQ37" s="398">
        <f t="shared" si="88"/>
        <v>2.7000000000000011</v>
      </c>
      <c r="GR37" s="398">
        <f t="shared" si="197"/>
        <v>135.00000000000003</v>
      </c>
      <c r="GS37" s="398">
        <f t="shared" si="89"/>
        <v>50</v>
      </c>
      <c r="GT37" s="398">
        <f t="shared" si="90"/>
        <v>7.5</v>
      </c>
      <c r="GU37" s="398">
        <f t="shared" si="198"/>
        <v>1.3500000000000003</v>
      </c>
      <c r="GV37" s="399">
        <f t="shared" si="199"/>
        <v>101.62601626016261</v>
      </c>
      <c r="GW37" s="66"/>
      <c r="GX37" s="66"/>
      <c r="GY37" s="396">
        <f t="shared" si="91"/>
        <v>10</v>
      </c>
      <c r="GZ37" s="397">
        <f t="shared" si="92"/>
        <v>5</v>
      </c>
      <c r="HA37" s="398">
        <f t="shared" si="93"/>
        <v>2.7000000000000011</v>
      </c>
      <c r="HB37" s="398">
        <f t="shared" si="200"/>
        <v>135.00000000000003</v>
      </c>
      <c r="HC37" s="398">
        <f t="shared" si="94"/>
        <v>50</v>
      </c>
      <c r="HD37" s="398">
        <f t="shared" si="95"/>
        <v>2.5000000000000009</v>
      </c>
      <c r="HE37" s="398">
        <f t="shared" si="201"/>
        <v>1.3500000000000003</v>
      </c>
      <c r="HF37" s="399">
        <f t="shared" si="202"/>
        <v>101.62601626016261</v>
      </c>
      <c r="HH37" s="66"/>
      <c r="HI37" s="396">
        <f t="shared" si="96"/>
        <v>10</v>
      </c>
      <c r="HJ37" s="397">
        <f t="shared" si="97"/>
        <v>5</v>
      </c>
      <c r="HK37" s="398">
        <f t="shared" si="98"/>
        <v>2.7000000000000011</v>
      </c>
      <c r="HL37" s="398">
        <f t="shared" si="203"/>
        <v>135.00000000000003</v>
      </c>
      <c r="HM37" s="398">
        <f t="shared" si="99"/>
        <v>50</v>
      </c>
      <c r="HN37" s="398">
        <f t="shared" si="100"/>
        <v>-2.5000000000000009</v>
      </c>
      <c r="HO37" s="398">
        <f t="shared" si="204"/>
        <v>1.3500000000000003</v>
      </c>
      <c r="HP37" s="399">
        <f t="shared" si="205"/>
        <v>101.62601626016261</v>
      </c>
      <c r="HQ37" s="66"/>
      <c r="HR37" s="66"/>
      <c r="HS37" s="396">
        <f t="shared" si="101"/>
        <v>10</v>
      </c>
      <c r="HT37" s="397">
        <f t="shared" si="102"/>
        <v>5</v>
      </c>
      <c r="HU37" s="398">
        <f t="shared" si="103"/>
        <v>2.7000000000000011</v>
      </c>
      <c r="HV37" s="398">
        <f t="shared" si="206"/>
        <v>135.00000000000003</v>
      </c>
      <c r="HW37" s="398">
        <f t="shared" si="104"/>
        <v>50</v>
      </c>
      <c r="HX37" s="398">
        <f t="shared" si="105"/>
        <v>-7.5</v>
      </c>
      <c r="HY37" s="398">
        <f t="shared" si="207"/>
        <v>1.3500000000000003</v>
      </c>
      <c r="HZ37" s="399">
        <f t="shared" si="208"/>
        <v>101.62601626016261</v>
      </c>
      <c r="IA37" s="66"/>
      <c r="IB37" s="66"/>
      <c r="IC37" s="396">
        <f t="shared" si="106"/>
        <v>4.7790000000000026</v>
      </c>
      <c r="ID37" s="397">
        <f t="shared" si="107"/>
        <v>20</v>
      </c>
      <c r="IE37" s="398">
        <f t="shared" si="108"/>
        <v>2.7000000000000011</v>
      </c>
      <c r="IF37" s="398">
        <f t="shared" si="209"/>
        <v>128.92552454067282</v>
      </c>
      <c r="IG37" s="398">
        <f t="shared" si="109"/>
        <v>56.593497123103084</v>
      </c>
      <c r="IH37" s="398">
        <f t="shared" si="110"/>
        <v>0</v>
      </c>
      <c r="II37" s="398">
        <f t="shared" si="210"/>
        <v>1.8005617210204434</v>
      </c>
      <c r="IJ37" s="399">
        <f t="shared" si="211"/>
        <v>3108.2926829268313</v>
      </c>
      <c r="IK37" s="66"/>
      <c r="IL37" s="66"/>
      <c r="IM37" s="396">
        <f t="shared" si="111"/>
        <v>11</v>
      </c>
      <c r="IN37" s="397">
        <f t="shared" si="112"/>
        <v>13.75</v>
      </c>
      <c r="IO37" s="398">
        <f t="shared" si="113"/>
        <v>2.7000000000000011</v>
      </c>
      <c r="IP37" s="398">
        <f t="shared" si="212"/>
        <v>383.77859441245005</v>
      </c>
      <c r="IQ37" s="398">
        <f t="shared" si="114"/>
        <v>67.816316428867793</v>
      </c>
      <c r="IR37" s="398">
        <f t="shared" si="115"/>
        <v>6.8749999999999991</v>
      </c>
      <c r="IS37" s="398">
        <f t="shared" si="213"/>
        <v>1.4108666196256938</v>
      </c>
      <c r="IT37" s="399">
        <f t="shared" si="214"/>
        <v>2324.8539126016262</v>
      </c>
      <c r="IU37" s="66"/>
      <c r="IV37" s="66"/>
      <c r="IW37" s="396">
        <f t="shared" si="116"/>
        <v>11</v>
      </c>
      <c r="IX37" s="397">
        <f t="shared" si="117"/>
        <v>13.75</v>
      </c>
      <c r="IY37" s="398">
        <f t="shared" si="118"/>
        <v>2.7000000000000011</v>
      </c>
      <c r="IZ37" s="398">
        <f t="shared" si="215"/>
        <v>383.77859441245005</v>
      </c>
      <c r="JA37" s="398">
        <f t="shared" si="119"/>
        <v>67.816316428867793</v>
      </c>
      <c r="JB37" s="398">
        <f t="shared" si="120"/>
        <v>-6.8749999999999991</v>
      </c>
      <c r="JC37" s="398">
        <f t="shared" si="216"/>
        <v>1.4108666196256938</v>
      </c>
      <c r="JD37" s="399">
        <f t="shared" si="217"/>
        <v>2324.8539126016262</v>
      </c>
      <c r="JE37" s="66"/>
      <c r="JF37" s="66"/>
      <c r="JG37" s="396">
        <f t="shared" si="121"/>
        <v>6.75</v>
      </c>
      <c r="JH37" s="397">
        <f t="shared" si="122"/>
        <v>6.875</v>
      </c>
      <c r="JI37" s="398">
        <f t="shared" si="123"/>
        <v>2.7000000000000011</v>
      </c>
      <c r="JJ37" s="398">
        <f t="shared" si="218"/>
        <v>62.596255735672699</v>
      </c>
      <c r="JK37" s="398">
        <f t="shared" si="124"/>
        <v>71.850702151275556</v>
      </c>
      <c r="JL37" s="398">
        <f t="shared" si="125"/>
        <v>10.312499999999998</v>
      </c>
      <c r="JM37" s="398">
        <f t="shared" si="219"/>
        <v>2.9965617210204427</v>
      </c>
      <c r="JN37" s="399">
        <f t="shared" si="220"/>
        <v>178.32686261432929</v>
      </c>
      <c r="JO37" s="66"/>
      <c r="JP37" s="66"/>
      <c r="JQ37" s="396">
        <f t="shared" si="126"/>
        <v>6.75</v>
      </c>
      <c r="JR37" s="397">
        <f t="shared" si="127"/>
        <v>6.875</v>
      </c>
      <c r="JS37" s="398">
        <f t="shared" si="128"/>
        <v>2.7000000000000011</v>
      </c>
      <c r="JT37" s="398">
        <f t="shared" si="221"/>
        <v>62.596255735672699</v>
      </c>
      <c r="JU37" s="398">
        <f t="shared" si="129"/>
        <v>71.850702151275556</v>
      </c>
      <c r="JV37" s="398">
        <f t="shared" si="130"/>
        <v>3.4375</v>
      </c>
      <c r="JW37" s="398">
        <f t="shared" si="222"/>
        <v>2.9965617210204427</v>
      </c>
      <c r="JX37" s="399">
        <f t="shared" si="223"/>
        <v>178.32686261432929</v>
      </c>
      <c r="JY37" s="66"/>
      <c r="JZ37" s="66"/>
      <c r="KA37" s="396">
        <f t="shared" si="131"/>
        <v>6.75</v>
      </c>
      <c r="KB37" s="397">
        <f t="shared" si="132"/>
        <v>6.875</v>
      </c>
      <c r="KC37" s="398">
        <f t="shared" si="133"/>
        <v>2.7000000000000011</v>
      </c>
      <c r="KD37" s="398">
        <f t="shared" si="224"/>
        <v>62.596255735672699</v>
      </c>
      <c r="KE37" s="398">
        <f t="shared" si="134"/>
        <v>71.850702151275556</v>
      </c>
      <c r="KF37" s="398">
        <f t="shared" si="135"/>
        <v>-3.4375</v>
      </c>
      <c r="KG37" s="398">
        <f t="shared" si="225"/>
        <v>2.9965617210204427</v>
      </c>
      <c r="KH37" s="399">
        <f t="shared" si="226"/>
        <v>178.32686261432929</v>
      </c>
      <c r="KI37" s="66"/>
      <c r="KJ37" s="66"/>
      <c r="KK37" s="396">
        <f t="shared" si="136"/>
        <v>6.75</v>
      </c>
      <c r="KL37" s="397">
        <f t="shared" si="137"/>
        <v>6.875</v>
      </c>
      <c r="KM37" s="398">
        <f t="shared" si="138"/>
        <v>2.7000000000000011</v>
      </c>
      <c r="KN37" s="398">
        <f t="shared" si="227"/>
        <v>62.596255735672699</v>
      </c>
      <c r="KO37" s="398">
        <f t="shared" si="139"/>
        <v>71.850702151275556</v>
      </c>
      <c r="KP37" s="398">
        <f t="shared" si="140"/>
        <v>-10.312499999999998</v>
      </c>
      <c r="KQ37" s="398">
        <f t="shared" si="228"/>
        <v>2.9965617210204427</v>
      </c>
      <c r="KR37" s="399">
        <f t="shared" si="229"/>
        <v>178.32686261432929</v>
      </c>
      <c r="KS37" s="66"/>
      <c r="KT37" s="66"/>
      <c r="KU37" s="396">
        <f t="shared" si="141"/>
        <v>5</v>
      </c>
      <c r="KV37" s="397">
        <f t="shared" si="142"/>
        <v>5</v>
      </c>
      <c r="KW37" s="398">
        <f t="shared" si="143"/>
        <v>2.7000000000000011</v>
      </c>
      <c r="KX37" s="398">
        <f t="shared" si="230"/>
        <v>67.500000000000014</v>
      </c>
      <c r="KY37" s="398">
        <f t="shared" si="144"/>
        <v>57.5</v>
      </c>
      <c r="KZ37" s="398">
        <f t="shared" si="145"/>
        <v>0</v>
      </c>
      <c r="LA37" s="398">
        <f t="shared" si="231"/>
        <v>1.3500000000000003</v>
      </c>
      <c r="LB37" s="399">
        <f t="shared" si="232"/>
        <v>50.813008130081307</v>
      </c>
      <c r="LC37" s="66"/>
    </row>
    <row r="38" spans="1:315" s="67" customFormat="1" ht="15" customHeight="1" x14ac:dyDescent="0.25">
      <c r="A38" s="481"/>
      <c r="Y38" s="481"/>
      <c r="Z38" s="413"/>
      <c r="AA38" s="396">
        <f t="shared" si="1"/>
        <v>4.9756</v>
      </c>
      <c r="AB38" s="397">
        <f t="shared" si="2"/>
        <v>20</v>
      </c>
      <c r="AC38" s="398">
        <f t="shared" si="3"/>
        <v>2.8000000000000012</v>
      </c>
      <c r="AD38" s="398">
        <f>IF(ISTEXT(AC37),0,AD37+(AC38-AC37)/3*(AA37*AB37+AA38*AB38+SQRT(AA37*AB37*AA38*AB38)))</f>
        <v>139.20836096712466</v>
      </c>
      <c r="AE38" s="398">
        <f t="shared" si="4"/>
        <v>3.3409786427764279</v>
      </c>
      <c r="AF38" s="398">
        <f t="shared" si="5"/>
        <v>0</v>
      </c>
      <c r="AG38" s="398">
        <f t="shared" si="147"/>
        <v>1.8672159338475771</v>
      </c>
      <c r="AH38" s="399">
        <f t="shared" si="148"/>
        <v>3236.162601626017</v>
      </c>
      <c r="AI38" s="367"/>
      <c r="AJ38" s="66"/>
      <c r="AK38" s="396">
        <f t="shared" si="6"/>
        <v>10</v>
      </c>
      <c r="AL38" s="397">
        <f t="shared" si="7"/>
        <v>5</v>
      </c>
      <c r="AM38" s="398">
        <f t="shared" si="8"/>
        <v>2.8000000000000012</v>
      </c>
      <c r="AN38" s="398">
        <f>IF(ISTEXT(AM37),0,AN37+(AM38-AM37)/3*(AK37*AL37+AK38*AL38+SQRT(AK37*AL37*AK38*AL38)))</f>
        <v>140.00000000000003</v>
      </c>
      <c r="AO38" s="398">
        <f t="shared" si="9"/>
        <v>10.000000000000004</v>
      </c>
      <c r="AP38" s="398">
        <f t="shared" si="10"/>
        <v>7.5</v>
      </c>
      <c r="AQ38" s="398">
        <f t="shared" si="150"/>
        <v>1.4000000000000004</v>
      </c>
      <c r="AR38" s="399">
        <f t="shared" si="151"/>
        <v>101.62601626016261</v>
      </c>
      <c r="AS38" s="66"/>
      <c r="AT38" s="66"/>
      <c r="AU38" s="396">
        <f t="shared" si="11"/>
        <v>10</v>
      </c>
      <c r="AV38" s="397">
        <f t="shared" si="12"/>
        <v>5</v>
      </c>
      <c r="AW38" s="398">
        <f t="shared" si="13"/>
        <v>2.8000000000000012</v>
      </c>
      <c r="AX38" s="398">
        <f>IF(ISTEXT(AW37),0,AX37+(AW38-AW37)/3*(AU37*AV37+AU38*AV38+SQRT(AU37*AV37*AU38*AV38)))</f>
        <v>140.00000000000003</v>
      </c>
      <c r="AY38" s="398">
        <f t="shared" si="14"/>
        <v>10.000000000000004</v>
      </c>
      <c r="AZ38" s="398">
        <f t="shared" si="15"/>
        <v>2.5000000000000009</v>
      </c>
      <c r="BA38" s="398">
        <f t="shared" si="153"/>
        <v>1.4000000000000004</v>
      </c>
      <c r="BB38" s="399">
        <f t="shared" si="154"/>
        <v>101.62601626016261</v>
      </c>
      <c r="BC38" s="66"/>
      <c r="BD38" s="66"/>
      <c r="BE38" s="396">
        <f t="shared" si="16"/>
        <v>10</v>
      </c>
      <c r="BF38" s="397">
        <f t="shared" si="17"/>
        <v>5</v>
      </c>
      <c r="BG38" s="398">
        <f t="shared" si="18"/>
        <v>2.8000000000000012</v>
      </c>
      <c r="BH38" s="398">
        <f>IF(ISTEXT(BG37),0,BH37+(BG38-BG37)/3*(BE37*BF37+BE38*BF38+SQRT(BE37*BF37*BE38*BF38)))</f>
        <v>140.00000000000003</v>
      </c>
      <c r="BI38" s="398">
        <f t="shared" si="19"/>
        <v>10.000000000000004</v>
      </c>
      <c r="BJ38" s="398">
        <f t="shared" si="20"/>
        <v>-2.5000000000000009</v>
      </c>
      <c r="BK38" s="398">
        <f t="shared" si="156"/>
        <v>1.4000000000000004</v>
      </c>
      <c r="BL38" s="399">
        <f t="shared" si="157"/>
        <v>101.62601626016261</v>
      </c>
      <c r="BM38" s="66"/>
      <c r="BN38" s="66"/>
      <c r="BO38" s="396">
        <f t="shared" si="21"/>
        <v>10</v>
      </c>
      <c r="BP38" s="397">
        <f t="shared" si="22"/>
        <v>5</v>
      </c>
      <c r="BQ38" s="398">
        <f t="shared" si="23"/>
        <v>2.8000000000000012</v>
      </c>
      <c r="BR38" s="398">
        <f>IF(ISTEXT(BQ37),0,BR37+(BQ38-BQ37)/3*(BO37*BP37+BO38*BP38+SQRT(BO37*BP37*BO38*BP38)))</f>
        <v>140.00000000000003</v>
      </c>
      <c r="BS38" s="398">
        <f t="shared" si="24"/>
        <v>10.000000000000004</v>
      </c>
      <c r="BT38" s="398">
        <f t="shared" si="25"/>
        <v>-7.5</v>
      </c>
      <c r="BU38" s="398">
        <f t="shared" si="159"/>
        <v>1.4000000000000004</v>
      </c>
      <c r="BV38" s="399">
        <f t="shared" si="160"/>
        <v>101.62601626016261</v>
      </c>
      <c r="BW38" s="66"/>
      <c r="BX38" s="66"/>
      <c r="BY38" s="396">
        <f t="shared" si="26"/>
        <v>10</v>
      </c>
      <c r="BZ38" s="397">
        <f t="shared" si="27"/>
        <v>5</v>
      </c>
      <c r="CA38" s="398">
        <f t="shared" si="28"/>
        <v>2.8000000000000012</v>
      </c>
      <c r="CB38" s="398">
        <f>IF(ISTEXT(CA37),0,CB37+(CA38-CA37)/3*(BY37*BZ37+BY38*BZ38+SQRT(BY37*BZ37*BY38*BZ38)))</f>
        <v>140.00000000000003</v>
      </c>
      <c r="CC38" s="398">
        <f t="shared" si="29"/>
        <v>20.000000000000007</v>
      </c>
      <c r="CD38" s="398">
        <f t="shared" si="30"/>
        <v>7.5</v>
      </c>
      <c r="CE38" s="398">
        <f t="shared" si="162"/>
        <v>1.4000000000000004</v>
      </c>
      <c r="CF38" s="399">
        <f t="shared" si="163"/>
        <v>101.62601626016261</v>
      </c>
      <c r="CG38" s="66"/>
      <c r="CH38" s="66"/>
      <c r="CI38" s="396">
        <f t="shared" si="31"/>
        <v>10</v>
      </c>
      <c r="CJ38" s="397">
        <f t="shared" si="32"/>
        <v>5</v>
      </c>
      <c r="CK38" s="398">
        <f t="shared" si="33"/>
        <v>2.8000000000000012</v>
      </c>
      <c r="CL38" s="398">
        <f>IF(ISTEXT(CK37),0,CL37+(CK38-CK37)/3*(CI37*CJ37+CI38*CJ38+SQRT(CI37*CJ37*CI38*CJ38)))</f>
        <v>140.00000000000003</v>
      </c>
      <c r="CM38" s="398">
        <f t="shared" si="34"/>
        <v>20.000000000000007</v>
      </c>
      <c r="CN38" s="398">
        <f t="shared" si="35"/>
        <v>2.5000000000000009</v>
      </c>
      <c r="CO38" s="398">
        <f t="shared" si="165"/>
        <v>1.4000000000000004</v>
      </c>
      <c r="CP38" s="399">
        <f t="shared" si="166"/>
        <v>101.62601626016261</v>
      </c>
      <c r="CQ38" s="66"/>
      <c r="CS38" s="396">
        <f t="shared" si="36"/>
        <v>10</v>
      </c>
      <c r="CT38" s="397">
        <f t="shared" si="37"/>
        <v>5</v>
      </c>
      <c r="CU38" s="398">
        <f t="shared" si="38"/>
        <v>2.8000000000000012</v>
      </c>
      <c r="CV38" s="398">
        <f>IF(ISTEXT(CU37),0,CV37+(CU38-CU37)/3*(CS37*CT37+CS38*CT38+SQRT(CS37*CT37*CS38*CT38)))</f>
        <v>140.00000000000003</v>
      </c>
      <c r="CW38" s="398">
        <f t="shared" si="39"/>
        <v>20.000000000000007</v>
      </c>
      <c r="CX38" s="398">
        <f t="shared" si="40"/>
        <v>-2.5000000000000009</v>
      </c>
      <c r="CY38" s="398">
        <f t="shared" si="168"/>
        <v>1.4000000000000004</v>
      </c>
      <c r="CZ38" s="399">
        <f t="shared" si="169"/>
        <v>101.62601626016261</v>
      </c>
      <c r="DA38" s="66"/>
      <c r="DB38" s="66"/>
      <c r="DC38" s="396">
        <f t="shared" si="41"/>
        <v>10</v>
      </c>
      <c r="DD38" s="397">
        <f t="shared" si="42"/>
        <v>5</v>
      </c>
      <c r="DE38" s="398">
        <f t="shared" si="43"/>
        <v>2.8000000000000012</v>
      </c>
      <c r="DF38" s="398">
        <f>IF(ISTEXT(DE37),0,DF37+(DE38-DE37)/3*(DC37*DD37+DC38*DD38+SQRT(DC37*DD37*DC38*DD38)))</f>
        <v>140.00000000000003</v>
      </c>
      <c r="DG38" s="398">
        <f t="shared" si="44"/>
        <v>20.000000000000007</v>
      </c>
      <c r="DH38" s="398">
        <f t="shared" si="45"/>
        <v>-7.5</v>
      </c>
      <c r="DI38" s="398">
        <f t="shared" si="171"/>
        <v>1.4000000000000004</v>
      </c>
      <c r="DJ38" s="399">
        <f t="shared" si="172"/>
        <v>101.62601626016261</v>
      </c>
      <c r="DK38" s="66"/>
      <c r="DM38" s="396">
        <f t="shared" si="46"/>
        <v>10</v>
      </c>
      <c r="DN38" s="397">
        <f t="shared" si="47"/>
        <v>5</v>
      </c>
      <c r="DO38" s="398">
        <f t="shared" si="48"/>
        <v>2.8000000000000012</v>
      </c>
      <c r="DP38" s="398">
        <f>IF(ISTEXT(DO37),0,DP37+(DO38-DO37)/3*(DM37*DN37+DM38*DN38+SQRT(DM37*DN37*DM38*DN38)))</f>
        <v>140.00000000000003</v>
      </c>
      <c r="DQ38" s="398">
        <f t="shared" si="49"/>
        <v>30</v>
      </c>
      <c r="DR38" s="398">
        <f t="shared" si="50"/>
        <v>7.5</v>
      </c>
      <c r="DS38" s="398">
        <f t="shared" si="174"/>
        <v>1.4000000000000004</v>
      </c>
      <c r="DT38" s="399">
        <f t="shared" si="175"/>
        <v>101.62601626016261</v>
      </c>
      <c r="DU38" s="66"/>
      <c r="DV38" s="66"/>
      <c r="DW38" s="396">
        <f t="shared" si="51"/>
        <v>10</v>
      </c>
      <c r="DX38" s="397">
        <f t="shared" si="52"/>
        <v>5</v>
      </c>
      <c r="DY38" s="398">
        <f t="shared" si="53"/>
        <v>2.8000000000000012</v>
      </c>
      <c r="DZ38" s="398">
        <f>IF(ISTEXT(DY37),0,DZ37+(DY38-DY37)/3*(DW37*DX37+DW38*DX38+SQRT(DW37*DX37*DW38*DX38)))</f>
        <v>140.00000000000003</v>
      </c>
      <c r="EA38" s="398">
        <f t="shared" si="54"/>
        <v>30</v>
      </c>
      <c r="EB38" s="398">
        <f t="shared" si="55"/>
        <v>2.5000000000000009</v>
      </c>
      <c r="EC38" s="398">
        <f t="shared" si="177"/>
        <v>1.4000000000000004</v>
      </c>
      <c r="ED38" s="399">
        <f t="shared" si="178"/>
        <v>101.62601626016261</v>
      </c>
      <c r="EE38" s="66"/>
      <c r="EF38" s="66"/>
      <c r="EG38" s="396">
        <f t="shared" si="56"/>
        <v>10</v>
      </c>
      <c r="EH38" s="397">
        <f t="shared" si="57"/>
        <v>5</v>
      </c>
      <c r="EI38" s="398">
        <f t="shared" si="58"/>
        <v>2.8000000000000012</v>
      </c>
      <c r="EJ38" s="398">
        <f>IF(ISTEXT(EI37),0,EJ37+(EI38-EI37)/3*(EG37*EH37+EG38*EH38+SQRT(EG37*EH37*EG38*EH38)))</f>
        <v>140.00000000000003</v>
      </c>
      <c r="EK38" s="398">
        <f t="shared" si="59"/>
        <v>30</v>
      </c>
      <c r="EL38" s="398">
        <f t="shared" si="60"/>
        <v>-2.5000000000000009</v>
      </c>
      <c r="EM38" s="398">
        <f t="shared" si="180"/>
        <v>1.4000000000000004</v>
      </c>
      <c r="EN38" s="399">
        <f t="shared" si="181"/>
        <v>101.62601626016261</v>
      </c>
      <c r="EO38" s="66"/>
      <c r="EP38" s="66"/>
      <c r="EQ38" s="396">
        <f t="shared" si="61"/>
        <v>10</v>
      </c>
      <c r="ER38" s="397">
        <f t="shared" si="62"/>
        <v>5</v>
      </c>
      <c r="ES38" s="398">
        <f t="shared" si="63"/>
        <v>2.8000000000000012</v>
      </c>
      <c r="ET38" s="398">
        <f>IF(ISTEXT(ES37),0,ET37+(ES38-ES37)/3*(EQ37*ER37+EQ38*ER38+SQRT(EQ37*ER37*EQ38*ER38)))</f>
        <v>140.00000000000003</v>
      </c>
      <c r="EU38" s="398">
        <f t="shared" si="64"/>
        <v>30</v>
      </c>
      <c r="EV38" s="398">
        <f t="shared" si="65"/>
        <v>-7.5</v>
      </c>
      <c r="EW38" s="398">
        <f t="shared" si="183"/>
        <v>1.4000000000000004</v>
      </c>
      <c r="EX38" s="399">
        <f t="shared" si="184"/>
        <v>101.62601626016261</v>
      </c>
      <c r="EY38" s="66"/>
      <c r="EZ38" s="66"/>
      <c r="FA38" s="396">
        <f t="shared" si="66"/>
        <v>10</v>
      </c>
      <c r="FB38" s="397">
        <f t="shared" si="67"/>
        <v>5</v>
      </c>
      <c r="FC38" s="398">
        <f t="shared" si="68"/>
        <v>2.8000000000000012</v>
      </c>
      <c r="FD38" s="398">
        <f>IF(ISTEXT(FC37),0,FD37+(FC38-FC37)/3*(FA37*FB37+FA38*FB38+SQRT(FA37*FB37*FA38*FB38)))</f>
        <v>140.00000000000003</v>
      </c>
      <c r="FE38" s="398">
        <f t="shared" si="69"/>
        <v>40.000000000000014</v>
      </c>
      <c r="FF38" s="398">
        <f t="shared" si="70"/>
        <v>7.5</v>
      </c>
      <c r="FG38" s="398">
        <f t="shared" si="186"/>
        <v>1.4000000000000004</v>
      </c>
      <c r="FH38" s="399">
        <f t="shared" si="187"/>
        <v>101.62601626016261</v>
      </c>
      <c r="FI38" s="66"/>
      <c r="FJ38" s="66"/>
      <c r="FK38" s="396">
        <f t="shared" si="71"/>
        <v>10</v>
      </c>
      <c r="FL38" s="397">
        <f t="shared" si="72"/>
        <v>5</v>
      </c>
      <c r="FM38" s="398">
        <f t="shared" si="73"/>
        <v>2.8000000000000012</v>
      </c>
      <c r="FN38" s="398">
        <f>IF(ISTEXT(FM37),0,FN37+(FM38-FM37)/3*(FK37*FL37+FK38*FL38+SQRT(FK37*FL37*FK38*FL38)))</f>
        <v>140.00000000000003</v>
      </c>
      <c r="FO38" s="398">
        <f t="shared" si="74"/>
        <v>40.000000000000014</v>
      </c>
      <c r="FP38" s="398">
        <f t="shared" si="75"/>
        <v>2.5000000000000009</v>
      </c>
      <c r="FQ38" s="398">
        <f t="shared" si="189"/>
        <v>1.4000000000000004</v>
      </c>
      <c r="FR38" s="399">
        <f t="shared" si="190"/>
        <v>101.62601626016261</v>
      </c>
      <c r="FS38" s="66"/>
      <c r="FT38" s="66"/>
      <c r="FU38" s="396">
        <f t="shared" si="76"/>
        <v>10</v>
      </c>
      <c r="FV38" s="397">
        <f t="shared" si="77"/>
        <v>5</v>
      </c>
      <c r="FW38" s="398">
        <f t="shared" si="78"/>
        <v>2.8000000000000012</v>
      </c>
      <c r="FX38" s="398">
        <f>IF(ISTEXT(FW37),0,FX37+(FW38-FW37)/3*(FU37*FV37+FU38*FV38+SQRT(FU37*FV37*FU38*FV38)))</f>
        <v>140.00000000000003</v>
      </c>
      <c r="FY38" s="398">
        <f t="shared" si="79"/>
        <v>40.000000000000014</v>
      </c>
      <c r="FZ38" s="398">
        <f t="shared" si="80"/>
        <v>-2.5000000000000009</v>
      </c>
      <c r="GA38" s="398">
        <f t="shared" si="192"/>
        <v>1.4000000000000004</v>
      </c>
      <c r="GB38" s="399">
        <f t="shared" si="193"/>
        <v>101.62601626016261</v>
      </c>
      <c r="GC38" s="66"/>
      <c r="GD38" s="66"/>
      <c r="GE38" s="396">
        <f t="shared" si="81"/>
        <v>10</v>
      </c>
      <c r="GF38" s="397">
        <f t="shared" si="82"/>
        <v>5</v>
      </c>
      <c r="GG38" s="398">
        <f t="shared" si="83"/>
        <v>2.8000000000000012</v>
      </c>
      <c r="GH38" s="398">
        <f>IF(ISTEXT(GG37),0,GH37+(GG38-GG37)/3*(GE37*GF37+GE38*GF38+SQRT(GE37*GF37*GE38*GF38)))</f>
        <v>140.00000000000003</v>
      </c>
      <c r="GI38" s="398">
        <f t="shared" si="84"/>
        <v>40.000000000000014</v>
      </c>
      <c r="GJ38" s="398">
        <f t="shared" si="85"/>
        <v>-7.5</v>
      </c>
      <c r="GK38" s="398">
        <f t="shared" si="195"/>
        <v>1.4000000000000004</v>
      </c>
      <c r="GL38" s="399">
        <f t="shared" si="196"/>
        <v>101.62601626016261</v>
      </c>
      <c r="GM38" s="66"/>
      <c r="GN38" s="66"/>
      <c r="GO38" s="396">
        <f t="shared" si="86"/>
        <v>10</v>
      </c>
      <c r="GP38" s="397">
        <f t="shared" si="87"/>
        <v>5</v>
      </c>
      <c r="GQ38" s="398">
        <f t="shared" si="88"/>
        <v>2.8000000000000012</v>
      </c>
      <c r="GR38" s="398">
        <f>IF(ISTEXT(GQ37),0,GR37+(GQ38-GQ37)/3*(GO37*GP37+GO38*GP38+SQRT(GO37*GP37*GO38*GP38)))</f>
        <v>140.00000000000003</v>
      </c>
      <c r="GS38" s="398">
        <f t="shared" si="89"/>
        <v>50</v>
      </c>
      <c r="GT38" s="398">
        <f t="shared" si="90"/>
        <v>7.5</v>
      </c>
      <c r="GU38" s="398">
        <f t="shared" si="198"/>
        <v>1.4000000000000004</v>
      </c>
      <c r="GV38" s="399">
        <f t="shared" si="199"/>
        <v>101.62601626016261</v>
      </c>
      <c r="GW38" s="66"/>
      <c r="GX38" s="66"/>
      <c r="GY38" s="396">
        <f t="shared" si="91"/>
        <v>10</v>
      </c>
      <c r="GZ38" s="397">
        <f t="shared" si="92"/>
        <v>5</v>
      </c>
      <c r="HA38" s="398">
        <f t="shared" si="93"/>
        <v>2.8000000000000012</v>
      </c>
      <c r="HB38" s="398">
        <f>IF(ISTEXT(HA37),0,HB37+(HA38-HA37)/3*(GY37*GZ37+GY38*GZ38+SQRT(GY37*GZ37*GY38*GZ38)))</f>
        <v>140.00000000000003</v>
      </c>
      <c r="HC38" s="398">
        <f t="shared" si="94"/>
        <v>50</v>
      </c>
      <c r="HD38" s="398">
        <f t="shared" si="95"/>
        <v>2.5000000000000009</v>
      </c>
      <c r="HE38" s="398">
        <f t="shared" si="201"/>
        <v>1.4000000000000004</v>
      </c>
      <c r="HF38" s="399">
        <f t="shared" si="202"/>
        <v>101.62601626016261</v>
      </c>
      <c r="HH38" s="66"/>
      <c r="HI38" s="396">
        <f t="shared" si="96"/>
        <v>10</v>
      </c>
      <c r="HJ38" s="397">
        <f t="shared" si="97"/>
        <v>5</v>
      </c>
      <c r="HK38" s="398">
        <f t="shared" si="98"/>
        <v>2.8000000000000012</v>
      </c>
      <c r="HL38" s="398">
        <f>IF(ISTEXT(HK37),0,HL37+(HK38-HK37)/3*(HI37*HJ37+HI38*HJ38+SQRT(HI37*HJ37*HI38*HJ38)))</f>
        <v>140.00000000000003</v>
      </c>
      <c r="HM38" s="398">
        <f t="shared" si="99"/>
        <v>50</v>
      </c>
      <c r="HN38" s="398">
        <f t="shared" si="100"/>
        <v>-2.5000000000000009</v>
      </c>
      <c r="HO38" s="398">
        <f t="shared" si="204"/>
        <v>1.4000000000000004</v>
      </c>
      <c r="HP38" s="399">
        <f t="shared" si="205"/>
        <v>101.62601626016261</v>
      </c>
      <c r="HQ38" s="66"/>
      <c r="HR38" s="66"/>
      <c r="HS38" s="396">
        <f t="shared" si="101"/>
        <v>10</v>
      </c>
      <c r="HT38" s="397">
        <f t="shared" si="102"/>
        <v>5</v>
      </c>
      <c r="HU38" s="398">
        <f t="shared" si="103"/>
        <v>2.8000000000000012</v>
      </c>
      <c r="HV38" s="398">
        <f>IF(ISTEXT(HU37),0,HV37+(HU38-HU37)/3*(HS37*HT37+HS38*HT38+SQRT(HS37*HT37*HS38*HT38)))</f>
        <v>140.00000000000003</v>
      </c>
      <c r="HW38" s="398">
        <f t="shared" si="104"/>
        <v>50</v>
      </c>
      <c r="HX38" s="398">
        <f t="shared" si="105"/>
        <v>-7.5</v>
      </c>
      <c r="HY38" s="398">
        <f t="shared" si="207"/>
        <v>1.4000000000000004</v>
      </c>
      <c r="HZ38" s="399">
        <f t="shared" si="208"/>
        <v>101.62601626016261</v>
      </c>
      <c r="IA38" s="66"/>
      <c r="IB38" s="66"/>
      <c r="IC38" s="396">
        <f t="shared" si="106"/>
        <v>4.9560000000000031</v>
      </c>
      <c r="ID38" s="397">
        <f t="shared" si="107"/>
        <v>20</v>
      </c>
      <c r="IE38" s="398">
        <f t="shared" si="108"/>
        <v>2.8000000000000012</v>
      </c>
      <c r="IF38" s="398">
        <f>IF(ISTEXT(IE37),0,IF37+(IE38-IE37)/3*(IC37*ID37+IC38*ID38+SQRT(IC37*ID37*IC38*ID38)))</f>
        <v>138.65998813270159</v>
      </c>
      <c r="IG38" s="398">
        <f t="shared" si="109"/>
        <v>56.652486101455104</v>
      </c>
      <c r="IH38" s="398">
        <f t="shared" si="110"/>
        <v>0</v>
      </c>
      <c r="II38" s="398">
        <f t="shared" si="210"/>
        <v>1.8672159338475773</v>
      </c>
      <c r="IJ38" s="399">
        <f t="shared" si="211"/>
        <v>3223.4146341463434</v>
      </c>
      <c r="IK38" s="66"/>
      <c r="IL38" s="66"/>
      <c r="IM38" s="396">
        <f t="shared" si="111"/>
        <v>11</v>
      </c>
      <c r="IN38" s="397">
        <f t="shared" si="112"/>
        <v>13.75</v>
      </c>
      <c r="IO38" s="398">
        <f t="shared" si="113"/>
        <v>2.8000000000000012</v>
      </c>
      <c r="IP38" s="398">
        <f>IF(ISTEXT(IO37),0,IP37+(IO38-IO37)/3*(IM37*IN37+IM38*IN38+SQRT(IM37*IN37*IM38*IN38)))</f>
        <v>398.90359441245005</v>
      </c>
      <c r="IQ38" s="398">
        <f t="shared" si="114"/>
        <v>67.827262279129698</v>
      </c>
      <c r="IR38" s="398">
        <f t="shared" si="115"/>
        <v>6.8749999999999991</v>
      </c>
      <c r="IS38" s="398">
        <f t="shared" si="213"/>
        <v>1.4616417759839471</v>
      </c>
      <c r="IT38" s="399">
        <f t="shared" si="214"/>
        <v>2324.8539126016262</v>
      </c>
      <c r="IU38" s="66"/>
      <c r="IV38" s="66"/>
      <c r="IW38" s="396">
        <f t="shared" si="116"/>
        <v>11</v>
      </c>
      <c r="IX38" s="397">
        <f t="shared" si="117"/>
        <v>13.75</v>
      </c>
      <c r="IY38" s="398">
        <f t="shared" si="118"/>
        <v>2.8000000000000012</v>
      </c>
      <c r="IZ38" s="398">
        <f>IF(ISTEXT(IY37),0,IZ37+(IY38-IY37)/3*(IW37*IX37+IW38*IX38+SQRT(IW37*IX37*IW38*IX38)))</f>
        <v>398.90359441245005</v>
      </c>
      <c r="JA38" s="398">
        <f t="shared" si="119"/>
        <v>67.827262279129698</v>
      </c>
      <c r="JB38" s="398">
        <f t="shared" si="120"/>
        <v>-6.8749999999999991</v>
      </c>
      <c r="JC38" s="398">
        <f t="shared" si="216"/>
        <v>1.4616417759839471</v>
      </c>
      <c r="JD38" s="399">
        <f t="shared" si="217"/>
        <v>2324.8539126016262</v>
      </c>
      <c r="JE38" s="66"/>
      <c r="JF38" s="66"/>
      <c r="JG38" s="396">
        <f t="shared" si="121"/>
        <v>7</v>
      </c>
      <c r="JH38" s="397">
        <f t="shared" si="122"/>
        <v>6.875</v>
      </c>
      <c r="JI38" s="398">
        <f t="shared" si="123"/>
        <v>2.8000000000000012</v>
      </c>
      <c r="JJ38" s="398">
        <f>IF(ISTEXT(JI37),0,JJ37+(JI38-JI37)/3*(JG37*JH37+JG38*JH38+SQRT(JG37*JH37*JG38*JH38)))</f>
        <v>67.322557797480442</v>
      </c>
      <c r="JK38" s="398">
        <f t="shared" si="124"/>
        <v>71.93401991730947</v>
      </c>
      <c r="JL38" s="398">
        <f t="shared" si="125"/>
        <v>10.312499999999998</v>
      </c>
      <c r="JM38" s="398">
        <f t="shared" si="219"/>
        <v>3.0632159338475766</v>
      </c>
      <c r="JN38" s="399">
        <f t="shared" si="220"/>
        <v>184.9315612296748</v>
      </c>
      <c r="JO38" s="66"/>
      <c r="JP38" s="66"/>
      <c r="JQ38" s="396">
        <f t="shared" si="126"/>
        <v>7</v>
      </c>
      <c r="JR38" s="397">
        <f t="shared" si="127"/>
        <v>6.875</v>
      </c>
      <c r="JS38" s="398">
        <f t="shared" si="128"/>
        <v>2.8000000000000012</v>
      </c>
      <c r="JT38" s="398">
        <f>IF(ISTEXT(JS37),0,JT37+(JS38-JS37)/3*(JQ37*JR37+JQ38*JR38+SQRT(JQ37*JR37*JQ38*JR38)))</f>
        <v>67.322557797480442</v>
      </c>
      <c r="JU38" s="398">
        <f t="shared" si="129"/>
        <v>71.93401991730947</v>
      </c>
      <c r="JV38" s="398">
        <f t="shared" si="130"/>
        <v>3.4375</v>
      </c>
      <c r="JW38" s="398">
        <f t="shared" si="222"/>
        <v>3.0632159338475766</v>
      </c>
      <c r="JX38" s="399">
        <f t="shared" si="223"/>
        <v>184.9315612296748</v>
      </c>
      <c r="JY38" s="66"/>
      <c r="JZ38" s="66"/>
      <c r="KA38" s="396">
        <f t="shared" si="131"/>
        <v>7</v>
      </c>
      <c r="KB38" s="397">
        <f t="shared" si="132"/>
        <v>6.875</v>
      </c>
      <c r="KC38" s="398">
        <f t="shared" si="133"/>
        <v>2.8000000000000012</v>
      </c>
      <c r="KD38" s="398">
        <f>IF(ISTEXT(KC37),0,KD37+(KC38-KC37)/3*(KA37*KB37+KA38*KB38+SQRT(KA37*KB37*KA38*KB38)))</f>
        <v>67.322557797480442</v>
      </c>
      <c r="KE38" s="398">
        <f t="shared" si="134"/>
        <v>71.93401991730947</v>
      </c>
      <c r="KF38" s="398">
        <f t="shared" si="135"/>
        <v>-3.4375</v>
      </c>
      <c r="KG38" s="398">
        <f t="shared" si="225"/>
        <v>3.0632159338475766</v>
      </c>
      <c r="KH38" s="399">
        <f t="shared" si="226"/>
        <v>184.9315612296748</v>
      </c>
      <c r="KI38" s="66"/>
      <c r="KJ38" s="66"/>
      <c r="KK38" s="396">
        <f t="shared" si="136"/>
        <v>7</v>
      </c>
      <c r="KL38" s="397">
        <f t="shared" si="137"/>
        <v>6.875</v>
      </c>
      <c r="KM38" s="398">
        <f t="shared" si="138"/>
        <v>2.8000000000000012</v>
      </c>
      <c r="KN38" s="398">
        <f>IF(ISTEXT(KM37),0,KN37+(KM38-KM37)/3*(KK37*KL37+KK38*KL38+SQRT(KK37*KL37*KK38*KL38)))</f>
        <v>67.322557797480442</v>
      </c>
      <c r="KO38" s="398">
        <f t="shared" si="139"/>
        <v>71.93401991730947</v>
      </c>
      <c r="KP38" s="398">
        <f t="shared" si="140"/>
        <v>-10.312499999999998</v>
      </c>
      <c r="KQ38" s="398">
        <f t="shared" si="228"/>
        <v>3.0632159338475766</v>
      </c>
      <c r="KR38" s="399">
        <f t="shared" si="229"/>
        <v>184.9315612296748</v>
      </c>
      <c r="KS38" s="66"/>
      <c r="KT38" s="66"/>
      <c r="KU38" s="396">
        <f t="shared" si="141"/>
        <v>5</v>
      </c>
      <c r="KV38" s="397">
        <f t="shared" si="142"/>
        <v>5</v>
      </c>
      <c r="KW38" s="398">
        <f t="shared" si="143"/>
        <v>2.8000000000000012</v>
      </c>
      <c r="KX38" s="398">
        <f>IF(ISTEXT(KW37),0,KX37+(KW38-KW37)/3*(KU37*KV37+KU38*KV38+SQRT(KU37*KV37*KU38*KV38)))</f>
        <v>70.000000000000014</v>
      </c>
      <c r="KY38" s="398">
        <f t="shared" si="144"/>
        <v>57.5</v>
      </c>
      <c r="KZ38" s="398">
        <f t="shared" si="145"/>
        <v>0</v>
      </c>
      <c r="LA38" s="398">
        <f t="shared" si="231"/>
        <v>1.4000000000000004</v>
      </c>
      <c r="LB38" s="399">
        <f t="shared" si="232"/>
        <v>50.813008130081307</v>
      </c>
      <c r="LC38" s="66"/>
    </row>
    <row r="39" spans="1:315" s="67" customFormat="1" ht="15" customHeight="1" x14ac:dyDescent="0.25">
      <c r="A39" s="481"/>
      <c r="Y39" s="481"/>
      <c r="Z39" s="413"/>
      <c r="AA39" s="396">
        <f t="shared" ref="AA39:AA74" si="233">IF(ISTEXT(AA38),AG$2,IF(AA38+AA$8*(AC39-AC38)&gt;AG$3,AG$3,AA38+AA$8*(AC39-AC38)))</f>
        <v>5</v>
      </c>
      <c r="AB39" s="397">
        <f t="shared" ref="AB39:AB74" si="234">IF(ISTEXT(AB38),AH$2,IF(AB38+AB$8*(AC39-AC38)&gt;AH$3,AH$3,AB38+AB$8*(AC39-AC38)))</f>
        <v>20</v>
      </c>
      <c r="AC39" s="398">
        <f t="shared" si="3"/>
        <v>2.9000000000000012</v>
      </c>
      <c r="AD39" s="398">
        <f t="shared" si="146"/>
        <v>149.1839510201726</v>
      </c>
      <c r="AE39" s="398">
        <f t="shared" ref="AE39:AE74" si="235">IF(ISTEXT(AE38),AE$2,(AD38*AE38+(AD39-AD38)*IF(AE$2=AE$3,AE$2,IF(AE$2&gt;AE$3,AE$2-(AA39+AA38)/4,AE$2+(AA39+AA38)/4)))/AD39)</f>
        <v>3.2851522148836816</v>
      </c>
      <c r="AF39" s="398">
        <f t="shared" ref="AF39:AF75" si="236">IF(ISTEXT(AF38),AF$2,(AD38*AF38+(AD39-AD38)*IF(AF$2&gt;0,AF$2-AH$2/2+(AB39+AB38)/4,AF$2+AH$2/2-(AB39+AB38)/4))/AD39)</f>
        <v>0</v>
      </c>
      <c r="AG39" s="398">
        <f t="shared" ref="AG39:AG75" si="237">IF(ISTEXT(AG38),AD$2,(AD38*AG38+(AD39-AD38)*(AD$2+(AC39+AC38)/2))/AD39)</f>
        <v>1.9329324595700959</v>
      </c>
      <c r="AH39" s="399">
        <f t="shared" si="148"/>
        <v>3252.0325203252037</v>
      </c>
      <c r="AI39" s="367"/>
      <c r="AJ39" s="66"/>
      <c r="AK39" s="396">
        <f t="shared" ref="AK39:AK74" si="238">IF(ISTEXT(AK38),AQ$2,IF(AK38+AK$8*(AM39-AM38)&gt;AQ$3,AQ$3,AK38+AK$8*(AM39-AM38)))</f>
        <v>10</v>
      </c>
      <c r="AL39" s="397">
        <f t="shared" ref="AL39:AL74" si="239">IF(ISTEXT(AL38),AR$2,IF(AL38+AL$8*(AM39-AM38)&gt;AR$3,AR$3,AL38+AL$8*(AM39-AM38)))</f>
        <v>5</v>
      </c>
      <c r="AM39" s="398">
        <f t="shared" si="8"/>
        <v>2.9000000000000012</v>
      </c>
      <c r="AN39" s="398">
        <f t="shared" si="149"/>
        <v>145.00000000000003</v>
      </c>
      <c r="AO39" s="398">
        <f t="shared" ref="AO39:AO74" si="240">IF(ISTEXT(AO38),AO$2,(AN38*AO38+(AN39-AN38)*IF(AO$2=AO$3,AO$2,IF(AO$2&gt;AO$3,AO$2-(AK39+AK38)/4,AO$2+(AK39+AK38)/4)))/AN39)</f>
        <v>10.000000000000004</v>
      </c>
      <c r="AP39" s="398">
        <f t="shared" ref="AP39:AP75" si="241">IF(ISTEXT(AP38),AP$2,(AN38*AP38+(AN39-AN38)*IF(AP$2&gt;0,AP$2-AR$2/2+(AL39+AL38)/4,AP$2+AR$2/2-(AL39+AL38)/4))/AN39)</f>
        <v>7.5</v>
      </c>
      <c r="AQ39" s="398">
        <f t="shared" ref="AQ39:AQ75" si="242">IF(ISTEXT(AQ38),AN$2,(AN38*AQ38+(AN39-AN38)*(AN$2+(AM39+AM38)/2))/AN39)</f>
        <v>1.4500000000000004</v>
      </c>
      <c r="AR39" s="399">
        <f t="shared" si="151"/>
        <v>101.62601626016261</v>
      </c>
      <c r="AS39" s="66"/>
      <c r="AT39" s="66"/>
      <c r="AU39" s="396">
        <f t="shared" ref="AU39:AU74" si="243">IF(ISTEXT(AU38),BA$2,IF(AU38+AU$8*(AW39-AW38)&gt;BA$3,BA$3,AU38+AU$8*(AW39-AW38)))</f>
        <v>10</v>
      </c>
      <c r="AV39" s="397">
        <f t="shared" ref="AV39:AV74" si="244">IF(ISTEXT(AV38),BB$2,IF(AV38+AV$8*(AW39-AW38)&gt;BB$3,BB$3,AV38+AV$8*(AW39-AW38)))</f>
        <v>5</v>
      </c>
      <c r="AW39" s="398">
        <f t="shared" si="13"/>
        <v>2.9000000000000012</v>
      </c>
      <c r="AX39" s="398">
        <f t="shared" si="152"/>
        <v>145.00000000000003</v>
      </c>
      <c r="AY39" s="398">
        <f t="shared" ref="AY39:AY74" si="245">IF(ISTEXT(AY38),AY$2,(AX38*AY38+(AX39-AX38)*IF(AY$2=AY$3,AY$2,IF(AY$2&gt;AY$3,AY$2-(AU39+AU38)/4,AY$2+(AU39+AU38)/4)))/AX39)</f>
        <v>10.000000000000004</v>
      </c>
      <c r="AZ39" s="398">
        <f t="shared" ref="AZ39:AZ75" si="246">IF(ISTEXT(AZ38),AZ$2,(AX38*AZ38+(AX39-AX38)*IF(AZ$2&gt;0,AZ$2-BB$2/2+(AV39+AV38)/4,AZ$2+BB$2/2-(AV39+AV38)/4))/AX39)</f>
        <v>2.5000000000000009</v>
      </c>
      <c r="BA39" s="398">
        <f t="shared" ref="BA39:BA75" si="247">IF(ISTEXT(BA38),AX$2,(AX38*BA38+(AX39-AX38)*(AX$2+(AW39+AW38)/2))/AX39)</f>
        <v>1.4500000000000004</v>
      </c>
      <c r="BB39" s="399">
        <f t="shared" si="154"/>
        <v>101.62601626016261</v>
      </c>
      <c r="BC39" s="66"/>
      <c r="BD39" s="66"/>
      <c r="BE39" s="396">
        <f t="shared" ref="BE39:BE74" si="248">IF(ISTEXT(BE38),BK$2,IF(BE38+BE$8*(BG39-BG38)&gt;BK$3,BK$3,BE38+BE$8*(BG39-BG38)))</f>
        <v>10</v>
      </c>
      <c r="BF39" s="397">
        <f t="shared" ref="BF39:BF74" si="249">IF(ISTEXT(BF38),BL$2,IF(BF38+BF$8*(BG39-BG38)&gt;BL$3,BL$3,BF38+BF$8*(BG39-BG38)))</f>
        <v>5</v>
      </c>
      <c r="BG39" s="398">
        <f t="shared" si="18"/>
        <v>2.9000000000000012</v>
      </c>
      <c r="BH39" s="398">
        <f t="shared" si="155"/>
        <v>145.00000000000003</v>
      </c>
      <c r="BI39" s="398">
        <f t="shared" ref="BI39:BI74" si="250">IF(ISTEXT(BI38),BI$2,(BH38*BI38+(BH39-BH38)*IF(BI$2=BI$3,BI$2,IF(BI$2&gt;BI$3,BI$2-(BE39+BE38)/4,BI$2+(BE39+BE38)/4)))/BH39)</f>
        <v>10.000000000000004</v>
      </c>
      <c r="BJ39" s="398">
        <f t="shared" ref="BJ39:BJ75" si="251">IF(ISTEXT(BJ38),BJ$2,(BH38*BJ38+(BH39-BH38)*IF(BJ$2&gt;0,BJ$2-BL$2/2+(BF39+BF38)/4,BJ$2+BL$2/2-(BF39+BF38)/4))/BH39)</f>
        <v>-2.5000000000000009</v>
      </c>
      <c r="BK39" s="398">
        <f t="shared" ref="BK39:BK75" si="252">IF(ISTEXT(BK38),BH$2,(BH38*BK38+(BH39-BH38)*(BH$2+(BG39+BG38)/2))/BH39)</f>
        <v>1.4500000000000004</v>
      </c>
      <c r="BL39" s="399">
        <f t="shared" si="157"/>
        <v>101.62601626016261</v>
      </c>
      <c r="BM39" s="66"/>
      <c r="BN39" s="66"/>
      <c r="BO39" s="396">
        <f t="shared" ref="BO39:BO74" si="253">IF(ISTEXT(BO38),BU$2,IF(BO38+BO$8*(BQ39-BQ38)&gt;BU$3,BU$3,BO38+BO$8*(BQ39-BQ38)))</f>
        <v>10</v>
      </c>
      <c r="BP39" s="397">
        <f t="shared" ref="BP39:BP74" si="254">IF(ISTEXT(BP38),BV$2,IF(BP38+BP$8*(BQ39-BQ38)&gt;BV$3,BV$3,BP38+BP$8*(BQ39-BQ38)))</f>
        <v>5</v>
      </c>
      <c r="BQ39" s="398">
        <f t="shared" si="23"/>
        <v>2.9000000000000012</v>
      </c>
      <c r="BR39" s="398">
        <f t="shared" si="158"/>
        <v>145.00000000000003</v>
      </c>
      <c r="BS39" s="398">
        <f t="shared" ref="BS39:BS74" si="255">IF(ISTEXT(BS38),BS$2,(BR38*BS38+(BR39-BR38)*IF(BS$2=BS$3,BS$2,IF(BS$2&gt;BS$3,BS$2-(BO39+BO38)/4,BS$2+(BO39+BO38)/4)))/BR39)</f>
        <v>10.000000000000004</v>
      </c>
      <c r="BT39" s="398">
        <f t="shared" ref="BT39:BT75" si="256">IF(ISTEXT(BT38),BT$2,(BR38*BT38+(BR39-BR38)*IF(BT$2&gt;0,BT$2-BV$2/2+(BP39+BP38)/4,BT$2+BV$2/2-(BP39+BP38)/4))/BR39)</f>
        <v>-7.5</v>
      </c>
      <c r="BU39" s="398">
        <f t="shared" ref="BU39:BU75" si="257">IF(ISTEXT(BU38),BR$2,(BR38*BU38+(BR39-BR38)*(BR$2+(BQ39+BQ38)/2))/BR39)</f>
        <v>1.4500000000000004</v>
      </c>
      <c r="BV39" s="399">
        <f t="shared" si="160"/>
        <v>101.62601626016261</v>
      </c>
      <c r="BW39" s="66"/>
      <c r="BX39" s="66"/>
      <c r="BY39" s="396">
        <f t="shared" ref="BY39:BY74" si="258">IF(ISTEXT(BY38),CE$2,IF(BY38+BY$8*(CA39-CA38)&gt;CE$3,CE$3,BY38+BY$8*(CA39-CA38)))</f>
        <v>10</v>
      </c>
      <c r="BZ39" s="397">
        <f t="shared" ref="BZ39:BZ74" si="259">IF(ISTEXT(BZ38),CF$2,IF(BZ38+BZ$8*(CA39-CA38)&gt;CF$3,CF$3,BZ38+BZ$8*(CA39-CA38)))</f>
        <v>5</v>
      </c>
      <c r="CA39" s="398">
        <f t="shared" si="28"/>
        <v>2.9000000000000012</v>
      </c>
      <c r="CB39" s="398">
        <f t="shared" si="161"/>
        <v>145.00000000000003</v>
      </c>
      <c r="CC39" s="398">
        <f t="shared" ref="CC39:CC74" si="260">IF(ISTEXT(CC38),CC$2,(CB38*CC38+(CB39-CB38)*IF(CC$2=CC$3,CC$2,IF(CC$2&gt;CC$3,CC$2-(BY39+BY38)/4,CC$2+(BY39+BY38)/4)))/CB39)</f>
        <v>20.000000000000007</v>
      </c>
      <c r="CD39" s="398">
        <f t="shared" ref="CD39:CD75" si="261">IF(ISTEXT(CD38),CD$2,(CB38*CD38+(CB39-CB38)*IF(CD$2&gt;0,CD$2-CF$2/2+(BZ39+BZ38)/4,CD$2+CF$2/2-(BZ39+BZ38)/4))/CB39)</f>
        <v>7.5</v>
      </c>
      <c r="CE39" s="398">
        <f t="shared" ref="CE39:CE75" si="262">IF(ISTEXT(CE38),CB$2,(CB38*CE38+(CB39-CB38)*(CB$2+(CA39+CA38)/2))/CB39)</f>
        <v>1.4500000000000004</v>
      </c>
      <c r="CF39" s="399">
        <f t="shared" si="163"/>
        <v>101.62601626016261</v>
      </c>
      <c r="CG39" s="66"/>
      <c r="CH39" s="66"/>
      <c r="CI39" s="396">
        <f t="shared" ref="CI39:CI74" si="263">IF(ISTEXT(CI38),CO$2,IF(CI38+CI$8*(CK39-CK38)&gt;CO$3,CO$3,CI38+CI$8*(CK39-CK38)))</f>
        <v>10</v>
      </c>
      <c r="CJ39" s="397">
        <f t="shared" ref="CJ39:CJ74" si="264">IF(ISTEXT(CJ38),CP$2,IF(CJ38+CJ$8*(CK39-CK38)&gt;CP$3,CP$3,CJ38+CJ$8*(CK39-CK38)))</f>
        <v>5</v>
      </c>
      <c r="CK39" s="398">
        <f t="shared" si="33"/>
        <v>2.9000000000000012</v>
      </c>
      <c r="CL39" s="398">
        <f t="shared" si="164"/>
        <v>145.00000000000003</v>
      </c>
      <c r="CM39" s="398">
        <f t="shared" ref="CM39:CM74" si="265">IF(ISTEXT(CM38),CM$2,(CL38*CM38+(CL39-CL38)*IF(CM$2=CM$3,CM$2,IF(CM$2&gt;CM$3,CM$2-(CI39+CI38)/4,CM$2+(CI39+CI38)/4)))/CL39)</f>
        <v>20.000000000000007</v>
      </c>
      <c r="CN39" s="398">
        <f t="shared" ref="CN39:CN75" si="266">IF(ISTEXT(CN38),CN$2,(CL38*CN38+(CL39-CL38)*IF(CN$2&gt;0,CN$2-CP$2/2+(CJ39+CJ38)/4,CN$2+CP$2/2-(CJ39+CJ38)/4))/CL39)</f>
        <v>2.5000000000000009</v>
      </c>
      <c r="CO39" s="398">
        <f t="shared" ref="CO39:CO75" si="267">IF(ISTEXT(CO38),CL$2,(CL38*CO38+(CL39-CL38)*(CL$2+(CK39+CK38)/2))/CL39)</f>
        <v>1.4500000000000004</v>
      </c>
      <c r="CP39" s="399">
        <f t="shared" si="166"/>
        <v>101.62601626016261</v>
      </c>
      <c r="CQ39" s="66"/>
      <c r="CS39" s="396">
        <f t="shared" ref="CS39:CS74" si="268">IF(ISTEXT(CS38),CY$2,IF(CS38+CS$8*(CU39-CU38)&gt;CY$3,CY$3,CS38+CS$8*(CU39-CU38)))</f>
        <v>10</v>
      </c>
      <c r="CT39" s="397">
        <f t="shared" ref="CT39:CT74" si="269">IF(ISTEXT(CT38),CZ$2,IF(CT38+CT$8*(CU39-CU38)&gt;CZ$3,CZ$3,CT38+CT$8*(CU39-CU38)))</f>
        <v>5</v>
      </c>
      <c r="CU39" s="398">
        <f t="shared" si="38"/>
        <v>2.9000000000000012</v>
      </c>
      <c r="CV39" s="398">
        <f t="shared" si="167"/>
        <v>145.00000000000003</v>
      </c>
      <c r="CW39" s="398">
        <f t="shared" ref="CW39:CW74" si="270">IF(ISTEXT(CW38),CW$2,(CV38*CW38+(CV39-CV38)*IF(CW$2=CW$3,CW$2,IF(CW$2&gt;CW$3,CW$2-(CS39+CS38)/4,CW$2+(CS39+CS38)/4)))/CV39)</f>
        <v>20.000000000000007</v>
      </c>
      <c r="CX39" s="398">
        <f t="shared" ref="CX39:CX75" si="271">IF(ISTEXT(CX38),CX$2,(CV38*CX38+(CV39-CV38)*IF(CX$2&gt;0,CX$2-CZ$2/2+(CT39+CT38)/4,CX$2+CZ$2/2-(CT39+CT38)/4))/CV39)</f>
        <v>-2.5000000000000009</v>
      </c>
      <c r="CY39" s="398">
        <f t="shared" ref="CY39:CY75" si="272">IF(ISTEXT(CY38),CV$2,(CV38*CY38+(CV39-CV38)*(CV$2+(CU39+CU38)/2))/CV39)</f>
        <v>1.4500000000000004</v>
      </c>
      <c r="CZ39" s="399">
        <f t="shared" si="169"/>
        <v>101.62601626016261</v>
      </c>
      <c r="DA39" s="66"/>
      <c r="DB39" s="66"/>
      <c r="DC39" s="396">
        <f t="shared" ref="DC39:DC74" si="273">IF(ISTEXT(DC38),DI$2,IF(DC38+DC$8*(DE39-DE38)&gt;DI$3,DI$3,DC38+DC$8*(DE39-DE38)))</f>
        <v>10</v>
      </c>
      <c r="DD39" s="397">
        <f t="shared" ref="DD39:DD74" si="274">IF(ISTEXT(DD38),DJ$2,IF(DD38+DD$8*(DE39-DE38)&gt;DJ$3,DJ$3,DD38+DD$8*(DE39-DE38)))</f>
        <v>5</v>
      </c>
      <c r="DE39" s="398">
        <f t="shared" si="43"/>
        <v>2.9000000000000012</v>
      </c>
      <c r="DF39" s="398">
        <f t="shared" si="170"/>
        <v>145.00000000000003</v>
      </c>
      <c r="DG39" s="398">
        <f t="shared" ref="DG39:DG74" si="275">IF(ISTEXT(DG38),DG$2,(DF38*DG38+(DF39-DF38)*IF(DG$2=DG$3,DG$2,IF(DG$2&gt;DG$3,DG$2-(DC39+DC38)/4,DG$2+(DC39+DC38)/4)))/DF39)</f>
        <v>20.000000000000007</v>
      </c>
      <c r="DH39" s="398">
        <f t="shared" ref="DH39:DH75" si="276">IF(ISTEXT(DH38),DH$2,(DF38*DH38+(DF39-DF38)*IF(DH$2&gt;0,DH$2-DJ$2/2+(DD39+DD38)/4,DH$2+DJ$2/2-(DD39+DD38)/4))/DF39)</f>
        <v>-7.5</v>
      </c>
      <c r="DI39" s="398">
        <f t="shared" ref="DI39:DI75" si="277">IF(ISTEXT(DI38),DF$2,(DF38*DI38+(DF39-DF38)*(DF$2+(DE39+DE38)/2))/DF39)</f>
        <v>1.4500000000000004</v>
      </c>
      <c r="DJ39" s="399">
        <f t="shared" si="172"/>
        <v>101.62601626016261</v>
      </c>
      <c r="DK39" s="66"/>
      <c r="DM39" s="396">
        <f t="shared" ref="DM39:DM74" si="278">IF(ISTEXT(DM38),DS$2,IF(DM38+DM$8*(DO39-DO38)&gt;DS$3,DS$3,DM38+DM$8*(DO39-DO38)))</f>
        <v>10</v>
      </c>
      <c r="DN39" s="397">
        <f t="shared" ref="DN39:DN74" si="279">IF(ISTEXT(DN38),DT$2,IF(DN38+DN$8*(DO39-DO38)&gt;DT$3,DT$3,DN38+DN$8*(DO39-DO38)))</f>
        <v>5</v>
      </c>
      <c r="DO39" s="398">
        <f t="shared" si="48"/>
        <v>2.9000000000000012</v>
      </c>
      <c r="DP39" s="398">
        <f t="shared" si="173"/>
        <v>145.00000000000003</v>
      </c>
      <c r="DQ39" s="398">
        <f t="shared" ref="DQ39:DQ74" si="280">IF(ISTEXT(DQ38),DQ$2,(DP38*DQ38+(DP39-DP38)*IF(DQ$2=DQ$3,DQ$2,IF(DQ$2&gt;DQ$3,DQ$2-(DM39+DM38)/4,DQ$2+(DM39+DM38)/4)))/DP39)</f>
        <v>30</v>
      </c>
      <c r="DR39" s="398">
        <f t="shared" ref="DR39:DR75" si="281">IF(ISTEXT(DR38),DR$2,(DP38*DR38+(DP39-DP38)*IF(DR$2&gt;0,DR$2-DT$2/2+(DN39+DN38)/4,DR$2+DT$2/2-(DN39+DN38)/4))/DP39)</f>
        <v>7.5</v>
      </c>
      <c r="DS39" s="398">
        <f t="shared" ref="DS39:DS75" si="282">IF(ISTEXT(DS38),DP$2,(DP38*DS38+(DP39-DP38)*(DP$2+(DO39+DO38)/2))/DP39)</f>
        <v>1.4500000000000004</v>
      </c>
      <c r="DT39" s="399">
        <f t="shared" si="175"/>
        <v>101.62601626016261</v>
      </c>
      <c r="DU39" s="66"/>
      <c r="DV39" s="66"/>
      <c r="DW39" s="396">
        <f t="shared" ref="DW39:DW74" si="283">IF(ISTEXT(DW38),EC$2,IF(DW38+DW$8*(DY39-DY38)&gt;EC$3,EC$3,DW38+DW$8*(DY39-DY38)))</f>
        <v>10</v>
      </c>
      <c r="DX39" s="397">
        <f t="shared" ref="DX39:DX74" si="284">IF(ISTEXT(DX38),ED$2,IF(DX38+DX$8*(DY39-DY38)&gt;ED$3,ED$3,DX38+DX$8*(DY39-DY38)))</f>
        <v>5</v>
      </c>
      <c r="DY39" s="398">
        <f t="shared" si="53"/>
        <v>2.9000000000000012</v>
      </c>
      <c r="DZ39" s="398">
        <f t="shared" si="176"/>
        <v>145.00000000000003</v>
      </c>
      <c r="EA39" s="398">
        <f t="shared" ref="EA39:EA74" si="285">IF(ISTEXT(EA38),EA$2,(DZ38*EA38+(DZ39-DZ38)*IF(EA$2=EA$3,EA$2,IF(EA$2&gt;EA$3,EA$2-(DW39+DW38)/4,EA$2+(DW39+DW38)/4)))/DZ39)</f>
        <v>30</v>
      </c>
      <c r="EB39" s="398">
        <f t="shared" ref="EB39:EB75" si="286">IF(ISTEXT(EB38),EB$2,(DZ38*EB38+(DZ39-DZ38)*IF(EB$2&gt;0,EB$2-ED$2/2+(DX39+DX38)/4,EB$2+ED$2/2-(DX39+DX38)/4))/DZ39)</f>
        <v>2.5000000000000009</v>
      </c>
      <c r="EC39" s="398">
        <f t="shared" ref="EC39:EC75" si="287">IF(ISTEXT(EC38),DZ$2,(DZ38*EC38+(DZ39-DZ38)*(DZ$2+(DY39+DY38)/2))/DZ39)</f>
        <v>1.4500000000000004</v>
      </c>
      <c r="ED39" s="399">
        <f t="shared" si="178"/>
        <v>101.62601626016261</v>
      </c>
      <c r="EE39" s="66"/>
      <c r="EF39" s="66"/>
      <c r="EG39" s="396">
        <f t="shared" ref="EG39:EG74" si="288">IF(ISTEXT(EG38),EM$2,IF(EG38+EG$8*(EI39-EI38)&gt;EM$3,EM$3,EG38+EG$8*(EI39-EI38)))</f>
        <v>10</v>
      </c>
      <c r="EH39" s="397">
        <f t="shared" ref="EH39:EH74" si="289">IF(ISTEXT(EH38),EN$2,IF(EH38+EH$8*(EI39-EI38)&gt;EN$3,EN$3,EH38+EH$8*(EI39-EI38)))</f>
        <v>5</v>
      </c>
      <c r="EI39" s="398">
        <f t="shared" si="58"/>
        <v>2.9000000000000012</v>
      </c>
      <c r="EJ39" s="398">
        <f t="shared" si="179"/>
        <v>145.00000000000003</v>
      </c>
      <c r="EK39" s="398">
        <f t="shared" ref="EK39:EK74" si="290">IF(ISTEXT(EK38),EK$2,(EJ38*EK38+(EJ39-EJ38)*IF(EK$2=EK$3,EK$2,IF(EK$2&gt;EK$3,EK$2-(EG39+EG38)/4,EK$2+(EG39+EG38)/4)))/EJ39)</f>
        <v>30</v>
      </c>
      <c r="EL39" s="398">
        <f t="shared" ref="EL39:EL75" si="291">IF(ISTEXT(EL38),EL$2,(EJ38*EL38+(EJ39-EJ38)*IF(EL$2&gt;0,EL$2-EN$2/2+(EH39+EH38)/4,EL$2+EN$2/2-(EH39+EH38)/4))/EJ39)</f>
        <v>-2.5000000000000009</v>
      </c>
      <c r="EM39" s="398">
        <f t="shared" ref="EM39:EM75" si="292">IF(ISTEXT(EM38),EJ$2,(EJ38*EM38+(EJ39-EJ38)*(EJ$2+(EI39+EI38)/2))/EJ39)</f>
        <v>1.4500000000000004</v>
      </c>
      <c r="EN39" s="399">
        <f t="shared" si="181"/>
        <v>101.62601626016261</v>
      </c>
      <c r="EO39" s="66"/>
      <c r="EP39" s="66"/>
      <c r="EQ39" s="396">
        <f t="shared" ref="EQ39:EQ74" si="293">IF(ISTEXT(EQ38),EW$2,IF(EQ38+EQ$8*(ES39-ES38)&gt;EW$3,EW$3,EQ38+EQ$8*(ES39-ES38)))</f>
        <v>10</v>
      </c>
      <c r="ER39" s="397">
        <f t="shared" ref="ER39:ER74" si="294">IF(ISTEXT(ER38),EX$2,IF(ER38+ER$8*(ES39-ES38)&gt;EX$3,EX$3,ER38+ER$8*(ES39-ES38)))</f>
        <v>5</v>
      </c>
      <c r="ES39" s="398">
        <f t="shared" si="63"/>
        <v>2.9000000000000012</v>
      </c>
      <c r="ET39" s="398">
        <f t="shared" si="182"/>
        <v>145.00000000000003</v>
      </c>
      <c r="EU39" s="398">
        <f t="shared" ref="EU39:EU74" si="295">IF(ISTEXT(EU38),EU$2,(ET38*EU38+(ET39-ET38)*IF(EU$2=EU$3,EU$2,IF(EU$2&gt;EU$3,EU$2-(EQ39+EQ38)/4,EU$2+(EQ39+EQ38)/4)))/ET39)</f>
        <v>30</v>
      </c>
      <c r="EV39" s="398">
        <f t="shared" ref="EV39:EV75" si="296">IF(ISTEXT(EV38),EV$2,(ET38*EV38+(ET39-ET38)*IF(EV$2&gt;0,EV$2-EX$2/2+(ER39+ER38)/4,EV$2+EX$2/2-(ER39+ER38)/4))/ET39)</f>
        <v>-7.5</v>
      </c>
      <c r="EW39" s="398">
        <f t="shared" ref="EW39:EW75" si="297">IF(ISTEXT(EW38),ET$2,(ET38*EW38+(ET39-ET38)*(ET$2+(ES39+ES38)/2))/ET39)</f>
        <v>1.4500000000000004</v>
      </c>
      <c r="EX39" s="399">
        <f t="shared" si="184"/>
        <v>101.62601626016261</v>
      </c>
      <c r="EY39" s="66"/>
      <c r="EZ39" s="66"/>
      <c r="FA39" s="396">
        <f t="shared" ref="FA39:FA74" si="298">IF(ISTEXT(FA38),FG$2,IF(FA38+FA$8*(FC39-FC38)&gt;FG$3,FG$3,FA38+FA$8*(FC39-FC38)))</f>
        <v>10</v>
      </c>
      <c r="FB39" s="397">
        <f t="shared" ref="FB39:FB74" si="299">IF(ISTEXT(FB38),FH$2,IF(FB38+FB$8*(FC39-FC38)&gt;FH$3,FH$3,FB38+FB$8*(FC39-FC38)))</f>
        <v>5</v>
      </c>
      <c r="FC39" s="398">
        <f t="shared" si="68"/>
        <v>2.9000000000000012</v>
      </c>
      <c r="FD39" s="398">
        <f t="shared" si="185"/>
        <v>145.00000000000003</v>
      </c>
      <c r="FE39" s="398">
        <f t="shared" ref="FE39:FE74" si="300">IF(ISTEXT(FE38),FE$2,(FD38*FE38+(FD39-FD38)*IF(FE$2=FE$3,FE$2,IF(FE$2&gt;FE$3,FE$2-(FA39+FA38)/4,FE$2+(FA39+FA38)/4)))/FD39)</f>
        <v>40.000000000000014</v>
      </c>
      <c r="FF39" s="398">
        <f t="shared" ref="FF39:FF75" si="301">IF(ISTEXT(FF38),FF$2,(FD38*FF38+(FD39-FD38)*IF(FF$2&gt;0,FF$2-FH$2/2+(FB39+FB38)/4,FF$2+FH$2/2-(FB39+FB38)/4))/FD39)</f>
        <v>7.5</v>
      </c>
      <c r="FG39" s="398">
        <f t="shared" ref="FG39:FG75" si="302">IF(ISTEXT(FG38),FD$2,(FD38*FG38+(FD39-FD38)*(FD$2+(FC39+FC38)/2))/FD39)</f>
        <v>1.4500000000000004</v>
      </c>
      <c r="FH39" s="399">
        <f t="shared" si="187"/>
        <v>101.62601626016261</v>
      </c>
      <c r="FI39" s="66"/>
      <c r="FJ39" s="66"/>
      <c r="FK39" s="396">
        <f t="shared" ref="FK39:FK74" si="303">IF(ISTEXT(FK38),FQ$2,IF(FK38+FK$8*(FM39-FM38)&gt;FQ$3,FQ$3,FK38+FK$8*(FM39-FM38)))</f>
        <v>10</v>
      </c>
      <c r="FL39" s="397">
        <f t="shared" ref="FL39:FL74" si="304">IF(ISTEXT(FL38),FR$2,IF(FL38+FL$8*(FM39-FM38)&gt;FR$3,FR$3,FL38+FL$8*(FM39-FM38)))</f>
        <v>5</v>
      </c>
      <c r="FM39" s="398">
        <f t="shared" si="73"/>
        <v>2.9000000000000012</v>
      </c>
      <c r="FN39" s="398">
        <f t="shared" si="188"/>
        <v>145.00000000000003</v>
      </c>
      <c r="FO39" s="398">
        <f t="shared" ref="FO39:FO74" si="305">IF(ISTEXT(FO38),FO$2,(FN38*FO38+(FN39-FN38)*IF(FO$2=FO$3,FO$2,IF(FO$2&gt;FO$3,FO$2-(FK39+FK38)/4,FO$2+(FK39+FK38)/4)))/FN39)</f>
        <v>40.000000000000014</v>
      </c>
      <c r="FP39" s="398">
        <f t="shared" ref="FP39:FP75" si="306">IF(ISTEXT(FP38),FP$2,(FN38*FP38+(FN39-FN38)*IF(FP$2&gt;0,FP$2-FR$2/2+(FL39+FL38)/4,FP$2+FR$2/2-(FL39+FL38)/4))/FN39)</f>
        <v>2.5000000000000009</v>
      </c>
      <c r="FQ39" s="398">
        <f t="shared" ref="FQ39:FQ75" si="307">IF(ISTEXT(FQ38),FN$2,(FN38*FQ38+(FN39-FN38)*(FN$2+(FM39+FM38)/2))/FN39)</f>
        <v>1.4500000000000004</v>
      </c>
      <c r="FR39" s="399">
        <f t="shared" si="190"/>
        <v>101.62601626016261</v>
      </c>
      <c r="FS39" s="66"/>
      <c r="FT39" s="66"/>
      <c r="FU39" s="396">
        <f t="shared" ref="FU39:FU74" si="308">IF(ISTEXT(FU38),GA$2,IF(FU38+FU$8*(FW39-FW38)&gt;GA$3,GA$3,FU38+FU$8*(FW39-FW38)))</f>
        <v>10</v>
      </c>
      <c r="FV39" s="397">
        <f t="shared" ref="FV39:FV74" si="309">IF(ISTEXT(FV38),GB$2,IF(FV38+FV$8*(FW39-FW38)&gt;GB$3,GB$3,FV38+FV$8*(FW39-FW38)))</f>
        <v>5</v>
      </c>
      <c r="FW39" s="398">
        <f t="shared" si="78"/>
        <v>2.9000000000000012</v>
      </c>
      <c r="FX39" s="398">
        <f t="shared" si="191"/>
        <v>145.00000000000003</v>
      </c>
      <c r="FY39" s="398">
        <f t="shared" ref="FY39:FY74" si="310">IF(ISTEXT(FY38),FY$2,(FX38*FY38+(FX39-FX38)*IF(FY$2=FY$3,FY$2,IF(FY$2&gt;FY$3,FY$2-(FU39+FU38)/4,FY$2+(FU39+FU38)/4)))/FX39)</f>
        <v>40.000000000000014</v>
      </c>
      <c r="FZ39" s="398">
        <f t="shared" ref="FZ39:FZ75" si="311">IF(ISTEXT(FZ38),FZ$2,(FX38*FZ38+(FX39-FX38)*IF(FZ$2&gt;0,FZ$2-GB$2/2+(FV39+FV38)/4,FZ$2+GB$2/2-(FV39+FV38)/4))/FX39)</f>
        <v>-2.5000000000000009</v>
      </c>
      <c r="GA39" s="398">
        <f t="shared" ref="GA39:GA75" si="312">IF(ISTEXT(GA38),FX$2,(FX38*GA38+(FX39-FX38)*(FX$2+(FW39+FW38)/2))/FX39)</f>
        <v>1.4500000000000004</v>
      </c>
      <c r="GB39" s="399">
        <f t="shared" si="193"/>
        <v>101.62601626016261</v>
      </c>
      <c r="GC39" s="66"/>
      <c r="GD39" s="66"/>
      <c r="GE39" s="396">
        <f t="shared" ref="GE39:GE74" si="313">IF(ISTEXT(GE38),GK$2,IF(GE38+GE$8*(GG39-GG38)&gt;GK$3,GK$3,GE38+GE$8*(GG39-GG38)))</f>
        <v>10</v>
      </c>
      <c r="GF39" s="397">
        <f t="shared" ref="GF39:GF74" si="314">IF(ISTEXT(GF38),GL$2,IF(GF38+GF$8*(GG39-GG38)&gt;GL$3,GL$3,GF38+GF$8*(GG39-GG38)))</f>
        <v>5</v>
      </c>
      <c r="GG39" s="398">
        <f t="shared" si="83"/>
        <v>2.9000000000000012</v>
      </c>
      <c r="GH39" s="398">
        <f t="shared" si="194"/>
        <v>145.00000000000003</v>
      </c>
      <c r="GI39" s="398">
        <f t="shared" ref="GI39:GI74" si="315">IF(ISTEXT(GI38),GI$2,(GH38*GI38+(GH39-GH38)*IF(GI$2=GI$3,GI$2,IF(GI$2&gt;GI$3,GI$2-(GE39+GE38)/4,GI$2+(GE39+GE38)/4)))/GH39)</f>
        <v>40.000000000000014</v>
      </c>
      <c r="GJ39" s="398">
        <f t="shared" ref="GJ39:GJ75" si="316">IF(ISTEXT(GJ38),GJ$2,(GH38*GJ38+(GH39-GH38)*IF(GJ$2&gt;0,GJ$2-GL$2/2+(GF39+GF38)/4,GJ$2+GL$2/2-(GF39+GF38)/4))/GH39)</f>
        <v>-7.5</v>
      </c>
      <c r="GK39" s="398">
        <f t="shared" ref="GK39:GK75" si="317">IF(ISTEXT(GK38),GH$2,(GH38*GK38+(GH39-GH38)*(GH$2+(GG39+GG38)/2))/GH39)</f>
        <v>1.4500000000000004</v>
      </c>
      <c r="GL39" s="399">
        <f t="shared" si="196"/>
        <v>101.62601626016261</v>
      </c>
      <c r="GM39" s="66"/>
      <c r="GN39" s="66"/>
      <c r="GO39" s="396">
        <f t="shared" ref="GO39:GO74" si="318">IF(ISTEXT(GO38),GU$2,IF(GO38+GO$8*(GQ39-GQ38)&gt;GU$3,GU$3,GO38+GO$8*(GQ39-GQ38)))</f>
        <v>10</v>
      </c>
      <c r="GP39" s="397">
        <f t="shared" ref="GP39:GP74" si="319">IF(ISTEXT(GP38),GV$2,IF(GP38+GP$8*(GQ39-GQ38)&gt;GV$3,GV$3,GP38+GP$8*(GQ39-GQ38)))</f>
        <v>5</v>
      </c>
      <c r="GQ39" s="398">
        <f t="shared" si="88"/>
        <v>2.9000000000000012</v>
      </c>
      <c r="GR39" s="398">
        <f t="shared" si="197"/>
        <v>145.00000000000003</v>
      </c>
      <c r="GS39" s="398">
        <f t="shared" ref="GS39:GS74" si="320">IF(ISTEXT(GS38),GS$2,(GR38*GS38+(GR39-GR38)*IF(GS$2=GS$3,GS$2,IF(GS$2&gt;GS$3,GS$2-(GO39+GO38)/4,GS$2+(GO39+GO38)/4)))/GR39)</f>
        <v>50</v>
      </c>
      <c r="GT39" s="398">
        <f t="shared" ref="GT39:GT75" si="321">IF(ISTEXT(GT38),GT$2,(GR38*GT38+(GR39-GR38)*IF(GT$2&gt;0,GT$2-GV$2/2+(GP39+GP38)/4,GT$2+GV$2/2-(GP39+GP38)/4))/GR39)</f>
        <v>7.5</v>
      </c>
      <c r="GU39" s="398">
        <f t="shared" ref="GU39:GU75" si="322">IF(ISTEXT(GU38),GR$2,(GR38*GU38+(GR39-GR38)*(GR$2+(GQ39+GQ38)/2))/GR39)</f>
        <v>1.4500000000000004</v>
      </c>
      <c r="GV39" s="399">
        <f t="shared" si="199"/>
        <v>101.62601626016261</v>
      </c>
      <c r="GW39" s="66"/>
      <c r="GX39" s="66"/>
      <c r="GY39" s="396">
        <f t="shared" ref="GY39:GY74" si="323">IF(ISTEXT(GY38),HE$2,IF(GY38+GY$8*(HA39-HA38)&gt;HE$3,HE$3,GY38+GY$8*(HA39-HA38)))</f>
        <v>10</v>
      </c>
      <c r="GZ39" s="397">
        <f t="shared" ref="GZ39:GZ74" si="324">IF(ISTEXT(GZ38),HF$2,IF(GZ38+GZ$8*(HA39-HA38)&gt;HF$3,HF$3,GZ38+GZ$8*(HA39-HA38)))</f>
        <v>5</v>
      </c>
      <c r="HA39" s="398">
        <f t="shared" si="93"/>
        <v>2.9000000000000012</v>
      </c>
      <c r="HB39" s="398">
        <f t="shared" si="200"/>
        <v>145.00000000000003</v>
      </c>
      <c r="HC39" s="398">
        <f t="shared" ref="HC39:HC74" si="325">IF(ISTEXT(HC38),HC$2,(HB38*HC38+(HB39-HB38)*IF(HC$2=HC$3,HC$2,IF(HC$2&gt;HC$3,HC$2-(GY39+GY38)/4,HC$2+(GY39+GY38)/4)))/HB39)</f>
        <v>50</v>
      </c>
      <c r="HD39" s="398">
        <f t="shared" ref="HD39:HD75" si="326">IF(ISTEXT(HD38),HD$2,(HB38*HD38+(HB39-HB38)*IF(HD$2&gt;0,HD$2-HF$2/2+(GZ39+GZ38)/4,HD$2+HF$2/2-(GZ39+GZ38)/4))/HB39)</f>
        <v>2.5000000000000009</v>
      </c>
      <c r="HE39" s="398">
        <f t="shared" ref="HE39:HE75" si="327">IF(ISTEXT(HE38),HB$2,(HB38*HE38+(HB39-HB38)*(HB$2+(HA39+HA38)/2))/HB39)</f>
        <v>1.4500000000000004</v>
      </c>
      <c r="HF39" s="399">
        <f t="shared" si="202"/>
        <v>101.62601626016261</v>
      </c>
      <c r="HH39" s="66"/>
      <c r="HI39" s="396">
        <f t="shared" ref="HI39:HI74" si="328">IF(ISTEXT(HI38),HO$2,IF(HI38+HI$8*(HK39-HK38)&gt;HO$3,HO$3,HI38+HI$8*(HK39-HK38)))</f>
        <v>10</v>
      </c>
      <c r="HJ39" s="397">
        <f t="shared" ref="HJ39:HJ74" si="329">IF(ISTEXT(HJ38),HP$2,IF(HJ38+HJ$8*(HK39-HK38)&gt;HP$3,HP$3,HJ38+HJ$8*(HK39-HK38)))</f>
        <v>5</v>
      </c>
      <c r="HK39" s="398">
        <f t="shared" si="98"/>
        <v>2.9000000000000012</v>
      </c>
      <c r="HL39" s="398">
        <f t="shared" si="203"/>
        <v>145.00000000000003</v>
      </c>
      <c r="HM39" s="398">
        <f t="shared" ref="HM39:HM74" si="330">IF(ISTEXT(HM38),HM$2,(HL38*HM38+(HL39-HL38)*IF(HM$2=HM$3,HM$2,IF(HM$2&gt;HM$3,HM$2-(HI39+HI38)/4,HM$2+(HI39+HI38)/4)))/HL39)</f>
        <v>50</v>
      </c>
      <c r="HN39" s="398">
        <f t="shared" ref="HN39:HN75" si="331">IF(ISTEXT(HN38),HN$2,(HL38*HN38+(HL39-HL38)*IF(HN$2&gt;0,HN$2-HP$2/2+(HJ39+HJ38)/4,HN$2+HP$2/2-(HJ39+HJ38)/4))/HL39)</f>
        <v>-2.5000000000000009</v>
      </c>
      <c r="HO39" s="398">
        <f t="shared" ref="HO39:HO75" si="332">IF(ISTEXT(HO38),HL$2,(HL38*HO38+(HL39-HL38)*(HL$2+(HK39+HK38)/2))/HL39)</f>
        <v>1.4500000000000004</v>
      </c>
      <c r="HP39" s="399">
        <f t="shared" si="205"/>
        <v>101.62601626016261</v>
      </c>
      <c r="HQ39" s="66"/>
      <c r="HR39" s="66"/>
      <c r="HS39" s="396">
        <f t="shared" ref="HS39:HS74" si="333">IF(ISTEXT(HS38),HY$2,IF(HS38+HS$8*(HU39-HU38)&gt;HY$3,HY$3,HS38+HS$8*(HU39-HU38)))</f>
        <v>10</v>
      </c>
      <c r="HT39" s="397">
        <f t="shared" ref="HT39:HT74" si="334">IF(ISTEXT(HT38),HZ$2,IF(HT38+HT$8*(HU39-HU38)&gt;HZ$3,HZ$3,HT38+HT$8*(HU39-HU38)))</f>
        <v>5</v>
      </c>
      <c r="HU39" s="398">
        <f t="shared" si="103"/>
        <v>2.9000000000000012</v>
      </c>
      <c r="HV39" s="398">
        <f t="shared" si="206"/>
        <v>145.00000000000003</v>
      </c>
      <c r="HW39" s="398">
        <f t="shared" ref="HW39:HW74" si="335">IF(ISTEXT(HW38),HW$2,(HV38*HW38+(HV39-HV38)*IF(HW$2=HW$3,HW$2,IF(HW$2&gt;HW$3,HW$2-(HS39+HS38)/4,HW$2+(HS39+HS38)/4)))/HV39)</f>
        <v>50</v>
      </c>
      <c r="HX39" s="398">
        <f t="shared" ref="HX39:HX75" si="336">IF(ISTEXT(HX38),HX$2,(HV38*HX38+(HV39-HV38)*IF(HX$2&gt;0,HX$2-HZ$2/2+(HT39+HT38)/4,HX$2+HZ$2/2-(HT39+HT38)/4))/HV39)</f>
        <v>-7.5</v>
      </c>
      <c r="HY39" s="398">
        <f t="shared" ref="HY39:HY75" si="337">IF(ISTEXT(HY38),HV$2,(HV38*HY38+(HV39-HV38)*(HV$2+(HU39+HU38)/2))/HV39)</f>
        <v>1.4500000000000004</v>
      </c>
      <c r="HZ39" s="399">
        <f t="shared" si="208"/>
        <v>101.62601626016261</v>
      </c>
      <c r="IA39" s="66"/>
      <c r="IB39" s="66"/>
      <c r="IC39" s="396">
        <f t="shared" ref="IC39:IC74" si="338">IF(ISTEXT(IC38),II$2,IF(IC38+IC$8*(IE39-IE38)&gt;II$3,II$3,IC38+IC$8*(IE39-IE38)))</f>
        <v>5</v>
      </c>
      <c r="ID39" s="397">
        <f t="shared" ref="ID39:ID74" si="339">IF(ISTEXT(ID38),IJ$2,IF(ID38+ID$8*(IE39-IE38)&gt;IJ$3,IJ$3,ID38+ID$8*(IE39-IE38)))</f>
        <v>20</v>
      </c>
      <c r="IE39" s="398">
        <f t="shared" si="108"/>
        <v>2.9000000000000012</v>
      </c>
      <c r="IF39" s="398">
        <f t="shared" si="209"/>
        <v>148.6159557232759</v>
      </c>
      <c r="IG39" s="398">
        <f t="shared" ref="IG39:IG74" si="340">IF(ISTEXT(IG38),IG$2,(IF38*IG38+(IF39-IF38)*IF(IG$2=IG$3,IG$2,IF(IG$2&gt;IG$3,IG$2-(IC39+IC38)/4,IG$2+(IC39+IC38)/4)))/IF39)</f>
        <v>56.708525207232448</v>
      </c>
      <c r="IH39" s="398">
        <f t="shared" ref="IH39:IH75" si="341">IF(ISTEXT(IH38),IH$2,(IF38*IH38+(IF39-IF38)*IF(IH$2&gt;0,IH$2-IJ$2/2+(ID39+ID38)/4,IH$2+IJ$2/2-(ID39+ID38)/4))/IF39)</f>
        <v>0</v>
      </c>
      <c r="II39" s="398">
        <f t="shared" ref="II39:II75" si="342">IF(ISTEXT(II38),IF$2,(IF38*II38+(IF39-IF38)*(IF$2+(IE39+IE38)/2))/IF39)</f>
        <v>1.9330538599540132</v>
      </c>
      <c r="IJ39" s="399">
        <f t="shared" si="211"/>
        <v>3252.0325203252037</v>
      </c>
      <c r="IK39" s="66"/>
      <c r="IL39" s="66"/>
      <c r="IM39" s="396">
        <f t="shared" ref="IM39:IM74" si="343">IF(ISTEXT(IM38),IS$2,IF(IM38+IM$8*(IO39-IO38)&gt;IS$3,IS$3,IM38+IM$8*(IO39-IO38)))</f>
        <v>11</v>
      </c>
      <c r="IN39" s="397">
        <f t="shared" ref="IN39:IN74" si="344">IF(ISTEXT(IN38),IT$2,IF(IN38+IN$8*(IO39-IO38)&gt;IT$3,IT$3,IN38+IN$8*(IO39-IO38)))</f>
        <v>13.75</v>
      </c>
      <c r="IO39" s="398">
        <f t="shared" si="113"/>
        <v>2.9000000000000012</v>
      </c>
      <c r="IP39" s="398">
        <f t="shared" si="212"/>
        <v>414.02859441245005</v>
      </c>
      <c r="IQ39" s="398">
        <f t="shared" ref="IQ39:IQ74" si="345">IF(ISTEXT(IQ38),IQ$2,(IP38*IQ38+(IP39-IP38)*IF(IQ$2=IQ$3,IQ$2,IF(IQ$2&gt;IQ$3,IQ$2-(IM39+IM38)/4,IQ$2+(IM39+IM38)/4)))/IP39)</f>
        <v>67.837408397259836</v>
      </c>
      <c r="IR39" s="398">
        <f t="shared" ref="IR39:IR75" si="346">IF(ISTEXT(IR38),IR$2,(IP38*IR38+(IP39-IP38)*IF(IR$2&gt;0,IR$2-IT$2/2+(IN39+IN38)/4,IR$2+IT$2/2-(IN39+IN38)/4))/IP39)</f>
        <v>6.8749999999999991</v>
      </c>
      <c r="IS39" s="398">
        <f t="shared" ref="IS39:IS75" si="347">IF(ISTEXT(IS38),IP$2,(IP38*IS38+(IP39-IP38)*(IP$2+(IO39+IO38)/2))/IP39)</f>
        <v>1.5123602974137109</v>
      </c>
      <c r="IT39" s="399">
        <f t="shared" si="214"/>
        <v>2324.8539126016262</v>
      </c>
      <c r="IU39" s="66"/>
      <c r="IV39" s="66"/>
      <c r="IW39" s="396">
        <f t="shared" si="116"/>
        <v>11</v>
      </c>
      <c r="IX39" s="397">
        <f t="shared" si="117"/>
        <v>13.75</v>
      </c>
      <c r="IY39" s="398">
        <f t="shared" si="118"/>
        <v>2.9000000000000012</v>
      </c>
      <c r="IZ39" s="398">
        <f t="shared" ref="IZ39:IZ100" si="348">IF(ISTEXT(IY38),0,IZ38+(IY39-IY38)/3*(IW38*IX38+IW39*IX39+SQRT(IW38*IX38*IW39*IX39)))</f>
        <v>414.02859441245005</v>
      </c>
      <c r="JA39" s="398">
        <f t="shared" si="119"/>
        <v>67.837408397259836</v>
      </c>
      <c r="JB39" s="398">
        <f t="shared" si="120"/>
        <v>-6.8749999999999991</v>
      </c>
      <c r="JC39" s="398">
        <f t="shared" si="216"/>
        <v>1.5123602974137109</v>
      </c>
      <c r="JD39" s="399">
        <f t="shared" si="217"/>
        <v>2324.8539126016262</v>
      </c>
      <c r="JE39" s="66"/>
      <c r="JF39" s="66"/>
      <c r="JG39" s="396">
        <f t="shared" si="121"/>
        <v>7.25</v>
      </c>
      <c r="JH39" s="397">
        <f t="shared" si="122"/>
        <v>6.875</v>
      </c>
      <c r="JI39" s="398">
        <f t="shared" si="123"/>
        <v>2.9000000000000012</v>
      </c>
      <c r="JJ39" s="398">
        <f t="shared" ref="JJ39:JJ100" si="349">IF(ISTEXT(JI38),0,JJ38+(JI39-JI38)/3*(JG38*JH38+JG39*JH39+SQRT(JG38*JH38*JG39*JH39)))</f>
        <v>72.220743998902577</v>
      </c>
      <c r="JK39" s="398">
        <f t="shared" si="124"/>
        <v>72.017338419121742</v>
      </c>
      <c r="JL39" s="398">
        <f t="shared" si="125"/>
        <v>10.3125</v>
      </c>
      <c r="JM39" s="398">
        <f t="shared" si="219"/>
        <v>3.1298707352973993</v>
      </c>
      <c r="JN39" s="399">
        <f t="shared" si="220"/>
        <v>191.53625984502034</v>
      </c>
      <c r="JO39" s="66"/>
      <c r="JP39" s="66"/>
      <c r="JQ39" s="396">
        <f t="shared" si="126"/>
        <v>7.25</v>
      </c>
      <c r="JR39" s="397">
        <f t="shared" si="127"/>
        <v>6.875</v>
      </c>
      <c r="JS39" s="398">
        <f t="shared" si="128"/>
        <v>2.9000000000000012</v>
      </c>
      <c r="JT39" s="398">
        <f t="shared" ref="JT39:JT100" si="350">IF(ISTEXT(JS38),0,JT38+(JS39-JS38)/3*(JQ38*JR38+JQ39*JR39+SQRT(JQ38*JR38*JQ39*JR39)))</f>
        <v>72.220743998902577</v>
      </c>
      <c r="JU39" s="398">
        <f t="shared" si="129"/>
        <v>72.017338419121742</v>
      </c>
      <c r="JV39" s="398">
        <f t="shared" si="130"/>
        <v>3.4375</v>
      </c>
      <c r="JW39" s="398">
        <f t="shared" si="222"/>
        <v>3.1298707352973993</v>
      </c>
      <c r="JX39" s="399">
        <f t="shared" si="223"/>
        <v>191.53625984502034</v>
      </c>
      <c r="JY39" s="66"/>
      <c r="JZ39" s="66"/>
      <c r="KA39" s="396">
        <f t="shared" si="131"/>
        <v>7.25</v>
      </c>
      <c r="KB39" s="397">
        <f t="shared" si="132"/>
        <v>6.875</v>
      </c>
      <c r="KC39" s="398">
        <f t="shared" si="133"/>
        <v>2.9000000000000012</v>
      </c>
      <c r="KD39" s="398">
        <f t="shared" ref="KD39:KD100" si="351">IF(ISTEXT(KC38),0,KD38+(KC39-KC38)/3*(KA38*KB38+KA39*KB39+SQRT(KA38*KB38*KA39*KB39)))</f>
        <v>72.220743998902577</v>
      </c>
      <c r="KE39" s="398">
        <f t="shared" si="134"/>
        <v>72.017338419121742</v>
      </c>
      <c r="KF39" s="398">
        <f t="shared" si="135"/>
        <v>-3.4375</v>
      </c>
      <c r="KG39" s="398">
        <f t="shared" si="225"/>
        <v>3.1298707352973993</v>
      </c>
      <c r="KH39" s="399">
        <f t="shared" si="226"/>
        <v>191.53625984502034</v>
      </c>
      <c r="KI39" s="66"/>
      <c r="KJ39" s="66"/>
      <c r="KK39" s="396">
        <f t="shared" si="136"/>
        <v>7.25</v>
      </c>
      <c r="KL39" s="397">
        <f t="shared" si="137"/>
        <v>6.875</v>
      </c>
      <c r="KM39" s="398">
        <f t="shared" si="138"/>
        <v>2.9000000000000012</v>
      </c>
      <c r="KN39" s="398">
        <f t="shared" ref="KN39:KN100" si="352">IF(ISTEXT(KM38),0,KN38+(KM39-KM38)/3*(KK38*KL38+KK39*KL39+SQRT(KK38*KL38*KK39*KL39)))</f>
        <v>72.220743998902577</v>
      </c>
      <c r="KO39" s="398">
        <f t="shared" si="139"/>
        <v>72.017338419121742</v>
      </c>
      <c r="KP39" s="398">
        <f t="shared" si="140"/>
        <v>-10.3125</v>
      </c>
      <c r="KQ39" s="398">
        <f t="shared" si="228"/>
        <v>3.1298707352973993</v>
      </c>
      <c r="KR39" s="399">
        <f t="shared" si="229"/>
        <v>191.53625984502034</v>
      </c>
      <c r="KS39" s="66"/>
      <c r="KT39" s="66"/>
      <c r="KU39" s="396">
        <f t="shared" ref="KU39:KU74" si="353">IF(ISTEXT(KU38),LA$2,IF(KU38+KU$8*(KW39-KW38)&gt;LA$3,LA$3,KU38+KU$8*(KW39-KW38)))</f>
        <v>5</v>
      </c>
      <c r="KV39" s="397">
        <f t="shared" ref="KV39:KV74" si="354">IF(ISTEXT(KV38),LB$2,IF(KV38+KV$8*(KW39-KW38)&gt;LB$3,LB$3,KV38+KV$8*(KW39-KW38)))</f>
        <v>5</v>
      </c>
      <c r="KW39" s="398">
        <f t="shared" si="143"/>
        <v>2.9000000000000012</v>
      </c>
      <c r="KX39" s="398">
        <f t="shared" si="230"/>
        <v>72.500000000000014</v>
      </c>
      <c r="KY39" s="398">
        <f t="shared" ref="KY39:KY74" si="355">IF(ISTEXT(KY38),KY$2,(KX38*KY38+(KX39-KX38)*IF(KY$2=KY$3,KY$2,IF(KY$2&gt;KY$3,KY$2-(KU39+KU38)/4,KY$2+(KU39+KU38)/4)))/KX39)</f>
        <v>57.5</v>
      </c>
      <c r="KZ39" s="398">
        <f t="shared" ref="KZ39:KZ75" si="356">IF(ISTEXT(KZ38),KZ$2,(KX38*KZ38+(KX39-KX38)*IF(KZ$2&gt;0,KZ$2-LB$2/2+(KV39+KV38)/4,KZ$2+LB$2/2-(KV39+KV38)/4))/KX39)</f>
        <v>0</v>
      </c>
      <c r="LA39" s="398">
        <f t="shared" ref="LA39:LA75" si="357">IF(ISTEXT(LA38),KX$2,(KX38*LA38+(KX39-KX38)*(KX$2+(KW39+KW38)/2))/KX39)</f>
        <v>1.4500000000000004</v>
      </c>
      <c r="LB39" s="399">
        <f t="shared" si="232"/>
        <v>50.813008130081307</v>
      </c>
      <c r="LC39" s="66"/>
    </row>
    <row r="40" spans="1:315" s="67" customFormat="1" ht="15" customHeight="1" x14ac:dyDescent="0.25">
      <c r="A40" s="481"/>
      <c r="Y40" s="481"/>
      <c r="Z40" s="413"/>
      <c r="AA40" s="396">
        <f t="shared" si="233"/>
        <v>5</v>
      </c>
      <c r="AB40" s="397">
        <f t="shared" si="234"/>
        <v>20</v>
      </c>
      <c r="AC40" s="398">
        <f t="shared" si="3"/>
        <v>3.0000000000000013</v>
      </c>
      <c r="AD40" s="398">
        <f t="shared" si="146"/>
        <v>159.1839510201726</v>
      </c>
      <c r="AE40" s="398">
        <f t="shared" si="235"/>
        <v>3.235828636102541</v>
      </c>
      <c r="AF40" s="398">
        <f t="shared" si="236"/>
        <v>0</v>
      </c>
      <c r="AG40" s="398">
        <f t="shared" si="237"/>
        <v>1.9968250526306246</v>
      </c>
      <c r="AH40" s="399">
        <f t="shared" si="148"/>
        <v>3252.0325203252037</v>
      </c>
      <c r="AI40" s="367"/>
      <c r="AJ40" s="66"/>
      <c r="AK40" s="396">
        <f t="shared" si="238"/>
        <v>10</v>
      </c>
      <c r="AL40" s="397">
        <f t="shared" si="239"/>
        <v>5</v>
      </c>
      <c r="AM40" s="398">
        <f t="shared" si="8"/>
        <v>3.0000000000000013</v>
      </c>
      <c r="AN40" s="398">
        <f t="shared" si="149"/>
        <v>150.00000000000003</v>
      </c>
      <c r="AO40" s="398">
        <f t="shared" si="240"/>
        <v>10.000000000000004</v>
      </c>
      <c r="AP40" s="398">
        <f t="shared" si="241"/>
        <v>7.5</v>
      </c>
      <c r="AQ40" s="398">
        <f t="shared" si="242"/>
        <v>1.5000000000000002</v>
      </c>
      <c r="AR40" s="399">
        <f t="shared" si="151"/>
        <v>101.62601626016261</v>
      </c>
      <c r="AS40" s="66"/>
      <c r="AT40" s="66"/>
      <c r="AU40" s="396">
        <f t="shared" si="243"/>
        <v>10</v>
      </c>
      <c r="AV40" s="397">
        <f t="shared" si="244"/>
        <v>5</v>
      </c>
      <c r="AW40" s="398">
        <f t="shared" si="13"/>
        <v>3.0000000000000013</v>
      </c>
      <c r="AX40" s="398">
        <f t="shared" si="152"/>
        <v>150.00000000000003</v>
      </c>
      <c r="AY40" s="398">
        <f t="shared" si="245"/>
        <v>10.000000000000004</v>
      </c>
      <c r="AZ40" s="398">
        <f t="shared" si="246"/>
        <v>2.5000000000000009</v>
      </c>
      <c r="BA40" s="398">
        <f t="shared" si="247"/>
        <v>1.5000000000000002</v>
      </c>
      <c r="BB40" s="399">
        <f t="shared" si="154"/>
        <v>101.62601626016261</v>
      </c>
      <c r="BC40" s="66"/>
      <c r="BD40" s="66"/>
      <c r="BE40" s="396">
        <f t="shared" si="248"/>
        <v>10</v>
      </c>
      <c r="BF40" s="397">
        <f t="shared" si="249"/>
        <v>5</v>
      </c>
      <c r="BG40" s="398">
        <f t="shared" si="18"/>
        <v>3.0000000000000013</v>
      </c>
      <c r="BH40" s="398">
        <f t="shared" si="155"/>
        <v>150.00000000000003</v>
      </c>
      <c r="BI40" s="398">
        <f t="shared" si="250"/>
        <v>10.000000000000004</v>
      </c>
      <c r="BJ40" s="398">
        <f t="shared" si="251"/>
        <v>-2.5000000000000009</v>
      </c>
      <c r="BK40" s="398">
        <f t="shared" si="252"/>
        <v>1.5000000000000002</v>
      </c>
      <c r="BL40" s="399">
        <f t="shared" si="157"/>
        <v>101.62601626016261</v>
      </c>
      <c r="BM40" s="66"/>
      <c r="BN40" s="66"/>
      <c r="BO40" s="396">
        <f t="shared" si="253"/>
        <v>10</v>
      </c>
      <c r="BP40" s="397">
        <f t="shared" si="254"/>
        <v>5</v>
      </c>
      <c r="BQ40" s="398">
        <f t="shared" si="23"/>
        <v>3.0000000000000013</v>
      </c>
      <c r="BR40" s="398">
        <f t="shared" si="158"/>
        <v>150.00000000000003</v>
      </c>
      <c r="BS40" s="398">
        <f t="shared" si="255"/>
        <v>10.000000000000004</v>
      </c>
      <c r="BT40" s="398">
        <f t="shared" si="256"/>
        <v>-7.5</v>
      </c>
      <c r="BU40" s="398">
        <f t="shared" si="257"/>
        <v>1.5000000000000002</v>
      </c>
      <c r="BV40" s="399">
        <f t="shared" si="160"/>
        <v>101.62601626016261</v>
      </c>
      <c r="BW40" s="66"/>
      <c r="BX40" s="66"/>
      <c r="BY40" s="396">
        <f t="shared" si="258"/>
        <v>10</v>
      </c>
      <c r="BZ40" s="397">
        <f t="shared" si="259"/>
        <v>5</v>
      </c>
      <c r="CA40" s="398">
        <f t="shared" si="28"/>
        <v>3.0000000000000013</v>
      </c>
      <c r="CB40" s="398">
        <f t="shared" si="161"/>
        <v>150.00000000000003</v>
      </c>
      <c r="CC40" s="398">
        <f t="shared" si="260"/>
        <v>20.000000000000007</v>
      </c>
      <c r="CD40" s="398">
        <f t="shared" si="261"/>
        <v>7.5</v>
      </c>
      <c r="CE40" s="398">
        <f t="shared" si="262"/>
        <v>1.5000000000000002</v>
      </c>
      <c r="CF40" s="399">
        <f t="shared" si="163"/>
        <v>101.62601626016261</v>
      </c>
      <c r="CG40" s="66"/>
      <c r="CH40" s="66"/>
      <c r="CI40" s="396">
        <f t="shared" si="263"/>
        <v>10</v>
      </c>
      <c r="CJ40" s="397">
        <f t="shared" si="264"/>
        <v>5</v>
      </c>
      <c r="CK40" s="398">
        <f t="shared" si="33"/>
        <v>3.0000000000000013</v>
      </c>
      <c r="CL40" s="398">
        <f t="shared" si="164"/>
        <v>150.00000000000003</v>
      </c>
      <c r="CM40" s="398">
        <f t="shared" si="265"/>
        <v>20.000000000000007</v>
      </c>
      <c r="CN40" s="398">
        <f t="shared" si="266"/>
        <v>2.5000000000000009</v>
      </c>
      <c r="CO40" s="398">
        <f t="shared" si="267"/>
        <v>1.5000000000000002</v>
      </c>
      <c r="CP40" s="399">
        <f t="shared" si="166"/>
        <v>101.62601626016261</v>
      </c>
      <c r="CQ40" s="66"/>
      <c r="CS40" s="396">
        <f t="shared" si="268"/>
        <v>10</v>
      </c>
      <c r="CT40" s="397">
        <f t="shared" si="269"/>
        <v>5</v>
      </c>
      <c r="CU40" s="398">
        <f t="shared" si="38"/>
        <v>3.0000000000000013</v>
      </c>
      <c r="CV40" s="398">
        <f t="shared" si="167"/>
        <v>150.00000000000003</v>
      </c>
      <c r="CW40" s="398">
        <f t="shared" si="270"/>
        <v>20.000000000000007</v>
      </c>
      <c r="CX40" s="398">
        <f t="shared" si="271"/>
        <v>-2.5000000000000009</v>
      </c>
      <c r="CY40" s="398">
        <f t="shared" si="272"/>
        <v>1.5000000000000002</v>
      </c>
      <c r="CZ40" s="399">
        <f t="shared" si="169"/>
        <v>101.62601626016261</v>
      </c>
      <c r="DA40" s="66"/>
      <c r="DB40" s="66"/>
      <c r="DC40" s="396">
        <f t="shared" si="273"/>
        <v>10</v>
      </c>
      <c r="DD40" s="397">
        <f t="shared" si="274"/>
        <v>5</v>
      </c>
      <c r="DE40" s="398">
        <f t="shared" si="43"/>
        <v>3.0000000000000013</v>
      </c>
      <c r="DF40" s="398">
        <f t="shared" si="170"/>
        <v>150.00000000000003</v>
      </c>
      <c r="DG40" s="398">
        <f t="shared" si="275"/>
        <v>20.000000000000007</v>
      </c>
      <c r="DH40" s="398">
        <f t="shared" si="276"/>
        <v>-7.5</v>
      </c>
      <c r="DI40" s="398">
        <f t="shared" si="277"/>
        <v>1.5000000000000002</v>
      </c>
      <c r="DJ40" s="399">
        <f t="shared" si="172"/>
        <v>101.62601626016261</v>
      </c>
      <c r="DK40" s="66"/>
      <c r="DM40" s="396">
        <f t="shared" si="278"/>
        <v>10</v>
      </c>
      <c r="DN40" s="397">
        <f t="shared" si="279"/>
        <v>5</v>
      </c>
      <c r="DO40" s="398">
        <f t="shared" si="48"/>
        <v>3.0000000000000013</v>
      </c>
      <c r="DP40" s="398">
        <f t="shared" si="173"/>
        <v>150.00000000000003</v>
      </c>
      <c r="DQ40" s="398">
        <f t="shared" si="280"/>
        <v>30</v>
      </c>
      <c r="DR40" s="398">
        <f t="shared" si="281"/>
        <v>7.5</v>
      </c>
      <c r="DS40" s="398">
        <f t="shared" si="282"/>
        <v>1.5000000000000002</v>
      </c>
      <c r="DT40" s="399">
        <f t="shared" si="175"/>
        <v>101.62601626016261</v>
      </c>
      <c r="DU40" s="66"/>
      <c r="DV40" s="66"/>
      <c r="DW40" s="396">
        <f t="shared" si="283"/>
        <v>10</v>
      </c>
      <c r="DX40" s="397">
        <f t="shared" si="284"/>
        <v>5</v>
      </c>
      <c r="DY40" s="398">
        <f t="shared" si="53"/>
        <v>3.0000000000000013</v>
      </c>
      <c r="DZ40" s="398">
        <f t="shared" si="176"/>
        <v>150.00000000000003</v>
      </c>
      <c r="EA40" s="398">
        <f t="shared" si="285"/>
        <v>30</v>
      </c>
      <c r="EB40" s="398">
        <f t="shared" si="286"/>
        <v>2.5000000000000009</v>
      </c>
      <c r="EC40" s="398">
        <f t="shared" si="287"/>
        <v>1.5000000000000002</v>
      </c>
      <c r="ED40" s="399">
        <f t="shared" si="178"/>
        <v>101.62601626016261</v>
      </c>
      <c r="EE40" s="66"/>
      <c r="EF40" s="66"/>
      <c r="EG40" s="396">
        <f t="shared" si="288"/>
        <v>10</v>
      </c>
      <c r="EH40" s="397">
        <f t="shared" si="289"/>
        <v>5</v>
      </c>
      <c r="EI40" s="398">
        <f t="shared" si="58"/>
        <v>3.0000000000000013</v>
      </c>
      <c r="EJ40" s="398">
        <f t="shared" si="179"/>
        <v>150.00000000000003</v>
      </c>
      <c r="EK40" s="398">
        <f t="shared" si="290"/>
        <v>30</v>
      </c>
      <c r="EL40" s="398">
        <f t="shared" si="291"/>
        <v>-2.5000000000000009</v>
      </c>
      <c r="EM40" s="398">
        <f t="shared" si="292"/>
        <v>1.5000000000000002</v>
      </c>
      <c r="EN40" s="399">
        <f t="shared" si="181"/>
        <v>101.62601626016261</v>
      </c>
      <c r="EO40" s="66"/>
      <c r="EP40" s="66"/>
      <c r="EQ40" s="396">
        <f t="shared" si="293"/>
        <v>10</v>
      </c>
      <c r="ER40" s="397">
        <f t="shared" si="294"/>
        <v>5</v>
      </c>
      <c r="ES40" s="398">
        <f t="shared" si="63"/>
        <v>3.0000000000000013</v>
      </c>
      <c r="ET40" s="398">
        <f t="shared" si="182"/>
        <v>150.00000000000003</v>
      </c>
      <c r="EU40" s="398">
        <f t="shared" si="295"/>
        <v>30</v>
      </c>
      <c r="EV40" s="398">
        <f t="shared" si="296"/>
        <v>-7.5</v>
      </c>
      <c r="EW40" s="398">
        <f t="shared" si="297"/>
        <v>1.5000000000000002</v>
      </c>
      <c r="EX40" s="399">
        <f t="shared" si="184"/>
        <v>101.62601626016261</v>
      </c>
      <c r="EY40" s="66"/>
      <c r="EZ40" s="66"/>
      <c r="FA40" s="396">
        <f t="shared" si="298"/>
        <v>10</v>
      </c>
      <c r="FB40" s="397">
        <f t="shared" si="299"/>
        <v>5</v>
      </c>
      <c r="FC40" s="398">
        <f t="shared" si="68"/>
        <v>3.0000000000000013</v>
      </c>
      <c r="FD40" s="398">
        <f t="shared" si="185"/>
        <v>150.00000000000003</v>
      </c>
      <c r="FE40" s="398">
        <f t="shared" si="300"/>
        <v>40.000000000000014</v>
      </c>
      <c r="FF40" s="398">
        <f t="shared" si="301"/>
        <v>7.5</v>
      </c>
      <c r="FG40" s="398">
        <f t="shared" si="302"/>
        <v>1.5000000000000002</v>
      </c>
      <c r="FH40" s="399">
        <f t="shared" si="187"/>
        <v>101.62601626016261</v>
      </c>
      <c r="FI40" s="66"/>
      <c r="FJ40" s="66"/>
      <c r="FK40" s="396">
        <f t="shared" si="303"/>
        <v>10</v>
      </c>
      <c r="FL40" s="397">
        <f t="shared" si="304"/>
        <v>5</v>
      </c>
      <c r="FM40" s="398">
        <f t="shared" si="73"/>
        <v>3.0000000000000013</v>
      </c>
      <c r="FN40" s="398">
        <f t="shared" si="188"/>
        <v>150.00000000000003</v>
      </c>
      <c r="FO40" s="398">
        <f t="shared" si="305"/>
        <v>40.000000000000014</v>
      </c>
      <c r="FP40" s="398">
        <f t="shared" si="306"/>
        <v>2.5000000000000009</v>
      </c>
      <c r="FQ40" s="398">
        <f t="shared" si="307"/>
        <v>1.5000000000000002</v>
      </c>
      <c r="FR40" s="399">
        <f t="shared" si="190"/>
        <v>101.62601626016261</v>
      </c>
      <c r="FS40" s="66"/>
      <c r="FT40" s="66"/>
      <c r="FU40" s="396">
        <f t="shared" si="308"/>
        <v>10</v>
      </c>
      <c r="FV40" s="397">
        <f t="shared" si="309"/>
        <v>5</v>
      </c>
      <c r="FW40" s="398">
        <f t="shared" si="78"/>
        <v>3.0000000000000013</v>
      </c>
      <c r="FX40" s="398">
        <f t="shared" si="191"/>
        <v>150.00000000000003</v>
      </c>
      <c r="FY40" s="398">
        <f t="shared" si="310"/>
        <v>40.000000000000014</v>
      </c>
      <c r="FZ40" s="398">
        <f t="shared" si="311"/>
        <v>-2.5000000000000009</v>
      </c>
      <c r="GA40" s="398">
        <f t="shared" si="312"/>
        <v>1.5000000000000002</v>
      </c>
      <c r="GB40" s="399">
        <f t="shared" si="193"/>
        <v>101.62601626016261</v>
      </c>
      <c r="GC40" s="66"/>
      <c r="GD40" s="66"/>
      <c r="GE40" s="396">
        <f t="shared" si="313"/>
        <v>10</v>
      </c>
      <c r="GF40" s="397">
        <f t="shared" si="314"/>
        <v>5</v>
      </c>
      <c r="GG40" s="398">
        <f t="shared" si="83"/>
        <v>3.0000000000000013</v>
      </c>
      <c r="GH40" s="398">
        <f t="shared" si="194"/>
        <v>150.00000000000003</v>
      </c>
      <c r="GI40" s="398">
        <f t="shared" si="315"/>
        <v>40.000000000000014</v>
      </c>
      <c r="GJ40" s="398">
        <f t="shared" si="316"/>
        <v>-7.5</v>
      </c>
      <c r="GK40" s="398">
        <f t="shared" si="317"/>
        <v>1.5000000000000002</v>
      </c>
      <c r="GL40" s="399">
        <f t="shared" si="196"/>
        <v>101.62601626016261</v>
      </c>
      <c r="GM40" s="66"/>
      <c r="GN40" s="66"/>
      <c r="GO40" s="396">
        <f t="shared" si="318"/>
        <v>10</v>
      </c>
      <c r="GP40" s="397">
        <f t="shared" si="319"/>
        <v>5</v>
      </c>
      <c r="GQ40" s="398">
        <f t="shared" si="88"/>
        <v>3.0000000000000013</v>
      </c>
      <c r="GR40" s="398">
        <f t="shared" si="197"/>
        <v>150.00000000000003</v>
      </c>
      <c r="GS40" s="398">
        <f t="shared" si="320"/>
        <v>50</v>
      </c>
      <c r="GT40" s="398">
        <f t="shared" si="321"/>
        <v>7.5</v>
      </c>
      <c r="GU40" s="398">
        <f t="shared" si="322"/>
        <v>1.5000000000000002</v>
      </c>
      <c r="GV40" s="399">
        <f t="shared" si="199"/>
        <v>101.62601626016261</v>
      </c>
      <c r="GW40" s="66"/>
      <c r="GX40" s="66"/>
      <c r="GY40" s="396">
        <f t="shared" si="323"/>
        <v>10</v>
      </c>
      <c r="GZ40" s="397">
        <f t="shared" si="324"/>
        <v>5</v>
      </c>
      <c r="HA40" s="398">
        <f t="shared" si="93"/>
        <v>3.0000000000000013</v>
      </c>
      <c r="HB40" s="398">
        <f t="shared" si="200"/>
        <v>150.00000000000003</v>
      </c>
      <c r="HC40" s="398">
        <f t="shared" si="325"/>
        <v>50</v>
      </c>
      <c r="HD40" s="398">
        <f t="shared" si="326"/>
        <v>2.5000000000000009</v>
      </c>
      <c r="HE40" s="398">
        <f t="shared" si="327"/>
        <v>1.5000000000000002</v>
      </c>
      <c r="HF40" s="399">
        <f t="shared" si="202"/>
        <v>101.62601626016261</v>
      </c>
      <c r="HH40" s="66"/>
      <c r="HI40" s="396">
        <f t="shared" si="328"/>
        <v>10</v>
      </c>
      <c r="HJ40" s="397">
        <f t="shared" si="329"/>
        <v>5</v>
      </c>
      <c r="HK40" s="398">
        <f t="shared" si="98"/>
        <v>3.0000000000000013</v>
      </c>
      <c r="HL40" s="398">
        <f t="shared" si="203"/>
        <v>150.00000000000003</v>
      </c>
      <c r="HM40" s="398">
        <f t="shared" si="330"/>
        <v>50</v>
      </c>
      <c r="HN40" s="398">
        <f t="shared" si="331"/>
        <v>-2.5000000000000009</v>
      </c>
      <c r="HO40" s="398">
        <f t="shared" si="332"/>
        <v>1.5000000000000002</v>
      </c>
      <c r="HP40" s="399">
        <f t="shared" si="205"/>
        <v>101.62601626016261</v>
      </c>
      <c r="HQ40" s="66"/>
      <c r="HR40" s="66"/>
      <c r="HS40" s="396">
        <f t="shared" si="333"/>
        <v>10</v>
      </c>
      <c r="HT40" s="397">
        <f t="shared" si="334"/>
        <v>5</v>
      </c>
      <c r="HU40" s="398">
        <f t="shared" si="103"/>
        <v>3.0000000000000013</v>
      </c>
      <c r="HV40" s="398">
        <f t="shared" si="206"/>
        <v>150.00000000000003</v>
      </c>
      <c r="HW40" s="398">
        <f t="shared" si="335"/>
        <v>50</v>
      </c>
      <c r="HX40" s="398">
        <f t="shared" si="336"/>
        <v>-7.5</v>
      </c>
      <c r="HY40" s="398">
        <f t="shared" si="337"/>
        <v>1.5000000000000002</v>
      </c>
      <c r="HZ40" s="399">
        <f t="shared" si="208"/>
        <v>101.62601626016261</v>
      </c>
      <c r="IA40" s="66"/>
      <c r="IB40" s="66"/>
      <c r="IC40" s="396">
        <f t="shared" si="338"/>
        <v>5</v>
      </c>
      <c r="ID40" s="397">
        <f t="shared" si="339"/>
        <v>20</v>
      </c>
      <c r="IE40" s="398">
        <f t="shared" si="108"/>
        <v>3.0000000000000013</v>
      </c>
      <c r="IF40" s="398">
        <f t="shared" si="209"/>
        <v>158.6159557232759</v>
      </c>
      <c r="IG40" s="398">
        <f t="shared" si="340"/>
        <v>56.758424020322124</v>
      </c>
      <c r="IH40" s="398">
        <f t="shared" si="341"/>
        <v>0</v>
      </c>
      <c r="II40" s="398">
        <f t="shared" si="342"/>
        <v>1.997167595259443</v>
      </c>
      <c r="IJ40" s="399">
        <f t="shared" si="211"/>
        <v>3252.0325203252037</v>
      </c>
      <c r="IK40" s="66"/>
      <c r="IL40" s="66"/>
      <c r="IM40" s="396">
        <f t="shared" si="343"/>
        <v>11</v>
      </c>
      <c r="IN40" s="397">
        <f t="shared" si="344"/>
        <v>13.75</v>
      </c>
      <c r="IO40" s="398">
        <f t="shared" si="113"/>
        <v>3.0000000000000013</v>
      </c>
      <c r="IP40" s="398">
        <f t="shared" si="212"/>
        <v>429.15359441245005</v>
      </c>
      <c r="IQ40" s="398">
        <f t="shared" si="345"/>
        <v>67.846839340036823</v>
      </c>
      <c r="IR40" s="398">
        <f t="shared" si="346"/>
        <v>6.8749999999999991</v>
      </c>
      <c r="IS40" s="398">
        <f t="shared" si="347"/>
        <v>1.563028172003897</v>
      </c>
      <c r="IT40" s="399">
        <f t="shared" si="214"/>
        <v>2324.8539126016262</v>
      </c>
      <c r="IU40" s="66"/>
      <c r="IV40" s="66"/>
      <c r="IW40" s="396">
        <f t="shared" si="116"/>
        <v>11</v>
      </c>
      <c r="IX40" s="397">
        <f t="shared" si="117"/>
        <v>13.75</v>
      </c>
      <c r="IY40" s="398">
        <f t="shared" si="118"/>
        <v>3.0000000000000013</v>
      </c>
      <c r="IZ40" s="398">
        <f t="shared" si="348"/>
        <v>429.15359441245005</v>
      </c>
      <c r="JA40" s="398">
        <f t="shared" si="119"/>
        <v>67.846839340036823</v>
      </c>
      <c r="JB40" s="398">
        <f t="shared" si="120"/>
        <v>-6.8749999999999991</v>
      </c>
      <c r="JC40" s="398">
        <f t="shared" si="216"/>
        <v>1.563028172003897</v>
      </c>
      <c r="JD40" s="399">
        <f t="shared" si="217"/>
        <v>2324.8539126016262</v>
      </c>
      <c r="JE40" s="66"/>
      <c r="JF40" s="66"/>
      <c r="JG40" s="987">
        <f t="shared" si="121"/>
        <v>7.26</v>
      </c>
      <c r="JH40" s="988">
        <f t="shared" si="122"/>
        <v>6.875</v>
      </c>
      <c r="JI40" s="990">
        <f t="shared" si="123"/>
        <v>3.0000000000000013</v>
      </c>
      <c r="JJ40" s="990">
        <f t="shared" si="349"/>
        <v>77.208556104059895</v>
      </c>
      <c r="JK40" s="990">
        <f t="shared" si="124"/>
        <v>72.095517041892066</v>
      </c>
      <c r="JL40" s="990">
        <f t="shared" si="125"/>
        <v>10.3125</v>
      </c>
      <c r="JM40" s="990">
        <f t="shared" si="219"/>
        <v>3.1955145201657156</v>
      </c>
      <c r="JN40" s="992">
        <f t="shared" si="220"/>
        <v>191.80044778963418</v>
      </c>
      <c r="JO40" s="66"/>
      <c r="JP40" s="66"/>
      <c r="JQ40" s="987">
        <f t="shared" si="126"/>
        <v>7.26</v>
      </c>
      <c r="JR40" s="988">
        <f t="shared" si="127"/>
        <v>6.875</v>
      </c>
      <c r="JS40" s="990">
        <f t="shared" si="128"/>
        <v>3.0000000000000013</v>
      </c>
      <c r="JT40" s="990">
        <f t="shared" si="350"/>
        <v>77.208556104059895</v>
      </c>
      <c r="JU40" s="990">
        <f t="shared" si="129"/>
        <v>72.095517041892066</v>
      </c>
      <c r="JV40" s="990">
        <f t="shared" si="130"/>
        <v>3.4374999999999996</v>
      </c>
      <c r="JW40" s="990">
        <f t="shared" si="222"/>
        <v>3.1955145201657156</v>
      </c>
      <c r="JX40" s="992">
        <f t="shared" si="223"/>
        <v>191.80044778963418</v>
      </c>
      <c r="JY40" s="66"/>
      <c r="JZ40" s="66"/>
      <c r="KA40" s="987">
        <f t="shared" si="131"/>
        <v>7.26</v>
      </c>
      <c r="KB40" s="988">
        <f t="shared" si="132"/>
        <v>6.875</v>
      </c>
      <c r="KC40" s="990">
        <f t="shared" si="133"/>
        <v>3.0000000000000013</v>
      </c>
      <c r="KD40" s="990">
        <f t="shared" si="351"/>
        <v>77.208556104059895</v>
      </c>
      <c r="KE40" s="990">
        <f t="shared" si="134"/>
        <v>72.095517041892066</v>
      </c>
      <c r="KF40" s="990">
        <f t="shared" si="135"/>
        <v>-3.4374999999999996</v>
      </c>
      <c r="KG40" s="990">
        <f t="shared" si="225"/>
        <v>3.1955145201657156</v>
      </c>
      <c r="KH40" s="992">
        <f t="shared" si="226"/>
        <v>191.80044778963418</v>
      </c>
      <c r="KI40" s="66"/>
      <c r="KJ40" s="66"/>
      <c r="KK40" s="987">
        <f t="shared" si="136"/>
        <v>7.26</v>
      </c>
      <c r="KL40" s="988">
        <f t="shared" si="137"/>
        <v>6.875</v>
      </c>
      <c r="KM40" s="990">
        <f t="shared" si="138"/>
        <v>3.0000000000000013</v>
      </c>
      <c r="KN40" s="990">
        <f t="shared" si="352"/>
        <v>77.208556104059895</v>
      </c>
      <c r="KO40" s="990">
        <f t="shared" si="139"/>
        <v>72.095517041892066</v>
      </c>
      <c r="KP40" s="990">
        <f t="shared" si="140"/>
        <v>-10.3125</v>
      </c>
      <c r="KQ40" s="990">
        <f t="shared" si="228"/>
        <v>3.1955145201657156</v>
      </c>
      <c r="KR40" s="992">
        <f t="shared" si="229"/>
        <v>191.80044778963418</v>
      </c>
      <c r="KS40" s="66"/>
      <c r="KT40" s="66"/>
      <c r="KU40" s="396">
        <f t="shared" si="353"/>
        <v>5</v>
      </c>
      <c r="KV40" s="397">
        <f t="shared" si="354"/>
        <v>5</v>
      </c>
      <c r="KW40" s="398">
        <f t="shared" si="143"/>
        <v>3.0000000000000013</v>
      </c>
      <c r="KX40" s="398">
        <f t="shared" si="230"/>
        <v>75.000000000000014</v>
      </c>
      <c r="KY40" s="398">
        <f t="shared" si="355"/>
        <v>57.5</v>
      </c>
      <c r="KZ40" s="398">
        <f t="shared" si="356"/>
        <v>0</v>
      </c>
      <c r="LA40" s="398">
        <f t="shared" si="357"/>
        <v>1.5000000000000002</v>
      </c>
      <c r="LB40" s="399">
        <f t="shared" si="232"/>
        <v>50.813008130081307</v>
      </c>
      <c r="LC40" s="66"/>
    </row>
    <row r="41" spans="1:315" s="67" customFormat="1" x14ac:dyDescent="0.25">
      <c r="A41" s="481"/>
      <c r="Y41" s="481"/>
      <c r="Z41" s="413"/>
      <c r="AA41" s="396">
        <f t="shared" si="233"/>
        <v>5</v>
      </c>
      <c r="AB41" s="397">
        <f t="shared" si="234"/>
        <v>20</v>
      </c>
      <c r="AC41" s="398">
        <f t="shared" si="3"/>
        <v>3.1000000000000014</v>
      </c>
      <c r="AD41" s="398">
        <f t="shared" si="146"/>
        <v>169.1839510201726</v>
      </c>
      <c r="AE41" s="398">
        <f t="shared" si="235"/>
        <v>3.1923358206395185</v>
      </c>
      <c r="AF41" s="398">
        <f t="shared" si="236"/>
        <v>0</v>
      </c>
      <c r="AG41" s="398">
        <f t="shared" si="237"/>
        <v>2.0590753394349446</v>
      </c>
      <c r="AH41" s="399">
        <f t="shared" si="148"/>
        <v>3252.0325203252037</v>
      </c>
      <c r="AI41" s="367"/>
      <c r="AJ41" s="66"/>
      <c r="AK41" s="396">
        <f t="shared" si="238"/>
        <v>10</v>
      </c>
      <c r="AL41" s="397">
        <f t="shared" si="239"/>
        <v>5</v>
      </c>
      <c r="AM41" s="398">
        <f t="shared" si="8"/>
        <v>3.1000000000000014</v>
      </c>
      <c r="AN41" s="398">
        <f t="shared" si="149"/>
        <v>155.00000000000003</v>
      </c>
      <c r="AO41" s="398">
        <f t="shared" si="240"/>
        <v>10.000000000000004</v>
      </c>
      <c r="AP41" s="398">
        <f t="shared" si="241"/>
        <v>7.5</v>
      </c>
      <c r="AQ41" s="398">
        <f t="shared" si="242"/>
        <v>1.5500000000000003</v>
      </c>
      <c r="AR41" s="399">
        <f t="shared" si="151"/>
        <v>101.62601626016261</v>
      </c>
      <c r="AS41" s="66"/>
      <c r="AT41" s="66"/>
      <c r="AU41" s="396">
        <f t="shared" si="243"/>
        <v>10</v>
      </c>
      <c r="AV41" s="397">
        <f t="shared" si="244"/>
        <v>5</v>
      </c>
      <c r="AW41" s="398">
        <f t="shared" si="13"/>
        <v>3.1000000000000014</v>
      </c>
      <c r="AX41" s="398">
        <f t="shared" si="152"/>
        <v>155.00000000000003</v>
      </c>
      <c r="AY41" s="398">
        <f t="shared" si="245"/>
        <v>10.000000000000004</v>
      </c>
      <c r="AZ41" s="398">
        <f t="shared" si="246"/>
        <v>2.5000000000000009</v>
      </c>
      <c r="BA41" s="398">
        <f t="shared" si="247"/>
        <v>1.5500000000000003</v>
      </c>
      <c r="BB41" s="399">
        <f t="shared" si="154"/>
        <v>101.62601626016261</v>
      </c>
      <c r="BC41" s="66"/>
      <c r="BD41" s="66"/>
      <c r="BE41" s="396">
        <f t="shared" si="248"/>
        <v>10</v>
      </c>
      <c r="BF41" s="397">
        <f t="shared" si="249"/>
        <v>5</v>
      </c>
      <c r="BG41" s="398">
        <f t="shared" si="18"/>
        <v>3.1000000000000014</v>
      </c>
      <c r="BH41" s="398">
        <f t="shared" si="155"/>
        <v>155.00000000000003</v>
      </c>
      <c r="BI41" s="398">
        <f t="shared" si="250"/>
        <v>10.000000000000004</v>
      </c>
      <c r="BJ41" s="398">
        <f t="shared" si="251"/>
        <v>-2.5000000000000009</v>
      </c>
      <c r="BK41" s="398">
        <f t="shared" si="252"/>
        <v>1.5500000000000003</v>
      </c>
      <c r="BL41" s="399">
        <f t="shared" si="157"/>
        <v>101.62601626016261</v>
      </c>
      <c r="BM41" s="66"/>
      <c r="BN41" s="66"/>
      <c r="BO41" s="396">
        <f t="shared" si="253"/>
        <v>10</v>
      </c>
      <c r="BP41" s="397">
        <f t="shared" si="254"/>
        <v>5</v>
      </c>
      <c r="BQ41" s="398">
        <f t="shared" si="23"/>
        <v>3.1000000000000014</v>
      </c>
      <c r="BR41" s="398">
        <f t="shared" si="158"/>
        <v>155.00000000000003</v>
      </c>
      <c r="BS41" s="398">
        <f t="shared" si="255"/>
        <v>10.000000000000004</v>
      </c>
      <c r="BT41" s="398">
        <f t="shared" si="256"/>
        <v>-7.5</v>
      </c>
      <c r="BU41" s="398">
        <f t="shared" si="257"/>
        <v>1.5500000000000003</v>
      </c>
      <c r="BV41" s="399">
        <f t="shared" si="160"/>
        <v>101.62601626016261</v>
      </c>
      <c r="BW41" s="66"/>
      <c r="BX41" s="66"/>
      <c r="BY41" s="396">
        <f t="shared" si="258"/>
        <v>10</v>
      </c>
      <c r="BZ41" s="397">
        <f t="shared" si="259"/>
        <v>5</v>
      </c>
      <c r="CA41" s="398">
        <f t="shared" si="28"/>
        <v>3.1000000000000014</v>
      </c>
      <c r="CB41" s="398">
        <f t="shared" si="161"/>
        <v>155.00000000000003</v>
      </c>
      <c r="CC41" s="398">
        <f t="shared" si="260"/>
        <v>20.000000000000007</v>
      </c>
      <c r="CD41" s="398">
        <f t="shared" si="261"/>
        <v>7.5</v>
      </c>
      <c r="CE41" s="398">
        <f t="shared" si="262"/>
        <v>1.5500000000000003</v>
      </c>
      <c r="CF41" s="399">
        <f t="shared" si="163"/>
        <v>101.62601626016261</v>
      </c>
      <c r="CG41" s="66"/>
      <c r="CH41" s="66"/>
      <c r="CI41" s="396">
        <f t="shared" si="263"/>
        <v>10</v>
      </c>
      <c r="CJ41" s="397">
        <f t="shared" si="264"/>
        <v>5</v>
      </c>
      <c r="CK41" s="398">
        <f t="shared" si="33"/>
        <v>3.1000000000000014</v>
      </c>
      <c r="CL41" s="398">
        <f t="shared" si="164"/>
        <v>155.00000000000003</v>
      </c>
      <c r="CM41" s="398">
        <f t="shared" si="265"/>
        <v>20.000000000000007</v>
      </c>
      <c r="CN41" s="398">
        <f t="shared" si="266"/>
        <v>2.5000000000000009</v>
      </c>
      <c r="CO41" s="398">
        <f t="shared" si="267"/>
        <v>1.5500000000000003</v>
      </c>
      <c r="CP41" s="399">
        <f t="shared" si="166"/>
        <v>101.62601626016261</v>
      </c>
      <c r="CQ41" s="66"/>
      <c r="CS41" s="396">
        <f t="shared" si="268"/>
        <v>10</v>
      </c>
      <c r="CT41" s="397">
        <f t="shared" si="269"/>
        <v>5</v>
      </c>
      <c r="CU41" s="398">
        <f t="shared" si="38"/>
        <v>3.1000000000000014</v>
      </c>
      <c r="CV41" s="398">
        <f t="shared" si="167"/>
        <v>155.00000000000003</v>
      </c>
      <c r="CW41" s="398">
        <f t="shared" si="270"/>
        <v>20.000000000000007</v>
      </c>
      <c r="CX41" s="398">
        <f t="shared" si="271"/>
        <v>-2.5000000000000009</v>
      </c>
      <c r="CY41" s="398">
        <f t="shared" si="272"/>
        <v>1.5500000000000003</v>
      </c>
      <c r="CZ41" s="399">
        <f t="shared" si="169"/>
        <v>101.62601626016261</v>
      </c>
      <c r="DA41" s="66"/>
      <c r="DB41" s="66"/>
      <c r="DC41" s="396">
        <f t="shared" si="273"/>
        <v>10</v>
      </c>
      <c r="DD41" s="397">
        <f t="shared" si="274"/>
        <v>5</v>
      </c>
      <c r="DE41" s="398">
        <f t="shared" si="43"/>
        <v>3.1000000000000014</v>
      </c>
      <c r="DF41" s="398">
        <f t="shared" si="170"/>
        <v>155.00000000000003</v>
      </c>
      <c r="DG41" s="398">
        <f t="shared" si="275"/>
        <v>20.000000000000007</v>
      </c>
      <c r="DH41" s="398">
        <f t="shared" si="276"/>
        <v>-7.5</v>
      </c>
      <c r="DI41" s="398">
        <f t="shared" si="277"/>
        <v>1.5500000000000003</v>
      </c>
      <c r="DJ41" s="399">
        <f t="shared" si="172"/>
        <v>101.62601626016261</v>
      </c>
      <c r="DK41" s="66"/>
      <c r="DM41" s="396">
        <f t="shared" si="278"/>
        <v>10</v>
      </c>
      <c r="DN41" s="397">
        <f t="shared" si="279"/>
        <v>5</v>
      </c>
      <c r="DO41" s="398">
        <f t="shared" si="48"/>
        <v>3.1000000000000014</v>
      </c>
      <c r="DP41" s="398">
        <f t="shared" si="173"/>
        <v>155.00000000000003</v>
      </c>
      <c r="DQ41" s="398">
        <f t="shared" si="280"/>
        <v>30</v>
      </c>
      <c r="DR41" s="398">
        <f t="shared" si="281"/>
        <v>7.5</v>
      </c>
      <c r="DS41" s="398">
        <f t="shared" si="282"/>
        <v>1.5500000000000003</v>
      </c>
      <c r="DT41" s="399">
        <f t="shared" si="175"/>
        <v>101.62601626016261</v>
      </c>
      <c r="DU41" s="66"/>
      <c r="DV41" s="66"/>
      <c r="DW41" s="396">
        <f t="shared" si="283"/>
        <v>10</v>
      </c>
      <c r="DX41" s="397">
        <f t="shared" si="284"/>
        <v>5</v>
      </c>
      <c r="DY41" s="398">
        <f t="shared" si="53"/>
        <v>3.1000000000000014</v>
      </c>
      <c r="DZ41" s="398">
        <f t="shared" si="176"/>
        <v>155.00000000000003</v>
      </c>
      <c r="EA41" s="398">
        <f t="shared" si="285"/>
        <v>30</v>
      </c>
      <c r="EB41" s="398">
        <f t="shared" si="286"/>
        <v>2.5000000000000009</v>
      </c>
      <c r="EC41" s="398">
        <f t="shared" si="287"/>
        <v>1.5500000000000003</v>
      </c>
      <c r="ED41" s="399">
        <f t="shared" si="178"/>
        <v>101.62601626016261</v>
      </c>
      <c r="EE41" s="66"/>
      <c r="EF41" s="66"/>
      <c r="EG41" s="396">
        <f t="shared" si="288"/>
        <v>10</v>
      </c>
      <c r="EH41" s="397">
        <f t="shared" si="289"/>
        <v>5</v>
      </c>
      <c r="EI41" s="398">
        <f t="shared" si="58"/>
        <v>3.1000000000000014</v>
      </c>
      <c r="EJ41" s="398">
        <f t="shared" si="179"/>
        <v>155.00000000000003</v>
      </c>
      <c r="EK41" s="398">
        <f t="shared" si="290"/>
        <v>30</v>
      </c>
      <c r="EL41" s="398">
        <f t="shared" si="291"/>
        <v>-2.5000000000000009</v>
      </c>
      <c r="EM41" s="398">
        <f t="shared" si="292"/>
        <v>1.5500000000000003</v>
      </c>
      <c r="EN41" s="399">
        <f t="shared" si="181"/>
        <v>101.62601626016261</v>
      </c>
      <c r="EO41" s="66"/>
      <c r="EP41" s="66"/>
      <c r="EQ41" s="396">
        <f t="shared" si="293"/>
        <v>10</v>
      </c>
      <c r="ER41" s="397">
        <f t="shared" si="294"/>
        <v>5</v>
      </c>
      <c r="ES41" s="398">
        <f t="shared" si="63"/>
        <v>3.1000000000000014</v>
      </c>
      <c r="ET41" s="398">
        <f t="shared" si="182"/>
        <v>155.00000000000003</v>
      </c>
      <c r="EU41" s="398">
        <f t="shared" si="295"/>
        <v>30</v>
      </c>
      <c r="EV41" s="398">
        <f t="shared" si="296"/>
        <v>-7.5</v>
      </c>
      <c r="EW41" s="398">
        <f t="shared" si="297"/>
        <v>1.5500000000000003</v>
      </c>
      <c r="EX41" s="399">
        <f t="shared" si="184"/>
        <v>101.62601626016261</v>
      </c>
      <c r="EY41" s="66"/>
      <c r="EZ41" s="66"/>
      <c r="FA41" s="396">
        <f t="shared" si="298"/>
        <v>10</v>
      </c>
      <c r="FB41" s="397">
        <f t="shared" si="299"/>
        <v>5</v>
      </c>
      <c r="FC41" s="398">
        <f t="shared" si="68"/>
        <v>3.1000000000000014</v>
      </c>
      <c r="FD41" s="398">
        <f t="shared" si="185"/>
        <v>155.00000000000003</v>
      </c>
      <c r="FE41" s="398">
        <f t="shared" si="300"/>
        <v>40.000000000000014</v>
      </c>
      <c r="FF41" s="398">
        <f t="shared" si="301"/>
        <v>7.5</v>
      </c>
      <c r="FG41" s="398">
        <f t="shared" si="302"/>
        <v>1.5500000000000003</v>
      </c>
      <c r="FH41" s="399">
        <f t="shared" si="187"/>
        <v>101.62601626016261</v>
      </c>
      <c r="FI41" s="66"/>
      <c r="FJ41" s="66"/>
      <c r="FK41" s="396">
        <f t="shared" si="303"/>
        <v>10</v>
      </c>
      <c r="FL41" s="397">
        <f t="shared" si="304"/>
        <v>5</v>
      </c>
      <c r="FM41" s="398">
        <f t="shared" si="73"/>
        <v>3.1000000000000014</v>
      </c>
      <c r="FN41" s="398">
        <f t="shared" si="188"/>
        <v>155.00000000000003</v>
      </c>
      <c r="FO41" s="398">
        <f t="shared" si="305"/>
        <v>40.000000000000014</v>
      </c>
      <c r="FP41" s="398">
        <f t="shared" si="306"/>
        <v>2.5000000000000009</v>
      </c>
      <c r="FQ41" s="398">
        <f t="shared" si="307"/>
        <v>1.5500000000000003</v>
      </c>
      <c r="FR41" s="399">
        <f t="shared" si="190"/>
        <v>101.62601626016261</v>
      </c>
      <c r="FS41" s="66"/>
      <c r="FT41" s="66"/>
      <c r="FU41" s="396">
        <f t="shared" si="308"/>
        <v>10</v>
      </c>
      <c r="FV41" s="397">
        <f t="shared" si="309"/>
        <v>5</v>
      </c>
      <c r="FW41" s="398">
        <f t="shared" si="78"/>
        <v>3.1000000000000014</v>
      </c>
      <c r="FX41" s="398">
        <f t="shared" si="191"/>
        <v>155.00000000000003</v>
      </c>
      <c r="FY41" s="398">
        <f t="shared" si="310"/>
        <v>40.000000000000014</v>
      </c>
      <c r="FZ41" s="398">
        <f t="shared" si="311"/>
        <v>-2.5000000000000009</v>
      </c>
      <c r="GA41" s="398">
        <f t="shared" si="312"/>
        <v>1.5500000000000003</v>
      </c>
      <c r="GB41" s="399">
        <f t="shared" si="193"/>
        <v>101.62601626016261</v>
      </c>
      <c r="GC41" s="66"/>
      <c r="GD41" s="66"/>
      <c r="GE41" s="396">
        <f t="shared" si="313"/>
        <v>10</v>
      </c>
      <c r="GF41" s="397">
        <f t="shared" si="314"/>
        <v>5</v>
      </c>
      <c r="GG41" s="398">
        <f t="shared" si="83"/>
        <v>3.1000000000000014</v>
      </c>
      <c r="GH41" s="398">
        <f t="shared" si="194"/>
        <v>155.00000000000003</v>
      </c>
      <c r="GI41" s="398">
        <f t="shared" si="315"/>
        <v>40.000000000000014</v>
      </c>
      <c r="GJ41" s="398">
        <f t="shared" si="316"/>
        <v>-7.5</v>
      </c>
      <c r="GK41" s="398">
        <f t="shared" si="317"/>
        <v>1.5500000000000003</v>
      </c>
      <c r="GL41" s="399">
        <f t="shared" si="196"/>
        <v>101.62601626016261</v>
      </c>
      <c r="GM41" s="66"/>
      <c r="GN41" s="66"/>
      <c r="GO41" s="396">
        <f t="shared" si="318"/>
        <v>10</v>
      </c>
      <c r="GP41" s="397">
        <f t="shared" si="319"/>
        <v>5</v>
      </c>
      <c r="GQ41" s="398">
        <f t="shared" si="88"/>
        <v>3.1000000000000014</v>
      </c>
      <c r="GR41" s="398">
        <f t="shared" si="197"/>
        <v>155.00000000000003</v>
      </c>
      <c r="GS41" s="398">
        <f t="shared" si="320"/>
        <v>50</v>
      </c>
      <c r="GT41" s="398">
        <f t="shared" si="321"/>
        <v>7.5</v>
      </c>
      <c r="GU41" s="398">
        <f t="shared" si="322"/>
        <v>1.5500000000000003</v>
      </c>
      <c r="GV41" s="399">
        <f t="shared" si="199"/>
        <v>101.62601626016261</v>
      </c>
      <c r="GW41" s="66"/>
      <c r="GX41" s="66"/>
      <c r="GY41" s="396">
        <f t="shared" si="323"/>
        <v>10</v>
      </c>
      <c r="GZ41" s="397">
        <f t="shared" si="324"/>
        <v>5</v>
      </c>
      <c r="HA41" s="398">
        <f t="shared" si="93"/>
        <v>3.1000000000000014</v>
      </c>
      <c r="HB41" s="398">
        <f t="shared" si="200"/>
        <v>155.00000000000003</v>
      </c>
      <c r="HC41" s="398">
        <f t="shared" si="325"/>
        <v>50</v>
      </c>
      <c r="HD41" s="398">
        <f t="shared" si="326"/>
        <v>2.5000000000000009</v>
      </c>
      <c r="HE41" s="398">
        <f t="shared" si="327"/>
        <v>1.5500000000000003</v>
      </c>
      <c r="HF41" s="399">
        <f t="shared" si="202"/>
        <v>101.62601626016261</v>
      </c>
      <c r="HH41" s="66"/>
      <c r="HI41" s="396">
        <f t="shared" si="328"/>
        <v>10</v>
      </c>
      <c r="HJ41" s="397">
        <f t="shared" si="329"/>
        <v>5</v>
      </c>
      <c r="HK41" s="398">
        <f t="shared" si="98"/>
        <v>3.1000000000000014</v>
      </c>
      <c r="HL41" s="398">
        <f t="shared" si="203"/>
        <v>155.00000000000003</v>
      </c>
      <c r="HM41" s="398">
        <f t="shared" si="330"/>
        <v>50</v>
      </c>
      <c r="HN41" s="398">
        <f t="shared" si="331"/>
        <v>-2.5000000000000009</v>
      </c>
      <c r="HO41" s="398">
        <f t="shared" si="332"/>
        <v>1.5500000000000003</v>
      </c>
      <c r="HP41" s="399">
        <f t="shared" si="205"/>
        <v>101.62601626016261</v>
      </c>
      <c r="HQ41" s="66"/>
      <c r="HR41" s="66"/>
      <c r="HS41" s="396">
        <f t="shared" si="333"/>
        <v>10</v>
      </c>
      <c r="HT41" s="397">
        <f t="shared" si="334"/>
        <v>5</v>
      </c>
      <c r="HU41" s="398">
        <f t="shared" si="103"/>
        <v>3.1000000000000014</v>
      </c>
      <c r="HV41" s="398">
        <f t="shared" si="206"/>
        <v>155.00000000000003</v>
      </c>
      <c r="HW41" s="398">
        <f t="shared" si="335"/>
        <v>50</v>
      </c>
      <c r="HX41" s="398">
        <f t="shared" si="336"/>
        <v>-7.5</v>
      </c>
      <c r="HY41" s="398">
        <f t="shared" si="337"/>
        <v>1.5500000000000003</v>
      </c>
      <c r="HZ41" s="399">
        <f t="shared" si="208"/>
        <v>101.62601626016261</v>
      </c>
      <c r="IA41" s="66"/>
      <c r="IB41" s="66"/>
      <c r="IC41" s="396">
        <f t="shared" si="338"/>
        <v>5</v>
      </c>
      <c r="ID41" s="397">
        <f t="shared" si="339"/>
        <v>20</v>
      </c>
      <c r="IE41" s="398">
        <f t="shared" si="108"/>
        <v>3.1000000000000014</v>
      </c>
      <c r="IF41" s="398">
        <f t="shared" si="209"/>
        <v>168.6159557232759</v>
      </c>
      <c r="IG41" s="398">
        <f t="shared" si="340"/>
        <v>56.802404198621197</v>
      </c>
      <c r="IH41" s="398">
        <f t="shared" si="341"/>
        <v>0</v>
      </c>
      <c r="II41" s="398">
        <f t="shared" si="342"/>
        <v>2.0596072617918568</v>
      </c>
      <c r="IJ41" s="399">
        <f t="shared" si="211"/>
        <v>3252.0325203252037</v>
      </c>
      <c r="IK41" s="66"/>
      <c r="IL41" s="66"/>
      <c r="IM41" s="396">
        <f t="shared" si="343"/>
        <v>11</v>
      </c>
      <c r="IN41" s="397">
        <f t="shared" si="344"/>
        <v>13.75</v>
      </c>
      <c r="IO41" s="398">
        <f t="shared" si="113"/>
        <v>3.1000000000000014</v>
      </c>
      <c r="IP41" s="398">
        <f t="shared" si="212"/>
        <v>444.27859441245005</v>
      </c>
      <c r="IQ41" s="398">
        <f t="shared" si="345"/>
        <v>67.855628149650997</v>
      </c>
      <c r="IR41" s="398">
        <f t="shared" si="346"/>
        <v>6.8749999999999991</v>
      </c>
      <c r="IS41" s="398">
        <f t="shared" si="347"/>
        <v>1.6136505724105255</v>
      </c>
      <c r="IT41" s="399">
        <f t="shared" si="214"/>
        <v>2324.8539126016262</v>
      </c>
      <c r="IU41" s="66"/>
      <c r="IV41" s="66"/>
      <c r="IW41" s="396">
        <f t="shared" si="116"/>
        <v>11</v>
      </c>
      <c r="IX41" s="397">
        <f t="shared" si="117"/>
        <v>13.75</v>
      </c>
      <c r="IY41" s="398">
        <f t="shared" si="118"/>
        <v>3.1000000000000014</v>
      </c>
      <c r="IZ41" s="398">
        <f t="shared" si="348"/>
        <v>444.27859441245005</v>
      </c>
      <c r="JA41" s="398">
        <f t="shared" si="119"/>
        <v>67.855628149650997</v>
      </c>
      <c r="JB41" s="398">
        <f t="shared" si="120"/>
        <v>-6.8749999999999991</v>
      </c>
      <c r="JC41" s="398">
        <f t="shared" si="216"/>
        <v>1.6136505724105255</v>
      </c>
      <c r="JD41" s="399">
        <f t="shared" si="217"/>
        <v>2324.8539126016262</v>
      </c>
      <c r="JE41" s="66"/>
      <c r="JF41" s="66"/>
      <c r="JG41" s="396">
        <f t="shared" si="121"/>
        <v>7.26</v>
      </c>
      <c r="JH41" s="397">
        <f t="shared" si="122"/>
        <v>6.875</v>
      </c>
      <c r="JI41" s="398">
        <f t="shared" si="123"/>
        <v>3.1000000000000014</v>
      </c>
      <c r="JJ41" s="398">
        <f t="shared" si="349"/>
        <v>82.199806104059903</v>
      </c>
      <c r="JK41" s="398">
        <f t="shared" si="124"/>
        <v>72.164403920499623</v>
      </c>
      <c r="JL41" s="398">
        <f t="shared" si="125"/>
        <v>10.3125</v>
      </c>
      <c r="JM41" s="398">
        <f t="shared" si="219"/>
        <v>3.2593009924182814</v>
      </c>
      <c r="JN41" s="399">
        <f t="shared" si="220"/>
        <v>191.80044778963418</v>
      </c>
      <c r="JO41" s="66"/>
      <c r="JP41" s="66"/>
      <c r="JQ41" s="396">
        <f t="shared" si="126"/>
        <v>7.26</v>
      </c>
      <c r="JR41" s="397">
        <f t="shared" si="127"/>
        <v>6.875</v>
      </c>
      <c r="JS41" s="398">
        <f t="shared" si="128"/>
        <v>3.1000000000000014</v>
      </c>
      <c r="JT41" s="398">
        <f t="shared" si="350"/>
        <v>82.199806104059903</v>
      </c>
      <c r="JU41" s="398">
        <f t="shared" si="129"/>
        <v>72.164403920499623</v>
      </c>
      <c r="JV41" s="398">
        <f t="shared" si="130"/>
        <v>3.4374999999999996</v>
      </c>
      <c r="JW41" s="398">
        <f t="shared" si="222"/>
        <v>3.2593009924182814</v>
      </c>
      <c r="JX41" s="399">
        <f t="shared" si="223"/>
        <v>191.80044778963418</v>
      </c>
      <c r="JY41" s="66"/>
      <c r="JZ41" s="66"/>
      <c r="KA41" s="396">
        <f t="shared" si="131"/>
        <v>7.26</v>
      </c>
      <c r="KB41" s="397">
        <f t="shared" si="132"/>
        <v>6.875</v>
      </c>
      <c r="KC41" s="398">
        <f t="shared" si="133"/>
        <v>3.1000000000000014</v>
      </c>
      <c r="KD41" s="398">
        <f t="shared" si="351"/>
        <v>82.199806104059903</v>
      </c>
      <c r="KE41" s="398">
        <f t="shared" si="134"/>
        <v>72.164403920499623</v>
      </c>
      <c r="KF41" s="398">
        <f t="shared" si="135"/>
        <v>-3.4374999999999996</v>
      </c>
      <c r="KG41" s="398">
        <f t="shared" si="225"/>
        <v>3.2593009924182814</v>
      </c>
      <c r="KH41" s="399">
        <f t="shared" si="226"/>
        <v>191.80044778963418</v>
      </c>
      <c r="KI41" s="66"/>
      <c r="KJ41" s="66"/>
      <c r="KK41" s="396">
        <f t="shared" si="136"/>
        <v>7.26</v>
      </c>
      <c r="KL41" s="397">
        <f t="shared" si="137"/>
        <v>6.875</v>
      </c>
      <c r="KM41" s="398">
        <f t="shared" si="138"/>
        <v>3.1000000000000014</v>
      </c>
      <c r="KN41" s="398">
        <f t="shared" si="352"/>
        <v>82.199806104059903</v>
      </c>
      <c r="KO41" s="398">
        <f t="shared" si="139"/>
        <v>72.164403920499623</v>
      </c>
      <c r="KP41" s="398">
        <f t="shared" si="140"/>
        <v>-10.3125</v>
      </c>
      <c r="KQ41" s="398">
        <f t="shared" si="228"/>
        <v>3.2593009924182814</v>
      </c>
      <c r="KR41" s="399">
        <f t="shared" si="229"/>
        <v>191.80044778963418</v>
      </c>
      <c r="KS41" s="66"/>
      <c r="KT41" s="66"/>
      <c r="KU41" s="396">
        <f t="shared" si="353"/>
        <v>5</v>
      </c>
      <c r="KV41" s="397">
        <f t="shared" si="354"/>
        <v>5</v>
      </c>
      <c r="KW41" s="398">
        <f t="shared" si="143"/>
        <v>3.1000000000000014</v>
      </c>
      <c r="KX41" s="398">
        <f t="shared" si="230"/>
        <v>77.500000000000014</v>
      </c>
      <c r="KY41" s="398">
        <f t="shared" si="355"/>
        <v>57.5</v>
      </c>
      <c r="KZ41" s="398">
        <f t="shared" si="356"/>
        <v>0</v>
      </c>
      <c r="LA41" s="398">
        <f t="shared" si="357"/>
        <v>1.5500000000000003</v>
      </c>
      <c r="LB41" s="399">
        <f t="shared" si="232"/>
        <v>50.813008130081307</v>
      </c>
      <c r="LC41" s="66"/>
    </row>
    <row r="42" spans="1:315" s="67" customFormat="1" x14ac:dyDescent="0.25">
      <c r="A42" s="481"/>
      <c r="Y42" s="481"/>
      <c r="Z42" s="413"/>
      <c r="AA42" s="396">
        <f t="shared" si="233"/>
        <v>5</v>
      </c>
      <c r="AB42" s="397">
        <f t="shared" si="234"/>
        <v>20</v>
      </c>
      <c r="AC42" s="398">
        <f t="shared" ref="AC42:AC73" si="358">IF(ISTEXT(AC41),0,IF(AC41+Δ_hba&gt;AD$3,NA(),AC41+Δ_hba))</f>
        <v>3.2000000000000015</v>
      </c>
      <c r="AD42" s="398">
        <f t="shared" si="146"/>
        <v>179.1839510201726</v>
      </c>
      <c r="AE42" s="398">
        <f t="shared" si="235"/>
        <v>3.1536975488134007</v>
      </c>
      <c r="AF42" s="398">
        <f t="shared" si="236"/>
        <v>0</v>
      </c>
      <c r="AG42" s="398">
        <f t="shared" si="237"/>
        <v>2.119958284272021</v>
      </c>
      <c r="AH42" s="399">
        <f t="shared" si="148"/>
        <v>3252.0325203252037</v>
      </c>
      <c r="AI42" s="367"/>
      <c r="AJ42" s="66"/>
      <c r="AK42" s="396">
        <f t="shared" si="238"/>
        <v>10</v>
      </c>
      <c r="AL42" s="397">
        <f t="shared" si="239"/>
        <v>5</v>
      </c>
      <c r="AM42" s="398">
        <f t="shared" ref="AM42:AM73" si="359">IF(ISTEXT(AM41),0,IF(AM41+Δ_hba&gt;AN$3,NA(),AM41+Δ_hba))</f>
        <v>3.2000000000000015</v>
      </c>
      <c r="AN42" s="398">
        <f t="shared" si="149"/>
        <v>160.00000000000003</v>
      </c>
      <c r="AO42" s="398">
        <f t="shared" si="240"/>
        <v>10.000000000000004</v>
      </c>
      <c r="AP42" s="398">
        <f t="shared" si="241"/>
        <v>7.5</v>
      </c>
      <c r="AQ42" s="398">
        <f t="shared" si="242"/>
        <v>1.6000000000000005</v>
      </c>
      <c r="AR42" s="399">
        <f t="shared" si="151"/>
        <v>101.62601626016261</v>
      </c>
      <c r="AS42" s="66"/>
      <c r="AT42" s="66"/>
      <c r="AU42" s="396">
        <f t="shared" si="243"/>
        <v>10</v>
      </c>
      <c r="AV42" s="397">
        <f t="shared" si="244"/>
        <v>5</v>
      </c>
      <c r="AW42" s="398">
        <f t="shared" ref="AW42:AW73" si="360">IF(ISTEXT(AW41),0,IF(AW41+Δ_hba&gt;AX$3,NA(),AW41+Δ_hba))</f>
        <v>3.2000000000000015</v>
      </c>
      <c r="AX42" s="398">
        <f t="shared" si="152"/>
        <v>160.00000000000003</v>
      </c>
      <c r="AY42" s="398">
        <f t="shared" si="245"/>
        <v>10.000000000000004</v>
      </c>
      <c r="AZ42" s="398">
        <f t="shared" si="246"/>
        <v>2.5000000000000009</v>
      </c>
      <c r="BA42" s="398">
        <f t="shared" si="247"/>
        <v>1.6000000000000005</v>
      </c>
      <c r="BB42" s="399">
        <f t="shared" si="154"/>
        <v>101.62601626016261</v>
      </c>
      <c r="BC42" s="66"/>
      <c r="BD42" s="66"/>
      <c r="BE42" s="396">
        <f t="shared" si="248"/>
        <v>10</v>
      </c>
      <c r="BF42" s="397">
        <f t="shared" si="249"/>
        <v>5</v>
      </c>
      <c r="BG42" s="398">
        <f t="shared" ref="BG42:BG73" si="361">IF(ISTEXT(BG41),0,IF(BG41+Δ_hba&gt;BH$3,NA(),BG41+Δ_hba))</f>
        <v>3.2000000000000015</v>
      </c>
      <c r="BH42" s="398">
        <f t="shared" si="155"/>
        <v>160.00000000000003</v>
      </c>
      <c r="BI42" s="398">
        <f t="shared" si="250"/>
        <v>10.000000000000004</v>
      </c>
      <c r="BJ42" s="398">
        <f t="shared" si="251"/>
        <v>-2.5000000000000009</v>
      </c>
      <c r="BK42" s="398">
        <f t="shared" si="252"/>
        <v>1.6000000000000005</v>
      </c>
      <c r="BL42" s="399">
        <f t="shared" si="157"/>
        <v>101.62601626016261</v>
      </c>
      <c r="BM42" s="66"/>
      <c r="BN42" s="66"/>
      <c r="BO42" s="396">
        <f t="shared" si="253"/>
        <v>10</v>
      </c>
      <c r="BP42" s="397">
        <f t="shared" si="254"/>
        <v>5</v>
      </c>
      <c r="BQ42" s="398">
        <f t="shared" ref="BQ42:BQ73" si="362">IF(ISTEXT(BQ41),0,IF(BQ41+Δ_hba&gt;BR$3,NA(),BQ41+Δ_hba))</f>
        <v>3.2000000000000015</v>
      </c>
      <c r="BR42" s="398">
        <f t="shared" si="158"/>
        <v>160.00000000000003</v>
      </c>
      <c r="BS42" s="398">
        <f t="shared" si="255"/>
        <v>10.000000000000004</v>
      </c>
      <c r="BT42" s="398">
        <f t="shared" si="256"/>
        <v>-7.5</v>
      </c>
      <c r="BU42" s="398">
        <f t="shared" si="257"/>
        <v>1.6000000000000005</v>
      </c>
      <c r="BV42" s="399">
        <f t="shared" si="160"/>
        <v>101.62601626016261</v>
      </c>
      <c r="BW42" s="66"/>
      <c r="BX42" s="66"/>
      <c r="BY42" s="396">
        <f t="shared" si="258"/>
        <v>10</v>
      </c>
      <c r="BZ42" s="397">
        <f t="shared" si="259"/>
        <v>5</v>
      </c>
      <c r="CA42" s="398">
        <f t="shared" ref="CA42:CA73" si="363">IF(ISTEXT(CA41),0,IF(CA41+Δ_hba&gt;CB$3,NA(),CA41+Δ_hba))</f>
        <v>3.2000000000000015</v>
      </c>
      <c r="CB42" s="398">
        <f t="shared" si="161"/>
        <v>160.00000000000003</v>
      </c>
      <c r="CC42" s="398">
        <f t="shared" si="260"/>
        <v>20.000000000000007</v>
      </c>
      <c r="CD42" s="398">
        <f t="shared" si="261"/>
        <v>7.5</v>
      </c>
      <c r="CE42" s="398">
        <f t="shared" si="262"/>
        <v>1.6000000000000005</v>
      </c>
      <c r="CF42" s="399">
        <f t="shared" si="163"/>
        <v>101.62601626016261</v>
      </c>
      <c r="CG42" s="66"/>
      <c r="CH42" s="66"/>
      <c r="CI42" s="396">
        <f t="shared" si="263"/>
        <v>10</v>
      </c>
      <c r="CJ42" s="397">
        <f t="shared" si="264"/>
        <v>5</v>
      </c>
      <c r="CK42" s="398">
        <f t="shared" ref="CK42:CK73" si="364">IF(ISTEXT(CK41),0,IF(CK41+Δ_hba&gt;CL$3,NA(),CK41+Δ_hba))</f>
        <v>3.2000000000000015</v>
      </c>
      <c r="CL42" s="398">
        <f t="shared" si="164"/>
        <v>160.00000000000003</v>
      </c>
      <c r="CM42" s="398">
        <f t="shared" si="265"/>
        <v>20.000000000000007</v>
      </c>
      <c r="CN42" s="398">
        <f t="shared" si="266"/>
        <v>2.5000000000000009</v>
      </c>
      <c r="CO42" s="398">
        <f t="shared" si="267"/>
        <v>1.6000000000000005</v>
      </c>
      <c r="CP42" s="399">
        <f t="shared" si="166"/>
        <v>101.62601626016261</v>
      </c>
      <c r="CQ42" s="66"/>
      <c r="CS42" s="396">
        <f t="shared" si="268"/>
        <v>10</v>
      </c>
      <c r="CT42" s="397">
        <f t="shared" si="269"/>
        <v>5</v>
      </c>
      <c r="CU42" s="398">
        <f t="shared" ref="CU42:CU73" si="365">IF(ISTEXT(CU41),0,IF(CU41+Δ_hba&gt;CV$3,NA(),CU41+Δ_hba))</f>
        <v>3.2000000000000015</v>
      </c>
      <c r="CV42" s="398">
        <f t="shared" si="167"/>
        <v>160.00000000000003</v>
      </c>
      <c r="CW42" s="398">
        <f t="shared" si="270"/>
        <v>20.000000000000007</v>
      </c>
      <c r="CX42" s="398">
        <f t="shared" si="271"/>
        <v>-2.5000000000000009</v>
      </c>
      <c r="CY42" s="398">
        <f t="shared" si="272"/>
        <v>1.6000000000000005</v>
      </c>
      <c r="CZ42" s="399">
        <f t="shared" si="169"/>
        <v>101.62601626016261</v>
      </c>
      <c r="DA42" s="66"/>
      <c r="DB42" s="66"/>
      <c r="DC42" s="396">
        <f t="shared" si="273"/>
        <v>10</v>
      </c>
      <c r="DD42" s="397">
        <f t="shared" si="274"/>
        <v>5</v>
      </c>
      <c r="DE42" s="398">
        <f t="shared" ref="DE42:DE73" si="366">IF(ISTEXT(DE41),0,IF(DE41+Δ_hba&gt;DF$3,NA(),DE41+Δ_hba))</f>
        <v>3.2000000000000015</v>
      </c>
      <c r="DF42" s="398">
        <f t="shared" si="170"/>
        <v>160.00000000000003</v>
      </c>
      <c r="DG42" s="398">
        <f t="shared" si="275"/>
        <v>20.000000000000007</v>
      </c>
      <c r="DH42" s="398">
        <f t="shared" si="276"/>
        <v>-7.5</v>
      </c>
      <c r="DI42" s="398">
        <f t="shared" si="277"/>
        <v>1.6000000000000005</v>
      </c>
      <c r="DJ42" s="399">
        <f t="shared" si="172"/>
        <v>101.62601626016261</v>
      </c>
      <c r="DK42" s="66"/>
      <c r="DM42" s="396">
        <f t="shared" si="278"/>
        <v>10</v>
      </c>
      <c r="DN42" s="397">
        <f t="shared" si="279"/>
        <v>5</v>
      </c>
      <c r="DO42" s="398">
        <f t="shared" ref="DO42:DO73" si="367">IF(ISTEXT(DO41),0,IF(DO41+Δ_hba&gt;DP$3,NA(),DO41+Δ_hba))</f>
        <v>3.2000000000000015</v>
      </c>
      <c r="DP42" s="398">
        <f t="shared" si="173"/>
        <v>160.00000000000003</v>
      </c>
      <c r="DQ42" s="398">
        <f t="shared" si="280"/>
        <v>30</v>
      </c>
      <c r="DR42" s="398">
        <f t="shared" si="281"/>
        <v>7.5</v>
      </c>
      <c r="DS42" s="398">
        <f t="shared" si="282"/>
        <v>1.6000000000000005</v>
      </c>
      <c r="DT42" s="399">
        <f t="shared" si="175"/>
        <v>101.62601626016261</v>
      </c>
      <c r="DU42" s="66"/>
      <c r="DV42" s="66"/>
      <c r="DW42" s="396">
        <f t="shared" si="283"/>
        <v>10</v>
      </c>
      <c r="DX42" s="397">
        <f t="shared" si="284"/>
        <v>5</v>
      </c>
      <c r="DY42" s="398">
        <f t="shared" ref="DY42:DY73" si="368">IF(ISTEXT(DY41),0,IF(DY41+Δ_hba&gt;DZ$3,NA(),DY41+Δ_hba))</f>
        <v>3.2000000000000015</v>
      </c>
      <c r="DZ42" s="398">
        <f t="shared" si="176"/>
        <v>160.00000000000003</v>
      </c>
      <c r="EA42" s="398">
        <f t="shared" si="285"/>
        <v>30</v>
      </c>
      <c r="EB42" s="398">
        <f t="shared" si="286"/>
        <v>2.5000000000000009</v>
      </c>
      <c r="EC42" s="398">
        <f t="shared" si="287"/>
        <v>1.6000000000000005</v>
      </c>
      <c r="ED42" s="399">
        <f t="shared" si="178"/>
        <v>101.62601626016261</v>
      </c>
      <c r="EE42" s="66"/>
      <c r="EF42" s="66"/>
      <c r="EG42" s="396">
        <f t="shared" si="288"/>
        <v>10</v>
      </c>
      <c r="EH42" s="397">
        <f t="shared" si="289"/>
        <v>5</v>
      </c>
      <c r="EI42" s="398">
        <f t="shared" ref="EI42:EI73" si="369">IF(ISTEXT(EI41),0,IF(EI41+Δ_hba&gt;EJ$3,NA(),EI41+Δ_hba))</f>
        <v>3.2000000000000015</v>
      </c>
      <c r="EJ42" s="398">
        <f t="shared" si="179"/>
        <v>160.00000000000003</v>
      </c>
      <c r="EK42" s="398">
        <f t="shared" si="290"/>
        <v>30</v>
      </c>
      <c r="EL42" s="398">
        <f t="shared" si="291"/>
        <v>-2.5000000000000009</v>
      </c>
      <c r="EM42" s="398">
        <f t="shared" si="292"/>
        <v>1.6000000000000005</v>
      </c>
      <c r="EN42" s="399">
        <f t="shared" si="181"/>
        <v>101.62601626016261</v>
      </c>
      <c r="EO42" s="66"/>
      <c r="EP42" s="66"/>
      <c r="EQ42" s="396">
        <f t="shared" si="293"/>
        <v>10</v>
      </c>
      <c r="ER42" s="397">
        <f t="shared" si="294"/>
        <v>5</v>
      </c>
      <c r="ES42" s="398">
        <f t="shared" ref="ES42:ES73" si="370">IF(ISTEXT(ES41),0,IF(ES41+Δ_hba&gt;ET$3,NA(),ES41+Δ_hba))</f>
        <v>3.2000000000000015</v>
      </c>
      <c r="ET42" s="398">
        <f t="shared" si="182"/>
        <v>160.00000000000003</v>
      </c>
      <c r="EU42" s="398">
        <f t="shared" si="295"/>
        <v>30</v>
      </c>
      <c r="EV42" s="398">
        <f t="shared" si="296"/>
        <v>-7.5</v>
      </c>
      <c r="EW42" s="398">
        <f t="shared" si="297"/>
        <v>1.6000000000000005</v>
      </c>
      <c r="EX42" s="399">
        <f t="shared" si="184"/>
        <v>101.62601626016261</v>
      </c>
      <c r="EY42" s="66"/>
      <c r="EZ42" s="66"/>
      <c r="FA42" s="396">
        <f t="shared" si="298"/>
        <v>10</v>
      </c>
      <c r="FB42" s="397">
        <f t="shared" si="299"/>
        <v>5</v>
      </c>
      <c r="FC42" s="398">
        <f t="shared" ref="FC42:FC73" si="371">IF(ISTEXT(FC41),0,IF(FC41+Δ_hba&gt;FD$3,NA(),FC41+Δ_hba))</f>
        <v>3.2000000000000015</v>
      </c>
      <c r="FD42" s="398">
        <f t="shared" si="185"/>
        <v>160.00000000000003</v>
      </c>
      <c r="FE42" s="398">
        <f t="shared" si="300"/>
        <v>40.000000000000014</v>
      </c>
      <c r="FF42" s="398">
        <f t="shared" si="301"/>
        <v>7.5</v>
      </c>
      <c r="FG42" s="398">
        <f t="shared" si="302"/>
        <v>1.6000000000000005</v>
      </c>
      <c r="FH42" s="399">
        <f t="shared" si="187"/>
        <v>101.62601626016261</v>
      </c>
      <c r="FI42" s="66"/>
      <c r="FJ42" s="66"/>
      <c r="FK42" s="396">
        <f t="shared" si="303"/>
        <v>10</v>
      </c>
      <c r="FL42" s="397">
        <f t="shared" si="304"/>
        <v>5</v>
      </c>
      <c r="FM42" s="398">
        <f t="shared" ref="FM42:FM73" si="372">IF(ISTEXT(FM41),0,IF(FM41+Δ_hba&gt;FN$3,NA(),FM41+Δ_hba))</f>
        <v>3.2000000000000015</v>
      </c>
      <c r="FN42" s="398">
        <f t="shared" si="188"/>
        <v>160.00000000000003</v>
      </c>
      <c r="FO42" s="398">
        <f t="shared" si="305"/>
        <v>40.000000000000014</v>
      </c>
      <c r="FP42" s="398">
        <f t="shared" si="306"/>
        <v>2.5000000000000009</v>
      </c>
      <c r="FQ42" s="398">
        <f t="shared" si="307"/>
        <v>1.6000000000000005</v>
      </c>
      <c r="FR42" s="399">
        <f t="shared" si="190"/>
        <v>101.62601626016261</v>
      </c>
      <c r="FS42" s="66"/>
      <c r="FT42" s="66"/>
      <c r="FU42" s="396">
        <f t="shared" si="308"/>
        <v>10</v>
      </c>
      <c r="FV42" s="397">
        <f t="shared" si="309"/>
        <v>5</v>
      </c>
      <c r="FW42" s="398">
        <f t="shared" ref="FW42:FW73" si="373">IF(ISTEXT(FW41),0,IF(FW41+Δ_hba&gt;FX$3,NA(),FW41+Δ_hba))</f>
        <v>3.2000000000000015</v>
      </c>
      <c r="FX42" s="398">
        <f t="shared" si="191"/>
        <v>160.00000000000003</v>
      </c>
      <c r="FY42" s="398">
        <f t="shared" si="310"/>
        <v>40.000000000000014</v>
      </c>
      <c r="FZ42" s="398">
        <f t="shared" si="311"/>
        <v>-2.5000000000000009</v>
      </c>
      <c r="GA42" s="398">
        <f t="shared" si="312"/>
        <v>1.6000000000000005</v>
      </c>
      <c r="GB42" s="399">
        <f t="shared" si="193"/>
        <v>101.62601626016261</v>
      </c>
      <c r="GC42" s="66"/>
      <c r="GD42" s="66"/>
      <c r="GE42" s="396">
        <f t="shared" si="313"/>
        <v>10</v>
      </c>
      <c r="GF42" s="397">
        <f t="shared" si="314"/>
        <v>5</v>
      </c>
      <c r="GG42" s="398">
        <f t="shared" ref="GG42:GG73" si="374">IF(ISTEXT(GG41),0,IF(GG41+Δ_hba&gt;GH$3,NA(),GG41+Δ_hba))</f>
        <v>3.2000000000000015</v>
      </c>
      <c r="GH42" s="398">
        <f t="shared" si="194"/>
        <v>160.00000000000003</v>
      </c>
      <c r="GI42" s="398">
        <f t="shared" si="315"/>
        <v>40.000000000000014</v>
      </c>
      <c r="GJ42" s="398">
        <f t="shared" si="316"/>
        <v>-7.5</v>
      </c>
      <c r="GK42" s="398">
        <f t="shared" si="317"/>
        <v>1.6000000000000005</v>
      </c>
      <c r="GL42" s="399">
        <f t="shared" si="196"/>
        <v>101.62601626016261</v>
      </c>
      <c r="GM42" s="66"/>
      <c r="GN42" s="66"/>
      <c r="GO42" s="396">
        <f t="shared" si="318"/>
        <v>10</v>
      </c>
      <c r="GP42" s="397">
        <f t="shared" si="319"/>
        <v>5</v>
      </c>
      <c r="GQ42" s="398">
        <f t="shared" ref="GQ42:GQ73" si="375">IF(ISTEXT(GQ41),0,IF(GQ41+Δ_hba&gt;GR$3,NA(),GQ41+Δ_hba))</f>
        <v>3.2000000000000015</v>
      </c>
      <c r="GR42" s="398">
        <f t="shared" si="197"/>
        <v>160.00000000000003</v>
      </c>
      <c r="GS42" s="398">
        <f t="shared" si="320"/>
        <v>50</v>
      </c>
      <c r="GT42" s="398">
        <f t="shared" si="321"/>
        <v>7.5</v>
      </c>
      <c r="GU42" s="398">
        <f t="shared" si="322"/>
        <v>1.6000000000000005</v>
      </c>
      <c r="GV42" s="399">
        <f t="shared" si="199"/>
        <v>101.62601626016261</v>
      </c>
      <c r="GW42" s="66"/>
      <c r="GX42" s="66"/>
      <c r="GY42" s="396">
        <f t="shared" si="323"/>
        <v>10</v>
      </c>
      <c r="GZ42" s="397">
        <f t="shared" si="324"/>
        <v>5</v>
      </c>
      <c r="HA42" s="398">
        <f t="shared" ref="HA42:HA73" si="376">IF(ISTEXT(HA41),0,IF(HA41+Δ_hba&gt;HB$3,NA(),HA41+Δ_hba))</f>
        <v>3.2000000000000015</v>
      </c>
      <c r="HB42" s="398">
        <f t="shared" si="200"/>
        <v>160.00000000000003</v>
      </c>
      <c r="HC42" s="398">
        <f t="shared" si="325"/>
        <v>50</v>
      </c>
      <c r="HD42" s="398">
        <f t="shared" si="326"/>
        <v>2.5000000000000009</v>
      </c>
      <c r="HE42" s="398">
        <f t="shared" si="327"/>
        <v>1.6000000000000005</v>
      </c>
      <c r="HF42" s="399">
        <f t="shared" si="202"/>
        <v>101.62601626016261</v>
      </c>
      <c r="HH42" s="66"/>
      <c r="HI42" s="396">
        <f t="shared" si="328"/>
        <v>10</v>
      </c>
      <c r="HJ42" s="397">
        <f t="shared" si="329"/>
        <v>5</v>
      </c>
      <c r="HK42" s="398">
        <f t="shared" ref="HK42:HK73" si="377">IF(ISTEXT(HK41),0,IF(HK41+Δ_hba&gt;HL$3,NA(),HK41+Δ_hba))</f>
        <v>3.2000000000000015</v>
      </c>
      <c r="HL42" s="398">
        <f t="shared" si="203"/>
        <v>160.00000000000003</v>
      </c>
      <c r="HM42" s="398">
        <f t="shared" si="330"/>
        <v>50</v>
      </c>
      <c r="HN42" s="398">
        <f t="shared" si="331"/>
        <v>-2.5000000000000009</v>
      </c>
      <c r="HO42" s="398">
        <f t="shared" si="332"/>
        <v>1.6000000000000005</v>
      </c>
      <c r="HP42" s="399">
        <f t="shared" si="205"/>
        <v>101.62601626016261</v>
      </c>
      <c r="HQ42" s="66"/>
      <c r="HR42" s="66"/>
      <c r="HS42" s="396">
        <f t="shared" si="333"/>
        <v>10</v>
      </c>
      <c r="HT42" s="397">
        <f t="shared" si="334"/>
        <v>5</v>
      </c>
      <c r="HU42" s="398">
        <f t="shared" ref="HU42:HU73" si="378">IF(ISTEXT(HU41),0,IF(HU41+Δ_hba&gt;HV$3,NA(),HU41+Δ_hba))</f>
        <v>3.2000000000000015</v>
      </c>
      <c r="HV42" s="398">
        <f t="shared" si="206"/>
        <v>160.00000000000003</v>
      </c>
      <c r="HW42" s="398">
        <f t="shared" si="335"/>
        <v>50</v>
      </c>
      <c r="HX42" s="398">
        <f t="shared" si="336"/>
        <v>-7.5</v>
      </c>
      <c r="HY42" s="398">
        <f t="shared" si="337"/>
        <v>1.6000000000000005</v>
      </c>
      <c r="HZ42" s="399">
        <f t="shared" si="208"/>
        <v>101.62601626016261</v>
      </c>
      <c r="IA42" s="66"/>
      <c r="IB42" s="66"/>
      <c r="IC42" s="396">
        <f t="shared" si="338"/>
        <v>5</v>
      </c>
      <c r="ID42" s="397">
        <f t="shared" si="339"/>
        <v>20</v>
      </c>
      <c r="IE42" s="398">
        <f t="shared" ref="IE42:IE73" si="379">IF(ISTEXT(IE41),0,IF(IE41+Δ_hba&gt;IF$3,NA(),IE41+Δ_hba))</f>
        <v>3.2000000000000015</v>
      </c>
      <c r="IF42" s="398">
        <f t="shared" si="209"/>
        <v>178.6159557232759</v>
      </c>
      <c r="IG42" s="398">
        <f t="shared" si="340"/>
        <v>56.841459824897917</v>
      </c>
      <c r="IH42" s="398">
        <f t="shared" si="341"/>
        <v>0</v>
      </c>
      <c r="II42" s="398">
        <f t="shared" si="342"/>
        <v>2.1206540329939467</v>
      </c>
      <c r="IJ42" s="399">
        <f t="shared" si="211"/>
        <v>3252.0325203252037</v>
      </c>
      <c r="IK42" s="66"/>
      <c r="IL42" s="66"/>
      <c r="IM42" s="396">
        <f t="shared" si="343"/>
        <v>11</v>
      </c>
      <c r="IN42" s="397">
        <f t="shared" si="344"/>
        <v>13.75</v>
      </c>
      <c r="IO42" s="398">
        <f t="shared" ref="IO42:IO73" si="380">IF(ISTEXT(IO41),0,IF(IO41+Δ_hba&gt;IP$3,NA(),IO41+Δ_hba))</f>
        <v>3.2000000000000015</v>
      </c>
      <c r="IP42" s="398">
        <f t="shared" si="212"/>
        <v>459.40359441245005</v>
      </c>
      <c r="IQ42" s="398">
        <f t="shared" si="345"/>
        <v>67.863838249185264</v>
      </c>
      <c r="IR42" s="398">
        <f t="shared" si="346"/>
        <v>6.8749999999999991</v>
      </c>
      <c r="IS42" s="398">
        <f t="shared" si="347"/>
        <v>1.6642319900897014</v>
      </c>
      <c r="IT42" s="399">
        <f t="shared" si="214"/>
        <v>2324.8539126016262</v>
      </c>
      <c r="IU42" s="66"/>
      <c r="IV42" s="66"/>
      <c r="IW42" s="396">
        <f t="shared" si="116"/>
        <v>11</v>
      </c>
      <c r="IX42" s="397">
        <f t="shared" si="117"/>
        <v>13.75</v>
      </c>
      <c r="IY42" s="398">
        <f t="shared" si="118"/>
        <v>3.2000000000000015</v>
      </c>
      <c r="IZ42" s="398">
        <f t="shared" si="348"/>
        <v>459.40359441245005</v>
      </c>
      <c r="JA42" s="398">
        <f t="shared" si="119"/>
        <v>67.863838249185264</v>
      </c>
      <c r="JB42" s="398">
        <f t="shared" si="120"/>
        <v>-6.8749999999999991</v>
      </c>
      <c r="JC42" s="398">
        <f t="shared" si="216"/>
        <v>1.6642319900897014</v>
      </c>
      <c r="JD42" s="399">
        <f t="shared" si="217"/>
        <v>2324.8539126016262</v>
      </c>
      <c r="JE42" s="66"/>
      <c r="JF42" s="66"/>
      <c r="JG42" s="396">
        <f t="shared" si="121"/>
        <v>7.26</v>
      </c>
      <c r="JH42" s="397">
        <f t="shared" si="122"/>
        <v>6.875</v>
      </c>
      <c r="JI42" s="398">
        <f t="shared" si="123"/>
        <v>3.2000000000000015</v>
      </c>
      <c r="JJ42" s="398">
        <f t="shared" si="349"/>
        <v>87.191056104059911</v>
      </c>
      <c r="JK42" s="398">
        <f t="shared" si="124"/>
        <v>72.225403943546226</v>
      </c>
      <c r="JL42" s="398">
        <f t="shared" si="125"/>
        <v>10.3125</v>
      </c>
      <c r="JM42" s="398">
        <f t="shared" si="219"/>
        <v>3.3215090520972339</v>
      </c>
      <c r="JN42" s="399">
        <f t="shared" si="220"/>
        <v>191.80044778963418</v>
      </c>
      <c r="JO42" s="66"/>
      <c r="JP42" s="66"/>
      <c r="JQ42" s="396">
        <f t="shared" si="126"/>
        <v>7.26</v>
      </c>
      <c r="JR42" s="397">
        <f t="shared" si="127"/>
        <v>6.875</v>
      </c>
      <c r="JS42" s="398">
        <f t="shared" si="128"/>
        <v>3.2000000000000015</v>
      </c>
      <c r="JT42" s="398">
        <f t="shared" si="350"/>
        <v>87.191056104059911</v>
      </c>
      <c r="JU42" s="398">
        <f t="shared" si="129"/>
        <v>72.225403943546226</v>
      </c>
      <c r="JV42" s="398">
        <f t="shared" si="130"/>
        <v>3.4374999999999996</v>
      </c>
      <c r="JW42" s="398">
        <f t="shared" si="222"/>
        <v>3.3215090520972339</v>
      </c>
      <c r="JX42" s="399">
        <f t="shared" si="223"/>
        <v>191.80044778963418</v>
      </c>
      <c r="JY42" s="66"/>
      <c r="JZ42" s="66"/>
      <c r="KA42" s="396">
        <f t="shared" si="131"/>
        <v>7.26</v>
      </c>
      <c r="KB42" s="397">
        <f t="shared" si="132"/>
        <v>6.875</v>
      </c>
      <c r="KC42" s="398">
        <f t="shared" si="133"/>
        <v>3.2000000000000015</v>
      </c>
      <c r="KD42" s="398">
        <f t="shared" si="351"/>
        <v>87.191056104059911</v>
      </c>
      <c r="KE42" s="398">
        <f t="shared" si="134"/>
        <v>72.225403943546226</v>
      </c>
      <c r="KF42" s="398">
        <f t="shared" si="135"/>
        <v>-3.4374999999999996</v>
      </c>
      <c r="KG42" s="398">
        <f t="shared" si="225"/>
        <v>3.3215090520972339</v>
      </c>
      <c r="KH42" s="399">
        <f t="shared" si="226"/>
        <v>191.80044778963418</v>
      </c>
      <c r="KI42" s="66"/>
      <c r="KJ42" s="66"/>
      <c r="KK42" s="396">
        <f t="shared" si="136"/>
        <v>7.26</v>
      </c>
      <c r="KL42" s="397">
        <f t="shared" si="137"/>
        <v>6.875</v>
      </c>
      <c r="KM42" s="398">
        <f t="shared" si="138"/>
        <v>3.2000000000000015</v>
      </c>
      <c r="KN42" s="398">
        <f t="shared" si="352"/>
        <v>87.191056104059911</v>
      </c>
      <c r="KO42" s="398">
        <f t="shared" si="139"/>
        <v>72.225403943546226</v>
      </c>
      <c r="KP42" s="398">
        <f t="shared" si="140"/>
        <v>-10.3125</v>
      </c>
      <c r="KQ42" s="398">
        <f t="shared" si="228"/>
        <v>3.3215090520972339</v>
      </c>
      <c r="KR42" s="399">
        <f t="shared" si="229"/>
        <v>191.80044778963418</v>
      </c>
      <c r="KS42" s="66"/>
      <c r="KT42" s="66"/>
      <c r="KU42" s="396">
        <f t="shared" si="353"/>
        <v>5</v>
      </c>
      <c r="KV42" s="397">
        <f t="shared" si="354"/>
        <v>5</v>
      </c>
      <c r="KW42" s="398">
        <f t="shared" ref="KW42:KW73" si="381">IF(ISTEXT(KW41),0,IF(KW41+Δ_hba&gt;KX$3,NA(),KW41+Δ_hba))</f>
        <v>3.2000000000000015</v>
      </c>
      <c r="KX42" s="398">
        <f t="shared" si="230"/>
        <v>80.000000000000014</v>
      </c>
      <c r="KY42" s="398">
        <f t="shared" si="355"/>
        <v>57.5</v>
      </c>
      <c r="KZ42" s="398">
        <f t="shared" si="356"/>
        <v>0</v>
      </c>
      <c r="LA42" s="398">
        <f t="shared" si="357"/>
        <v>1.6000000000000005</v>
      </c>
      <c r="LB42" s="399">
        <f t="shared" si="232"/>
        <v>50.813008130081307</v>
      </c>
      <c r="LC42" s="66"/>
    </row>
    <row r="43" spans="1:315" s="67" customFormat="1" x14ac:dyDescent="0.25">
      <c r="A43" s="481"/>
      <c r="B43" s="1"/>
      <c r="C43" s="1"/>
      <c r="D43" s="1"/>
      <c r="E43" s="1"/>
      <c r="F43" s="1"/>
      <c r="G43" s="1"/>
      <c r="H43" s="1"/>
      <c r="I43" s="1"/>
      <c r="J43" s="1"/>
      <c r="K43" s="1"/>
      <c r="L43" s="1"/>
      <c r="M43" s="1"/>
      <c r="N43" s="1"/>
      <c r="O43" s="1"/>
      <c r="P43" s="1"/>
      <c r="Q43" s="1"/>
      <c r="R43" s="1"/>
      <c r="S43" s="1"/>
      <c r="T43" s="1"/>
      <c r="U43" s="1"/>
      <c r="V43" s="1"/>
      <c r="W43" s="1"/>
      <c r="X43" s="1"/>
      <c r="Y43" s="481"/>
      <c r="Z43" s="413"/>
      <c r="AA43" s="396">
        <f t="shared" si="233"/>
        <v>5</v>
      </c>
      <c r="AB43" s="397">
        <f t="shared" si="234"/>
        <v>20</v>
      </c>
      <c r="AC43" s="398">
        <f t="shared" si="358"/>
        <v>3.3000000000000016</v>
      </c>
      <c r="AD43" s="398">
        <f t="shared" si="146"/>
        <v>189.1839510201726</v>
      </c>
      <c r="AE43" s="398">
        <f t="shared" si="235"/>
        <v>3.1191440073904446</v>
      </c>
      <c r="AF43" s="398">
        <f t="shared" si="236"/>
        <v>0</v>
      </c>
      <c r="AG43" s="398">
        <f t="shared" si="237"/>
        <v>2.1796907145143454</v>
      </c>
      <c r="AH43" s="399">
        <f t="shared" si="148"/>
        <v>3252.0325203252037</v>
      </c>
      <c r="AI43" s="367"/>
      <c r="AJ43" s="66"/>
      <c r="AK43" s="396">
        <f t="shared" si="238"/>
        <v>10</v>
      </c>
      <c r="AL43" s="397">
        <f t="shared" si="239"/>
        <v>5</v>
      </c>
      <c r="AM43" s="398">
        <f t="shared" si="359"/>
        <v>3.3000000000000016</v>
      </c>
      <c r="AN43" s="398">
        <f t="shared" si="149"/>
        <v>165.00000000000003</v>
      </c>
      <c r="AO43" s="398">
        <f t="shared" si="240"/>
        <v>10.000000000000004</v>
      </c>
      <c r="AP43" s="398">
        <f t="shared" si="241"/>
        <v>7.5</v>
      </c>
      <c r="AQ43" s="398">
        <f t="shared" si="242"/>
        <v>1.6500000000000004</v>
      </c>
      <c r="AR43" s="399">
        <f t="shared" si="151"/>
        <v>101.62601626016261</v>
      </c>
      <c r="AS43" s="66"/>
      <c r="AT43" s="66"/>
      <c r="AU43" s="396">
        <f t="shared" si="243"/>
        <v>10</v>
      </c>
      <c r="AV43" s="397">
        <f t="shared" si="244"/>
        <v>5</v>
      </c>
      <c r="AW43" s="398">
        <f t="shared" si="360"/>
        <v>3.3000000000000016</v>
      </c>
      <c r="AX43" s="398">
        <f t="shared" si="152"/>
        <v>165.00000000000003</v>
      </c>
      <c r="AY43" s="398">
        <f t="shared" si="245"/>
        <v>10.000000000000004</v>
      </c>
      <c r="AZ43" s="398">
        <f t="shared" si="246"/>
        <v>2.5000000000000009</v>
      </c>
      <c r="BA43" s="398">
        <f t="shared" si="247"/>
        <v>1.6500000000000004</v>
      </c>
      <c r="BB43" s="399">
        <f t="shared" si="154"/>
        <v>101.62601626016261</v>
      </c>
      <c r="BC43" s="66"/>
      <c r="BD43" s="66"/>
      <c r="BE43" s="396">
        <f t="shared" si="248"/>
        <v>10</v>
      </c>
      <c r="BF43" s="397">
        <f t="shared" si="249"/>
        <v>5</v>
      </c>
      <c r="BG43" s="398">
        <f t="shared" si="361"/>
        <v>3.3000000000000016</v>
      </c>
      <c r="BH43" s="398">
        <f t="shared" si="155"/>
        <v>165.00000000000003</v>
      </c>
      <c r="BI43" s="398">
        <f t="shared" si="250"/>
        <v>10.000000000000004</v>
      </c>
      <c r="BJ43" s="398">
        <f t="shared" si="251"/>
        <v>-2.5000000000000009</v>
      </c>
      <c r="BK43" s="398">
        <f t="shared" si="252"/>
        <v>1.6500000000000004</v>
      </c>
      <c r="BL43" s="399">
        <f t="shared" si="157"/>
        <v>101.62601626016261</v>
      </c>
      <c r="BM43" s="66"/>
      <c r="BN43" s="66"/>
      <c r="BO43" s="396">
        <f t="shared" si="253"/>
        <v>10</v>
      </c>
      <c r="BP43" s="397">
        <f t="shared" si="254"/>
        <v>5</v>
      </c>
      <c r="BQ43" s="398">
        <f t="shared" si="362"/>
        <v>3.3000000000000016</v>
      </c>
      <c r="BR43" s="398">
        <f t="shared" si="158"/>
        <v>165.00000000000003</v>
      </c>
      <c r="BS43" s="398">
        <f t="shared" si="255"/>
        <v>10.000000000000004</v>
      </c>
      <c r="BT43" s="398">
        <f t="shared" si="256"/>
        <v>-7.5</v>
      </c>
      <c r="BU43" s="398">
        <f t="shared" si="257"/>
        <v>1.6500000000000004</v>
      </c>
      <c r="BV43" s="399">
        <f t="shared" si="160"/>
        <v>101.62601626016261</v>
      </c>
      <c r="BW43" s="66"/>
      <c r="BX43" s="66"/>
      <c r="BY43" s="396">
        <f t="shared" si="258"/>
        <v>10</v>
      </c>
      <c r="BZ43" s="397">
        <f t="shared" si="259"/>
        <v>5</v>
      </c>
      <c r="CA43" s="398">
        <f t="shared" si="363"/>
        <v>3.3000000000000016</v>
      </c>
      <c r="CB43" s="398">
        <f t="shared" si="161"/>
        <v>165.00000000000003</v>
      </c>
      <c r="CC43" s="398">
        <f t="shared" si="260"/>
        <v>20.000000000000007</v>
      </c>
      <c r="CD43" s="398">
        <f t="shared" si="261"/>
        <v>7.5</v>
      </c>
      <c r="CE43" s="398">
        <f t="shared" si="262"/>
        <v>1.6500000000000004</v>
      </c>
      <c r="CF43" s="399">
        <f t="shared" si="163"/>
        <v>101.62601626016261</v>
      </c>
      <c r="CG43" s="66"/>
      <c r="CH43" s="66"/>
      <c r="CI43" s="396">
        <f t="shared" si="263"/>
        <v>10</v>
      </c>
      <c r="CJ43" s="397">
        <f t="shared" si="264"/>
        <v>5</v>
      </c>
      <c r="CK43" s="398">
        <f t="shared" si="364"/>
        <v>3.3000000000000016</v>
      </c>
      <c r="CL43" s="398">
        <f t="shared" si="164"/>
        <v>165.00000000000003</v>
      </c>
      <c r="CM43" s="398">
        <f t="shared" si="265"/>
        <v>20.000000000000007</v>
      </c>
      <c r="CN43" s="398">
        <f t="shared" si="266"/>
        <v>2.5000000000000009</v>
      </c>
      <c r="CO43" s="398">
        <f t="shared" si="267"/>
        <v>1.6500000000000004</v>
      </c>
      <c r="CP43" s="399">
        <f t="shared" si="166"/>
        <v>101.62601626016261</v>
      </c>
      <c r="CQ43" s="66"/>
      <c r="CS43" s="396">
        <f t="shared" si="268"/>
        <v>10</v>
      </c>
      <c r="CT43" s="397">
        <f t="shared" si="269"/>
        <v>5</v>
      </c>
      <c r="CU43" s="398">
        <f t="shared" si="365"/>
        <v>3.3000000000000016</v>
      </c>
      <c r="CV43" s="398">
        <f t="shared" si="167"/>
        <v>165.00000000000003</v>
      </c>
      <c r="CW43" s="398">
        <f t="shared" si="270"/>
        <v>20.000000000000007</v>
      </c>
      <c r="CX43" s="398">
        <f t="shared" si="271"/>
        <v>-2.5000000000000009</v>
      </c>
      <c r="CY43" s="398">
        <f t="shared" si="272"/>
        <v>1.6500000000000004</v>
      </c>
      <c r="CZ43" s="399">
        <f t="shared" si="169"/>
        <v>101.62601626016261</v>
      </c>
      <c r="DA43" s="66"/>
      <c r="DB43" s="66"/>
      <c r="DC43" s="396">
        <f t="shared" si="273"/>
        <v>10</v>
      </c>
      <c r="DD43" s="397">
        <f t="shared" si="274"/>
        <v>5</v>
      </c>
      <c r="DE43" s="398">
        <f t="shared" si="366"/>
        <v>3.3000000000000016</v>
      </c>
      <c r="DF43" s="398">
        <f t="shared" si="170"/>
        <v>165.00000000000003</v>
      </c>
      <c r="DG43" s="398">
        <f t="shared" si="275"/>
        <v>20.000000000000007</v>
      </c>
      <c r="DH43" s="398">
        <f t="shared" si="276"/>
        <v>-7.5</v>
      </c>
      <c r="DI43" s="398">
        <f t="shared" si="277"/>
        <v>1.6500000000000004</v>
      </c>
      <c r="DJ43" s="399">
        <f t="shared" si="172"/>
        <v>101.62601626016261</v>
      </c>
      <c r="DK43" s="66"/>
      <c r="DM43" s="396">
        <f t="shared" si="278"/>
        <v>10</v>
      </c>
      <c r="DN43" s="397">
        <f t="shared" si="279"/>
        <v>5</v>
      </c>
      <c r="DO43" s="398">
        <f t="shared" si="367"/>
        <v>3.3000000000000016</v>
      </c>
      <c r="DP43" s="398">
        <f t="shared" si="173"/>
        <v>165.00000000000003</v>
      </c>
      <c r="DQ43" s="398">
        <f t="shared" si="280"/>
        <v>30</v>
      </c>
      <c r="DR43" s="398">
        <f t="shared" si="281"/>
        <v>7.5</v>
      </c>
      <c r="DS43" s="398">
        <f t="shared" si="282"/>
        <v>1.6500000000000004</v>
      </c>
      <c r="DT43" s="399">
        <f t="shared" si="175"/>
        <v>101.62601626016261</v>
      </c>
      <c r="DU43" s="66"/>
      <c r="DV43" s="66"/>
      <c r="DW43" s="396">
        <f t="shared" si="283"/>
        <v>10</v>
      </c>
      <c r="DX43" s="397">
        <f t="shared" si="284"/>
        <v>5</v>
      </c>
      <c r="DY43" s="398">
        <f t="shared" si="368"/>
        <v>3.3000000000000016</v>
      </c>
      <c r="DZ43" s="398">
        <f t="shared" si="176"/>
        <v>165.00000000000003</v>
      </c>
      <c r="EA43" s="398">
        <f t="shared" si="285"/>
        <v>30</v>
      </c>
      <c r="EB43" s="398">
        <f t="shared" si="286"/>
        <v>2.5000000000000009</v>
      </c>
      <c r="EC43" s="398">
        <f t="shared" si="287"/>
        <v>1.6500000000000004</v>
      </c>
      <c r="ED43" s="399">
        <f t="shared" si="178"/>
        <v>101.62601626016261</v>
      </c>
      <c r="EE43" s="66"/>
      <c r="EF43" s="66"/>
      <c r="EG43" s="396">
        <f t="shared" si="288"/>
        <v>10</v>
      </c>
      <c r="EH43" s="397">
        <f t="shared" si="289"/>
        <v>5</v>
      </c>
      <c r="EI43" s="398">
        <f t="shared" si="369"/>
        <v>3.3000000000000016</v>
      </c>
      <c r="EJ43" s="398">
        <f t="shared" si="179"/>
        <v>165.00000000000003</v>
      </c>
      <c r="EK43" s="398">
        <f t="shared" si="290"/>
        <v>30</v>
      </c>
      <c r="EL43" s="398">
        <f t="shared" si="291"/>
        <v>-2.5000000000000009</v>
      </c>
      <c r="EM43" s="398">
        <f t="shared" si="292"/>
        <v>1.6500000000000004</v>
      </c>
      <c r="EN43" s="399">
        <f t="shared" si="181"/>
        <v>101.62601626016261</v>
      </c>
      <c r="EO43" s="66"/>
      <c r="EP43" s="66"/>
      <c r="EQ43" s="396">
        <f t="shared" si="293"/>
        <v>10</v>
      </c>
      <c r="ER43" s="397">
        <f t="shared" si="294"/>
        <v>5</v>
      </c>
      <c r="ES43" s="398">
        <f t="shared" si="370"/>
        <v>3.3000000000000016</v>
      </c>
      <c r="ET43" s="398">
        <f t="shared" si="182"/>
        <v>165.00000000000003</v>
      </c>
      <c r="EU43" s="398">
        <f t="shared" si="295"/>
        <v>30</v>
      </c>
      <c r="EV43" s="398">
        <f t="shared" si="296"/>
        <v>-7.5</v>
      </c>
      <c r="EW43" s="398">
        <f t="shared" si="297"/>
        <v>1.6500000000000004</v>
      </c>
      <c r="EX43" s="399">
        <f t="shared" si="184"/>
        <v>101.62601626016261</v>
      </c>
      <c r="EY43" s="66"/>
      <c r="EZ43" s="66"/>
      <c r="FA43" s="396">
        <f t="shared" si="298"/>
        <v>10</v>
      </c>
      <c r="FB43" s="397">
        <f t="shared" si="299"/>
        <v>5</v>
      </c>
      <c r="FC43" s="398">
        <f t="shared" si="371"/>
        <v>3.3000000000000016</v>
      </c>
      <c r="FD43" s="398">
        <f t="shared" si="185"/>
        <v>165.00000000000003</v>
      </c>
      <c r="FE43" s="398">
        <f t="shared" si="300"/>
        <v>40.000000000000014</v>
      </c>
      <c r="FF43" s="398">
        <f t="shared" si="301"/>
        <v>7.5</v>
      </c>
      <c r="FG43" s="398">
        <f t="shared" si="302"/>
        <v>1.6500000000000004</v>
      </c>
      <c r="FH43" s="399">
        <f t="shared" si="187"/>
        <v>101.62601626016261</v>
      </c>
      <c r="FI43" s="66"/>
      <c r="FJ43" s="66"/>
      <c r="FK43" s="396">
        <f t="shared" si="303"/>
        <v>10</v>
      </c>
      <c r="FL43" s="397">
        <f t="shared" si="304"/>
        <v>5</v>
      </c>
      <c r="FM43" s="398">
        <f t="shared" si="372"/>
        <v>3.3000000000000016</v>
      </c>
      <c r="FN43" s="398">
        <f t="shared" si="188"/>
        <v>165.00000000000003</v>
      </c>
      <c r="FO43" s="398">
        <f t="shared" si="305"/>
        <v>40.000000000000014</v>
      </c>
      <c r="FP43" s="398">
        <f t="shared" si="306"/>
        <v>2.5000000000000009</v>
      </c>
      <c r="FQ43" s="398">
        <f t="shared" si="307"/>
        <v>1.6500000000000004</v>
      </c>
      <c r="FR43" s="399">
        <f t="shared" si="190"/>
        <v>101.62601626016261</v>
      </c>
      <c r="FS43" s="66"/>
      <c r="FT43" s="66"/>
      <c r="FU43" s="396">
        <f t="shared" si="308"/>
        <v>10</v>
      </c>
      <c r="FV43" s="397">
        <f t="shared" si="309"/>
        <v>5</v>
      </c>
      <c r="FW43" s="398">
        <f t="shared" si="373"/>
        <v>3.3000000000000016</v>
      </c>
      <c r="FX43" s="398">
        <f t="shared" si="191"/>
        <v>165.00000000000003</v>
      </c>
      <c r="FY43" s="398">
        <f t="shared" si="310"/>
        <v>40.000000000000014</v>
      </c>
      <c r="FZ43" s="398">
        <f t="shared" si="311"/>
        <v>-2.5000000000000009</v>
      </c>
      <c r="GA43" s="398">
        <f t="shared" si="312"/>
        <v>1.6500000000000004</v>
      </c>
      <c r="GB43" s="399">
        <f t="shared" si="193"/>
        <v>101.62601626016261</v>
      </c>
      <c r="GC43" s="66"/>
      <c r="GD43" s="66"/>
      <c r="GE43" s="396">
        <f t="shared" si="313"/>
        <v>10</v>
      </c>
      <c r="GF43" s="397">
        <f t="shared" si="314"/>
        <v>5</v>
      </c>
      <c r="GG43" s="398">
        <f t="shared" si="374"/>
        <v>3.3000000000000016</v>
      </c>
      <c r="GH43" s="398">
        <f t="shared" si="194"/>
        <v>165.00000000000003</v>
      </c>
      <c r="GI43" s="398">
        <f t="shared" si="315"/>
        <v>40.000000000000014</v>
      </c>
      <c r="GJ43" s="398">
        <f t="shared" si="316"/>
        <v>-7.5</v>
      </c>
      <c r="GK43" s="398">
        <f t="shared" si="317"/>
        <v>1.6500000000000004</v>
      </c>
      <c r="GL43" s="399">
        <f t="shared" si="196"/>
        <v>101.62601626016261</v>
      </c>
      <c r="GM43" s="66"/>
      <c r="GN43" s="66"/>
      <c r="GO43" s="396">
        <f t="shared" si="318"/>
        <v>10</v>
      </c>
      <c r="GP43" s="397">
        <f t="shared" si="319"/>
        <v>5</v>
      </c>
      <c r="GQ43" s="398">
        <f t="shared" si="375"/>
        <v>3.3000000000000016</v>
      </c>
      <c r="GR43" s="398">
        <f t="shared" si="197"/>
        <v>165.00000000000003</v>
      </c>
      <c r="GS43" s="398">
        <f t="shared" si="320"/>
        <v>50</v>
      </c>
      <c r="GT43" s="398">
        <f t="shared" si="321"/>
        <v>7.5</v>
      </c>
      <c r="GU43" s="398">
        <f t="shared" si="322"/>
        <v>1.6500000000000004</v>
      </c>
      <c r="GV43" s="399">
        <f t="shared" si="199"/>
        <v>101.62601626016261</v>
      </c>
      <c r="GW43" s="66"/>
      <c r="GX43" s="66"/>
      <c r="GY43" s="396">
        <f t="shared" si="323"/>
        <v>10</v>
      </c>
      <c r="GZ43" s="397">
        <f t="shared" si="324"/>
        <v>5</v>
      </c>
      <c r="HA43" s="398">
        <f t="shared" si="376"/>
        <v>3.3000000000000016</v>
      </c>
      <c r="HB43" s="398">
        <f t="shared" si="200"/>
        <v>165.00000000000003</v>
      </c>
      <c r="HC43" s="398">
        <f t="shared" si="325"/>
        <v>50</v>
      </c>
      <c r="HD43" s="398">
        <f t="shared" si="326"/>
        <v>2.5000000000000009</v>
      </c>
      <c r="HE43" s="398">
        <f t="shared" si="327"/>
        <v>1.6500000000000004</v>
      </c>
      <c r="HF43" s="399">
        <f t="shared" si="202"/>
        <v>101.62601626016261</v>
      </c>
      <c r="HH43" s="66"/>
      <c r="HI43" s="396">
        <f t="shared" si="328"/>
        <v>10</v>
      </c>
      <c r="HJ43" s="397">
        <f t="shared" si="329"/>
        <v>5</v>
      </c>
      <c r="HK43" s="398">
        <f t="shared" si="377"/>
        <v>3.3000000000000016</v>
      </c>
      <c r="HL43" s="398">
        <f t="shared" si="203"/>
        <v>165.00000000000003</v>
      </c>
      <c r="HM43" s="398">
        <f t="shared" si="330"/>
        <v>50</v>
      </c>
      <c r="HN43" s="398">
        <f t="shared" si="331"/>
        <v>-2.5000000000000009</v>
      </c>
      <c r="HO43" s="398">
        <f t="shared" si="332"/>
        <v>1.6500000000000004</v>
      </c>
      <c r="HP43" s="399">
        <f t="shared" si="205"/>
        <v>101.62601626016261</v>
      </c>
      <c r="HQ43" s="66"/>
      <c r="HR43" s="66"/>
      <c r="HS43" s="396">
        <f t="shared" si="333"/>
        <v>10</v>
      </c>
      <c r="HT43" s="397">
        <f t="shared" si="334"/>
        <v>5</v>
      </c>
      <c r="HU43" s="398">
        <f t="shared" si="378"/>
        <v>3.3000000000000016</v>
      </c>
      <c r="HV43" s="398">
        <f t="shared" si="206"/>
        <v>165.00000000000003</v>
      </c>
      <c r="HW43" s="398">
        <f t="shared" si="335"/>
        <v>50</v>
      </c>
      <c r="HX43" s="398">
        <f t="shared" si="336"/>
        <v>-7.5</v>
      </c>
      <c r="HY43" s="398">
        <f t="shared" si="337"/>
        <v>1.6500000000000004</v>
      </c>
      <c r="HZ43" s="399">
        <f t="shared" si="208"/>
        <v>101.62601626016261</v>
      </c>
      <c r="IA43" s="66"/>
      <c r="IB43" s="66"/>
      <c r="IC43" s="396">
        <f t="shared" si="338"/>
        <v>5</v>
      </c>
      <c r="ID43" s="397">
        <f t="shared" si="339"/>
        <v>20</v>
      </c>
      <c r="IE43" s="398">
        <f t="shared" si="379"/>
        <v>3.3000000000000016</v>
      </c>
      <c r="IF43" s="398">
        <f t="shared" si="209"/>
        <v>188.6159557232759</v>
      </c>
      <c r="IG43" s="398">
        <f t="shared" si="340"/>
        <v>56.876374165658582</v>
      </c>
      <c r="IH43" s="398">
        <f t="shared" si="341"/>
        <v>0</v>
      </c>
      <c r="II43" s="398">
        <f t="shared" si="342"/>
        <v>2.1805294535369972</v>
      </c>
      <c r="IJ43" s="399">
        <f t="shared" si="211"/>
        <v>3252.0325203252037</v>
      </c>
      <c r="IK43" s="66"/>
      <c r="IL43" s="66"/>
      <c r="IM43" s="396">
        <f t="shared" si="343"/>
        <v>11</v>
      </c>
      <c r="IN43" s="397">
        <f t="shared" si="344"/>
        <v>13.75</v>
      </c>
      <c r="IO43" s="398">
        <f t="shared" si="380"/>
        <v>3.3000000000000016</v>
      </c>
      <c r="IP43" s="398">
        <f t="shared" si="212"/>
        <v>474.52859441245005</v>
      </c>
      <c r="IQ43" s="398">
        <f t="shared" si="345"/>
        <v>67.871524975599698</v>
      </c>
      <c r="IR43" s="398">
        <f t="shared" si="346"/>
        <v>6.8749999999999991</v>
      </c>
      <c r="IS43" s="398">
        <f t="shared" si="347"/>
        <v>1.7147763438595529</v>
      </c>
      <c r="IT43" s="399">
        <f t="shared" si="214"/>
        <v>2324.8539126016262</v>
      </c>
      <c r="IU43" s="66"/>
      <c r="IV43" s="66"/>
      <c r="IW43" s="396">
        <f t="shared" si="116"/>
        <v>11</v>
      </c>
      <c r="IX43" s="397">
        <f t="shared" si="117"/>
        <v>13.75</v>
      </c>
      <c r="IY43" s="398">
        <f t="shared" si="118"/>
        <v>3.3000000000000016</v>
      </c>
      <c r="IZ43" s="398">
        <f t="shared" si="348"/>
        <v>474.52859441245005</v>
      </c>
      <c r="JA43" s="398">
        <f t="shared" si="119"/>
        <v>67.871524975599698</v>
      </c>
      <c r="JB43" s="398">
        <f t="shared" si="120"/>
        <v>-6.8749999999999991</v>
      </c>
      <c r="JC43" s="398">
        <f t="shared" si="216"/>
        <v>1.7147763438595529</v>
      </c>
      <c r="JD43" s="399">
        <f t="shared" si="217"/>
        <v>2324.8539126016262</v>
      </c>
      <c r="JE43" s="66"/>
      <c r="JF43" s="66"/>
      <c r="JG43" s="396">
        <f t="shared" si="121"/>
        <v>7.26</v>
      </c>
      <c r="JH43" s="397">
        <f t="shared" si="122"/>
        <v>6.875</v>
      </c>
      <c r="JI43" s="398">
        <f t="shared" si="123"/>
        <v>3.3000000000000016</v>
      </c>
      <c r="JJ43" s="398">
        <f t="shared" si="349"/>
        <v>92.182306104059919</v>
      </c>
      <c r="JK43" s="398">
        <f t="shared" si="124"/>
        <v>72.279798222434351</v>
      </c>
      <c r="JL43" s="398">
        <f t="shared" si="125"/>
        <v>10.3125</v>
      </c>
      <c r="JM43" s="398">
        <f t="shared" si="219"/>
        <v>3.3823950906541769</v>
      </c>
      <c r="JN43" s="399">
        <f t="shared" si="220"/>
        <v>191.80044778963418</v>
      </c>
      <c r="JO43" s="66"/>
      <c r="JP43" s="66"/>
      <c r="JQ43" s="396">
        <f t="shared" si="126"/>
        <v>7.26</v>
      </c>
      <c r="JR43" s="397">
        <f t="shared" si="127"/>
        <v>6.875</v>
      </c>
      <c r="JS43" s="398">
        <f t="shared" si="128"/>
        <v>3.3000000000000016</v>
      </c>
      <c r="JT43" s="398">
        <f t="shared" si="350"/>
        <v>92.182306104059919</v>
      </c>
      <c r="JU43" s="398">
        <f t="shared" si="129"/>
        <v>72.279798222434351</v>
      </c>
      <c r="JV43" s="398">
        <f t="shared" si="130"/>
        <v>3.4374999999999991</v>
      </c>
      <c r="JW43" s="398">
        <f t="shared" si="222"/>
        <v>3.3823950906541769</v>
      </c>
      <c r="JX43" s="399">
        <f t="shared" si="223"/>
        <v>191.80044778963418</v>
      </c>
      <c r="JY43" s="66"/>
      <c r="JZ43" s="66"/>
      <c r="KA43" s="396">
        <f t="shared" si="131"/>
        <v>7.26</v>
      </c>
      <c r="KB43" s="397">
        <f t="shared" si="132"/>
        <v>6.875</v>
      </c>
      <c r="KC43" s="398">
        <f t="shared" si="133"/>
        <v>3.3000000000000016</v>
      </c>
      <c r="KD43" s="398">
        <f t="shared" si="351"/>
        <v>92.182306104059919</v>
      </c>
      <c r="KE43" s="398">
        <f t="shared" si="134"/>
        <v>72.279798222434351</v>
      </c>
      <c r="KF43" s="398">
        <f t="shared" si="135"/>
        <v>-3.4374999999999991</v>
      </c>
      <c r="KG43" s="398">
        <f t="shared" si="225"/>
        <v>3.3823950906541769</v>
      </c>
      <c r="KH43" s="399">
        <f t="shared" si="226"/>
        <v>191.80044778963418</v>
      </c>
      <c r="KI43" s="66"/>
      <c r="KJ43" s="66"/>
      <c r="KK43" s="396">
        <f t="shared" si="136"/>
        <v>7.26</v>
      </c>
      <c r="KL43" s="397">
        <f t="shared" si="137"/>
        <v>6.875</v>
      </c>
      <c r="KM43" s="398">
        <f t="shared" si="138"/>
        <v>3.3000000000000016</v>
      </c>
      <c r="KN43" s="398">
        <f t="shared" si="352"/>
        <v>92.182306104059919</v>
      </c>
      <c r="KO43" s="398">
        <f t="shared" si="139"/>
        <v>72.279798222434351</v>
      </c>
      <c r="KP43" s="398">
        <f t="shared" si="140"/>
        <v>-10.3125</v>
      </c>
      <c r="KQ43" s="398">
        <f t="shared" si="228"/>
        <v>3.3823950906541769</v>
      </c>
      <c r="KR43" s="399">
        <f t="shared" si="229"/>
        <v>191.80044778963418</v>
      </c>
      <c r="KS43" s="66"/>
      <c r="KT43" s="66"/>
      <c r="KU43" s="396">
        <f t="shared" si="353"/>
        <v>5</v>
      </c>
      <c r="KV43" s="397">
        <f t="shared" si="354"/>
        <v>5</v>
      </c>
      <c r="KW43" s="398">
        <f t="shared" si="381"/>
        <v>3.3000000000000016</v>
      </c>
      <c r="KX43" s="398">
        <f t="shared" si="230"/>
        <v>82.500000000000014</v>
      </c>
      <c r="KY43" s="398">
        <f t="shared" si="355"/>
        <v>57.5</v>
      </c>
      <c r="KZ43" s="398">
        <f t="shared" si="356"/>
        <v>0</v>
      </c>
      <c r="LA43" s="398">
        <f t="shared" si="357"/>
        <v>1.6500000000000004</v>
      </c>
      <c r="LB43" s="399">
        <f t="shared" si="232"/>
        <v>50.813008130081307</v>
      </c>
      <c r="LC43" s="66"/>
    </row>
    <row r="44" spans="1:315" s="67" customFormat="1" x14ac:dyDescent="0.25">
      <c r="A44" s="481"/>
      <c r="B44" s="1"/>
      <c r="C44" s="1"/>
      <c r="D44" s="1"/>
      <c r="E44" s="1"/>
      <c r="F44" s="1"/>
      <c r="G44" s="1"/>
      <c r="H44" s="1"/>
      <c r="I44" s="1"/>
      <c r="J44" s="1"/>
      <c r="K44" s="1"/>
      <c r="L44" s="1"/>
      <c r="M44" s="1"/>
      <c r="N44" s="1"/>
      <c r="O44" s="1"/>
      <c r="P44" s="1"/>
      <c r="Q44" s="1"/>
      <c r="R44" s="1"/>
      <c r="S44" s="1"/>
      <c r="T44" s="1"/>
      <c r="U44" s="1"/>
      <c r="V44" s="1"/>
      <c r="W44" s="1"/>
      <c r="X44" s="1"/>
      <c r="Y44" s="481"/>
      <c r="Z44" s="413"/>
      <c r="AA44" s="396">
        <f t="shared" si="233"/>
        <v>5</v>
      </c>
      <c r="AB44" s="397">
        <f t="shared" si="234"/>
        <v>20</v>
      </c>
      <c r="AC44" s="398">
        <f t="shared" si="358"/>
        <v>3.4000000000000017</v>
      </c>
      <c r="AD44" s="398">
        <f t="shared" si="146"/>
        <v>199.1839510201726</v>
      </c>
      <c r="AE44" s="398">
        <f t="shared" si="235"/>
        <v>3.0880599765626928</v>
      </c>
      <c r="AF44" s="398">
        <f t="shared" si="236"/>
        <v>0</v>
      </c>
      <c r="AG44" s="398">
        <f t="shared" si="237"/>
        <v>2.2384459143932318</v>
      </c>
      <c r="AH44" s="399">
        <f t="shared" si="148"/>
        <v>3252.0325203252037</v>
      </c>
      <c r="AI44" s="367"/>
      <c r="AJ44" s="66"/>
      <c r="AK44" s="396">
        <f t="shared" si="238"/>
        <v>10</v>
      </c>
      <c r="AL44" s="397">
        <f t="shared" si="239"/>
        <v>5</v>
      </c>
      <c r="AM44" s="398">
        <f t="shared" si="359"/>
        <v>3.4000000000000017</v>
      </c>
      <c r="AN44" s="398">
        <f t="shared" si="149"/>
        <v>170.00000000000003</v>
      </c>
      <c r="AO44" s="398">
        <f t="shared" si="240"/>
        <v>10.000000000000004</v>
      </c>
      <c r="AP44" s="398">
        <f t="shared" si="241"/>
        <v>7.5</v>
      </c>
      <c r="AQ44" s="398">
        <f t="shared" si="242"/>
        <v>1.7000000000000004</v>
      </c>
      <c r="AR44" s="399">
        <f t="shared" si="151"/>
        <v>101.62601626016261</v>
      </c>
      <c r="AS44" s="66"/>
      <c r="AT44" s="66"/>
      <c r="AU44" s="396">
        <f t="shared" si="243"/>
        <v>10</v>
      </c>
      <c r="AV44" s="397">
        <f t="shared" si="244"/>
        <v>5</v>
      </c>
      <c r="AW44" s="398">
        <f t="shared" si="360"/>
        <v>3.4000000000000017</v>
      </c>
      <c r="AX44" s="398">
        <f t="shared" si="152"/>
        <v>170.00000000000003</v>
      </c>
      <c r="AY44" s="398">
        <f t="shared" si="245"/>
        <v>10.000000000000004</v>
      </c>
      <c r="AZ44" s="398">
        <f t="shared" si="246"/>
        <v>2.5000000000000009</v>
      </c>
      <c r="BA44" s="398">
        <f t="shared" si="247"/>
        <v>1.7000000000000004</v>
      </c>
      <c r="BB44" s="399">
        <f t="shared" si="154"/>
        <v>101.62601626016261</v>
      </c>
      <c r="BC44" s="66"/>
      <c r="BD44" s="66"/>
      <c r="BE44" s="396">
        <f t="shared" si="248"/>
        <v>10</v>
      </c>
      <c r="BF44" s="397">
        <f t="shared" si="249"/>
        <v>5</v>
      </c>
      <c r="BG44" s="398">
        <f t="shared" si="361"/>
        <v>3.4000000000000017</v>
      </c>
      <c r="BH44" s="398">
        <f t="shared" si="155"/>
        <v>170.00000000000003</v>
      </c>
      <c r="BI44" s="398">
        <f t="shared" si="250"/>
        <v>10.000000000000004</v>
      </c>
      <c r="BJ44" s="398">
        <f t="shared" si="251"/>
        <v>-2.5000000000000009</v>
      </c>
      <c r="BK44" s="398">
        <f t="shared" si="252"/>
        <v>1.7000000000000004</v>
      </c>
      <c r="BL44" s="399">
        <f t="shared" si="157"/>
        <v>101.62601626016261</v>
      </c>
      <c r="BM44" s="66"/>
      <c r="BN44" s="66"/>
      <c r="BO44" s="396">
        <f t="shared" si="253"/>
        <v>10</v>
      </c>
      <c r="BP44" s="397">
        <f t="shared" si="254"/>
        <v>5</v>
      </c>
      <c r="BQ44" s="398">
        <f t="shared" si="362"/>
        <v>3.4000000000000017</v>
      </c>
      <c r="BR44" s="398">
        <f t="shared" si="158"/>
        <v>170.00000000000003</v>
      </c>
      <c r="BS44" s="398">
        <f t="shared" si="255"/>
        <v>10.000000000000004</v>
      </c>
      <c r="BT44" s="398">
        <f t="shared" si="256"/>
        <v>-7.5</v>
      </c>
      <c r="BU44" s="398">
        <f t="shared" si="257"/>
        <v>1.7000000000000004</v>
      </c>
      <c r="BV44" s="399">
        <f t="shared" si="160"/>
        <v>101.62601626016261</v>
      </c>
      <c r="BW44" s="66"/>
      <c r="BX44" s="66"/>
      <c r="BY44" s="396">
        <f t="shared" si="258"/>
        <v>10</v>
      </c>
      <c r="BZ44" s="397">
        <f t="shared" si="259"/>
        <v>5</v>
      </c>
      <c r="CA44" s="398">
        <f t="shared" si="363"/>
        <v>3.4000000000000017</v>
      </c>
      <c r="CB44" s="398">
        <f t="shared" si="161"/>
        <v>170.00000000000003</v>
      </c>
      <c r="CC44" s="398">
        <f t="shared" si="260"/>
        <v>20.000000000000007</v>
      </c>
      <c r="CD44" s="398">
        <f t="shared" si="261"/>
        <v>7.5</v>
      </c>
      <c r="CE44" s="398">
        <f t="shared" si="262"/>
        <v>1.7000000000000004</v>
      </c>
      <c r="CF44" s="399">
        <f t="shared" si="163"/>
        <v>101.62601626016261</v>
      </c>
      <c r="CG44" s="66"/>
      <c r="CH44" s="66"/>
      <c r="CI44" s="396">
        <f t="shared" si="263"/>
        <v>10</v>
      </c>
      <c r="CJ44" s="397">
        <f t="shared" si="264"/>
        <v>5</v>
      </c>
      <c r="CK44" s="398">
        <f t="shared" si="364"/>
        <v>3.4000000000000017</v>
      </c>
      <c r="CL44" s="398">
        <f t="shared" si="164"/>
        <v>170.00000000000003</v>
      </c>
      <c r="CM44" s="398">
        <f t="shared" si="265"/>
        <v>20.000000000000007</v>
      </c>
      <c r="CN44" s="398">
        <f t="shared" si="266"/>
        <v>2.5000000000000009</v>
      </c>
      <c r="CO44" s="398">
        <f t="shared" si="267"/>
        <v>1.7000000000000004</v>
      </c>
      <c r="CP44" s="399">
        <f t="shared" si="166"/>
        <v>101.62601626016261</v>
      </c>
      <c r="CQ44" s="66"/>
      <c r="CS44" s="396">
        <f t="shared" si="268"/>
        <v>10</v>
      </c>
      <c r="CT44" s="397">
        <f t="shared" si="269"/>
        <v>5</v>
      </c>
      <c r="CU44" s="398">
        <f t="shared" si="365"/>
        <v>3.4000000000000017</v>
      </c>
      <c r="CV44" s="398">
        <f t="shared" si="167"/>
        <v>170.00000000000003</v>
      </c>
      <c r="CW44" s="398">
        <f t="shared" si="270"/>
        <v>20.000000000000007</v>
      </c>
      <c r="CX44" s="398">
        <f t="shared" si="271"/>
        <v>-2.5000000000000009</v>
      </c>
      <c r="CY44" s="398">
        <f t="shared" si="272"/>
        <v>1.7000000000000004</v>
      </c>
      <c r="CZ44" s="399">
        <f t="shared" si="169"/>
        <v>101.62601626016261</v>
      </c>
      <c r="DA44" s="66"/>
      <c r="DB44" s="66"/>
      <c r="DC44" s="396">
        <f t="shared" si="273"/>
        <v>10</v>
      </c>
      <c r="DD44" s="397">
        <f t="shared" si="274"/>
        <v>5</v>
      </c>
      <c r="DE44" s="398">
        <f t="shared" si="366"/>
        <v>3.4000000000000017</v>
      </c>
      <c r="DF44" s="398">
        <f t="shared" si="170"/>
        <v>170.00000000000003</v>
      </c>
      <c r="DG44" s="398">
        <f t="shared" si="275"/>
        <v>20.000000000000007</v>
      </c>
      <c r="DH44" s="398">
        <f t="shared" si="276"/>
        <v>-7.5</v>
      </c>
      <c r="DI44" s="398">
        <f t="shared" si="277"/>
        <v>1.7000000000000004</v>
      </c>
      <c r="DJ44" s="399">
        <f t="shared" si="172"/>
        <v>101.62601626016261</v>
      </c>
      <c r="DK44" s="66"/>
      <c r="DM44" s="396">
        <f t="shared" si="278"/>
        <v>10</v>
      </c>
      <c r="DN44" s="397">
        <f t="shared" si="279"/>
        <v>5</v>
      </c>
      <c r="DO44" s="398">
        <f t="shared" si="367"/>
        <v>3.4000000000000017</v>
      </c>
      <c r="DP44" s="398">
        <f t="shared" si="173"/>
        <v>170.00000000000003</v>
      </c>
      <c r="DQ44" s="398">
        <f t="shared" si="280"/>
        <v>30</v>
      </c>
      <c r="DR44" s="398">
        <f t="shared" si="281"/>
        <v>7.5</v>
      </c>
      <c r="DS44" s="398">
        <f t="shared" si="282"/>
        <v>1.7000000000000004</v>
      </c>
      <c r="DT44" s="399">
        <f t="shared" si="175"/>
        <v>101.62601626016261</v>
      </c>
      <c r="DU44" s="66"/>
      <c r="DV44" s="66"/>
      <c r="DW44" s="396">
        <f t="shared" si="283"/>
        <v>10</v>
      </c>
      <c r="DX44" s="397">
        <f t="shared" si="284"/>
        <v>5</v>
      </c>
      <c r="DY44" s="398">
        <f t="shared" si="368"/>
        <v>3.4000000000000017</v>
      </c>
      <c r="DZ44" s="398">
        <f t="shared" si="176"/>
        <v>170.00000000000003</v>
      </c>
      <c r="EA44" s="398">
        <f t="shared" si="285"/>
        <v>30</v>
      </c>
      <c r="EB44" s="398">
        <f t="shared" si="286"/>
        <v>2.5000000000000009</v>
      </c>
      <c r="EC44" s="398">
        <f t="shared" si="287"/>
        <v>1.7000000000000004</v>
      </c>
      <c r="ED44" s="399">
        <f t="shared" si="178"/>
        <v>101.62601626016261</v>
      </c>
      <c r="EE44" s="66"/>
      <c r="EF44" s="66"/>
      <c r="EG44" s="396">
        <f t="shared" si="288"/>
        <v>10</v>
      </c>
      <c r="EH44" s="397">
        <f t="shared" si="289"/>
        <v>5</v>
      </c>
      <c r="EI44" s="398">
        <f t="shared" si="369"/>
        <v>3.4000000000000017</v>
      </c>
      <c r="EJ44" s="398">
        <f t="shared" si="179"/>
        <v>170.00000000000003</v>
      </c>
      <c r="EK44" s="398">
        <f t="shared" si="290"/>
        <v>30</v>
      </c>
      <c r="EL44" s="398">
        <f t="shared" si="291"/>
        <v>-2.5000000000000009</v>
      </c>
      <c r="EM44" s="398">
        <f t="shared" si="292"/>
        <v>1.7000000000000004</v>
      </c>
      <c r="EN44" s="399">
        <f t="shared" si="181"/>
        <v>101.62601626016261</v>
      </c>
      <c r="EO44" s="66"/>
      <c r="EP44" s="66"/>
      <c r="EQ44" s="396">
        <f t="shared" si="293"/>
        <v>10</v>
      </c>
      <c r="ER44" s="397">
        <f t="shared" si="294"/>
        <v>5</v>
      </c>
      <c r="ES44" s="398">
        <f t="shared" si="370"/>
        <v>3.4000000000000017</v>
      </c>
      <c r="ET44" s="398">
        <f t="shared" si="182"/>
        <v>170.00000000000003</v>
      </c>
      <c r="EU44" s="398">
        <f t="shared" si="295"/>
        <v>30</v>
      </c>
      <c r="EV44" s="398">
        <f t="shared" si="296"/>
        <v>-7.5</v>
      </c>
      <c r="EW44" s="398">
        <f t="shared" si="297"/>
        <v>1.7000000000000004</v>
      </c>
      <c r="EX44" s="399">
        <f t="shared" si="184"/>
        <v>101.62601626016261</v>
      </c>
      <c r="EY44" s="66"/>
      <c r="EZ44" s="66"/>
      <c r="FA44" s="396">
        <f t="shared" si="298"/>
        <v>10</v>
      </c>
      <c r="FB44" s="397">
        <f t="shared" si="299"/>
        <v>5</v>
      </c>
      <c r="FC44" s="398">
        <f t="shared" si="371"/>
        <v>3.4000000000000017</v>
      </c>
      <c r="FD44" s="398">
        <f t="shared" si="185"/>
        <v>170.00000000000003</v>
      </c>
      <c r="FE44" s="398">
        <f t="shared" si="300"/>
        <v>40.000000000000014</v>
      </c>
      <c r="FF44" s="398">
        <f t="shared" si="301"/>
        <v>7.5</v>
      </c>
      <c r="FG44" s="398">
        <f t="shared" si="302"/>
        <v>1.7000000000000004</v>
      </c>
      <c r="FH44" s="399">
        <f t="shared" si="187"/>
        <v>101.62601626016261</v>
      </c>
      <c r="FI44" s="66"/>
      <c r="FJ44" s="66"/>
      <c r="FK44" s="396">
        <f t="shared" si="303"/>
        <v>10</v>
      </c>
      <c r="FL44" s="397">
        <f t="shared" si="304"/>
        <v>5</v>
      </c>
      <c r="FM44" s="398">
        <f t="shared" si="372"/>
        <v>3.4000000000000017</v>
      </c>
      <c r="FN44" s="398">
        <f t="shared" si="188"/>
        <v>170.00000000000003</v>
      </c>
      <c r="FO44" s="398">
        <f t="shared" si="305"/>
        <v>40.000000000000014</v>
      </c>
      <c r="FP44" s="398">
        <f t="shared" si="306"/>
        <v>2.5000000000000009</v>
      </c>
      <c r="FQ44" s="398">
        <f t="shared" si="307"/>
        <v>1.7000000000000004</v>
      </c>
      <c r="FR44" s="399">
        <f t="shared" si="190"/>
        <v>101.62601626016261</v>
      </c>
      <c r="FS44" s="66"/>
      <c r="FT44" s="66"/>
      <c r="FU44" s="396">
        <f t="shared" si="308"/>
        <v>10</v>
      </c>
      <c r="FV44" s="397">
        <f t="shared" si="309"/>
        <v>5</v>
      </c>
      <c r="FW44" s="398">
        <f t="shared" si="373"/>
        <v>3.4000000000000017</v>
      </c>
      <c r="FX44" s="398">
        <f t="shared" si="191"/>
        <v>170.00000000000003</v>
      </c>
      <c r="FY44" s="398">
        <f t="shared" si="310"/>
        <v>40.000000000000014</v>
      </c>
      <c r="FZ44" s="398">
        <f t="shared" si="311"/>
        <v>-2.5000000000000009</v>
      </c>
      <c r="GA44" s="398">
        <f t="shared" si="312"/>
        <v>1.7000000000000004</v>
      </c>
      <c r="GB44" s="399">
        <f t="shared" si="193"/>
        <v>101.62601626016261</v>
      </c>
      <c r="GC44" s="66"/>
      <c r="GD44" s="66"/>
      <c r="GE44" s="396">
        <f t="shared" si="313"/>
        <v>10</v>
      </c>
      <c r="GF44" s="397">
        <f t="shared" si="314"/>
        <v>5</v>
      </c>
      <c r="GG44" s="398">
        <f t="shared" si="374"/>
        <v>3.4000000000000017</v>
      </c>
      <c r="GH44" s="398">
        <f t="shared" si="194"/>
        <v>170.00000000000003</v>
      </c>
      <c r="GI44" s="398">
        <f t="shared" si="315"/>
        <v>40.000000000000014</v>
      </c>
      <c r="GJ44" s="398">
        <f t="shared" si="316"/>
        <v>-7.5</v>
      </c>
      <c r="GK44" s="398">
        <f t="shared" si="317"/>
        <v>1.7000000000000004</v>
      </c>
      <c r="GL44" s="399">
        <f t="shared" si="196"/>
        <v>101.62601626016261</v>
      </c>
      <c r="GM44" s="66"/>
      <c r="GN44" s="66"/>
      <c r="GO44" s="396">
        <f t="shared" si="318"/>
        <v>10</v>
      </c>
      <c r="GP44" s="397">
        <f t="shared" si="319"/>
        <v>5</v>
      </c>
      <c r="GQ44" s="398">
        <f t="shared" si="375"/>
        <v>3.4000000000000017</v>
      </c>
      <c r="GR44" s="398">
        <f t="shared" si="197"/>
        <v>170.00000000000003</v>
      </c>
      <c r="GS44" s="398">
        <f t="shared" si="320"/>
        <v>50</v>
      </c>
      <c r="GT44" s="398">
        <f t="shared" si="321"/>
        <v>7.5</v>
      </c>
      <c r="GU44" s="398">
        <f t="shared" si="322"/>
        <v>1.7000000000000004</v>
      </c>
      <c r="GV44" s="399">
        <f t="shared" si="199"/>
        <v>101.62601626016261</v>
      </c>
      <c r="GW44" s="66"/>
      <c r="GX44" s="66"/>
      <c r="GY44" s="396">
        <f t="shared" si="323"/>
        <v>10</v>
      </c>
      <c r="GZ44" s="397">
        <f t="shared" si="324"/>
        <v>5</v>
      </c>
      <c r="HA44" s="398">
        <f t="shared" si="376"/>
        <v>3.4000000000000017</v>
      </c>
      <c r="HB44" s="398">
        <f t="shared" si="200"/>
        <v>170.00000000000003</v>
      </c>
      <c r="HC44" s="398">
        <f t="shared" si="325"/>
        <v>50</v>
      </c>
      <c r="HD44" s="398">
        <f t="shared" si="326"/>
        <v>2.5000000000000009</v>
      </c>
      <c r="HE44" s="398">
        <f t="shared" si="327"/>
        <v>1.7000000000000004</v>
      </c>
      <c r="HF44" s="399">
        <f t="shared" si="202"/>
        <v>101.62601626016261</v>
      </c>
      <c r="HH44" s="66"/>
      <c r="HI44" s="396">
        <f t="shared" si="328"/>
        <v>10</v>
      </c>
      <c r="HJ44" s="397">
        <f t="shared" si="329"/>
        <v>5</v>
      </c>
      <c r="HK44" s="398">
        <f t="shared" si="377"/>
        <v>3.4000000000000017</v>
      </c>
      <c r="HL44" s="398">
        <f t="shared" si="203"/>
        <v>170.00000000000003</v>
      </c>
      <c r="HM44" s="398">
        <f t="shared" si="330"/>
        <v>50</v>
      </c>
      <c r="HN44" s="398">
        <f t="shared" si="331"/>
        <v>-2.5000000000000009</v>
      </c>
      <c r="HO44" s="398">
        <f t="shared" si="332"/>
        <v>1.7000000000000004</v>
      </c>
      <c r="HP44" s="399">
        <f t="shared" si="205"/>
        <v>101.62601626016261</v>
      </c>
      <c r="HQ44" s="66"/>
      <c r="HR44" s="66"/>
      <c r="HS44" s="396">
        <f t="shared" si="333"/>
        <v>10</v>
      </c>
      <c r="HT44" s="397">
        <f t="shared" si="334"/>
        <v>5</v>
      </c>
      <c r="HU44" s="398">
        <f t="shared" si="378"/>
        <v>3.4000000000000017</v>
      </c>
      <c r="HV44" s="398">
        <f t="shared" si="206"/>
        <v>170.00000000000003</v>
      </c>
      <c r="HW44" s="398">
        <f t="shared" si="335"/>
        <v>50</v>
      </c>
      <c r="HX44" s="398">
        <f t="shared" si="336"/>
        <v>-7.5</v>
      </c>
      <c r="HY44" s="398">
        <f t="shared" si="337"/>
        <v>1.7000000000000004</v>
      </c>
      <c r="HZ44" s="399">
        <f t="shared" si="208"/>
        <v>101.62601626016261</v>
      </c>
      <c r="IA44" s="66"/>
      <c r="IB44" s="66"/>
      <c r="IC44" s="396">
        <f t="shared" si="338"/>
        <v>5</v>
      </c>
      <c r="ID44" s="397">
        <f t="shared" si="339"/>
        <v>20</v>
      </c>
      <c r="IE44" s="398">
        <f t="shared" si="379"/>
        <v>3.4000000000000017</v>
      </c>
      <c r="IF44" s="398">
        <f t="shared" si="209"/>
        <v>198.6159557232759</v>
      </c>
      <c r="IG44" s="398">
        <f t="shared" si="340"/>
        <v>56.907772742478379</v>
      </c>
      <c r="IH44" s="398">
        <f t="shared" si="341"/>
        <v>0</v>
      </c>
      <c r="II44" s="398">
        <f t="shared" si="342"/>
        <v>2.239410450393684</v>
      </c>
      <c r="IJ44" s="399">
        <f t="shared" si="211"/>
        <v>3252.0325203252037</v>
      </c>
      <c r="IK44" s="66"/>
      <c r="IL44" s="66"/>
      <c r="IM44" s="396">
        <f t="shared" si="343"/>
        <v>11</v>
      </c>
      <c r="IN44" s="397">
        <f t="shared" si="344"/>
        <v>13.75</v>
      </c>
      <c r="IO44" s="398">
        <f t="shared" si="380"/>
        <v>3.4000000000000017</v>
      </c>
      <c r="IP44" s="398">
        <f t="shared" si="212"/>
        <v>489.65359441245005</v>
      </c>
      <c r="IQ44" s="398">
        <f t="shared" si="345"/>
        <v>67.878736828600168</v>
      </c>
      <c r="IR44" s="398">
        <f t="shared" si="346"/>
        <v>6.8749999999999991</v>
      </c>
      <c r="IS44" s="398">
        <f t="shared" si="347"/>
        <v>1.7652870683418307</v>
      </c>
      <c r="IT44" s="399">
        <f t="shared" si="214"/>
        <v>2324.8539126016262</v>
      </c>
      <c r="IU44" s="66"/>
      <c r="IV44" s="66"/>
      <c r="IW44" s="396">
        <f t="shared" si="116"/>
        <v>11</v>
      </c>
      <c r="IX44" s="397">
        <f t="shared" si="117"/>
        <v>13.75</v>
      </c>
      <c r="IY44" s="398">
        <f t="shared" si="118"/>
        <v>3.4000000000000017</v>
      </c>
      <c r="IZ44" s="398">
        <f t="shared" si="348"/>
        <v>489.65359441245005</v>
      </c>
      <c r="JA44" s="398">
        <f t="shared" si="119"/>
        <v>67.878736828600168</v>
      </c>
      <c r="JB44" s="398">
        <f t="shared" si="120"/>
        <v>-6.8749999999999991</v>
      </c>
      <c r="JC44" s="398">
        <f t="shared" si="216"/>
        <v>1.7652870683418307</v>
      </c>
      <c r="JD44" s="399">
        <f t="shared" si="217"/>
        <v>2324.8539126016262</v>
      </c>
      <c r="JE44" s="66"/>
      <c r="JF44" s="66"/>
      <c r="JG44" s="396">
        <f t="shared" si="121"/>
        <v>7.26</v>
      </c>
      <c r="JH44" s="397">
        <f t="shared" si="122"/>
        <v>6.875</v>
      </c>
      <c r="JI44" s="398">
        <f t="shared" si="123"/>
        <v>3.4000000000000017</v>
      </c>
      <c r="JJ44" s="398">
        <f t="shared" si="349"/>
        <v>97.173556104059926</v>
      </c>
      <c r="JK44" s="398">
        <f t="shared" si="124"/>
        <v>72.328604655093827</v>
      </c>
      <c r="JL44" s="398">
        <f t="shared" si="125"/>
        <v>10.3125</v>
      </c>
      <c r="JM44" s="398">
        <f t="shared" si="219"/>
        <v>3.4421628220887759</v>
      </c>
      <c r="JN44" s="399">
        <f t="shared" si="220"/>
        <v>191.80044778963418</v>
      </c>
      <c r="JO44" s="66"/>
      <c r="JP44" s="66"/>
      <c r="JQ44" s="396">
        <f t="shared" si="126"/>
        <v>7.26</v>
      </c>
      <c r="JR44" s="397">
        <f t="shared" si="127"/>
        <v>6.875</v>
      </c>
      <c r="JS44" s="398">
        <f t="shared" si="128"/>
        <v>3.4000000000000017</v>
      </c>
      <c r="JT44" s="398">
        <f t="shared" si="350"/>
        <v>97.173556104059926</v>
      </c>
      <c r="JU44" s="398">
        <f t="shared" si="129"/>
        <v>72.328604655093827</v>
      </c>
      <c r="JV44" s="398">
        <f t="shared" si="130"/>
        <v>3.4374999999999991</v>
      </c>
      <c r="JW44" s="398">
        <f t="shared" si="222"/>
        <v>3.4421628220887759</v>
      </c>
      <c r="JX44" s="399">
        <f t="shared" si="223"/>
        <v>191.80044778963418</v>
      </c>
      <c r="JY44" s="66"/>
      <c r="JZ44" s="66"/>
      <c r="KA44" s="396">
        <f t="shared" si="131"/>
        <v>7.26</v>
      </c>
      <c r="KB44" s="397">
        <f t="shared" si="132"/>
        <v>6.875</v>
      </c>
      <c r="KC44" s="398">
        <f t="shared" si="133"/>
        <v>3.4000000000000017</v>
      </c>
      <c r="KD44" s="398">
        <f t="shared" si="351"/>
        <v>97.173556104059926</v>
      </c>
      <c r="KE44" s="398">
        <f t="shared" si="134"/>
        <v>72.328604655093827</v>
      </c>
      <c r="KF44" s="398">
        <f t="shared" si="135"/>
        <v>-3.4374999999999991</v>
      </c>
      <c r="KG44" s="398">
        <f t="shared" si="225"/>
        <v>3.4421628220887759</v>
      </c>
      <c r="KH44" s="399">
        <f t="shared" si="226"/>
        <v>191.80044778963418</v>
      </c>
      <c r="KI44" s="66"/>
      <c r="KJ44" s="66"/>
      <c r="KK44" s="396">
        <f t="shared" si="136"/>
        <v>7.26</v>
      </c>
      <c r="KL44" s="397">
        <f t="shared" si="137"/>
        <v>6.875</v>
      </c>
      <c r="KM44" s="398">
        <f t="shared" si="138"/>
        <v>3.4000000000000017</v>
      </c>
      <c r="KN44" s="398">
        <f t="shared" si="352"/>
        <v>97.173556104059926</v>
      </c>
      <c r="KO44" s="398">
        <f t="shared" si="139"/>
        <v>72.328604655093827</v>
      </c>
      <c r="KP44" s="398">
        <f t="shared" si="140"/>
        <v>-10.3125</v>
      </c>
      <c r="KQ44" s="398">
        <f t="shared" si="228"/>
        <v>3.4421628220887759</v>
      </c>
      <c r="KR44" s="399">
        <f t="shared" si="229"/>
        <v>191.80044778963418</v>
      </c>
      <c r="KS44" s="66"/>
      <c r="KT44" s="66"/>
      <c r="KU44" s="396">
        <f t="shared" si="353"/>
        <v>5</v>
      </c>
      <c r="KV44" s="397">
        <f t="shared" si="354"/>
        <v>5</v>
      </c>
      <c r="KW44" s="398">
        <f t="shared" si="381"/>
        <v>3.4000000000000017</v>
      </c>
      <c r="KX44" s="398">
        <f t="shared" si="230"/>
        <v>85.000000000000014</v>
      </c>
      <c r="KY44" s="398">
        <f t="shared" si="355"/>
        <v>57.5</v>
      </c>
      <c r="KZ44" s="398">
        <f t="shared" si="356"/>
        <v>0</v>
      </c>
      <c r="LA44" s="398">
        <f t="shared" si="357"/>
        <v>1.7000000000000004</v>
      </c>
      <c r="LB44" s="399">
        <f t="shared" si="232"/>
        <v>50.813008130081307</v>
      </c>
      <c r="LC44" s="66"/>
    </row>
    <row r="45" spans="1:315" s="67" customFormat="1" x14ac:dyDescent="0.25">
      <c r="A45" s="481"/>
      <c r="B45" s="1"/>
      <c r="E45" s="1"/>
      <c r="F45" s="1"/>
      <c r="G45" s="1"/>
      <c r="H45" s="1"/>
      <c r="I45" s="1"/>
      <c r="J45" s="1"/>
      <c r="K45" s="1"/>
      <c r="L45" s="1"/>
      <c r="M45" s="1"/>
      <c r="N45" s="1"/>
      <c r="O45" s="1"/>
      <c r="P45" s="1"/>
      <c r="Q45" s="1"/>
      <c r="R45" s="1"/>
      <c r="S45" s="1"/>
      <c r="T45" s="1"/>
      <c r="U45" s="1"/>
      <c r="V45" s="1"/>
      <c r="W45" s="1"/>
      <c r="X45" s="1"/>
      <c r="Y45" s="481"/>
      <c r="Z45" s="413"/>
      <c r="AA45" s="396">
        <f t="shared" si="233"/>
        <v>5</v>
      </c>
      <c r="AB45" s="397">
        <f t="shared" si="234"/>
        <v>20</v>
      </c>
      <c r="AC45" s="398">
        <f t="shared" si="358"/>
        <v>3.5000000000000018</v>
      </c>
      <c r="AD45" s="398">
        <f t="shared" si="146"/>
        <v>209.1839510201726</v>
      </c>
      <c r="AE45" s="398">
        <f t="shared" si="235"/>
        <v>3.0599478783976677</v>
      </c>
      <c r="AF45" s="398">
        <f t="shared" si="236"/>
        <v>0</v>
      </c>
      <c r="AG45" s="398">
        <f t="shared" si="237"/>
        <v>2.2963640328577757</v>
      </c>
      <c r="AH45" s="399">
        <f t="shared" si="148"/>
        <v>3252.0325203252037</v>
      </c>
      <c r="AI45" s="367"/>
      <c r="AJ45" s="66"/>
      <c r="AK45" s="396">
        <f t="shared" si="238"/>
        <v>10</v>
      </c>
      <c r="AL45" s="397">
        <f t="shared" si="239"/>
        <v>5</v>
      </c>
      <c r="AM45" s="398">
        <f t="shared" si="359"/>
        <v>3.5000000000000018</v>
      </c>
      <c r="AN45" s="398">
        <f t="shared" si="149"/>
        <v>175.00000000000003</v>
      </c>
      <c r="AO45" s="398">
        <f t="shared" si="240"/>
        <v>10.000000000000004</v>
      </c>
      <c r="AP45" s="398">
        <f t="shared" si="241"/>
        <v>7.5</v>
      </c>
      <c r="AQ45" s="398">
        <f t="shared" si="242"/>
        <v>1.7500000000000004</v>
      </c>
      <c r="AR45" s="399">
        <f t="shared" si="151"/>
        <v>101.62601626016261</v>
      </c>
      <c r="AS45" s="66"/>
      <c r="AT45" s="66"/>
      <c r="AU45" s="396">
        <f t="shared" si="243"/>
        <v>10</v>
      </c>
      <c r="AV45" s="397">
        <f t="shared" si="244"/>
        <v>5</v>
      </c>
      <c r="AW45" s="398">
        <f t="shared" si="360"/>
        <v>3.5000000000000018</v>
      </c>
      <c r="AX45" s="398">
        <f t="shared" si="152"/>
        <v>175.00000000000003</v>
      </c>
      <c r="AY45" s="398">
        <f t="shared" si="245"/>
        <v>10.000000000000004</v>
      </c>
      <c r="AZ45" s="398">
        <f t="shared" si="246"/>
        <v>2.5000000000000009</v>
      </c>
      <c r="BA45" s="398">
        <f t="shared" si="247"/>
        <v>1.7500000000000004</v>
      </c>
      <c r="BB45" s="399">
        <f t="shared" si="154"/>
        <v>101.62601626016261</v>
      </c>
      <c r="BC45" s="66"/>
      <c r="BD45" s="66"/>
      <c r="BE45" s="396">
        <f t="shared" si="248"/>
        <v>10</v>
      </c>
      <c r="BF45" s="397">
        <f t="shared" si="249"/>
        <v>5</v>
      </c>
      <c r="BG45" s="398">
        <f t="shared" si="361"/>
        <v>3.5000000000000018</v>
      </c>
      <c r="BH45" s="398">
        <f t="shared" si="155"/>
        <v>175.00000000000003</v>
      </c>
      <c r="BI45" s="398">
        <f t="shared" si="250"/>
        <v>10.000000000000004</v>
      </c>
      <c r="BJ45" s="398">
        <f t="shared" si="251"/>
        <v>-2.5000000000000009</v>
      </c>
      <c r="BK45" s="398">
        <f t="shared" si="252"/>
        <v>1.7500000000000004</v>
      </c>
      <c r="BL45" s="399">
        <f t="shared" si="157"/>
        <v>101.62601626016261</v>
      </c>
      <c r="BM45" s="66"/>
      <c r="BN45" s="66"/>
      <c r="BO45" s="396">
        <f t="shared" si="253"/>
        <v>10</v>
      </c>
      <c r="BP45" s="397">
        <f t="shared" si="254"/>
        <v>5</v>
      </c>
      <c r="BQ45" s="398">
        <f t="shared" si="362"/>
        <v>3.5000000000000018</v>
      </c>
      <c r="BR45" s="398">
        <f t="shared" si="158"/>
        <v>175.00000000000003</v>
      </c>
      <c r="BS45" s="398">
        <f t="shared" si="255"/>
        <v>10.000000000000004</v>
      </c>
      <c r="BT45" s="398">
        <f t="shared" si="256"/>
        <v>-7.5</v>
      </c>
      <c r="BU45" s="398">
        <f t="shared" si="257"/>
        <v>1.7500000000000004</v>
      </c>
      <c r="BV45" s="399">
        <f t="shared" si="160"/>
        <v>101.62601626016261</v>
      </c>
      <c r="BW45" s="66"/>
      <c r="BX45" s="66"/>
      <c r="BY45" s="396">
        <f t="shared" si="258"/>
        <v>10</v>
      </c>
      <c r="BZ45" s="397">
        <f t="shared" si="259"/>
        <v>5</v>
      </c>
      <c r="CA45" s="398">
        <f t="shared" si="363"/>
        <v>3.5000000000000018</v>
      </c>
      <c r="CB45" s="398">
        <f t="shared" si="161"/>
        <v>175.00000000000003</v>
      </c>
      <c r="CC45" s="398">
        <f t="shared" si="260"/>
        <v>20.000000000000007</v>
      </c>
      <c r="CD45" s="398">
        <f t="shared" si="261"/>
        <v>7.5</v>
      </c>
      <c r="CE45" s="398">
        <f t="shared" si="262"/>
        <v>1.7500000000000004</v>
      </c>
      <c r="CF45" s="399">
        <f t="shared" si="163"/>
        <v>101.62601626016261</v>
      </c>
      <c r="CG45" s="66"/>
      <c r="CH45" s="66"/>
      <c r="CI45" s="396">
        <f t="shared" si="263"/>
        <v>10</v>
      </c>
      <c r="CJ45" s="397">
        <f t="shared" si="264"/>
        <v>5</v>
      </c>
      <c r="CK45" s="398">
        <f t="shared" si="364"/>
        <v>3.5000000000000018</v>
      </c>
      <c r="CL45" s="398">
        <f t="shared" si="164"/>
        <v>175.00000000000003</v>
      </c>
      <c r="CM45" s="398">
        <f t="shared" si="265"/>
        <v>20.000000000000007</v>
      </c>
      <c r="CN45" s="398">
        <f t="shared" si="266"/>
        <v>2.5000000000000009</v>
      </c>
      <c r="CO45" s="398">
        <f t="shared" si="267"/>
        <v>1.7500000000000004</v>
      </c>
      <c r="CP45" s="399">
        <f t="shared" si="166"/>
        <v>101.62601626016261</v>
      </c>
      <c r="CQ45" s="66"/>
      <c r="CS45" s="396">
        <f t="shared" si="268"/>
        <v>10</v>
      </c>
      <c r="CT45" s="397">
        <f t="shared" si="269"/>
        <v>5</v>
      </c>
      <c r="CU45" s="398">
        <f t="shared" si="365"/>
        <v>3.5000000000000018</v>
      </c>
      <c r="CV45" s="398">
        <f t="shared" si="167"/>
        <v>175.00000000000003</v>
      </c>
      <c r="CW45" s="398">
        <f t="shared" si="270"/>
        <v>20.000000000000007</v>
      </c>
      <c r="CX45" s="398">
        <f t="shared" si="271"/>
        <v>-2.5000000000000009</v>
      </c>
      <c r="CY45" s="398">
        <f t="shared" si="272"/>
        <v>1.7500000000000004</v>
      </c>
      <c r="CZ45" s="399">
        <f t="shared" si="169"/>
        <v>101.62601626016261</v>
      </c>
      <c r="DA45" s="66"/>
      <c r="DB45" s="66"/>
      <c r="DC45" s="396">
        <f t="shared" si="273"/>
        <v>10</v>
      </c>
      <c r="DD45" s="397">
        <f t="shared" si="274"/>
        <v>5</v>
      </c>
      <c r="DE45" s="398">
        <f t="shared" si="366"/>
        <v>3.5000000000000018</v>
      </c>
      <c r="DF45" s="398">
        <f t="shared" si="170"/>
        <v>175.00000000000003</v>
      </c>
      <c r="DG45" s="398">
        <f t="shared" si="275"/>
        <v>20.000000000000007</v>
      </c>
      <c r="DH45" s="398">
        <f t="shared" si="276"/>
        <v>-7.5</v>
      </c>
      <c r="DI45" s="398">
        <f t="shared" si="277"/>
        <v>1.7500000000000004</v>
      </c>
      <c r="DJ45" s="399">
        <f t="shared" si="172"/>
        <v>101.62601626016261</v>
      </c>
      <c r="DK45" s="66"/>
      <c r="DM45" s="396">
        <f t="shared" si="278"/>
        <v>10</v>
      </c>
      <c r="DN45" s="397">
        <f t="shared" si="279"/>
        <v>5</v>
      </c>
      <c r="DO45" s="398">
        <f t="shared" si="367"/>
        <v>3.5000000000000018</v>
      </c>
      <c r="DP45" s="398">
        <f t="shared" si="173"/>
        <v>175.00000000000003</v>
      </c>
      <c r="DQ45" s="398">
        <f t="shared" si="280"/>
        <v>30</v>
      </c>
      <c r="DR45" s="398">
        <f t="shared" si="281"/>
        <v>7.5</v>
      </c>
      <c r="DS45" s="398">
        <f t="shared" si="282"/>
        <v>1.7500000000000004</v>
      </c>
      <c r="DT45" s="399">
        <f t="shared" si="175"/>
        <v>101.62601626016261</v>
      </c>
      <c r="DU45" s="66"/>
      <c r="DV45" s="66"/>
      <c r="DW45" s="396">
        <f t="shared" si="283"/>
        <v>10</v>
      </c>
      <c r="DX45" s="397">
        <f t="shared" si="284"/>
        <v>5</v>
      </c>
      <c r="DY45" s="398">
        <f t="shared" si="368"/>
        <v>3.5000000000000018</v>
      </c>
      <c r="DZ45" s="398">
        <f t="shared" si="176"/>
        <v>175.00000000000003</v>
      </c>
      <c r="EA45" s="398">
        <f t="shared" si="285"/>
        <v>30</v>
      </c>
      <c r="EB45" s="398">
        <f t="shared" si="286"/>
        <v>2.5000000000000009</v>
      </c>
      <c r="EC45" s="398">
        <f t="shared" si="287"/>
        <v>1.7500000000000004</v>
      </c>
      <c r="ED45" s="399">
        <f t="shared" si="178"/>
        <v>101.62601626016261</v>
      </c>
      <c r="EE45" s="66"/>
      <c r="EF45" s="66"/>
      <c r="EG45" s="396">
        <f t="shared" si="288"/>
        <v>10</v>
      </c>
      <c r="EH45" s="397">
        <f t="shared" si="289"/>
        <v>5</v>
      </c>
      <c r="EI45" s="398">
        <f t="shared" si="369"/>
        <v>3.5000000000000018</v>
      </c>
      <c r="EJ45" s="398">
        <f t="shared" si="179"/>
        <v>175.00000000000003</v>
      </c>
      <c r="EK45" s="398">
        <f t="shared" si="290"/>
        <v>30</v>
      </c>
      <c r="EL45" s="398">
        <f t="shared" si="291"/>
        <v>-2.5000000000000009</v>
      </c>
      <c r="EM45" s="398">
        <f t="shared" si="292"/>
        <v>1.7500000000000004</v>
      </c>
      <c r="EN45" s="399">
        <f t="shared" si="181"/>
        <v>101.62601626016261</v>
      </c>
      <c r="EO45" s="66"/>
      <c r="EP45" s="66"/>
      <c r="EQ45" s="396">
        <f t="shared" si="293"/>
        <v>10</v>
      </c>
      <c r="ER45" s="397">
        <f t="shared" si="294"/>
        <v>5</v>
      </c>
      <c r="ES45" s="398">
        <f t="shared" si="370"/>
        <v>3.5000000000000018</v>
      </c>
      <c r="ET45" s="398">
        <f t="shared" si="182"/>
        <v>175.00000000000003</v>
      </c>
      <c r="EU45" s="398">
        <f t="shared" si="295"/>
        <v>30</v>
      </c>
      <c r="EV45" s="398">
        <f t="shared" si="296"/>
        <v>-7.5</v>
      </c>
      <c r="EW45" s="398">
        <f t="shared" si="297"/>
        <v>1.7500000000000004</v>
      </c>
      <c r="EX45" s="399">
        <f t="shared" si="184"/>
        <v>101.62601626016261</v>
      </c>
      <c r="EY45" s="66"/>
      <c r="EZ45" s="66"/>
      <c r="FA45" s="396">
        <f t="shared" si="298"/>
        <v>10</v>
      </c>
      <c r="FB45" s="397">
        <f t="shared" si="299"/>
        <v>5</v>
      </c>
      <c r="FC45" s="398">
        <f t="shared" si="371"/>
        <v>3.5000000000000018</v>
      </c>
      <c r="FD45" s="398">
        <f t="shared" si="185"/>
        <v>175.00000000000003</v>
      </c>
      <c r="FE45" s="398">
        <f t="shared" si="300"/>
        <v>40.000000000000014</v>
      </c>
      <c r="FF45" s="398">
        <f t="shared" si="301"/>
        <v>7.5</v>
      </c>
      <c r="FG45" s="398">
        <f t="shared" si="302"/>
        <v>1.7500000000000004</v>
      </c>
      <c r="FH45" s="399">
        <f t="shared" si="187"/>
        <v>101.62601626016261</v>
      </c>
      <c r="FI45" s="66"/>
      <c r="FJ45" s="66"/>
      <c r="FK45" s="396">
        <f t="shared" si="303"/>
        <v>10</v>
      </c>
      <c r="FL45" s="397">
        <f t="shared" si="304"/>
        <v>5</v>
      </c>
      <c r="FM45" s="398">
        <f t="shared" si="372"/>
        <v>3.5000000000000018</v>
      </c>
      <c r="FN45" s="398">
        <f t="shared" si="188"/>
        <v>175.00000000000003</v>
      </c>
      <c r="FO45" s="398">
        <f t="shared" si="305"/>
        <v>40.000000000000014</v>
      </c>
      <c r="FP45" s="398">
        <f t="shared" si="306"/>
        <v>2.5000000000000009</v>
      </c>
      <c r="FQ45" s="398">
        <f t="shared" si="307"/>
        <v>1.7500000000000004</v>
      </c>
      <c r="FR45" s="399">
        <f t="shared" si="190"/>
        <v>101.62601626016261</v>
      </c>
      <c r="FS45" s="66"/>
      <c r="FT45" s="66"/>
      <c r="FU45" s="396">
        <f t="shared" si="308"/>
        <v>10</v>
      </c>
      <c r="FV45" s="397">
        <f t="shared" si="309"/>
        <v>5</v>
      </c>
      <c r="FW45" s="398">
        <f t="shared" si="373"/>
        <v>3.5000000000000018</v>
      </c>
      <c r="FX45" s="398">
        <f t="shared" si="191"/>
        <v>175.00000000000003</v>
      </c>
      <c r="FY45" s="398">
        <f t="shared" si="310"/>
        <v>40.000000000000014</v>
      </c>
      <c r="FZ45" s="398">
        <f t="shared" si="311"/>
        <v>-2.5000000000000009</v>
      </c>
      <c r="GA45" s="398">
        <f t="shared" si="312"/>
        <v>1.7500000000000004</v>
      </c>
      <c r="GB45" s="399">
        <f t="shared" si="193"/>
        <v>101.62601626016261</v>
      </c>
      <c r="GC45" s="66"/>
      <c r="GD45" s="66"/>
      <c r="GE45" s="396">
        <f t="shared" si="313"/>
        <v>10</v>
      </c>
      <c r="GF45" s="397">
        <f t="shared" si="314"/>
        <v>5</v>
      </c>
      <c r="GG45" s="398">
        <f t="shared" si="374"/>
        <v>3.5000000000000018</v>
      </c>
      <c r="GH45" s="398">
        <f t="shared" si="194"/>
        <v>175.00000000000003</v>
      </c>
      <c r="GI45" s="398">
        <f t="shared" si="315"/>
        <v>40.000000000000014</v>
      </c>
      <c r="GJ45" s="398">
        <f t="shared" si="316"/>
        <v>-7.5</v>
      </c>
      <c r="GK45" s="398">
        <f t="shared" si="317"/>
        <v>1.7500000000000004</v>
      </c>
      <c r="GL45" s="399">
        <f t="shared" si="196"/>
        <v>101.62601626016261</v>
      </c>
      <c r="GM45" s="66"/>
      <c r="GN45" s="66"/>
      <c r="GO45" s="396">
        <f t="shared" si="318"/>
        <v>10</v>
      </c>
      <c r="GP45" s="397">
        <f t="shared" si="319"/>
        <v>5</v>
      </c>
      <c r="GQ45" s="398">
        <f t="shared" si="375"/>
        <v>3.5000000000000018</v>
      </c>
      <c r="GR45" s="398">
        <f t="shared" si="197"/>
        <v>175.00000000000003</v>
      </c>
      <c r="GS45" s="398">
        <f t="shared" si="320"/>
        <v>50</v>
      </c>
      <c r="GT45" s="398">
        <f t="shared" si="321"/>
        <v>7.5</v>
      </c>
      <c r="GU45" s="398">
        <f t="shared" si="322"/>
        <v>1.7500000000000004</v>
      </c>
      <c r="GV45" s="399">
        <f t="shared" si="199"/>
        <v>101.62601626016261</v>
      </c>
      <c r="GW45" s="66"/>
      <c r="GX45" s="66"/>
      <c r="GY45" s="396">
        <f t="shared" si="323"/>
        <v>10</v>
      </c>
      <c r="GZ45" s="397">
        <f t="shared" si="324"/>
        <v>5</v>
      </c>
      <c r="HA45" s="398">
        <f t="shared" si="376"/>
        <v>3.5000000000000018</v>
      </c>
      <c r="HB45" s="398">
        <f t="shared" si="200"/>
        <v>175.00000000000003</v>
      </c>
      <c r="HC45" s="398">
        <f t="shared" si="325"/>
        <v>50</v>
      </c>
      <c r="HD45" s="398">
        <f t="shared" si="326"/>
        <v>2.5000000000000009</v>
      </c>
      <c r="HE45" s="398">
        <f t="shared" si="327"/>
        <v>1.7500000000000004</v>
      </c>
      <c r="HF45" s="399">
        <f t="shared" si="202"/>
        <v>101.62601626016261</v>
      </c>
      <c r="HH45" s="66"/>
      <c r="HI45" s="396">
        <f t="shared" si="328"/>
        <v>10</v>
      </c>
      <c r="HJ45" s="397">
        <f t="shared" si="329"/>
        <v>5</v>
      </c>
      <c r="HK45" s="398">
        <f t="shared" si="377"/>
        <v>3.5000000000000018</v>
      </c>
      <c r="HL45" s="398">
        <f t="shared" si="203"/>
        <v>175.00000000000003</v>
      </c>
      <c r="HM45" s="398">
        <f t="shared" si="330"/>
        <v>50</v>
      </c>
      <c r="HN45" s="398">
        <f t="shared" si="331"/>
        <v>-2.5000000000000009</v>
      </c>
      <c r="HO45" s="398">
        <f t="shared" si="332"/>
        <v>1.7500000000000004</v>
      </c>
      <c r="HP45" s="399">
        <f t="shared" si="205"/>
        <v>101.62601626016261</v>
      </c>
      <c r="HQ45" s="66"/>
      <c r="HR45" s="66"/>
      <c r="HS45" s="396">
        <f t="shared" si="333"/>
        <v>10</v>
      </c>
      <c r="HT45" s="397">
        <f t="shared" si="334"/>
        <v>5</v>
      </c>
      <c r="HU45" s="398">
        <f t="shared" si="378"/>
        <v>3.5000000000000018</v>
      </c>
      <c r="HV45" s="398">
        <f t="shared" si="206"/>
        <v>175.00000000000003</v>
      </c>
      <c r="HW45" s="398">
        <f t="shared" si="335"/>
        <v>50</v>
      </c>
      <c r="HX45" s="398">
        <f t="shared" si="336"/>
        <v>-7.5</v>
      </c>
      <c r="HY45" s="398">
        <f t="shared" si="337"/>
        <v>1.7500000000000004</v>
      </c>
      <c r="HZ45" s="399">
        <f t="shared" si="208"/>
        <v>101.62601626016261</v>
      </c>
      <c r="IA45" s="66"/>
      <c r="IB45" s="66"/>
      <c r="IC45" s="396">
        <f t="shared" si="338"/>
        <v>5</v>
      </c>
      <c r="ID45" s="397">
        <f t="shared" si="339"/>
        <v>20</v>
      </c>
      <c r="IE45" s="398">
        <f t="shared" si="379"/>
        <v>3.5000000000000018</v>
      </c>
      <c r="IF45" s="398">
        <f t="shared" si="209"/>
        <v>208.6159557232759</v>
      </c>
      <c r="IG45" s="398">
        <f t="shared" si="340"/>
        <v>56.936161139495681</v>
      </c>
      <c r="IH45" s="398">
        <f t="shared" si="341"/>
        <v>0</v>
      </c>
      <c r="II45" s="398">
        <f t="shared" si="342"/>
        <v>2.2974400265787449</v>
      </c>
      <c r="IJ45" s="399">
        <f t="shared" si="211"/>
        <v>3252.0325203252037</v>
      </c>
      <c r="IK45" s="66"/>
      <c r="IL45" s="66"/>
      <c r="IM45" s="396">
        <f t="shared" si="343"/>
        <v>11</v>
      </c>
      <c r="IN45" s="397">
        <f t="shared" si="344"/>
        <v>13.75</v>
      </c>
      <c r="IO45" s="398">
        <f t="shared" si="380"/>
        <v>3.5000000000000018</v>
      </c>
      <c r="IP45" s="398">
        <f t="shared" si="212"/>
        <v>504.77859441245005</v>
      </c>
      <c r="IQ45" s="398">
        <f t="shared" si="345"/>
        <v>67.885516494983221</v>
      </c>
      <c r="IR45" s="398">
        <f t="shared" si="346"/>
        <v>6.8749999999999991</v>
      </c>
      <c r="IS45" s="398">
        <f t="shared" si="347"/>
        <v>1.8157671865033178</v>
      </c>
      <c r="IT45" s="399">
        <f t="shared" si="214"/>
        <v>2324.8539126016262</v>
      </c>
      <c r="IU45" s="66"/>
      <c r="IV45" s="66"/>
      <c r="IW45" s="396">
        <f t="shared" si="116"/>
        <v>11</v>
      </c>
      <c r="IX45" s="397">
        <f t="shared" si="117"/>
        <v>13.75</v>
      </c>
      <c r="IY45" s="398">
        <f t="shared" si="118"/>
        <v>3.5000000000000018</v>
      </c>
      <c r="IZ45" s="398">
        <f t="shared" si="348"/>
        <v>504.77859441245005</v>
      </c>
      <c r="JA45" s="398">
        <f t="shared" si="119"/>
        <v>67.885516494983221</v>
      </c>
      <c r="JB45" s="398">
        <f t="shared" si="120"/>
        <v>-6.8749999999999991</v>
      </c>
      <c r="JC45" s="398">
        <f t="shared" si="216"/>
        <v>1.8157671865033178</v>
      </c>
      <c r="JD45" s="399">
        <f t="shared" si="217"/>
        <v>2324.8539126016262</v>
      </c>
      <c r="JE45" s="66"/>
      <c r="JF45" s="66"/>
      <c r="JG45" s="396">
        <f t="shared" si="121"/>
        <v>7.26</v>
      </c>
      <c r="JH45" s="397">
        <f t="shared" si="122"/>
        <v>6.875</v>
      </c>
      <c r="JI45" s="398">
        <f t="shared" si="123"/>
        <v>3.5000000000000018</v>
      </c>
      <c r="JJ45" s="398">
        <f t="shared" si="349"/>
        <v>102.16480610405993</v>
      </c>
      <c r="JK45" s="398">
        <f t="shared" si="124"/>
        <v>72.372642222303426</v>
      </c>
      <c r="JL45" s="398">
        <f t="shared" si="125"/>
        <v>10.3125</v>
      </c>
      <c r="JM45" s="398">
        <f t="shared" si="219"/>
        <v>3.5009761507034196</v>
      </c>
      <c r="JN45" s="399">
        <f t="shared" si="220"/>
        <v>191.80044778963418</v>
      </c>
      <c r="JO45" s="66"/>
      <c r="JP45" s="66"/>
      <c r="JQ45" s="396">
        <f t="shared" si="126"/>
        <v>7.26</v>
      </c>
      <c r="JR45" s="397">
        <f t="shared" si="127"/>
        <v>6.875</v>
      </c>
      <c r="JS45" s="398">
        <f t="shared" si="128"/>
        <v>3.5000000000000018</v>
      </c>
      <c r="JT45" s="398">
        <f t="shared" si="350"/>
        <v>102.16480610405993</v>
      </c>
      <c r="JU45" s="398">
        <f t="shared" si="129"/>
        <v>72.372642222303426</v>
      </c>
      <c r="JV45" s="398">
        <f t="shared" si="130"/>
        <v>3.4374999999999991</v>
      </c>
      <c r="JW45" s="398">
        <f t="shared" si="222"/>
        <v>3.5009761507034196</v>
      </c>
      <c r="JX45" s="399">
        <f t="shared" si="223"/>
        <v>191.80044778963418</v>
      </c>
      <c r="JY45" s="66"/>
      <c r="JZ45" s="66"/>
      <c r="KA45" s="396">
        <f t="shared" si="131"/>
        <v>7.26</v>
      </c>
      <c r="KB45" s="397">
        <f t="shared" si="132"/>
        <v>6.875</v>
      </c>
      <c r="KC45" s="398">
        <f t="shared" si="133"/>
        <v>3.5000000000000018</v>
      </c>
      <c r="KD45" s="398">
        <f t="shared" si="351"/>
        <v>102.16480610405993</v>
      </c>
      <c r="KE45" s="398">
        <f t="shared" si="134"/>
        <v>72.372642222303426</v>
      </c>
      <c r="KF45" s="398">
        <f t="shared" si="135"/>
        <v>-3.4374999999999991</v>
      </c>
      <c r="KG45" s="398">
        <f t="shared" si="225"/>
        <v>3.5009761507034196</v>
      </c>
      <c r="KH45" s="399">
        <f t="shared" si="226"/>
        <v>191.80044778963418</v>
      </c>
      <c r="KI45" s="66"/>
      <c r="KJ45" s="66"/>
      <c r="KK45" s="396">
        <f t="shared" si="136"/>
        <v>7.26</v>
      </c>
      <c r="KL45" s="397">
        <f t="shared" si="137"/>
        <v>6.875</v>
      </c>
      <c r="KM45" s="398">
        <f t="shared" si="138"/>
        <v>3.5000000000000018</v>
      </c>
      <c r="KN45" s="398">
        <f t="shared" si="352"/>
        <v>102.16480610405993</v>
      </c>
      <c r="KO45" s="398">
        <f t="shared" si="139"/>
        <v>72.372642222303426</v>
      </c>
      <c r="KP45" s="398">
        <f t="shared" si="140"/>
        <v>-10.3125</v>
      </c>
      <c r="KQ45" s="398">
        <f t="shared" si="228"/>
        <v>3.5009761507034196</v>
      </c>
      <c r="KR45" s="399">
        <f t="shared" si="229"/>
        <v>191.80044778963418</v>
      </c>
      <c r="KS45" s="66"/>
      <c r="KT45" s="66"/>
      <c r="KU45" s="396">
        <f t="shared" si="353"/>
        <v>5</v>
      </c>
      <c r="KV45" s="397">
        <f t="shared" si="354"/>
        <v>5</v>
      </c>
      <c r="KW45" s="398">
        <f t="shared" si="381"/>
        <v>3.5000000000000018</v>
      </c>
      <c r="KX45" s="398">
        <f t="shared" si="230"/>
        <v>87.500000000000014</v>
      </c>
      <c r="KY45" s="398">
        <f t="shared" si="355"/>
        <v>57.5</v>
      </c>
      <c r="KZ45" s="398">
        <f t="shared" si="356"/>
        <v>0</v>
      </c>
      <c r="LA45" s="398">
        <f t="shared" si="357"/>
        <v>1.7500000000000004</v>
      </c>
      <c r="LB45" s="399">
        <f t="shared" si="232"/>
        <v>50.813008130081307</v>
      </c>
      <c r="LC45" s="66"/>
    </row>
    <row r="46" spans="1:315" s="67" customFormat="1" x14ac:dyDescent="0.25">
      <c r="A46" s="481"/>
      <c r="B46" s="1"/>
      <c r="E46" s="1"/>
      <c r="F46" s="1"/>
      <c r="G46" s="1"/>
      <c r="H46" s="1"/>
      <c r="I46" s="1"/>
      <c r="J46" s="1"/>
      <c r="K46" s="1"/>
      <c r="L46" s="1"/>
      <c r="M46" s="1"/>
      <c r="N46" s="1"/>
      <c r="O46" s="1"/>
      <c r="P46" s="1"/>
      <c r="Q46" s="1"/>
      <c r="R46" s="1"/>
      <c r="S46" s="1"/>
      <c r="T46" s="1"/>
      <c r="U46" s="1"/>
      <c r="V46" s="1"/>
      <c r="W46" s="1"/>
      <c r="X46" s="1"/>
      <c r="Y46" s="481"/>
      <c r="Z46" s="413"/>
      <c r="AA46" s="396">
        <f t="shared" si="233"/>
        <v>5</v>
      </c>
      <c r="AB46" s="397">
        <f t="shared" si="234"/>
        <v>20</v>
      </c>
      <c r="AC46" s="398">
        <f t="shared" si="358"/>
        <v>3.6000000000000019</v>
      </c>
      <c r="AD46" s="398">
        <f t="shared" si="146"/>
        <v>219.1839510201726</v>
      </c>
      <c r="AE46" s="398">
        <f t="shared" si="235"/>
        <v>3.0344009405041112</v>
      </c>
      <c r="AF46" s="398">
        <f t="shared" si="236"/>
        <v>0</v>
      </c>
      <c r="AG46" s="398">
        <f t="shared" si="237"/>
        <v>2.3535596423587126</v>
      </c>
      <c r="AH46" s="399">
        <f t="shared" si="148"/>
        <v>3252.0325203252037</v>
      </c>
      <c r="AI46" s="367"/>
      <c r="AJ46" s="66"/>
      <c r="AK46" s="396">
        <f t="shared" si="238"/>
        <v>10</v>
      </c>
      <c r="AL46" s="397">
        <f t="shared" si="239"/>
        <v>5</v>
      </c>
      <c r="AM46" s="398">
        <f t="shared" si="359"/>
        <v>3.6000000000000019</v>
      </c>
      <c r="AN46" s="398">
        <f t="shared" si="149"/>
        <v>180.00000000000003</v>
      </c>
      <c r="AO46" s="398">
        <f t="shared" si="240"/>
        <v>10.000000000000004</v>
      </c>
      <c r="AP46" s="398">
        <f t="shared" si="241"/>
        <v>7.5</v>
      </c>
      <c r="AQ46" s="398">
        <f t="shared" si="242"/>
        <v>1.8000000000000003</v>
      </c>
      <c r="AR46" s="399">
        <f t="shared" si="151"/>
        <v>101.62601626016261</v>
      </c>
      <c r="AS46" s="66"/>
      <c r="AT46" s="66"/>
      <c r="AU46" s="396">
        <f t="shared" si="243"/>
        <v>10</v>
      </c>
      <c r="AV46" s="397">
        <f t="shared" si="244"/>
        <v>5</v>
      </c>
      <c r="AW46" s="398">
        <f t="shared" si="360"/>
        <v>3.6000000000000019</v>
      </c>
      <c r="AX46" s="398">
        <f t="shared" si="152"/>
        <v>180.00000000000003</v>
      </c>
      <c r="AY46" s="398">
        <f t="shared" si="245"/>
        <v>10.000000000000004</v>
      </c>
      <c r="AZ46" s="398">
        <f t="shared" si="246"/>
        <v>2.5000000000000009</v>
      </c>
      <c r="BA46" s="398">
        <f t="shared" si="247"/>
        <v>1.8000000000000003</v>
      </c>
      <c r="BB46" s="399">
        <f t="shared" si="154"/>
        <v>101.62601626016261</v>
      </c>
      <c r="BC46" s="66"/>
      <c r="BD46" s="66"/>
      <c r="BE46" s="396">
        <f t="shared" si="248"/>
        <v>10</v>
      </c>
      <c r="BF46" s="397">
        <f t="shared" si="249"/>
        <v>5</v>
      </c>
      <c r="BG46" s="398">
        <f t="shared" si="361"/>
        <v>3.6000000000000019</v>
      </c>
      <c r="BH46" s="398">
        <f t="shared" si="155"/>
        <v>180.00000000000003</v>
      </c>
      <c r="BI46" s="398">
        <f t="shared" si="250"/>
        <v>10.000000000000004</v>
      </c>
      <c r="BJ46" s="398">
        <f t="shared" si="251"/>
        <v>-2.5000000000000009</v>
      </c>
      <c r="BK46" s="398">
        <f t="shared" si="252"/>
        <v>1.8000000000000003</v>
      </c>
      <c r="BL46" s="399">
        <f t="shared" si="157"/>
        <v>101.62601626016261</v>
      </c>
      <c r="BM46" s="66"/>
      <c r="BN46" s="66"/>
      <c r="BO46" s="396">
        <f t="shared" si="253"/>
        <v>10</v>
      </c>
      <c r="BP46" s="397">
        <f t="shared" si="254"/>
        <v>5</v>
      </c>
      <c r="BQ46" s="398">
        <f t="shared" si="362"/>
        <v>3.6000000000000019</v>
      </c>
      <c r="BR46" s="398">
        <f t="shared" si="158"/>
        <v>180.00000000000003</v>
      </c>
      <c r="BS46" s="398">
        <f t="shared" si="255"/>
        <v>10.000000000000004</v>
      </c>
      <c r="BT46" s="398">
        <f t="shared" si="256"/>
        <v>-7.5</v>
      </c>
      <c r="BU46" s="398">
        <f t="shared" si="257"/>
        <v>1.8000000000000003</v>
      </c>
      <c r="BV46" s="399">
        <f t="shared" si="160"/>
        <v>101.62601626016261</v>
      </c>
      <c r="BW46" s="66"/>
      <c r="BX46" s="66"/>
      <c r="BY46" s="396">
        <f t="shared" si="258"/>
        <v>10</v>
      </c>
      <c r="BZ46" s="397">
        <f t="shared" si="259"/>
        <v>5</v>
      </c>
      <c r="CA46" s="398">
        <f t="shared" si="363"/>
        <v>3.6000000000000019</v>
      </c>
      <c r="CB46" s="398">
        <f t="shared" si="161"/>
        <v>180.00000000000003</v>
      </c>
      <c r="CC46" s="398">
        <f t="shared" si="260"/>
        <v>20.000000000000007</v>
      </c>
      <c r="CD46" s="398">
        <f t="shared" si="261"/>
        <v>7.5</v>
      </c>
      <c r="CE46" s="398">
        <f t="shared" si="262"/>
        <v>1.8000000000000003</v>
      </c>
      <c r="CF46" s="399">
        <f t="shared" si="163"/>
        <v>101.62601626016261</v>
      </c>
      <c r="CG46" s="66"/>
      <c r="CH46" s="66"/>
      <c r="CI46" s="396">
        <f t="shared" si="263"/>
        <v>10</v>
      </c>
      <c r="CJ46" s="397">
        <f t="shared" si="264"/>
        <v>5</v>
      </c>
      <c r="CK46" s="398">
        <f t="shared" si="364"/>
        <v>3.6000000000000019</v>
      </c>
      <c r="CL46" s="398">
        <f t="shared" si="164"/>
        <v>180.00000000000003</v>
      </c>
      <c r="CM46" s="398">
        <f t="shared" si="265"/>
        <v>20.000000000000007</v>
      </c>
      <c r="CN46" s="398">
        <f t="shared" si="266"/>
        <v>2.5000000000000009</v>
      </c>
      <c r="CO46" s="398">
        <f t="shared" si="267"/>
        <v>1.8000000000000003</v>
      </c>
      <c r="CP46" s="399">
        <f t="shared" si="166"/>
        <v>101.62601626016261</v>
      </c>
      <c r="CQ46" s="66"/>
      <c r="CS46" s="396">
        <f t="shared" si="268"/>
        <v>10</v>
      </c>
      <c r="CT46" s="397">
        <f t="shared" si="269"/>
        <v>5</v>
      </c>
      <c r="CU46" s="398">
        <f t="shared" si="365"/>
        <v>3.6000000000000019</v>
      </c>
      <c r="CV46" s="398">
        <f t="shared" si="167"/>
        <v>180.00000000000003</v>
      </c>
      <c r="CW46" s="398">
        <f t="shared" si="270"/>
        <v>20.000000000000007</v>
      </c>
      <c r="CX46" s="398">
        <f t="shared" si="271"/>
        <v>-2.5000000000000009</v>
      </c>
      <c r="CY46" s="398">
        <f t="shared" si="272"/>
        <v>1.8000000000000003</v>
      </c>
      <c r="CZ46" s="399">
        <f t="shared" si="169"/>
        <v>101.62601626016261</v>
      </c>
      <c r="DA46" s="66"/>
      <c r="DB46" s="66"/>
      <c r="DC46" s="396">
        <f t="shared" si="273"/>
        <v>10</v>
      </c>
      <c r="DD46" s="397">
        <f t="shared" si="274"/>
        <v>5</v>
      </c>
      <c r="DE46" s="398">
        <f t="shared" si="366"/>
        <v>3.6000000000000019</v>
      </c>
      <c r="DF46" s="398">
        <f t="shared" si="170"/>
        <v>180.00000000000003</v>
      </c>
      <c r="DG46" s="398">
        <f t="shared" si="275"/>
        <v>20.000000000000007</v>
      </c>
      <c r="DH46" s="398">
        <f t="shared" si="276"/>
        <v>-7.5</v>
      </c>
      <c r="DI46" s="398">
        <f t="shared" si="277"/>
        <v>1.8000000000000003</v>
      </c>
      <c r="DJ46" s="399">
        <f t="shared" si="172"/>
        <v>101.62601626016261</v>
      </c>
      <c r="DK46" s="66"/>
      <c r="DM46" s="396">
        <f t="shared" si="278"/>
        <v>10</v>
      </c>
      <c r="DN46" s="397">
        <f t="shared" si="279"/>
        <v>5</v>
      </c>
      <c r="DO46" s="398">
        <f t="shared" si="367"/>
        <v>3.6000000000000019</v>
      </c>
      <c r="DP46" s="398">
        <f t="shared" si="173"/>
        <v>180.00000000000003</v>
      </c>
      <c r="DQ46" s="398">
        <f t="shared" si="280"/>
        <v>30</v>
      </c>
      <c r="DR46" s="398">
        <f t="shared" si="281"/>
        <v>7.5</v>
      </c>
      <c r="DS46" s="398">
        <f t="shared" si="282"/>
        <v>1.8000000000000003</v>
      </c>
      <c r="DT46" s="399">
        <f t="shared" si="175"/>
        <v>101.62601626016261</v>
      </c>
      <c r="DU46" s="66"/>
      <c r="DV46" s="66"/>
      <c r="DW46" s="396">
        <f t="shared" si="283"/>
        <v>10</v>
      </c>
      <c r="DX46" s="397">
        <f t="shared" si="284"/>
        <v>5</v>
      </c>
      <c r="DY46" s="398">
        <f t="shared" si="368"/>
        <v>3.6000000000000019</v>
      </c>
      <c r="DZ46" s="398">
        <f t="shared" si="176"/>
        <v>180.00000000000003</v>
      </c>
      <c r="EA46" s="398">
        <f t="shared" si="285"/>
        <v>30</v>
      </c>
      <c r="EB46" s="398">
        <f t="shared" si="286"/>
        <v>2.5000000000000009</v>
      </c>
      <c r="EC46" s="398">
        <f t="shared" si="287"/>
        <v>1.8000000000000003</v>
      </c>
      <c r="ED46" s="399">
        <f t="shared" si="178"/>
        <v>101.62601626016261</v>
      </c>
      <c r="EE46" s="66"/>
      <c r="EF46" s="66"/>
      <c r="EG46" s="396">
        <f t="shared" si="288"/>
        <v>10</v>
      </c>
      <c r="EH46" s="397">
        <f t="shared" si="289"/>
        <v>5</v>
      </c>
      <c r="EI46" s="398">
        <f t="shared" si="369"/>
        <v>3.6000000000000019</v>
      </c>
      <c r="EJ46" s="398">
        <f t="shared" si="179"/>
        <v>180.00000000000003</v>
      </c>
      <c r="EK46" s="398">
        <f t="shared" si="290"/>
        <v>30</v>
      </c>
      <c r="EL46" s="398">
        <f t="shared" si="291"/>
        <v>-2.5000000000000009</v>
      </c>
      <c r="EM46" s="398">
        <f t="shared" si="292"/>
        <v>1.8000000000000003</v>
      </c>
      <c r="EN46" s="399">
        <f t="shared" si="181"/>
        <v>101.62601626016261</v>
      </c>
      <c r="EO46" s="66"/>
      <c r="EP46" s="66"/>
      <c r="EQ46" s="396">
        <f t="shared" si="293"/>
        <v>10</v>
      </c>
      <c r="ER46" s="397">
        <f t="shared" si="294"/>
        <v>5</v>
      </c>
      <c r="ES46" s="398">
        <f t="shared" si="370"/>
        <v>3.6000000000000019</v>
      </c>
      <c r="ET46" s="398">
        <f t="shared" si="182"/>
        <v>180.00000000000003</v>
      </c>
      <c r="EU46" s="398">
        <f t="shared" si="295"/>
        <v>30</v>
      </c>
      <c r="EV46" s="398">
        <f t="shared" si="296"/>
        <v>-7.5</v>
      </c>
      <c r="EW46" s="398">
        <f t="shared" si="297"/>
        <v>1.8000000000000003</v>
      </c>
      <c r="EX46" s="399">
        <f t="shared" si="184"/>
        <v>101.62601626016261</v>
      </c>
      <c r="EY46" s="66"/>
      <c r="EZ46" s="66"/>
      <c r="FA46" s="396">
        <f t="shared" si="298"/>
        <v>10</v>
      </c>
      <c r="FB46" s="397">
        <f t="shared" si="299"/>
        <v>5</v>
      </c>
      <c r="FC46" s="398">
        <f t="shared" si="371"/>
        <v>3.6000000000000019</v>
      </c>
      <c r="FD46" s="398">
        <f t="shared" si="185"/>
        <v>180.00000000000003</v>
      </c>
      <c r="FE46" s="398">
        <f t="shared" si="300"/>
        <v>40.000000000000014</v>
      </c>
      <c r="FF46" s="398">
        <f t="shared" si="301"/>
        <v>7.5</v>
      </c>
      <c r="FG46" s="398">
        <f t="shared" si="302"/>
        <v>1.8000000000000003</v>
      </c>
      <c r="FH46" s="399">
        <f t="shared" si="187"/>
        <v>101.62601626016261</v>
      </c>
      <c r="FI46" s="66"/>
      <c r="FJ46" s="66"/>
      <c r="FK46" s="396">
        <f t="shared" si="303"/>
        <v>10</v>
      </c>
      <c r="FL46" s="397">
        <f t="shared" si="304"/>
        <v>5</v>
      </c>
      <c r="FM46" s="398">
        <f t="shared" si="372"/>
        <v>3.6000000000000019</v>
      </c>
      <c r="FN46" s="398">
        <f t="shared" si="188"/>
        <v>180.00000000000003</v>
      </c>
      <c r="FO46" s="398">
        <f t="shared" si="305"/>
        <v>40.000000000000014</v>
      </c>
      <c r="FP46" s="398">
        <f t="shared" si="306"/>
        <v>2.5000000000000009</v>
      </c>
      <c r="FQ46" s="398">
        <f t="shared" si="307"/>
        <v>1.8000000000000003</v>
      </c>
      <c r="FR46" s="399">
        <f t="shared" si="190"/>
        <v>101.62601626016261</v>
      </c>
      <c r="FS46" s="66"/>
      <c r="FT46" s="66"/>
      <c r="FU46" s="396">
        <f t="shared" si="308"/>
        <v>10</v>
      </c>
      <c r="FV46" s="397">
        <f t="shared" si="309"/>
        <v>5</v>
      </c>
      <c r="FW46" s="398">
        <f t="shared" si="373"/>
        <v>3.6000000000000019</v>
      </c>
      <c r="FX46" s="398">
        <f t="shared" si="191"/>
        <v>180.00000000000003</v>
      </c>
      <c r="FY46" s="398">
        <f t="shared" si="310"/>
        <v>40.000000000000014</v>
      </c>
      <c r="FZ46" s="398">
        <f t="shared" si="311"/>
        <v>-2.5000000000000009</v>
      </c>
      <c r="GA46" s="398">
        <f t="shared" si="312"/>
        <v>1.8000000000000003</v>
      </c>
      <c r="GB46" s="399">
        <f t="shared" si="193"/>
        <v>101.62601626016261</v>
      </c>
      <c r="GC46" s="66"/>
      <c r="GD46" s="66"/>
      <c r="GE46" s="396">
        <f t="shared" si="313"/>
        <v>10</v>
      </c>
      <c r="GF46" s="397">
        <f t="shared" si="314"/>
        <v>5</v>
      </c>
      <c r="GG46" s="398">
        <f t="shared" si="374"/>
        <v>3.6000000000000019</v>
      </c>
      <c r="GH46" s="398">
        <f t="shared" si="194"/>
        <v>180.00000000000003</v>
      </c>
      <c r="GI46" s="398">
        <f t="shared" si="315"/>
        <v>40.000000000000014</v>
      </c>
      <c r="GJ46" s="398">
        <f t="shared" si="316"/>
        <v>-7.5</v>
      </c>
      <c r="GK46" s="398">
        <f t="shared" si="317"/>
        <v>1.8000000000000003</v>
      </c>
      <c r="GL46" s="399">
        <f t="shared" si="196"/>
        <v>101.62601626016261</v>
      </c>
      <c r="GM46" s="66"/>
      <c r="GN46" s="66"/>
      <c r="GO46" s="396">
        <f t="shared" si="318"/>
        <v>10</v>
      </c>
      <c r="GP46" s="397">
        <f t="shared" si="319"/>
        <v>5</v>
      </c>
      <c r="GQ46" s="398">
        <f t="shared" si="375"/>
        <v>3.6000000000000019</v>
      </c>
      <c r="GR46" s="398">
        <f t="shared" si="197"/>
        <v>180.00000000000003</v>
      </c>
      <c r="GS46" s="398">
        <f t="shared" si="320"/>
        <v>50</v>
      </c>
      <c r="GT46" s="398">
        <f t="shared" si="321"/>
        <v>7.5</v>
      </c>
      <c r="GU46" s="398">
        <f t="shared" si="322"/>
        <v>1.8000000000000003</v>
      </c>
      <c r="GV46" s="399">
        <f t="shared" si="199"/>
        <v>101.62601626016261</v>
      </c>
      <c r="GW46" s="66"/>
      <c r="GX46" s="66"/>
      <c r="GY46" s="396">
        <f t="shared" si="323"/>
        <v>10</v>
      </c>
      <c r="GZ46" s="397">
        <f t="shared" si="324"/>
        <v>5</v>
      </c>
      <c r="HA46" s="398">
        <f t="shared" si="376"/>
        <v>3.6000000000000019</v>
      </c>
      <c r="HB46" s="398">
        <f t="shared" si="200"/>
        <v>180.00000000000003</v>
      </c>
      <c r="HC46" s="398">
        <f t="shared" si="325"/>
        <v>50</v>
      </c>
      <c r="HD46" s="398">
        <f t="shared" si="326"/>
        <v>2.5000000000000009</v>
      </c>
      <c r="HE46" s="398">
        <f t="shared" si="327"/>
        <v>1.8000000000000003</v>
      </c>
      <c r="HF46" s="399">
        <f t="shared" si="202"/>
        <v>101.62601626016261</v>
      </c>
      <c r="HH46" s="66"/>
      <c r="HI46" s="396">
        <f t="shared" si="328"/>
        <v>10</v>
      </c>
      <c r="HJ46" s="397">
        <f t="shared" si="329"/>
        <v>5</v>
      </c>
      <c r="HK46" s="398">
        <f t="shared" si="377"/>
        <v>3.6000000000000019</v>
      </c>
      <c r="HL46" s="398">
        <f t="shared" si="203"/>
        <v>180.00000000000003</v>
      </c>
      <c r="HM46" s="398">
        <f t="shared" si="330"/>
        <v>50</v>
      </c>
      <c r="HN46" s="398">
        <f t="shared" si="331"/>
        <v>-2.5000000000000009</v>
      </c>
      <c r="HO46" s="398">
        <f t="shared" si="332"/>
        <v>1.8000000000000003</v>
      </c>
      <c r="HP46" s="399">
        <f t="shared" si="205"/>
        <v>101.62601626016261</v>
      </c>
      <c r="HQ46" s="66"/>
      <c r="HR46" s="66"/>
      <c r="HS46" s="396">
        <f t="shared" si="333"/>
        <v>10</v>
      </c>
      <c r="HT46" s="397">
        <f t="shared" si="334"/>
        <v>5</v>
      </c>
      <c r="HU46" s="398">
        <f t="shared" si="378"/>
        <v>3.6000000000000019</v>
      </c>
      <c r="HV46" s="398">
        <f t="shared" si="206"/>
        <v>180.00000000000003</v>
      </c>
      <c r="HW46" s="398">
        <f t="shared" si="335"/>
        <v>50</v>
      </c>
      <c r="HX46" s="398">
        <f t="shared" si="336"/>
        <v>-7.5</v>
      </c>
      <c r="HY46" s="398">
        <f t="shared" si="337"/>
        <v>1.8000000000000003</v>
      </c>
      <c r="HZ46" s="399">
        <f t="shared" si="208"/>
        <v>101.62601626016261</v>
      </c>
      <c r="IA46" s="66"/>
      <c r="IB46" s="66"/>
      <c r="IC46" s="396">
        <f t="shared" si="338"/>
        <v>5</v>
      </c>
      <c r="ID46" s="397">
        <f t="shared" si="339"/>
        <v>20</v>
      </c>
      <c r="IE46" s="398">
        <f t="shared" si="379"/>
        <v>3.6000000000000019</v>
      </c>
      <c r="IF46" s="398">
        <f t="shared" si="209"/>
        <v>218.6159557232759</v>
      </c>
      <c r="IG46" s="398">
        <f t="shared" si="340"/>
        <v>56.961952434492375</v>
      </c>
      <c r="IH46" s="398">
        <f t="shared" si="341"/>
        <v>0</v>
      </c>
      <c r="II46" s="398">
        <f t="shared" si="342"/>
        <v>2.3547350199509007</v>
      </c>
      <c r="IJ46" s="399">
        <f t="shared" si="211"/>
        <v>3252.0325203252037</v>
      </c>
      <c r="IK46" s="66"/>
      <c r="IL46" s="66"/>
      <c r="IM46" s="396">
        <f t="shared" si="343"/>
        <v>11</v>
      </c>
      <c r="IN46" s="397">
        <f t="shared" si="344"/>
        <v>13.75</v>
      </c>
      <c r="IO46" s="398">
        <f t="shared" si="380"/>
        <v>3.6000000000000019</v>
      </c>
      <c r="IP46" s="398">
        <f t="shared" si="212"/>
        <v>519.90359441245005</v>
      </c>
      <c r="IQ46" s="398">
        <f t="shared" si="345"/>
        <v>67.891901694179879</v>
      </c>
      <c r="IR46" s="398">
        <f t="shared" si="346"/>
        <v>6.8749999999999991</v>
      </c>
      <c r="IS46" s="398">
        <f t="shared" si="347"/>
        <v>1.8662193695350209</v>
      </c>
      <c r="IT46" s="399">
        <f t="shared" si="214"/>
        <v>2324.8539126016262</v>
      </c>
      <c r="IU46" s="66"/>
      <c r="IV46" s="66"/>
      <c r="IW46" s="396">
        <f t="shared" si="116"/>
        <v>11</v>
      </c>
      <c r="IX46" s="397">
        <f t="shared" si="117"/>
        <v>13.75</v>
      </c>
      <c r="IY46" s="398">
        <f t="shared" si="118"/>
        <v>3.6000000000000019</v>
      </c>
      <c r="IZ46" s="398">
        <f t="shared" si="348"/>
        <v>519.90359441245005</v>
      </c>
      <c r="JA46" s="398">
        <f t="shared" si="119"/>
        <v>67.891901694179879</v>
      </c>
      <c r="JB46" s="398">
        <f t="shared" si="120"/>
        <v>-6.8749999999999991</v>
      </c>
      <c r="JC46" s="398">
        <f t="shared" si="216"/>
        <v>1.8662193695350209</v>
      </c>
      <c r="JD46" s="399">
        <f t="shared" si="217"/>
        <v>2324.8539126016262</v>
      </c>
      <c r="JE46" s="66"/>
      <c r="JF46" s="66"/>
      <c r="JG46" s="396">
        <f t="shared" si="121"/>
        <v>7.26</v>
      </c>
      <c r="JH46" s="397">
        <f t="shared" si="122"/>
        <v>6.875</v>
      </c>
      <c r="JI46" s="398">
        <f t="shared" si="123"/>
        <v>3.6000000000000019</v>
      </c>
      <c r="JJ46" s="398">
        <f t="shared" si="349"/>
        <v>107.15605610405994</v>
      </c>
      <c r="JK46" s="398">
        <f t="shared" si="124"/>
        <v>72.412577314761208</v>
      </c>
      <c r="JL46" s="398">
        <f t="shared" si="125"/>
        <v>10.3125</v>
      </c>
      <c r="JM46" s="398">
        <f t="shared" si="219"/>
        <v>3.5589684426347956</v>
      </c>
      <c r="JN46" s="399">
        <f t="shared" si="220"/>
        <v>191.80044778963418</v>
      </c>
      <c r="JO46" s="66"/>
      <c r="JP46" s="66"/>
      <c r="JQ46" s="396">
        <f t="shared" si="126"/>
        <v>7.26</v>
      </c>
      <c r="JR46" s="397">
        <f t="shared" si="127"/>
        <v>6.875</v>
      </c>
      <c r="JS46" s="398">
        <f t="shared" si="128"/>
        <v>3.6000000000000019</v>
      </c>
      <c r="JT46" s="398">
        <f t="shared" si="350"/>
        <v>107.15605610405994</v>
      </c>
      <c r="JU46" s="398">
        <f t="shared" si="129"/>
        <v>72.412577314761208</v>
      </c>
      <c r="JV46" s="398">
        <f t="shared" si="130"/>
        <v>3.4374999999999991</v>
      </c>
      <c r="JW46" s="398">
        <f t="shared" si="222"/>
        <v>3.5589684426347956</v>
      </c>
      <c r="JX46" s="399">
        <f t="shared" si="223"/>
        <v>191.80044778963418</v>
      </c>
      <c r="JY46" s="66"/>
      <c r="JZ46" s="66"/>
      <c r="KA46" s="396">
        <f t="shared" si="131"/>
        <v>7.26</v>
      </c>
      <c r="KB46" s="397">
        <f t="shared" si="132"/>
        <v>6.875</v>
      </c>
      <c r="KC46" s="398">
        <f t="shared" si="133"/>
        <v>3.6000000000000019</v>
      </c>
      <c r="KD46" s="398">
        <f t="shared" si="351"/>
        <v>107.15605610405994</v>
      </c>
      <c r="KE46" s="398">
        <f t="shared" si="134"/>
        <v>72.412577314761208</v>
      </c>
      <c r="KF46" s="398">
        <f t="shared" si="135"/>
        <v>-3.4374999999999991</v>
      </c>
      <c r="KG46" s="398">
        <f t="shared" si="225"/>
        <v>3.5589684426347956</v>
      </c>
      <c r="KH46" s="399">
        <f t="shared" si="226"/>
        <v>191.80044778963418</v>
      </c>
      <c r="KI46" s="66"/>
      <c r="KJ46" s="66"/>
      <c r="KK46" s="396">
        <f t="shared" si="136"/>
        <v>7.26</v>
      </c>
      <c r="KL46" s="397">
        <f t="shared" si="137"/>
        <v>6.875</v>
      </c>
      <c r="KM46" s="398">
        <f t="shared" si="138"/>
        <v>3.6000000000000019</v>
      </c>
      <c r="KN46" s="398">
        <f t="shared" si="352"/>
        <v>107.15605610405994</v>
      </c>
      <c r="KO46" s="398">
        <f t="shared" si="139"/>
        <v>72.412577314761208</v>
      </c>
      <c r="KP46" s="398">
        <f t="shared" si="140"/>
        <v>-10.3125</v>
      </c>
      <c r="KQ46" s="398">
        <f t="shared" si="228"/>
        <v>3.5589684426347956</v>
      </c>
      <c r="KR46" s="399">
        <f t="shared" si="229"/>
        <v>191.80044778963418</v>
      </c>
      <c r="KS46" s="66"/>
      <c r="KT46" s="66"/>
      <c r="KU46" s="396">
        <f t="shared" si="353"/>
        <v>5</v>
      </c>
      <c r="KV46" s="397">
        <f t="shared" si="354"/>
        <v>5</v>
      </c>
      <c r="KW46" s="398">
        <f t="shared" si="381"/>
        <v>3.6000000000000019</v>
      </c>
      <c r="KX46" s="398">
        <f t="shared" si="230"/>
        <v>90.000000000000014</v>
      </c>
      <c r="KY46" s="398">
        <f t="shared" si="355"/>
        <v>57.5</v>
      </c>
      <c r="KZ46" s="398">
        <f t="shared" si="356"/>
        <v>0</v>
      </c>
      <c r="LA46" s="398">
        <f t="shared" si="357"/>
        <v>1.8000000000000003</v>
      </c>
      <c r="LB46" s="399">
        <f t="shared" si="232"/>
        <v>50.813008130081307</v>
      </c>
      <c r="LC46" s="66"/>
    </row>
    <row r="47" spans="1:315" s="67" customFormat="1" x14ac:dyDescent="0.25">
      <c r="A47" s="481"/>
      <c r="B47" s="1"/>
      <c r="E47" s="1"/>
      <c r="F47" s="1"/>
      <c r="G47" s="1"/>
      <c r="H47" s="1"/>
      <c r="I47" s="1"/>
      <c r="J47" s="1"/>
      <c r="K47" s="1"/>
      <c r="L47" s="1"/>
      <c r="M47" s="1"/>
      <c r="N47" s="1"/>
      <c r="O47" s="1"/>
      <c r="P47" s="1"/>
      <c r="Q47" s="1"/>
      <c r="R47" s="1"/>
      <c r="S47" s="1"/>
      <c r="T47" s="1"/>
      <c r="U47" s="1"/>
      <c r="V47" s="1"/>
      <c r="W47" s="1"/>
      <c r="X47" s="1"/>
      <c r="Y47" s="481"/>
      <c r="Z47" s="413"/>
      <c r="AA47" s="396">
        <f t="shared" si="233"/>
        <v>5</v>
      </c>
      <c r="AB47" s="397">
        <f t="shared" si="234"/>
        <v>20</v>
      </c>
      <c r="AC47" s="398">
        <f t="shared" si="358"/>
        <v>3.700000000000002</v>
      </c>
      <c r="AD47" s="398">
        <f t="shared" si="146"/>
        <v>229.1839510201726</v>
      </c>
      <c r="AE47" s="398">
        <f t="shared" si="235"/>
        <v>3.0110833854080705</v>
      </c>
      <c r="AF47" s="398">
        <f t="shared" si="236"/>
        <v>0</v>
      </c>
      <c r="AG47" s="398">
        <f t="shared" si="237"/>
        <v>2.4101273187544816</v>
      </c>
      <c r="AH47" s="399">
        <f t="shared" si="148"/>
        <v>3252.0325203252037</v>
      </c>
      <c r="AI47" s="367"/>
      <c r="AJ47" s="66"/>
      <c r="AK47" s="396">
        <f t="shared" si="238"/>
        <v>10</v>
      </c>
      <c r="AL47" s="397">
        <f t="shared" si="239"/>
        <v>5</v>
      </c>
      <c r="AM47" s="398">
        <f t="shared" si="359"/>
        <v>3.700000000000002</v>
      </c>
      <c r="AN47" s="398">
        <f t="shared" si="149"/>
        <v>185.00000000000003</v>
      </c>
      <c r="AO47" s="398">
        <f t="shared" si="240"/>
        <v>10.000000000000004</v>
      </c>
      <c r="AP47" s="398">
        <f t="shared" si="241"/>
        <v>7.5</v>
      </c>
      <c r="AQ47" s="398">
        <f t="shared" si="242"/>
        <v>1.8500000000000003</v>
      </c>
      <c r="AR47" s="399">
        <f t="shared" si="151"/>
        <v>101.62601626016261</v>
      </c>
      <c r="AS47" s="66"/>
      <c r="AT47" s="66"/>
      <c r="AU47" s="396">
        <f t="shared" si="243"/>
        <v>10</v>
      </c>
      <c r="AV47" s="397">
        <f t="shared" si="244"/>
        <v>5</v>
      </c>
      <c r="AW47" s="398">
        <f t="shared" si="360"/>
        <v>3.700000000000002</v>
      </c>
      <c r="AX47" s="398">
        <f t="shared" si="152"/>
        <v>185.00000000000003</v>
      </c>
      <c r="AY47" s="398">
        <f t="shared" si="245"/>
        <v>10.000000000000004</v>
      </c>
      <c r="AZ47" s="398">
        <f t="shared" si="246"/>
        <v>2.5000000000000009</v>
      </c>
      <c r="BA47" s="398">
        <f t="shared" si="247"/>
        <v>1.8500000000000003</v>
      </c>
      <c r="BB47" s="399">
        <f t="shared" si="154"/>
        <v>101.62601626016261</v>
      </c>
      <c r="BC47" s="66"/>
      <c r="BD47" s="66"/>
      <c r="BE47" s="396">
        <f t="shared" si="248"/>
        <v>10</v>
      </c>
      <c r="BF47" s="397">
        <f t="shared" si="249"/>
        <v>5</v>
      </c>
      <c r="BG47" s="398">
        <f t="shared" si="361"/>
        <v>3.700000000000002</v>
      </c>
      <c r="BH47" s="398">
        <f t="shared" si="155"/>
        <v>185.00000000000003</v>
      </c>
      <c r="BI47" s="398">
        <f t="shared" si="250"/>
        <v>10.000000000000004</v>
      </c>
      <c r="BJ47" s="398">
        <f t="shared" si="251"/>
        <v>-2.5000000000000009</v>
      </c>
      <c r="BK47" s="398">
        <f t="shared" si="252"/>
        <v>1.8500000000000003</v>
      </c>
      <c r="BL47" s="399">
        <f t="shared" si="157"/>
        <v>101.62601626016261</v>
      </c>
      <c r="BM47" s="66"/>
      <c r="BN47" s="66"/>
      <c r="BO47" s="396">
        <f t="shared" si="253"/>
        <v>10</v>
      </c>
      <c r="BP47" s="397">
        <f t="shared" si="254"/>
        <v>5</v>
      </c>
      <c r="BQ47" s="398">
        <f t="shared" si="362"/>
        <v>3.700000000000002</v>
      </c>
      <c r="BR47" s="398">
        <f t="shared" si="158"/>
        <v>185.00000000000003</v>
      </c>
      <c r="BS47" s="398">
        <f t="shared" si="255"/>
        <v>10.000000000000004</v>
      </c>
      <c r="BT47" s="398">
        <f t="shared" si="256"/>
        <v>-7.5</v>
      </c>
      <c r="BU47" s="398">
        <f t="shared" si="257"/>
        <v>1.8500000000000003</v>
      </c>
      <c r="BV47" s="399">
        <f t="shared" si="160"/>
        <v>101.62601626016261</v>
      </c>
      <c r="BW47" s="66"/>
      <c r="BX47" s="66"/>
      <c r="BY47" s="396">
        <f t="shared" si="258"/>
        <v>10</v>
      </c>
      <c r="BZ47" s="397">
        <f t="shared" si="259"/>
        <v>5</v>
      </c>
      <c r="CA47" s="398">
        <f t="shared" si="363"/>
        <v>3.700000000000002</v>
      </c>
      <c r="CB47" s="398">
        <f t="shared" si="161"/>
        <v>185.00000000000003</v>
      </c>
      <c r="CC47" s="398">
        <f t="shared" si="260"/>
        <v>20.000000000000007</v>
      </c>
      <c r="CD47" s="398">
        <f t="shared" si="261"/>
        <v>7.5</v>
      </c>
      <c r="CE47" s="398">
        <f t="shared" si="262"/>
        <v>1.8500000000000003</v>
      </c>
      <c r="CF47" s="399">
        <f t="shared" si="163"/>
        <v>101.62601626016261</v>
      </c>
      <c r="CG47" s="66"/>
      <c r="CH47" s="66"/>
      <c r="CI47" s="396">
        <f t="shared" si="263"/>
        <v>10</v>
      </c>
      <c r="CJ47" s="397">
        <f t="shared" si="264"/>
        <v>5</v>
      </c>
      <c r="CK47" s="398">
        <f t="shared" si="364"/>
        <v>3.700000000000002</v>
      </c>
      <c r="CL47" s="398">
        <f t="shared" si="164"/>
        <v>185.00000000000003</v>
      </c>
      <c r="CM47" s="398">
        <f t="shared" si="265"/>
        <v>20.000000000000007</v>
      </c>
      <c r="CN47" s="398">
        <f t="shared" si="266"/>
        <v>2.5000000000000009</v>
      </c>
      <c r="CO47" s="398">
        <f t="shared" si="267"/>
        <v>1.8500000000000003</v>
      </c>
      <c r="CP47" s="399">
        <f t="shared" si="166"/>
        <v>101.62601626016261</v>
      </c>
      <c r="CQ47" s="66"/>
      <c r="CS47" s="396">
        <f t="shared" si="268"/>
        <v>10</v>
      </c>
      <c r="CT47" s="397">
        <f t="shared" si="269"/>
        <v>5</v>
      </c>
      <c r="CU47" s="398">
        <f t="shared" si="365"/>
        <v>3.700000000000002</v>
      </c>
      <c r="CV47" s="398">
        <f t="shared" si="167"/>
        <v>185.00000000000003</v>
      </c>
      <c r="CW47" s="398">
        <f t="shared" si="270"/>
        <v>20.000000000000007</v>
      </c>
      <c r="CX47" s="398">
        <f t="shared" si="271"/>
        <v>-2.5000000000000009</v>
      </c>
      <c r="CY47" s="398">
        <f t="shared" si="272"/>
        <v>1.8500000000000003</v>
      </c>
      <c r="CZ47" s="399">
        <f t="shared" si="169"/>
        <v>101.62601626016261</v>
      </c>
      <c r="DA47" s="66"/>
      <c r="DB47" s="66"/>
      <c r="DC47" s="396">
        <f t="shared" si="273"/>
        <v>10</v>
      </c>
      <c r="DD47" s="397">
        <f t="shared" si="274"/>
        <v>5</v>
      </c>
      <c r="DE47" s="398">
        <f t="shared" si="366"/>
        <v>3.700000000000002</v>
      </c>
      <c r="DF47" s="398">
        <f t="shared" si="170"/>
        <v>185.00000000000003</v>
      </c>
      <c r="DG47" s="398">
        <f t="shared" si="275"/>
        <v>20.000000000000007</v>
      </c>
      <c r="DH47" s="398">
        <f t="shared" si="276"/>
        <v>-7.5</v>
      </c>
      <c r="DI47" s="398">
        <f t="shared" si="277"/>
        <v>1.8500000000000003</v>
      </c>
      <c r="DJ47" s="399">
        <f t="shared" si="172"/>
        <v>101.62601626016261</v>
      </c>
      <c r="DK47" s="66"/>
      <c r="DM47" s="396">
        <f t="shared" si="278"/>
        <v>10</v>
      </c>
      <c r="DN47" s="397">
        <f t="shared" si="279"/>
        <v>5</v>
      </c>
      <c r="DO47" s="398">
        <f t="shared" si="367"/>
        <v>3.700000000000002</v>
      </c>
      <c r="DP47" s="398">
        <f t="shared" si="173"/>
        <v>185.00000000000003</v>
      </c>
      <c r="DQ47" s="398">
        <f t="shared" si="280"/>
        <v>30</v>
      </c>
      <c r="DR47" s="398">
        <f t="shared" si="281"/>
        <v>7.5</v>
      </c>
      <c r="DS47" s="398">
        <f t="shared" si="282"/>
        <v>1.8500000000000003</v>
      </c>
      <c r="DT47" s="399">
        <f t="shared" si="175"/>
        <v>101.62601626016261</v>
      </c>
      <c r="DU47" s="66"/>
      <c r="DV47" s="66"/>
      <c r="DW47" s="396">
        <f t="shared" si="283"/>
        <v>10</v>
      </c>
      <c r="DX47" s="397">
        <f t="shared" si="284"/>
        <v>5</v>
      </c>
      <c r="DY47" s="398">
        <f t="shared" si="368"/>
        <v>3.700000000000002</v>
      </c>
      <c r="DZ47" s="398">
        <f t="shared" si="176"/>
        <v>185.00000000000003</v>
      </c>
      <c r="EA47" s="398">
        <f t="shared" si="285"/>
        <v>30</v>
      </c>
      <c r="EB47" s="398">
        <f t="shared" si="286"/>
        <v>2.5000000000000009</v>
      </c>
      <c r="EC47" s="398">
        <f t="shared" si="287"/>
        <v>1.8500000000000003</v>
      </c>
      <c r="ED47" s="399">
        <f t="shared" si="178"/>
        <v>101.62601626016261</v>
      </c>
      <c r="EE47" s="66"/>
      <c r="EF47" s="66"/>
      <c r="EG47" s="396">
        <f t="shared" si="288"/>
        <v>10</v>
      </c>
      <c r="EH47" s="397">
        <f t="shared" si="289"/>
        <v>5</v>
      </c>
      <c r="EI47" s="398">
        <f t="shared" si="369"/>
        <v>3.700000000000002</v>
      </c>
      <c r="EJ47" s="398">
        <f t="shared" si="179"/>
        <v>185.00000000000003</v>
      </c>
      <c r="EK47" s="398">
        <f t="shared" si="290"/>
        <v>30</v>
      </c>
      <c r="EL47" s="398">
        <f t="shared" si="291"/>
        <v>-2.5000000000000009</v>
      </c>
      <c r="EM47" s="398">
        <f t="shared" si="292"/>
        <v>1.8500000000000003</v>
      </c>
      <c r="EN47" s="399">
        <f t="shared" si="181"/>
        <v>101.62601626016261</v>
      </c>
      <c r="EO47" s="66"/>
      <c r="EP47" s="66"/>
      <c r="EQ47" s="396">
        <f t="shared" si="293"/>
        <v>10</v>
      </c>
      <c r="ER47" s="397">
        <f t="shared" si="294"/>
        <v>5</v>
      </c>
      <c r="ES47" s="398">
        <f t="shared" si="370"/>
        <v>3.700000000000002</v>
      </c>
      <c r="ET47" s="398">
        <f t="shared" si="182"/>
        <v>185.00000000000003</v>
      </c>
      <c r="EU47" s="398">
        <f t="shared" si="295"/>
        <v>30</v>
      </c>
      <c r="EV47" s="398">
        <f t="shared" si="296"/>
        <v>-7.5</v>
      </c>
      <c r="EW47" s="398">
        <f t="shared" si="297"/>
        <v>1.8500000000000003</v>
      </c>
      <c r="EX47" s="399">
        <f t="shared" si="184"/>
        <v>101.62601626016261</v>
      </c>
      <c r="EY47" s="66"/>
      <c r="EZ47" s="66"/>
      <c r="FA47" s="396">
        <f t="shared" si="298"/>
        <v>10</v>
      </c>
      <c r="FB47" s="397">
        <f t="shared" si="299"/>
        <v>5</v>
      </c>
      <c r="FC47" s="398">
        <f t="shared" si="371"/>
        <v>3.700000000000002</v>
      </c>
      <c r="FD47" s="398">
        <f t="shared" si="185"/>
        <v>185.00000000000003</v>
      </c>
      <c r="FE47" s="398">
        <f t="shared" si="300"/>
        <v>40.000000000000014</v>
      </c>
      <c r="FF47" s="398">
        <f t="shared" si="301"/>
        <v>7.5</v>
      </c>
      <c r="FG47" s="398">
        <f t="shared" si="302"/>
        <v>1.8500000000000003</v>
      </c>
      <c r="FH47" s="399">
        <f t="shared" si="187"/>
        <v>101.62601626016261</v>
      </c>
      <c r="FI47" s="66"/>
      <c r="FJ47" s="66"/>
      <c r="FK47" s="396">
        <f t="shared" si="303"/>
        <v>10</v>
      </c>
      <c r="FL47" s="397">
        <f t="shared" si="304"/>
        <v>5</v>
      </c>
      <c r="FM47" s="398">
        <f t="shared" si="372"/>
        <v>3.700000000000002</v>
      </c>
      <c r="FN47" s="398">
        <f t="shared" si="188"/>
        <v>185.00000000000003</v>
      </c>
      <c r="FO47" s="398">
        <f t="shared" si="305"/>
        <v>40.000000000000014</v>
      </c>
      <c r="FP47" s="398">
        <f t="shared" si="306"/>
        <v>2.5000000000000009</v>
      </c>
      <c r="FQ47" s="398">
        <f t="shared" si="307"/>
        <v>1.8500000000000003</v>
      </c>
      <c r="FR47" s="399">
        <f t="shared" si="190"/>
        <v>101.62601626016261</v>
      </c>
      <c r="FS47" s="66"/>
      <c r="FT47" s="66"/>
      <c r="FU47" s="396">
        <f t="shared" si="308"/>
        <v>10</v>
      </c>
      <c r="FV47" s="397">
        <f t="shared" si="309"/>
        <v>5</v>
      </c>
      <c r="FW47" s="398">
        <f t="shared" si="373"/>
        <v>3.700000000000002</v>
      </c>
      <c r="FX47" s="398">
        <f t="shared" si="191"/>
        <v>185.00000000000003</v>
      </c>
      <c r="FY47" s="398">
        <f t="shared" si="310"/>
        <v>40.000000000000014</v>
      </c>
      <c r="FZ47" s="398">
        <f t="shared" si="311"/>
        <v>-2.5000000000000009</v>
      </c>
      <c r="GA47" s="398">
        <f t="shared" si="312"/>
        <v>1.8500000000000003</v>
      </c>
      <c r="GB47" s="399">
        <f t="shared" si="193"/>
        <v>101.62601626016261</v>
      </c>
      <c r="GC47" s="66"/>
      <c r="GD47" s="66"/>
      <c r="GE47" s="396">
        <f t="shared" si="313"/>
        <v>10</v>
      </c>
      <c r="GF47" s="397">
        <f t="shared" si="314"/>
        <v>5</v>
      </c>
      <c r="GG47" s="398">
        <f t="shared" si="374"/>
        <v>3.700000000000002</v>
      </c>
      <c r="GH47" s="398">
        <f t="shared" si="194"/>
        <v>185.00000000000003</v>
      </c>
      <c r="GI47" s="398">
        <f t="shared" si="315"/>
        <v>40.000000000000014</v>
      </c>
      <c r="GJ47" s="398">
        <f t="shared" si="316"/>
        <v>-7.5</v>
      </c>
      <c r="GK47" s="398">
        <f t="shared" si="317"/>
        <v>1.8500000000000003</v>
      </c>
      <c r="GL47" s="399">
        <f t="shared" si="196"/>
        <v>101.62601626016261</v>
      </c>
      <c r="GM47" s="66"/>
      <c r="GN47" s="66"/>
      <c r="GO47" s="396">
        <f t="shared" si="318"/>
        <v>10</v>
      </c>
      <c r="GP47" s="397">
        <f t="shared" si="319"/>
        <v>5</v>
      </c>
      <c r="GQ47" s="398">
        <f t="shared" si="375"/>
        <v>3.700000000000002</v>
      </c>
      <c r="GR47" s="398">
        <f t="shared" si="197"/>
        <v>185.00000000000003</v>
      </c>
      <c r="GS47" s="398">
        <f t="shared" si="320"/>
        <v>50</v>
      </c>
      <c r="GT47" s="398">
        <f t="shared" si="321"/>
        <v>7.5</v>
      </c>
      <c r="GU47" s="398">
        <f t="shared" si="322"/>
        <v>1.8500000000000003</v>
      </c>
      <c r="GV47" s="399">
        <f t="shared" si="199"/>
        <v>101.62601626016261</v>
      </c>
      <c r="GW47" s="66"/>
      <c r="GX47" s="66"/>
      <c r="GY47" s="396">
        <f t="shared" si="323"/>
        <v>10</v>
      </c>
      <c r="GZ47" s="397">
        <f t="shared" si="324"/>
        <v>5</v>
      </c>
      <c r="HA47" s="398">
        <f t="shared" si="376"/>
        <v>3.700000000000002</v>
      </c>
      <c r="HB47" s="398">
        <f t="shared" si="200"/>
        <v>185.00000000000003</v>
      </c>
      <c r="HC47" s="398">
        <f t="shared" si="325"/>
        <v>50</v>
      </c>
      <c r="HD47" s="398">
        <f t="shared" si="326"/>
        <v>2.5000000000000009</v>
      </c>
      <c r="HE47" s="398">
        <f t="shared" si="327"/>
        <v>1.8500000000000003</v>
      </c>
      <c r="HF47" s="399">
        <f t="shared" si="202"/>
        <v>101.62601626016261</v>
      </c>
      <c r="HH47" s="66"/>
      <c r="HI47" s="396">
        <f t="shared" si="328"/>
        <v>10</v>
      </c>
      <c r="HJ47" s="397">
        <f t="shared" si="329"/>
        <v>5</v>
      </c>
      <c r="HK47" s="398">
        <f t="shared" si="377"/>
        <v>3.700000000000002</v>
      </c>
      <c r="HL47" s="398">
        <f t="shared" si="203"/>
        <v>185.00000000000003</v>
      </c>
      <c r="HM47" s="398">
        <f t="shared" si="330"/>
        <v>50</v>
      </c>
      <c r="HN47" s="398">
        <f t="shared" si="331"/>
        <v>-2.5000000000000009</v>
      </c>
      <c r="HO47" s="398">
        <f t="shared" si="332"/>
        <v>1.8500000000000003</v>
      </c>
      <c r="HP47" s="399">
        <f t="shared" si="205"/>
        <v>101.62601626016261</v>
      </c>
      <c r="HQ47" s="66"/>
      <c r="HR47" s="66"/>
      <c r="HS47" s="396">
        <f t="shared" si="333"/>
        <v>10</v>
      </c>
      <c r="HT47" s="397">
        <f t="shared" si="334"/>
        <v>5</v>
      </c>
      <c r="HU47" s="398">
        <f t="shared" si="378"/>
        <v>3.700000000000002</v>
      </c>
      <c r="HV47" s="398">
        <f t="shared" si="206"/>
        <v>185.00000000000003</v>
      </c>
      <c r="HW47" s="398">
        <f t="shared" si="335"/>
        <v>50</v>
      </c>
      <c r="HX47" s="398">
        <f t="shared" si="336"/>
        <v>-7.5</v>
      </c>
      <c r="HY47" s="398">
        <f t="shared" si="337"/>
        <v>1.8500000000000003</v>
      </c>
      <c r="HZ47" s="399">
        <f t="shared" si="208"/>
        <v>101.62601626016261</v>
      </c>
      <c r="IA47" s="66"/>
      <c r="IB47" s="66"/>
      <c r="IC47" s="396">
        <f t="shared" si="338"/>
        <v>5</v>
      </c>
      <c r="ID47" s="397">
        <f t="shared" si="339"/>
        <v>20</v>
      </c>
      <c r="IE47" s="398">
        <f t="shared" si="379"/>
        <v>3.700000000000002</v>
      </c>
      <c r="IF47" s="398">
        <f t="shared" si="209"/>
        <v>228.6159557232759</v>
      </c>
      <c r="IG47" s="398">
        <f t="shared" si="340"/>
        <v>56.985487430718052</v>
      </c>
      <c r="IH47" s="398">
        <f t="shared" si="341"/>
        <v>0</v>
      </c>
      <c r="II47" s="398">
        <f t="shared" si="342"/>
        <v>2.4113918257259503</v>
      </c>
      <c r="IJ47" s="399">
        <f t="shared" si="211"/>
        <v>3252.0325203252037</v>
      </c>
      <c r="IK47" s="66"/>
      <c r="IL47" s="66"/>
      <c r="IM47" s="396">
        <f t="shared" si="343"/>
        <v>11</v>
      </c>
      <c r="IN47" s="397">
        <f t="shared" si="344"/>
        <v>13.75</v>
      </c>
      <c r="IO47" s="398">
        <f t="shared" si="380"/>
        <v>3.700000000000002</v>
      </c>
      <c r="IP47" s="398">
        <f t="shared" si="212"/>
        <v>535.02859441245005</v>
      </c>
      <c r="IQ47" s="398">
        <f t="shared" si="345"/>
        <v>67.89792588038074</v>
      </c>
      <c r="IR47" s="398">
        <f t="shared" si="346"/>
        <v>6.8749999999999991</v>
      </c>
      <c r="IS47" s="398">
        <f t="shared" si="347"/>
        <v>1.916645986574828</v>
      </c>
      <c r="IT47" s="399">
        <f t="shared" si="214"/>
        <v>2324.8539126016262</v>
      </c>
      <c r="IU47" s="66"/>
      <c r="IV47" s="66"/>
      <c r="IW47" s="396">
        <f t="shared" si="116"/>
        <v>11</v>
      </c>
      <c r="IX47" s="397">
        <f t="shared" si="117"/>
        <v>13.75</v>
      </c>
      <c r="IY47" s="398">
        <f t="shared" si="118"/>
        <v>3.700000000000002</v>
      </c>
      <c r="IZ47" s="398">
        <f t="shared" si="348"/>
        <v>535.02859441245005</v>
      </c>
      <c r="JA47" s="398">
        <f t="shared" si="119"/>
        <v>67.89792588038074</v>
      </c>
      <c r="JB47" s="398">
        <f t="shared" si="120"/>
        <v>-6.8749999999999991</v>
      </c>
      <c r="JC47" s="398">
        <f t="shared" si="216"/>
        <v>1.916645986574828</v>
      </c>
      <c r="JD47" s="399">
        <f t="shared" si="217"/>
        <v>2324.8539126016262</v>
      </c>
      <c r="JE47" s="66"/>
      <c r="JF47" s="66"/>
      <c r="JG47" s="396">
        <f t="shared" si="121"/>
        <v>7.26</v>
      </c>
      <c r="JH47" s="397">
        <f t="shared" si="122"/>
        <v>6.875</v>
      </c>
      <c r="JI47" s="398">
        <f t="shared" si="123"/>
        <v>3.700000000000002</v>
      </c>
      <c r="JJ47" s="398">
        <f t="shared" si="349"/>
        <v>112.14730610405995</v>
      </c>
      <c r="JK47" s="398">
        <f t="shared" si="124"/>
        <v>72.448957689104859</v>
      </c>
      <c r="JL47" s="398">
        <f t="shared" si="125"/>
        <v>10.3125</v>
      </c>
      <c r="JM47" s="398">
        <f t="shared" si="219"/>
        <v>3.6162493215418507</v>
      </c>
      <c r="JN47" s="399">
        <f t="shared" si="220"/>
        <v>191.80044778963418</v>
      </c>
      <c r="JO47" s="66"/>
      <c r="JP47" s="66"/>
      <c r="JQ47" s="396">
        <f t="shared" si="126"/>
        <v>7.26</v>
      </c>
      <c r="JR47" s="397">
        <f t="shared" si="127"/>
        <v>6.875</v>
      </c>
      <c r="JS47" s="398">
        <f t="shared" si="128"/>
        <v>3.700000000000002</v>
      </c>
      <c r="JT47" s="398">
        <f t="shared" si="350"/>
        <v>112.14730610405995</v>
      </c>
      <c r="JU47" s="398">
        <f t="shared" si="129"/>
        <v>72.448957689104859</v>
      </c>
      <c r="JV47" s="398">
        <f t="shared" si="130"/>
        <v>3.4374999999999987</v>
      </c>
      <c r="JW47" s="398">
        <f t="shared" si="222"/>
        <v>3.6162493215418507</v>
      </c>
      <c r="JX47" s="399">
        <f t="shared" si="223"/>
        <v>191.80044778963418</v>
      </c>
      <c r="JY47" s="66"/>
      <c r="JZ47" s="66"/>
      <c r="KA47" s="396">
        <f t="shared" si="131"/>
        <v>7.26</v>
      </c>
      <c r="KB47" s="397">
        <f t="shared" si="132"/>
        <v>6.875</v>
      </c>
      <c r="KC47" s="398">
        <f t="shared" si="133"/>
        <v>3.700000000000002</v>
      </c>
      <c r="KD47" s="398">
        <f t="shared" si="351"/>
        <v>112.14730610405995</v>
      </c>
      <c r="KE47" s="398">
        <f t="shared" si="134"/>
        <v>72.448957689104859</v>
      </c>
      <c r="KF47" s="398">
        <f t="shared" si="135"/>
        <v>-3.4374999999999987</v>
      </c>
      <c r="KG47" s="398">
        <f t="shared" si="225"/>
        <v>3.6162493215418507</v>
      </c>
      <c r="KH47" s="399">
        <f t="shared" si="226"/>
        <v>191.80044778963418</v>
      </c>
      <c r="KI47" s="66"/>
      <c r="KJ47" s="66"/>
      <c r="KK47" s="396">
        <f t="shared" si="136"/>
        <v>7.26</v>
      </c>
      <c r="KL47" s="397">
        <f t="shared" si="137"/>
        <v>6.875</v>
      </c>
      <c r="KM47" s="398">
        <f t="shared" si="138"/>
        <v>3.700000000000002</v>
      </c>
      <c r="KN47" s="398">
        <f t="shared" si="352"/>
        <v>112.14730610405995</v>
      </c>
      <c r="KO47" s="398">
        <f t="shared" si="139"/>
        <v>72.448957689104859</v>
      </c>
      <c r="KP47" s="398">
        <f t="shared" si="140"/>
        <v>-10.3125</v>
      </c>
      <c r="KQ47" s="398">
        <f t="shared" si="228"/>
        <v>3.6162493215418507</v>
      </c>
      <c r="KR47" s="399">
        <f t="shared" si="229"/>
        <v>191.80044778963418</v>
      </c>
      <c r="KS47" s="66"/>
      <c r="KT47" s="66"/>
      <c r="KU47" s="396">
        <f t="shared" si="353"/>
        <v>5</v>
      </c>
      <c r="KV47" s="397">
        <f t="shared" si="354"/>
        <v>5</v>
      </c>
      <c r="KW47" s="398">
        <f t="shared" si="381"/>
        <v>3.700000000000002</v>
      </c>
      <c r="KX47" s="398">
        <f t="shared" si="230"/>
        <v>92.500000000000014</v>
      </c>
      <c r="KY47" s="398">
        <f t="shared" si="355"/>
        <v>57.5</v>
      </c>
      <c r="KZ47" s="398">
        <f t="shared" si="356"/>
        <v>0</v>
      </c>
      <c r="LA47" s="398">
        <f t="shared" si="357"/>
        <v>1.8500000000000003</v>
      </c>
      <c r="LB47" s="399">
        <f t="shared" si="232"/>
        <v>50.813008130081307</v>
      </c>
      <c r="LC47" s="66"/>
    </row>
    <row r="48" spans="1:315" s="67" customFormat="1" x14ac:dyDescent="0.25">
      <c r="A48" s="481"/>
      <c r="B48" s="1"/>
      <c r="E48" s="1"/>
      <c r="F48" s="1"/>
      <c r="G48" s="1"/>
      <c r="H48" s="1"/>
      <c r="I48" s="1"/>
      <c r="J48" s="1"/>
      <c r="K48" s="1"/>
      <c r="L48" s="1"/>
      <c r="M48" s="1"/>
      <c r="N48" s="1"/>
      <c r="O48" s="1"/>
      <c r="P48" s="1"/>
      <c r="Q48" s="1"/>
      <c r="R48" s="1"/>
      <c r="S48" s="1"/>
      <c r="T48" s="1"/>
      <c r="U48" s="1"/>
      <c r="V48" s="1"/>
      <c r="W48" s="1"/>
      <c r="X48" s="1"/>
      <c r="Y48" s="481"/>
      <c r="Z48" s="413"/>
      <c r="AA48" s="396">
        <f t="shared" si="233"/>
        <v>5</v>
      </c>
      <c r="AB48" s="397">
        <f t="shared" si="234"/>
        <v>20</v>
      </c>
      <c r="AC48" s="398">
        <f t="shared" si="358"/>
        <v>3.800000000000002</v>
      </c>
      <c r="AD48" s="398">
        <f t="shared" si="146"/>
        <v>239.1839510201726</v>
      </c>
      <c r="AE48" s="398">
        <f t="shared" si="235"/>
        <v>2.9897155894824583</v>
      </c>
      <c r="AF48" s="398">
        <f t="shared" si="236"/>
        <v>0</v>
      </c>
      <c r="AG48" s="398">
        <f t="shared" si="237"/>
        <v>2.4661458214813856</v>
      </c>
      <c r="AH48" s="399">
        <f t="shared" si="148"/>
        <v>3252.0325203252037</v>
      </c>
      <c r="AI48" s="367"/>
      <c r="AJ48" s="66"/>
      <c r="AK48" s="396">
        <f t="shared" si="238"/>
        <v>10</v>
      </c>
      <c r="AL48" s="397">
        <f t="shared" si="239"/>
        <v>5</v>
      </c>
      <c r="AM48" s="398">
        <f t="shared" si="359"/>
        <v>3.800000000000002</v>
      </c>
      <c r="AN48" s="398">
        <f t="shared" si="149"/>
        <v>190.00000000000003</v>
      </c>
      <c r="AO48" s="398">
        <f t="shared" si="240"/>
        <v>10.000000000000004</v>
      </c>
      <c r="AP48" s="398">
        <f t="shared" si="241"/>
        <v>7.5</v>
      </c>
      <c r="AQ48" s="398">
        <f t="shared" si="242"/>
        <v>1.9000000000000004</v>
      </c>
      <c r="AR48" s="399">
        <f t="shared" si="151"/>
        <v>101.62601626016261</v>
      </c>
      <c r="AS48" s="66"/>
      <c r="AT48" s="66"/>
      <c r="AU48" s="396">
        <f t="shared" si="243"/>
        <v>10</v>
      </c>
      <c r="AV48" s="397">
        <f t="shared" si="244"/>
        <v>5</v>
      </c>
      <c r="AW48" s="398">
        <f t="shared" si="360"/>
        <v>3.800000000000002</v>
      </c>
      <c r="AX48" s="398">
        <f t="shared" si="152"/>
        <v>190.00000000000003</v>
      </c>
      <c r="AY48" s="398">
        <f t="shared" si="245"/>
        <v>10.000000000000004</v>
      </c>
      <c r="AZ48" s="398">
        <f t="shared" si="246"/>
        <v>2.5000000000000009</v>
      </c>
      <c r="BA48" s="398">
        <f t="shared" si="247"/>
        <v>1.9000000000000004</v>
      </c>
      <c r="BB48" s="399">
        <f t="shared" si="154"/>
        <v>101.62601626016261</v>
      </c>
      <c r="BC48" s="66"/>
      <c r="BD48" s="66"/>
      <c r="BE48" s="396">
        <f t="shared" si="248"/>
        <v>10</v>
      </c>
      <c r="BF48" s="397">
        <f t="shared" si="249"/>
        <v>5</v>
      </c>
      <c r="BG48" s="398">
        <f t="shared" si="361"/>
        <v>3.800000000000002</v>
      </c>
      <c r="BH48" s="398">
        <f t="shared" si="155"/>
        <v>190.00000000000003</v>
      </c>
      <c r="BI48" s="398">
        <f t="shared" si="250"/>
        <v>10.000000000000004</v>
      </c>
      <c r="BJ48" s="398">
        <f t="shared" si="251"/>
        <v>-2.5000000000000009</v>
      </c>
      <c r="BK48" s="398">
        <f t="shared" si="252"/>
        <v>1.9000000000000004</v>
      </c>
      <c r="BL48" s="399">
        <f t="shared" si="157"/>
        <v>101.62601626016261</v>
      </c>
      <c r="BM48" s="66"/>
      <c r="BN48" s="66"/>
      <c r="BO48" s="396">
        <f t="shared" si="253"/>
        <v>10</v>
      </c>
      <c r="BP48" s="397">
        <f t="shared" si="254"/>
        <v>5</v>
      </c>
      <c r="BQ48" s="398">
        <f t="shared" si="362"/>
        <v>3.800000000000002</v>
      </c>
      <c r="BR48" s="398">
        <f t="shared" si="158"/>
        <v>190.00000000000003</v>
      </c>
      <c r="BS48" s="398">
        <f t="shared" si="255"/>
        <v>10.000000000000004</v>
      </c>
      <c r="BT48" s="398">
        <f t="shared" si="256"/>
        <v>-7.5</v>
      </c>
      <c r="BU48" s="398">
        <f t="shared" si="257"/>
        <v>1.9000000000000004</v>
      </c>
      <c r="BV48" s="399">
        <f t="shared" si="160"/>
        <v>101.62601626016261</v>
      </c>
      <c r="BW48" s="66"/>
      <c r="BX48" s="66"/>
      <c r="BY48" s="396">
        <f t="shared" si="258"/>
        <v>10</v>
      </c>
      <c r="BZ48" s="397">
        <f t="shared" si="259"/>
        <v>5</v>
      </c>
      <c r="CA48" s="398">
        <f t="shared" si="363"/>
        <v>3.800000000000002</v>
      </c>
      <c r="CB48" s="398">
        <f t="shared" si="161"/>
        <v>190.00000000000003</v>
      </c>
      <c r="CC48" s="398">
        <f t="shared" si="260"/>
        <v>20.000000000000007</v>
      </c>
      <c r="CD48" s="398">
        <f t="shared" si="261"/>
        <v>7.5</v>
      </c>
      <c r="CE48" s="398">
        <f t="shared" si="262"/>
        <v>1.9000000000000004</v>
      </c>
      <c r="CF48" s="399">
        <f t="shared" si="163"/>
        <v>101.62601626016261</v>
      </c>
      <c r="CG48" s="66"/>
      <c r="CH48" s="66"/>
      <c r="CI48" s="396">
        <f t="shared" si="263"/>
        <v>10</v>
      </c>
      <c r="CJ48" s="397">
        <f t="shared" si="264"/>
        <v>5</v>
      </c>
      <c r="CK48" s="398">
        <f t="shared" si="364"/>
        <v>3.800000000000002</v>
      </c>
      <c r="CL48" s="398">
        <f t="shared" si="164"/>
        <v>190.00000000000003</v>
      </c>
      <c r="CM48" s="398">
        <f t="shared" si="265"/>
        <v>20.000000000000007</v>
      </c>
      <c r="CN48" s="398">
        <f t="shared" si="266"/>
        <v>2.5000000000000009</v>
      </c>
      <c r="CO48" s="398">
        <f t="shared" si="267"/>
        <v>1.9000000000000004</v>
      </c>
      <c r="CP48" s="399">
        <f t="shared" si="166"/>
        <v>101.62601626016261</v>
      </c>
      <c r="CQ48" s="66"/>
      <c r="CS48" s="396">
        <f t="shared" si="268"/>
        <v>10</v>
      </c>
      <c r="CT48" s="397">
        <f t="shared" si="269"/>
        <v>5</v>
      </c>
      <c r="CU48" s="398">
        <f t="shared" si="365"/>
        <v>3.800000000000002</v>
      </c>
      <c r="CV48" s="398">
        <f t="shared" si="167"/>
        <v>190.00000000000003</v>
      </c>
      <c r="CW48" s="398">
        <f t="shared" si="270"/>
        <v>20.000000000000007</v>
      </c>
      <c r="CX48" s="398">
        <f t="shared" si="271"/>
        <v>-2.5000000000000009</v>
      </c>
      <c r="CY48" s="398">
        <f t="shared" si="272"/>
        <v>1.9000000000000004</v>
      </c>
      <c r="CZ48" s="399">
        <f t="shared" si="169"/>
        <v>101.62601626016261</v>
      </c>
      <c r="DA48" s="66"/>
      <c r="DB48" s="66"/>
      <c r="DC48" s="396">
        <f t="shared" si="273"/>
        <v>10</v>
      </c>
      <c r="DD48" s="397">
        <f t="shared" si="274"/>
        <v>5</v>
      </c>
      <c r="DE48" s="398">
        <f t="shared" si="366"/>
        <v>3.800000000000002</v>
      </c>
      <c r="DF48" s="398">
        <f t="shared" si="170"/>
        <v>190.00000000000003</v>
      </c>
      <c r="DG48" s="398">
        <f t="shared" si="275"/>
        <v>20.000000000000007</v>
      </c>
      <c r="DH48" s="398">
        <f t="shared" si="276"/>
        <v>-7.5</v>
      </c>
      <c r="DI48" s="398">
        <f t="shared" si="277"/>
        <v>1.9000000000000004</v>
      </c>
      <c r="DJ48" s="399">
        <f t="shared" si="172"/>
        <v>101.62601626016261</v>
      </c>
      <c r="DK48" s="66"/>
      <c r="DM48" s="396">
        <f t="shared" si="278"/>
        <v>10</v>
      </c>
      <c r="DN48" s="397">
        <f t="shared" si="279"/>
        <v>5</v>
      </c>
      <c r="DO48" s="398">
        <f t="shared" si="367"/>
        <v>3.800000000000002</v>
      </c>
      <c r="DP48" s="398">
        <f t="shared" si="173"/>
        <v>190.00000000000003</v>
      </c>
      <c r="DQ48" s="398">
        <f t="shared" si="280"/>
        <v>30</v>
      </c>
      <c r="DR48" s="398">
        <f t="shared" si="281"/>
        <v>7.5</v>
      </c>
      <c r="DS48" s="398">
        <f t="shared" si="282"/>
        <v>1.9000000000000004</v>
      </c>
      <c r="DT48" s="399">
        <f t="shared" si="175"/>
        <v>101.62601626016261</v>
      </c>
      <c r="DU48" s="66"/>
      <c r="DV48" s="66"/>
      <c r="DW48" s="396">
        <f t="shared" si="283"/>
        <v>10</v>
      </c>
      <c r="DX48" s="397">
        <f t="shared" si="284"/>
        <v>5</v>
      </c>
      <c r="DY48" s="398">
        <f t="shared" si="368"/>
        <v>3.800000000000002</v>
      </c>
      <c r="DZ48" s="398">
        <f t="shared" si="176"/>
        <v>190.00000000000003</v>
      </c>
      <c r="EA48" s="398">
        <f t="shared" si="285"/>
        <v>30</v>
      </c>
      <c r="EB48" s="398">
        <f t="shared" si="286"/>
        <v>2.5000000000000009</v>
      </c>
      <c r="EC48" s="398">
        <f t="shared" si="287"/>
        <v>1.9000000000000004</v>
      </c>
      <c r="ED48" s="399">
        <f t="shared" si="178"/>
        <v>101.62601626016261</v>
      </c>
      <c r="EE48" s="66"/>
      <c r="EF48" s="66"/>
      <c r="EG48" s="396">
        <f t="shared" si="288"/>
        <v>10</v>
      </c>
      <c r="EH48" s="397">
        <f t="shared" si="289"/>
        <v>5</v>
      </c>
      <c r="EI48" s="398">
        <f t="shared" si="369"/>
        <v>3.800000000000002</v>
      </c>
      <c r="EJ48" s="398">
        <f t="shared" si="179"/>
        <v>190.00000000000003</v>
      </c>
      <c r="EK48" s="398">
        <f t="shared" si="290"/>
        <v>30</v>
      </c>
      <c r="EL48" s="398">
        <f t="shared" si="291"/>
        <v>-2.5000000000000009</v>
      </c>
      <c r="EM48" s="398">
        <f t="shared" si="292"/>
        <v>1.9000000000000004</v>
      </c>
      <c r="EN48" s="399">
        <f t="shared" si="181"/>
        <v>101.62601626016261</v>
      </c>
      <c r="EO48" s="66"/>
      <c r="EP48" s="66"/>
      <c r="EQ48" s="396">
        <f t="shared" si="293"/>
        <v>10</v>
      </c>
      <c r="ER48" s="397">
        <f t="shared" si="294"/>
        <v>5</v>
      </c>
      <c r="ES48" s="398">
        <f t="shared" si="370"/>
        <v>3.800000000000002</v>
      </c>
      <c r="ET48" s="398">
        <f t="shared" si="182"/>
        <v>190.00000000000003</v>
      </c>
      <c r="EU48" s="398">
        <f t="shared" si="295"/>
        <v>30</v>
      </c>
      <c r="EV48" s="398">
        <f t="shared" si="296"/>
        <v>-7.5</v>
      </c>
      <c r="EW48" s="398">
        <f t="shared" si="297"/>
        <v>1.9000000000000004</v>
      </c>
      <c r="EX48" s="399">
        <f t="shared" si="184"/>
        <v>101.62601626016261</v>
      </c>
      <c r="EY48" s="66"/>
      <c r="EZ48" s="66"/>
      <c r="FA48" s="396">
        <f t="shared" si="298"/>
        <v>10</v>
      </c>
      <c r="FB48" s="397">
        <f t="shared" si="299"/>
        <v>5</v>
      </c>
      <c r="FC48" s="398">
        <f t="shared" si="371"/>
        <v>3.800000000000002</v>
      </c>
      <c r="FD48" s="398">
        <f t="shared" si="185"/>
        <v>190.00000000000003</v>
      </c>
      <c r="FE48" s="398">
        <f t="shared" si="300"/>
        <v>40.000000000000014</v>
      </c>
      <c r="FF48" s="398">
        <f t="shared" si="301"/>
        <v>7.5</v>
      </c>
      <c r="FG48" s="398">
        <f t="shared" si="302"/>
        <v>1.9000000000000004</v>
      </c>
      <c r="FH48" s="399">
        <f t="shared" si="187"/>
        <v>101.62601626016261</v>
      </c>
      <c r="FI48" s="66"/>
      <c r="FJ48" s="66"/>
      <c r="FK48" s="396">
        <f t="shared" si="303"/>
        <v>10</v>
      </c>
      <c r="FL48" s="397">
        <f t="shared" si="304"/>
        <v>5</v>
      </c>
      <c r="FM48" s="398">
        <f t="shared" si="372"/>
        <v>3.800000000000002</v>
      </c>
      <c r="FN48" s="398">
        <f t="shared" si="188"/>
        <v>190.00000000000003</v>
      </c>
      <c r="FO48" s="398">
        <f t="shared" si="305"/>
        <v>40.000000000000014</v>
      </c>
      <c r="FP48" s="398">
        <f t="shared" si="306"/>
        <v>2.5000000000000009</v>
      </c>
      <c r="FQ48" s="398">
        <f t="shared" si="307"/>
        <v>1.9000000000000004</v>
      </c>
      <c r="FR48" s="399">
        <f t="shared" si="190"/>
        <v>101.62601626016261</v>
      </c>
      <c r="FS48" s="66"/>
      <c r="FT48" s="66"/>
      <c r="FU48" s="396">
        <f t="shared" si="308"/>
        <v>10</v>
      </c>
      <c r="FV48" s="397">
        <f t="shared" si="309"/>
        <v>5</v>
      </c>
      <c r="FW48" s="398">
        <f t="shared" si="373"/>
        <v>3.800000000000002</v>
      </c>
      <c r="FX48" s="398">
        <f t="shared" si="191"/>
        <v>190.00000000000003</v>
      </c>
      <c r="FY48" s="398">
        <f t="shared" si="310"/>
        <v>40.000000000000014</v>
      </c>
      <c r="FZ48" s="398">
        <f t="shared" si="311"/>
        <v>-2.5000000000000009</v>
      </c>
      <c r="GA48" s="398">
        <f t="shared" si="312"/>
        <v>1.9000000000000004</v>
      </c>
      <c r="GB48" s="399">
        <f t="shared" si="193"/>
        <v>101.62601626016261</v>
      </c>
      <c r="GC48" s="66"/>
      <c r="GD48" s="66"/>
      <c r="GE48" s="396">
        <f t="shared" si="313"/>
        <v>10</v>
      </c>
      <c r="GF48" s="397">
        <f t="shared" si="314"/>
        <v>5</v>
      </c>
      <c r="GG48" s="398">
        <f t="shared" si="374"/>
        <v>3.800000000000002</v>
      </c>
      <c r="GH48" s="398">
        <f t="shared" si="194"/>
        <v>190.00000000000003</v>
      </c>
      <c r="GI48" s="398">
        <f t="shared" si="315"/>
        <v>40.000000000000014</v>
      </c>
      <c r="GJ48" s="398">
        <f t="shared" si="316"/>
        <v>-7.5</v>
      </c>
      <c r="GK48" s="398">
        <f t="shared" si="317"/>
        <v>1.9000000000000004</v>
      </c>
      <c r="GL48" s="399">
        <f t="shared" si="196"/>
        <v>101.62601626016261</v>
      </c>
      <c r="GM48" s="66"/>
      <c r="GN48" s="66"/>
      <c r="GO48" s="396">
        <f t="shared" si="318"/>
        <v>10</v>
      </c>
      <c r="GP48" s="397">
        <f t="shared" si="319"/>
        <v>5</v>
      </c>
      <c r="GQ48" s="398">
        <f t="shared" si="375"/>
        <v>3.800000000000002</v>
      </c>
      <c r="GR48" s="398">
        <f t="shared" si="197"/>
        <v>190.00000000000003</v>
      </c>
      <c r="GS48" s="398">
        <f t="shared" si="320"/>
        <v>50</v>
      </c>
      <c r="GT48" s="398">
        <f t="shared" si="321"/>
        <v>7.5</v>
      </c>
      <c r="GU48" s="398">
        <f t="shared" si="322"/>
        <v>1.9000000000000004</v>
      </c>
      <c r="GV48" s="399">
        <f t="shared" si="199"/>
        <v>101.62601626016261</v>
      </c>
      <c r="GW48" s="66"/>
      <c r="GX48" s="66"/>
      <c r="GY48" s="396">
        <f t="shared" si="323"/>
        <v>10</v>
      </c>
      <c r="GZ48" s="397">
        <f t="shared" si="324"/>
        <v>5</v>
      </c>
      <c r="HA48" s="398">
        <f t="shared" si="376"/>
        <v>3.800000000000002</v>
      </c>
      <c r="HB48" s="398">
        <f t="shared" si="200"/>
        <v>190.00000000000003</v>
      </c>
      <c r="HC48" s="398">
        <f t="shared" si="325"/>
        <v>50</v>
      </c>
      <c r="HD48" s="398">
        <f t="shared" si="326"/>
        <v>2.5000000000000009</v>
      </c>
      <c r="HE48" s="398">
        <f t="shared" si="327"/>
        <v>1.9000000000000004</v>
      </c>
      <c r="HF48" s="399">
        <f t="shared" si="202"/>
        <v>101.62601626016261</v>
      </c>
      <c r="HH48" s="66"/>
      <c r="HI48" s="396">
        <f t="shared" si="328"/>
        <v>10</v>
      </c>
      <c r="HJ48" s="397">
        <f t="shared" si="329"/>
        <v>5</v>
      </c>
      <c r="HK48" s="398">
        <f t="shared" si="377"/>
        <v>3.800000000000002</v>
      </c>
      <c r="HL48" s="398">
        <f t="shared" si="203"/>
        <v>190.00000000000003</v>
      </c>
      <c r="HM48" s="398">
        <f t="shared" si="330"/>
        <v>50</v>
      </c>
      <c r="HN48" s="398">
        <f t="shared" si="331"/>
        <v>-2.5000000000000009</v>
      </c>
      <c r="HO48" s="398">
        <f t="shared" si="332"/>
        <v>1.9000000000000004</v>
      </c>
      <c r="HP48" s="399">
        <f t="shared" si="205"/>
        <v>101.62601626016261</v>
      </c>
      <c r="HQ48" s="66"/>
      <c r="HR48" s="66"/>
      <c r="HS48" s="396">
        <f t="shared" si="333"/>
        <v>10</v>
      </c>
      <c r="HT48" s="397">
        <f t="shared" si="334"/>
        <v>5</v>
      </c>
      <c r="HU48" s="398">
        <f t="shared" si="378"/>
        <v>3.800000000000002</v>
      </c>
      <c r="HV48" s="398">
        <f t="shared" si="206"/>
        <v>190.00000000000003</v>
      </c>
      <c r="HW48" s="398">
        <f t="shared" si="335"/>
        <v>50</v>
      </c>
      <c r="HX48" s="398">
        <f t="shared" si="336"/>
        <v>-7.5</v>
      </c>
      <c r="HY48" s="398">
        <f t="shared" si="337"/>
        <v>1.9000000000000004</v>
      </c>
      <c r="HZ48" s="399">
        <f t="shared" si="208"/>
        <v>101.62601626016261</v>
      </c>
      <c r="IA48" s="66"/>
      <c r="IB48" s="66"/>
      <c r="IC48" s="396">
        <f t="shared" si="338"/>
        <v>5</v>
      </c>
      <c r="ID48" s="397">
        <f t="shared" si="339"/>
        <v>20</v>
      </c>
      <c r="IE48" s="398">
        <f t="shared" si="379"/>
        <v>3.800000000000002</v>
      </c>
      <c r="IF48" s="398">
        <f t="shared" si="209"/>
        <v>238.6159557232759</v>
      </c>
      <c r="IG48" s="398">
        <f t="shared" si="340"/>
        <v>57.007049801420479</v>
      </c>
      <c r="IH48" s="398">
        <f t="shared" si="341"/>
        <v>0</v>
      </c>
      <c r="II48" s="398">
        <f t="shared" si="342"/>
        <v>2.4674906800635221</v>
      </c>
      <c r="IJ48" s="399">
        <f t="shared" si="211"/>
        <v>3252.0325203252037</v>
      </c>
      <c r="IK48" s="66"/>
      <c r="IL48" s="66"/>
      <c r="IM48" s="396">
        <f t="shared" si="343"/>
        <v>11</v>
      </c>
      <c r="IN48" s="397">
        <f t="shared" si="344"/>
        <v>13.75</v>
      </c>
      <c r="IO48" s="398">
        <f t="shared" si="380"/>
        <v>3.800000000000002</v>
      </c>
      <c r="IP48" s="398">
        <f t="shared" si="212"/>
        <v>550.15359441245005</v>
      </c>
      <c r="IQ48" s="398">
        <f t="shared" si="345"/>
        <v>67.903618828842852</v>
      </c>
      <c r="IR48" s="398">
        <f t="shared" si="346"/>
        <v>6.8749999999999991</v>
      </c>
      <c r="IS48" s="398">
        <f t="shared" si="347"/>
        <v>1.9670491462282156</v>
      </c>
      <c r="IT48" s="399">
        <f t="shared" si="214"/>
        <v>2324.8539126016262</v>
      </c>
      <c r="IU48" s="66"/>
      <c r="IV48" s="66"/>
      <c r="IW48" s="396">
        <f t="shared" si="116"/>
        <v>11</v>
      </c>
      <c r="IX48" s="397">
        <f t="shared" si="117"/>
        <v>13.75</v>
      </c>
      <c r="IY48" s="398">
        <f t="shared" si="118"/>
        <v>3.800000000000002</v>
      </c>
      <c r="IZ48" s="398">
        <f t="shared" si="348"/>
        <v>550.15359441245005</v>
      </c>
      <c r="JA48" s="398">
        <f t="shared" si="119"/>
        <v>67.903618828842852</v>
      </c>
      <c r="JB48" s="398">
        <f t="shared" si="120"/>
        <v>-6.8749999999999991</v>
      </c>
      <c r="JC48" s="398">
        <f t="shared" si="216"/>
        <v>1.9670491462282156</v>
      </c>
      <c r="JD48" s="399">
        <f t="shared" si="217"/>
        <v>2324.8539126016262</v>
      </c>
      <c r="JE48" s="66"/>
      <c r="JF48" s="66"/>
      <c r="JG48" s="396">
        <f t="shared" si="121"/>
        <v>7.26</v>
      </c>
      <c r="JH48" s="397">
        <f t="shared" si="122"/>
        <v>6.875</v>
      </c>
      <c r="JI48" s="398">
        <f t="shared" si="123"/>
        <v>3.800000000000002</v>
      </c>
      <c r="JJ48" s="398">
        <f t="shared" si="349"/>
        <v>117.13855610405996</v>
      </c>
      <c r="JK48" s="398">
        <f t="shared" si="124"/>
        <v>72.482237742777301</v>
      </c>
      <c r="JL48" s="398">
        <f t="shared" si="125"/>
        <v>10.3125</v>
      </c>
      <c r="JM48" s="398">
        <f t="shared" si="219"/>
        <v>3.6729097269164752</v>
      </c>
      <c r="JN48" s="399">
        <f t="shared" si="220"/>
        <v>191.80044778963418</v>
      </c>
      <c r="JO48" s="66"/>
      <c r="JP48" s="66"/>
      <c r="JQ48" s="396">
        <f t="shared" si="126"/>
        <v>7.26</v>
      </c>
      <c r="JR48" s="397">
        <f t="shared" si="127"/>
        <v>6.875</v>
      </c>
      <c r="JS48" s="398">
        <f t="shared" si="128"/>
        <v>3.800000000000002</v>
      </c>
      <c r="JT48" s="398">
        <f t="shared" si="350"/>
        <v>117.13855610405996</v>
      </c>
      <c r="JU48" s="398">
        <f t="shared" si="129"/>
        <v>72.482237742777301</v>
      </c>
      <c r="JV48" s="398">
        <f t="shared" si="130"/>
        <v>3.4374999999999987</v>
      </c>
      <c r="JW48" s="398">
        <f t="shared" si="222"/>
        <v>3.6729097269164752</v>
      </c>
      <c r="JX48" s="399">
        <f t="shared" si="223"/>
        <v>191.80044778963418</v>
      </c>
      <c r="JY48" s="66"/>
      <c r="JZ48" s="66"/>
      <c r="KA48" s="396">
        <f t="shared" si="131"/>
        <v>7.26</v>
      </c>
      <c r="KB48" s="397">
        <f t="shared" si="132"/>
        <v>6.875</v>
      </c>
      <c r="KC48" s="398">
        <f t="shared" si="133"/>
        <v>3.800000000000002</v>
      </c>
      <c r="KD48" s="398">
        <f t="shared" si="351"/>
        <v>117.13855610405996</v>
      </c>
      <c r="KE48" s="398">
        <f t="shared" si="134"/>
        <v>72.482237742777301</v>
      </c>
      <c r="KF48" s="398">
        <f t="shared" si="135"/>
        <v>-3.4374999999999987</v>
      </c>
      <c r="KG48" s="398">
        <f t="shared" si="225"/>
        <v>3.6729097269164752</v>
      </c>
      <c r="KH48" s="399">
        <f t="shared" si="226"/>
        <v>191.80044778963418</v>
      </c>
      <c r="KI48" s="66"/>
      <c r="KJ48" s="66"/>
      <c r="KK48" s="396">
        <f t="shared" si="136"/>
        <v>7.26</v>
      </c>
      <c r="KL48" s="397">
        <f t="shared" si="137"/>
        <v>6.875</v>
      </c>
      <c r="KM48" s="398">
        <f t="shared" si="138"/>
        <v>3.800000000000002</v>
      </c>
      <c r="KN48" s="398">
        <f t="shared" si="352"/>
        <v>117.13855610405996</v>
      </c>
      <c r="KO48" s="398">
        <f t="shared" si="139"/>
        <v>72.482237742777301</v>
      </c>
      <c r="KP48" s="398">
        <f t="shared" si="140"/>
        <v>-10.3125</v>
      </c>
      <c r="KQ48" s="398">
        <f t="shared" si="228"/>
        <v>3.6729097269164752</v>
      </c>
      <c r="KR48" s="399">
        <f t="shared" si="229"/>
        <v>191.80044778963418</v>
      </c>
      <c r="KS48" s="66"/>
      <c r="KT48" s="66"/>
      <c r="KU48" s="396">
        <f t="shared" si="353"/>
        <v>5</v>
      </c>
      <c r="KV48" s="397">
        <f t="shared" si="354"/>
        <v>5</v>
      </c>
      <c r="KW48" s="398">
        <f t="shared" si="381"/>
        <v>3.800000000000002</v>
      </c>
      <c r="KX48" s="398">
        <f t="shared" si="230"/>
        <v>95.000000000000014</v>
      </c>
      <c r="KY48" s="398">
        <f t="shared" si="355"/>
        <v>57.5</v>
      </c>
      <c r="KZ48" s="398">
        <f t="shared" si="356"/>
        <v>0</v>
      </c>
      <c r="LA48" s="398">
        <f t="shared" si="357"/>
        <v>1.9000000000000004</v>
      </c>
      <c r="LB48" s="399">
        <f t="shared" si="232"/>
        <v>50.813008130081307</v>
      </c>
      <c r="LC48" s="66"/>
    </row>
    <row r="49" spans="1:315" s="67" customFormat="1" x14ac:dyDescent="0.25">
      <c r="A49" s="481"/>
      <c r="B49" s="1"/>
      <c r="C49" s="1"/>
      <c r="D49" s="1"/>
      <c r="E49" s="1"/>
      <c r="F49" s="1"/>
      <c r="G49" s="1"/>
      <c r="H49" s="1"/>
      <c r="I49" s="1"/>
      <c r="J49" s="1"/>
      <c r="K49" s="1"/>
      <c r="L49" s="1"/>
      <c r="M49" s="1"/>
      <c r="N49" s="1"/>
      <c r="O49" s="1"/>
      <c r="P49" s="1"/>
      <c r="Q49" s="1"/>
      <c r="R49" s="1"/>
      <c r="S49" s="1"/>
      <c r="T49" s="1"/>
      <c r="U49" s="1"/>
      <c r="V49" s="1"/>
      <c r="W49" s="1"/>
      <c r="X49" s="1"/>
      <c r="Y49" s="481"/>
      <c r="Z49" s="413"/>
      <c r="AA49" s="396">
        <f t="shared" si="233"/>
        <v>5</v>
      </c>
      <c r="AB49" s="397">
        <f t="shared" si="234"/>
        <v>20</v>
      </c>
      <c r="AC49" s="398">
        <f t="shared" si="358"/>
        <v>3.9000000000000021</v>
      </c>
      <c r="AD49" s="398">
        <f t="shared" si="146"/>
        <v>249.1839510201726</v>
      </c>
      <c r="AE49" s="398">
        <f t="shared" si="235"/>
        <v>2.9700628153981912</v>
      </c>
      <c r="AF49" s="398">
        <f t="shared" si="236"/>
        <v>0</v>
      </c>
      <c r="AG49" s="398">
        <f t="shared" si="237"/>
        <v>2.5216812671974136</v>
      </c>
      <c r="AH49" s="399">
        <f t="shared" si="148"/>
        <v>3252.0325203252037</v>
      </c>
      <c r="AI49" s="367"/>
      <c r="AJ49" s="66"/>
      <c r="AK49" s="396">
        <f t="shared" si="238"/>
        <v>10</v>
      </c>
      <c r="AL49" s="397">
        <f t="shared" si="239"/>
        <v>5</v>
      </c>
      <c r="AM49" s="398">
        <f t="shared" si="359"/>
        <v>3.9000000000000021</v>
      </c>
      <c r="AN49" s="398">
        <f t="shared" si="149"/>
        <v>195.00000000000003</v>
      </c>
      <c r="AO49" s="398">
        <f t="shared" si="240"/>
        <v>10.000000000000004</v>
      </c>
      <c r="AP49" s="398">
        <f t="shared" si="241"/>
        <v>7.5</v>
      </c>
      <c r="AQ49" s="398">
        <f t="shared" si="242"/>
        <v>1.9500000000000004</v>
      </c>
      <c r="AR49" s="399">
        <f t="shared" si="151"/>
        <v>101.62601626016261</v>
      </c>
      <c r="AS49" s="66"/>
      <c r="AT49" s="66"/>
      <c r="AU49" s="396">
        <f t="shared" si="243"/>
        <v>10</v>
      </c>
      <c r="AV49" s="397">
        <f t="shared" si="244"/>
        <v>5</v>
      </c>
      <c r="AW49" s="398">
        <f t="shared" si="360"/>
        <v>3.9000000000000021</v>
      </c>
      <c r="AX49" s="398">
        <f t="shared" si="152"/>
        <v>195.00000000000003</v>
      </c>
      <c r="AY49" s="398">
        <f t="shared" si="245"/>
        <v>10.000000000000004</v>
      </c>
      <c r="AZ49" s="398">
        <f t="shared" si="246"/>
        <v>2.5000000000000009</v>
      </c>
      <c r="BA49" s="398">
        <f t="shared" si="247"/>
        <v>1.9500000000000004</v>
      </c>
      <c r="BB49" s="399">
        <f t="shared" si="154"/>
        <v>101.62601626016261</v>
      </c>
      <c r="BC49" s="66"/>
      <c r="BD49" s="66"/>
      <c r="BE49" s="396">
        <f t="shared" si="248"/>
        <v>10</v>
      </c>
      <c r="BF49" s="397">
        <f t="shared" si="249"/>
        <v>5</v>
      </c>
      <c r="BG49" s="398">
        <f t="shared" si="361"/>
        <v>3.9000000000000021</v>
      </c>
      <c r="BH49" s="398">
        <f t="shared" si="155"/>
        <v>195.00000000000003</v>
      </c>
      <c r="BI49" s="398">
        <f t="shared" si="250"/>
        <v>10.000000000000004</v>
      </c>
      <c r="BJ49" s="398">
        <f t="shared" si="251"/>
        <v>-2.5000000000000009</v>
      </c>
      <c r="BK49" s="398">
        <f t="shared" si="252"/>
        <v>1.9500000000000004</v>
      </c>
      <c r="BL49" s="399">
        <f t="shared" si="157"/>
        <v>101.62601626016261</v>
      </c>
      <c r="BM49" s="66"/>
      <c r="BN49" s="66"/>
      <c r="BO49" s="396">
        <f t="shared" si="253"/>
        <v>10</v>
      </c>
      <c r="BP49" s="397">
        <f t="shared" si="254"/>
        <v>5</v>
      </c>
      <c r="BQ49" s="398">
        <f t="shared" si="362"/>
        <v>3.9000000000000021</v>
      </c>
      <c r="BR49" s="398">
        <f t="shared" si="158"/>
        <v>195.00000000000003</v>
      </c>
      <c r="BS49" s="398">
        <f t="shared" si="255"/>
        <v>10.000000000000004</v>
      </c>
      <c r="BT49" s="398">
        <f t="shared" si="256"/>
        <v>-7.5</v>
      </c>
      <c r="BU49" s="398">
        <f t="shared" si="257"/>
        <v>1.9500000000000004</v>
      </c>
      <c r="BV49" s="399">
        <f t="shared" si="160"/>
        <v>101.62601626016261</v>
      </c>
      <c r="BW49" s="66"/>
      <c r="BX49" s="66"/>
      <c r="BY49" s="396">
        <f t="shared" si="258"/>
        <v>10</v>
      </c>
      <c r="BZ49" s="397">
        <f t="shared" si="259"/>
        <v>5</v>
      </c>
      <c r="CA49" s="398">
        <f t="shared" si="363"/>
        <v>3.9000000000000021</v>
      </c>
      <c r="CB49" s="398">
        <f t="shared" si="161"/>
        <v>195.00000000000003</v>
      </c>
      <c r="CC49" s="398">
        <f t="shared" si="260"/>
        <v>20.000000000000007</v>
      </c>
      <c r="CD49" s="398">
        <f t="shared" si="261"/>
        <v>7.5</v>
      </c>
      <c r="CE49" s="398">
        <f t="shared" si="262"/>
        <v>1.9500000000000004</v>
      </c>
      <c r="CF49" s="399">
        <f t="shared" si="163"/>
        <v>101.62601626016261</v>
      </c>
      <c r="CG49" s="66"/>
      <c r="CH49" s="66"/>
      <c r="CI49" s="396">
        <f t="shared" si="263"/>
        <v>10</v>
      </c>
      <c r="CJ49" s="397">
        <f t="shared" si="264"/>
        <v>5</v>
      </c>
      <c r="CK49" s="398">
        <f t="shared" si="364"/>
        <v>3.9000000000000021</v>
      </c>
      <c r="CL49" s="398">
        <f t="shared" si="164"/>
        <v>195.00000000000003</v>
      </c>
      <c r="CM49" s="398">
        <f t="shared" si="265"/>
        <v>20.000000000000007</v>
      </c>
      <c r="CN49" s="398">
        <f t="shared" si="266"/>
        <v>2.5000000000000009</v>
      </c>
      <c r="CO49" s="398">
        <f t="shared" si="267"/>
        <v>1.9500000000000004</v>
      </c>
      <c r="CP49" s="399">
        <f t="shared" si="166"/>
        <v>101.62601626016261</v>
      </c>
      <c r="CQ49" s="66"/>
      <c r="CS49" s="396">
        <f t="shared" si="268"/>
        <v>10</v>
      </c>
      <c r="CT49" s="397">
        <f t="shared" si="269"/>
        <v>5</v>
      </c>
      <c r="CU49" s="398">
        <f t="shared" si="365"/>
        <v>3.9000000000000021</v>
      </c>
      <c r="CV49" s="398">
        <f t="shared" si="167"/>
        <v>195.00000000000003</v>
      </c>
      <c r="CW49" s="398">
        <f t="shared" si="270"/>
        <v>20.000000000000007</v>
      </c>
      <c r="CX49" s="398">
        <f t="shared" si="271"/>
        <v>-2.5000000000000009</v>
      </c>
      <c r="CY49" s="398">
        <f t="shared" si="272"/>
        <v>1.9500000000000004</v>
      </c>
      <c r="CZ49" s="399">
        <f t="shared" si="169"/>
        <v>101.62601626016261</v>
      </c>
      <c r="DA49" s="66"/>
      <c r="DB49" s="66"/>
      <c r="DC49" s="396">
        <f t="shared" si="273"/>
        <v>10</v>
      </c>
      <c r="DD49" s="397">
        <f t="shared" si="274"/>
        <v>5</v>
      </c>
      <c r="DE49" s="398">
        <f t="shared" si="366"/>
        <v>3.9000000000000021</v>
      </c>
      <c r="DF49" s="398">
        <f t="shared" si="170"/>
        <v>195.00000000000003</v>
      </c>
      <c r="DG49" s="398">
        <f t="shared" si="275"/>
        <v>20.000000000000007</v>
      </c>
      <c r="DH49" s="398">
        <f t="shared" si="276"/>
        <v>-7.5</v>
      </c>
      <c r="DI49" s="398">
        <f t="shared" si="277"/>
        <v>1.9500000000000004</v>
      </c>
      <c r="DJ49" s="399">
        <f t="shared" si="172"/>
        <v>101.62601626016261</v>
      </c>
      <c r="DK49" s="66"/>
      <c r="DM49" s="396">
        <f t="shared" si="278"/>
        <v>10</v>
      </c>
      <c r="DN49" s="397">
        <f t="shared" si="279"/>
        <v>5</v>
      </c>
      <c r="DO49" s="398">
        <f t="shared" si="367"/>
        <v>3.9000000000000021</v>
      </c>
      <c r="DP49" s="398">
        <f t="shared" si="173"/>
        <v>195.00000000000003</v>
      </c>
      <c r="DQ49" s="398">
        <f t="shared" si="280"/>
        <v>30</v>
      </c>
      <c r="DR49" s="398">
        <f t="shared" si="281"/>
        <v>7.5</v>
      </c>
      <c r="DS49" s="398">
        <f t="shared" si="282"/>
        <v>1.9500000000000004</v>
      </c>
      <c r="DT49" s="399">
        <f t="shared" si="175"/>
        <v>101.62601626016261</v>
      </c>
      <c r="DU49" s="66"/>
      <c r="DV49" s="66"/>
      <c r="DW49" s="396">
        <f t="shared" si="283"/>
        <v>10</v>
      </c>
      <c r="DX49" s="397">
        <f t="shared" si="284"/>
        <v>5</v>
      </c>
      <c r="DY49" s="398">
        <f t="shared" si="368"/>
        <v>3.9000000000000021</v>
      </c>
      <c r="DZ49" s="398">
        <f t="shared" si="176"/>
        <v>195.00000000000003</v>
      </c>
      <c r="EA49" s="398">
        <f t="shared" si="285"/>
        <v>30</v>
      </c>
      <c r="EB49" s="398">
        <f t="shared" si="286"/>
        <v>2.5000000000000009</v>
      </c>
      <c r="EC49" s="398">
        <f t="shared" si="287"/>
        <v>1.9500000000000004</v>
      </c>
      <c r="ED49" s="399">
        <f t="shared" si="178"/>
        <v>101.62601626016261</v>
      </c>
      <c r="EE49" s="66"/>
      <c r="EF49" s="66"/>
      <c r="EG49" s="396">
        <f t="shared" si="288"/>
        <v>10</v>
      </c>
      <c r="EH49" s="397">
        <f t="shared" si="289"/>
        <v>5</v>
      </c>
      <c r="EI49" s="398">
        <f t="shared" si="369"/>
        <v>3.9000000000000021</v>
      </c>
      <c r="EJ49" s="398">
        <f t="shared" si="179"/>
        <v>195.00000000000003</v>
      </c>
      <c r="EK49" s="398">
        <f t="shared" si="290"/>
        <v>30</v>
      </c>
      <c r="EL49" s="398">
        <f t="shared" si="291"/>
        <v>-2.5000000000000009</v>
      </c>
      <c r="EM49" s="398">
        <f t="shared" si="292"/>
        <v>1.9500000000000004</v>
      </c>
      <c r="EN49" s="399">
        <f t="shared" si="181"/>
        <v>101.62601626016261</v>
      </c>
      <c r="EO49" s="66"/>
      <c r="EP49" s="66"/>
      <c r="EQ49" s="396">
        <f t="shared" si="293"/>
        <v>10</v>
      </c>
      <c r="ER49" s="397">
        <f t="shared" si="294"/>
        <v>5</v>
      </c>
      <c r="ES49" s="398">
        <f t="shared" si="370"/>
        <v>3.9000000000000021</v>
      </c>
      <c r="ET49" s="398">
        <f t="shared" si="182"/>
        <v>195.00000000000003</v>
      </c>
      <c r="EU49" s="398">
        <f t="shared" si="295"/>
        <v>30</v>
      </c>
      <c r="EV49" s="398">
        <f t="shared" si="296"/>
        <v>-7.5</v>
      </c>
      <c r="EW49" s="398">
        <f t="shared" si="297"/>
        <v>1.9500000000000004</v>
      </c>
      <c r="EX49" s="399">
        <f t="shared" si="184"/>
        <v>101.62601626016261</v>
      </c>
      <c r="EY49" s="66"/>
      <c r="EZ49" s="66"/>
      <c r="FA49" s="396">
        <f t="shared" si="298"/>
        <v>10</v>
      </c>
      <c r="FB49" s="397">
        <f t="shared" si="299"/>
        <v>5</v>
      </c>
      <c r="FC49" s="398">
        <f t="shared" si="371"/>
        <v>3.9000000000000021</v>
      </c>
      <c r="FD49" s="398">
        <f t="shared" si="185"/>
        <v>195.00000000000003</v>
      </c>
      <c r="FE49" s="398">
        <f t="shared" si="300"/>
        <v>40.000000000000014</v>
      </c>
      <c r="FF49" s="398">
        <f t="shared" si="301"/>
        <v>7.5</v>
      </c>
      <c r="FG49" s="398">
        <f t="shared" si="302"/>
        <v>1.9500000000000004</v>
      </c>
      <c r="FH49" s="399">
        <f t="shared" si="187"/>
        <v>101.62601626016261</v>
      </c>
      <c r="FI49" s="66"/>
      <c r="FJ49" s="66"/>
      <c r="FK49" s="396">
        <f t="shared" si="303"/>
        <v>10</v>
      </c>
      <c r="FL49" s="397">
        <f t="shared" si="304"/>
        <v>5</v>
      </c>
      <c r="FM49" s="398">
        <f t="shared" si="372"/>
        <v>3.9000000000000021</v>
      </c>
      <c r="FN49" s="398">
        <f t="shared" si="188"/>
        <v>195.00000000000003</v>
      </c>
      <c r="FO49" s="398">
        <f t="shared" si="305"/>
        <v>40.000000000000014</v>
      </c>
      <c r="FP49" s="398">
        <f t="shared" si="306"/>
        <v>2.5000000000000009</v>
      </c>
      <c r="FQ49" s="398">
        <f t="shared" si="307"/>
        <v>1.9500000000000004</v>
      </c>
      <c r="FR49" s="399">
        <f t="shared" si="190"/>
        <v>101.62601626016261</v>
      </c>
      <c r="FS49" s="66"/>
      <c r="FT49" s="66"/>
      <c r="FU49" s="396">
        <f t="shared" si="308"/>
        <v>10</v>
      </c>
      <c r="FV49" s="397">
        <f t="shared" si="309"/>
        <v>5</v>
      </c>
      <c r="FW49" s="398">
        <f t="shared" si="373"/>
        <v>3.9000000000000021</v>
      </c>
      <c r="FX49" s="398">
        <f t="shared" si="191"/>
        <v>195.00000000000003</v>
      </c>
      <c r="FY49" s="398">
        <f t="shared" si="310"/>
        <v>40.000000000000014</v>
      </c>
      <c r="FZ49" s="398">
        <f t="shared" si="311"/>
        <v>-2.5000000000000009</v>
      </c>
      <c r="GA49" s="398">
        <f t="shared" si="312"/>
        <v>1.9500000000000004</v>
      </c>
      <c r="GB49" s="399">
        <f t="shared" si="193"/>
        <v>101.62601626016261</v>
      </c>
      <c r="GC49" s="66"/>
      <c r="GD49" s="66"/>
      <c r="GE49" s="396">
        <f t="shared" si="313"/>
        <v>10</v>
      </c>
      <c r="GF49" s="397">
        <f t="shared" si="314"/>
        <v>5</v>
      </c>
      <c r="GG49" s="398">
        <f t="shared" si="374"/>
        <v>3.9000000000000021</v>
      </c>
      <c r="GH49" s="398">
        <f t="shared" si="194"/>
        <v>195.00000000000003</v>
      </c>
      <c r="GI49" s="398">
        <f t="shared" si="315"/>
        <v>40.000000000000014</v>
      </c>
      <c r="GJ49" s="398">
        <f t="shared" si="316"/>
        <v>-7.5</v>
      </c>
      <c r="GK49" s="398">
        <f t="shared" si="317"/>
        <v>1.9500000000000004</v>
      </c>
      <c r="GL49" s="399">
        <f t="shared" si="196"/>
        <v>101.62601626016261</v>
      </c>
      <c r="GM49" s="66"/>
      <c r="GN49" s="66"/>
      <c r="GO49" s="396">
        <f t="shared" si="318"/>
        <v>10</v>
      </c>
      <c r="GP49" s="397">
        <f t="shared" si="319"/>
        <v>5</v>
      </c>
      <c r="GQ49" s="398">
        <f t="shared" si="375"/>
        <v>3.9000000000000021</v>
      </c>
      <c r="GR49" s="398">
        <f t="shared" si="197"/>
        <v>195.00000000000003</v>
      </c>
      <c r="GS49" s="398">
        <f t="shared" si="320"/>
        <v>50</v>
      </c>
      <c r="GT49" s="398">
        <f t="shared" si="321"/>
        <v>7.5</v>
      </c>
      <c r="GU49" s="398">
        <f t="shared" si="322"/>
        <v>1.9500000000000004</v>
      </c>
      <c r="GV49" s="399">
        <f t="shared" si="199"/>
        <v>101.62601626016261</v>
      </c>
      <c r="GW49" s="66"/>
      <c r="GX49" s="66"/>
      <c r="GY49" s="396">
        <f t="shared" si="323"/>
        <v>10</v>
      </c>
      <c r="GZ49" s="397">
        <f t="shared" si="324"/>
        <v>5</v>
      </c>
      <c r="HA49" s="398">
        <f t="shared" si="376"/>
        <v>3.9000000000000021</v>
      </c>
      <c r="HB49" s="398">
        <f t="shared" si="200"/>
        <v>195.00000000000003</v>
      </c>
      <c r="HC49" s="398">
        <f t="shared" si="325"/>
        <v>50</v>
      </c>
      <c r="HD49" s="398">
        <f t="shared" si="326"/>
        <v>2.5000000000000009</v>
      </c>
      <c r="HE49" s="398">
        <f t="shared" si="327"/>
        <v>1.9500000000000004</v>
      </c>
      <c r="HF49" s="399">
        <f t="shared" si="202"/>
        <v>101.62601626016261</v>
      </c>
      <c r="HH49" s="66"/>
      <c r="HI49" s="396">
        <f t="shared" si="328"/>
        <v>10</v>
      </c>
      <c r="HJ49" s="397">
        <f t="shared" si="329"/>
        <v>5</v>
      </c>
      <c r="HK49" s="398">
        <f t="shared" si="377"/>
        <v>3.9000000000000021</v>
      </c>
      <c r="HL49" s="398">
        <f t="shared" si="203"/>
        <v>195.00000000000003</v>
      </c>
      <c r="HM49" s="398">
        <f t="shared" si="330"/>
        <v>50</v>
      </c>
      <c r="HN49" s="398">
        <f t="shared" si="331"/>
        <v>-2.5000000000000009</v>
      </c>
      <c r="HO49" s="398">
        <f t="shared" si="332"/>
        <v>1.9500000000000004</v>
      </c>
      <c r="HP49" s="399">
        <f t="shared" si="205"/>
        <v>101.62601626016261</v>
      </c>
      <c r="HQ49" s="66"/>
      <c r="HR49" s="66"/>
      <c r="HS49" s="396">
        <f t="shared" si="333"/>
        <v>10</v>
      </c>
      <c r="HT49" s="397">
        <f t="shared" si="334"/>
        <v>5</v>
      </c>
      <c r="HU49" s="398">
        <f t="shared" si="378"/>
        <v>3.9000000000000021</v>
      </c>
      <c r="HV49" s="398">
        <f t="shared" si="206"/>
        <v>195.00000000000003</v>
      </c>
      <c r="HW49" s="398">
        <f t="shared" si="335"/>
        <v>50</v>
      </c>
      <c r="HX49" s="398">
        <f t="shared" si="336"/>
        <v>-7.5</v>
      </c>
      <c r="HY49" s="398">
        <f t="shared" si="337"/>
        <v>1.9500000000000004</v>
      </c>
      <c r="HZ49" s="399">
        <f t="shared" si="208"/>
        <v>101.62601626016261</v>
      </c>
      <c r="IA49" s="66"/>
      <c r="IB49" s="66"/>
      <c r="IC49" s="396">
        <f t="shared" si="338"/>
        <v>5</v>
      </c>
      <c r="ID49" s="397">
        <f t="shared" si="339"/>
        <v>20</v>
      </c>
      <c r="IE49" s="398">
        <f t="shared" si="379"/>
        <v>3.9000000000000021</v>
      </c>
      <c r="IF49" s="398">
        <f t="shared" si="209"/>
        <v>248.6159557232759</v>
      </c>
      <c r="IG49" s="398">
        <f t="shared" si="340"/>
        <v>57.026877579454492</v>
      </c>
      <c r="IH49" s="398">
        <f t="shared" si="341"/>
        <v>0</v>
      </c>
      <c r="II49" s="398">
        <f t="shared" si="342"/>
        <v>2.5230989098697898</v>
      </c>
      <c r="IJ49" s="399">
        <f t="shared" si="211"/>
        <v>3252.0325203252037</v>
      </c>
      <c r="IK49" s="66"/>
      <c r="IL49" s="66"/>
      <c r="IM49" s="396">
        <f t="shared" si="343"/>
        <v>11</v>
      </c>
      <c r="IN49" s="397">
        <f t="shared" si="344"/>
        <v>13.75</v>
      </c>
      <c r="IO49" s="398">
        <f t="shared" si="380"/>
        <v>3.9000000000000021</v>
      </c>
      <c r="IP49" s="398">
        <f t="shared" si="212"/>
        <v>565.27859441245005</v>
      </c>
      <c r="IQ49" s="398">
        <f t="shared" si="345"/>
        <v>67.909007128070627</v>
      </c>
      <c r="IR49" s="398">
        <f t="shared" si="346"/>
        <v>6.8749999999999991</v>
      </c>
      <c r="IS49" s="398">
        <f t="shared" si="347"/>
        <v>2.0174307314232114</v>
      </c>
      <c r="IT49" s="399">
        <f t="shared" si="214"/>
        <v>2324.8539126016262</v>
      </c>
      <c r="IU49" s="66"/>
      <c r="IV49" s="66"/>
      <c r="IW49" s="396">
        <f t="shared" si="116"/>
        <v>11</v>
      </c>
      <c r="IX49" s="397">
        <f t="shared" si="117"/>
        <v>13.75</v>
      </c>
      <c r="IY49" s="398">
        <f t="shared" si="118"/>
        <v>3.9000000000000021</v>
      </c>
      <c r="IZ49" s="398">
        <f t="shared" si="348"/>
        <v>565.27859441245005</v>
      </c>
      <c r="JA49" s="398">
        <f t="shared" si="119"/>
        <v>67.909007128070627</v>
      </c>
      <c r="JB49" s="398">
        <f t="shared" si="120"/>
        <v>-6.8749999999999991</v>
      </c>
      <c r="JC49" s="398">
        <f t="shared" si="216"/>
        <v>2.0174307314232114</v>
      </c>
      <c r="JD49" s="399">
        <f t="shared" si="217"/>
        <v>2324.8539126016262</v>
      </c>
      <c r="JE49" s="66"/>
      <c r="JF49" s="66"/>
      <c r="JG49" s="396">
        <f t="shared" si="121"/>
        <v>7.26</v>
      </c>
      <c r="JH49" s="397">
        <f t="shared" si="122"/>
        <v>6.875</v>
      </c>
      <c r="JI49" s="398">
        <f t="shared" si="123"/>
        <v>3.9000000000000021</v>
      </c>
      <c r="JJ49" s="398">
        <f t="shared" si="349"/>
        <v>122.12980610405997</v>
      </c>
      <c r="JK49" s="398">
        <f t="shared" si="124"/>
        <v>72.512797591232172</v>
      </c>
      <c r="JL49" s="398">
        <f t="shared" si="125"/>
        <v>10.3125</v>
      </c>
      <c r="JM49" s="398">
        <f t="shared" si="219"/>
        <v>3.7290257320437474</v>
      </c>
      <c r="JN49" s="399">
        <f t="shared" si="220"/>
        <v>191.80044778963418</v>
      </c>
      <c r="JO49" s="66"/>
      <c r="JP49" s="66"/>
      <c r="JQ49" s="396">
        <f t="shared" si="126"/>
        <v>7.26</v>
      </c>
      <c r="JR49" s="397">
        <f t="shared" si="127"/>
        <v>6.875</v>
      </c>
      <c r="JS49" s="398">
        <f t="shared" si="128"/>
        <v>3.9000000000000021</v>
      </c>
      <c r="JT49" s="398">
        <f t="shared" si="350"/>
        <v>122.12980610405997</v>
      </c>
      <c r="JU49" s="398">
        <f t="shared" si="129"/>
        <v>72.512797591232172</v>
      </c>
      <c r="JV49" s="398">
        <f t="shared" si="130"/>
        <v>3.4374999999999987</v>
      </c>
      <c r="JW49" s="398">
        <f t="shared" si="222"/>
        <v>3.7290257320437474</v>
      </c>
      <c r="JX49" s="399">
        <f t="shared" si="223"/>
        <v>191.80044778963418</v>
      </c>
      <c r="JY49" s="66"/>
      <c r="JZ49" s="66"/>
      <c r="KA49" s="396">
        <f t="shared" si="131"/>
        <v>7.26</v>
      </c>
      <c r="KB49" s="397">
        <f t="shared" si="132"/>
        <v>6.875</v>
      </c>
      <c r="KC49" s="398">
        <f t="shared" si="133"/>
        <v>3.9000000000000021</v>
      </c>
      <c r="KD49" s="398">
        <f t="shared" si="351"/>
        <v>122.12980610405997</v>
      </c>
      <c r="KE49" s="398">
        <f t="shared" si="134"/>
        <v>72.512797591232172</v>
      </c>
      <c r="KF49" s="398">
        <f t="shared" si="135"/>
        <v>-3.4374999999999987</v>
      </c>
      <c r="KG49" s="398">
        <f t="shared" si="225"/>
        <v>3.7290257320437474</v>
      </c>
      <c r="KH49" s="399">
        <f t="shared" si="226"/>
        <v>191.80044778963418</v>
      </c>
      <c r="KI49" s="66"/>
      <c r="KJ49" s="66"/>
      <c r="KK49" s="396">
        <f t="shared" si="136"/>
        <v>7.26</v>
      </c>
      <c r="KL49" s="397">
        <f t="shared" si="137"/>
        <v>6.875</v>
      </c>
      <c r="KM49" s="398">
        <f t="shared" si="138"/>
        <v>3.9000000000000021</v>
      </c>
      <c r="KN49" s="398">
        <f t="shared" si="352"/>
        <v>122.12980610405997</v>
      </c>
      <c r="KO49" s="398">
        <f t="shared" si="139"/>
        <v>72.512797591232172</v>
      </c>
      <c r="KP49" s="398">
        <f t="shared" si="140"/>
        <v>-10.3125</v>
      </c>
      <c r="KQ49" s="398">
        <f t="shared" si="228"/>
        <v>3.7290257320437474</v>
      </c>
      <c r="KR49" s="399">
        <f t="shared" si="229"/>
        <v>191.80044778963418</v>
      </c>
      <c r="KS49" s="66"/>
      <c r="KT49" s="66"/>
      <c r="KU49" s="396">
        <f t="shared" si="353"/>
        <v>5</v>
      </c>
      <c r="KV49" s="397">
        <f t="shared" si="354"/>
        <v>5</v>
      </c>
      <c r="KW49" s="398">
        <f t="shared" si="381"/>
        <v>3.9000000000000021</v>
      </c>
      <c r="KX49" s="398">
        <f t="shared" si="230"/>
        <v>97.500000000000014</v>
      </c>
      <c r="KY49" s="398">
        <f t="shared" si="355"/>
        <v>57.5</v>
      </c>
      <c r="KZ49" s="398">
        <f t="shared" si="356"/>
        <v>0</v>
      </c>
      <c r="LA49" s="398">
        <f t="shared" si="357"/>
        <v>1.9500000000000004</v>
      </c>
      <c r="LB49" s="399">
        <f t="shared" si="232"/>
        <v>50.813008130081307</v>
      </c>
      <c r="LC49" s="66"/>
    </row>
    <row r="50" spans="1:315" s="67" customFormat="1" x14ac:dyDescent="0.25">
      <c r="A50" s="481"/>
      <c r="B50" s="1"/>
      <c r="C50" s="1"/>
      <c r="D50" s="1"/>
      <c r="E50" s="1"/>
      <c r="F50" s="1"/>
      <c r="G50" s="1"/>
      <c r="H50" s="1"/>
      <c r="I50" s="1"/>
      <c r="J50" s="1"/>
      <c r="K50" s="1"/>
      <c r="L50" s="1"/>
      <c r="M50" s="1"/>
      <c r="N50" s="1"/>
      <c r="O50" s="1"/>
      <c r="P50" s="1"/>
      <c r="Q50" s="1"/>
      <c r="R50" s="1"/>
      <c r="S50" s="1"/>
      <c r="T50" s="1"/>
      <c r="U50" s="1"/>
      <c r="V50" s="1"/>
      <c r="W50" s="1"/>
      <c r="X50" s="1"/>
      <c r="Y50" s="481"/>
      <c r="Z50" s="413"/>
      <c r="AA50" s="396">
        <f t="shared" si="233"/>
        <v>5</v>
      </c>
      <c r="AB50" s="397">
        <f t="shared" si="234"/>
        <v>20</v>
      </c>
      <c r="AC50" s="398">
        <f t="shared" si="358"/>
        <v>4.0000000000000018</v>
      </c>
      <c r="AD50" s="398">
        <f t="shared" si="146"/>
        <v>259.18395102017257</v>
      </c>
      <c r="AE50" s="398">
        <f t="shared" si="235"/>
        <v>2.9519265529657379</v>
      </c>
      <c r="AF50" s="398">
        <f t="shared" si="236"/>
        <v>0</v>
      </c>
      <c r="AG50" s="398">
        <f t="shared" si="237"/>
        <v>2.5767895687407991</v>
      </c>
      <c r="AH50" s="399">
        <f t="shared" si="148"/>
        <v>0</v>
      </c>
      <c r="AI50" s="367"/>
      <c r="AJ50" s="66"/>
      <c r="AK50" s="396">
        <f t="shared" si="238"/>
        <v>10</v>
      </c>
      <c r="AL50" s="397">
        <f t="shared" si="239"/>
        <v>5</v>
      </c>
      <c r="AM50" s="398">
        <f t="shared" si="359"/>
        <v>4.0000000000000018</v>
      </c>
      <c r="AN50" s="398">
        <f t="shared" si="149"/>
        <v>200</v>
      </c>
      <c r="AO50" s="398">
        <f t="shared" si="240"/>
        <v>10.000000000000004</v>
      </c>
      <c r="AP50" s="398">
        <f t="shared" si="241"/>
        <v>7.5</v>
      </c>
      <c r="AQ50" s="398">
        <f t="shared" si="242"/>
        <v>2</v>
      </c>
      <c r="AR50" s="399">
        <f t="shared" si="151"/>
        <v>0</v>
      </c>
      <c r="AS50" s="66"/>
      <c r="AT50" s="66"/>
      <c r="AU50" s="396">
        <f t="shared" si="243"/>
        <v>10</v>
      </c>
      <c r="AV50" s="397">
        <f t="shared" si="244"/>
        <v>5</v>
      </c>
      <c r="AW50" s="398">
        <f t="shared" si="360"/>
        <v>4.0000000000000018</v>
      </c>
      <c r="AX50" s="398">
        <f t="shared" si="152"/>
        <v>200</v>
      </c>
      <c r="AY50" s="398">
        <f t="shared" si="245"/>
        <v>10.000000000000004</v>
      </c>
      <c r="AZ50" s="398">
        <f t="shared" si="246"/>
        <v>2.5000000000000009</v>
      </c>
      <c r="BA50" s="398">
        <f t="shared" si="247"/>
        <v>2</v>
      </c>
      <c r="BB50" s="399">
        <f t="shared" si="154"/>
        <v>0</v>
      </c>
      <c r="BC50" s="66"/>
      <c r="BD50" s="66"/>
      <c r="BE50" s="396">
        <f t="shared" si="248"/>
        <v>10</v>
      </c>
      <c r="BF50" s="397">
        <f t="shared" si="249"/>
        <v>5</v>
      </c>
      <c r="BG50" s="398">
        <f t="shared" si="361"/>
        <v>4.0000000000000018</v>
      </c>
      <c r="BH50" s="398">
        <f t="shared" si="155"/>
        <v>200</v>
      </c>
      <c r="BI50" s="398">
        <f t="shared" si="250"/>
        <v>10.000000000000004</v>
      </c>
      <c r="BJ50" s="398">
        <f t="shared" si="251"/>
        <v>-2.5000000000000009</v>
      </c>
      <c r="BK50" s="398">
        <f t="shared" si="252"/>
        <v>2</v>
      </c>
      <c r="BL50" s="399">
        <f t="shared" si="157"/>
        <v>0</v>
      </c>
      <c r="BM50" s="66"/>
      <c r="BN50" s="66"/>
      <c r="BO50" s="396">
        <f t="shared" si="253"/>
        <v>10</v>
      </c>
      <c r="BP50" s="397">
        <f t="shared" si="254"/>
        <v>5</v>
      </c>
      <c r="BQ50" s="398">
        <f t="shared" si="362"/>
        <v>4.0000000000000018</v>
      </c>
      <c r="BR50" s="398">
        <f t="shared" si="158"/>
        <v>200</v>
      </c>
      <c r="BS50" s="398">
        <f t="shared" si="255"/>
        <v>10.000000000000004</v>
      </c>
      <c r="BT50" s="398">
        <f t="shared" si="256"/>
        <v>-7.5</v>
      </c>
      <c r="BU50" s="398">
        <f t="shared" si="257"/>
        <v>2</v>
      </c>
      <c r="BV50" s="399">
        <f t="shared" si="160"/>
        <v>0</v>
      </c>
      <c r="BW50" s="66"/>
      <c r="BX50" s="66"/>
      <c r="BY50" s="396">
        <f t="shared" si="258"/>
        <v>10</v>
      </c>
      <c r="BZ50" s="397">
        <f t="shared" si="259"/>
        <v>5</v>
      </c>
      <c r="CA50" s="398">
        <f t="shared" si="363"/>
        <v>4.0000000000000018</v>
      </c>
      <c r="CB50" s="398">
        <f t="shared" si="161"/>
        <v>200</v>
      </c>
      <c r="CC50" s="398">
        <f t="shared" si="260"/>
        <v>20.000000000000007</v>
      </c>
      <c r="CD50" s="398">
        <f t="shared" si="261"/>
        <v>7.5</v>
      </c>
      <c r="CE50" s="398">
        <f t="shared" si="262"/>
        <v>2</v>
      </c>
      <c r="CF50" s="399">
        <f t="shared" si="163"/>
        <v>0</v>
      </c>
      <c r="CG50" s="66"/>
      <c r="CH50" s="66"/>
      <c r="CI50" s="396">
        <f t="shared" si="263"/>
        <v>10</v>
      </c>
      <c r="CJ50" s="397">
        <f t="shared" si="264"/>
        <v>5</v>
      </c>
      <c r="CK50" s="398">
        <f t="shared" si="364"/>
        <v>4.0000000000000018</v>
      </c>
      <c r="CL50" s="398">
        <f t="shared" si="164"/>
        <v>200</v>
      </c>
      <c r="CM50" s="398">
        <f t="shared" si="265"/>
        <v>20.000000000000007</v>
      </c>
      <c r="CN50" s="398">
        <f t="shared" si="266"/>
        <v>2.5000000000000009</v>
      </c>
      <c r="CO50" s="398">
        <f t="shared" si="267"/>
        <v>2</v>
      </c>
      <c r="CP50" s="399">
        <f t="shared" si="166"/>
        <v>0</v>
      </c>
      <c r="CQ50" s="66"/>
      <c r="CS50" s="396">
        <f t="shared" si="268"/>
        <v>10</v>
      </c>
      <c r="CT50" s="397">
        <f t="shared" si="269"/>
        <v>5</v>
      </c>
      <c r="CU50" s="398">
        <f t="shared" si="365"/>
        <v>4.0000000000000018</v>
      </c>
      <c r="CV50" s="398">
        <f t="shared" si="167"/>
        <v>200</v>
      </c>
      <c r="CW50" s="398">
        <f t="shared" si="270"/>
        <v>20.000000000000007</v>
      </c>
      <c r="CX50" s="398">
        <f t="shared" si="271"/>
        <v>-2.5000000000000009</v>
      </c>
      <c r="CY50" s="398">
        <f t="shared" si="272"/>
        <v>2</v>
      </c>
      <c r="CZ50" s="399">
        <f t="shared" si="169"/>
        <v>0</v>
      </c>
      <c r="DA50" s="66"/>
      <c r="DB50" s="66"/>
      <c r="DC50" s="396">
        <f t="shared" si="273"/>
        <v>10</v>
      </c>
      <c r="DD50" s="397">
        <f t="shared" si="274"/>
        <v>5</v>
      </c>
      <c r="DE50" s="398">
        <f t="shared" si="366"/>
        <v>4.0000000000000018</v>
      </c>
      <c r="DF50" s="398">
        <f t="shared" si="170"/>
        <v>200</v>
      </c>
      <c r="DG50" s="398">
        <f t="shared" si="275"/>
        <v>20.000000000000007</v>
      </c>
      <c r="DH50" s="398">
        <f t="shared" si="276"/>
        <v>-7.5</v>
      </c>
      <c r="DI50" s="398">
        <f t="shared" si="277"/>
        <v>2</v>
      </c>
      <c r="DJ50" s="399">
        <f t="shared" si="172"/>
        <v>0</v>
      </c>
      <c r="DK50" s="66"/>
      <c r="DM50" s="396">
        <f t="shared" si="278"/>
        <v>10</v>
      </c>
      <c r="DN50" s="397">
        <f t="shared" si="279"/>
        <v>5</v>
      </c>
      <c r="DO50" s="398">
        <f t="shared" si="367"/>
        <v>4.0000000000000018</v>
      </c>
      <c r="DP50" s="398">
        <f t="shared" si="173"/>
        <v>200</v>
      </c>
      <c r="DQ50" s="398">
        <f t="shared" si="280"/>
        <v>30</v>
      </c>
      <c r="DR50" s="398">
        <f t="shared" si="281"/>
        <v>7.5</v>
      </c>
      <c r="DS50" s="398">
        <f t="shared" si="282"/>
        <v>2</v>
      </c>
      <c r="DT50" s="399">
        <f t="shared" si="175"/>
        <v>0</v>
      </c>
      <c r="DU50" s="66"/>
      <c r="DV50" s="66"/>
      <c r="DW50" s="396">
        <f t="shared" si="283"/>
        <v>10</v>
      </c>
      <c r="DX50" s="397">
        <f t="shared" si="284"/>
        <v>5</v>
      </c>
      <c r="DY50" s="398">
        <f t="shared" si="368"/>
        <v>4.0000000000000018</v>
      </c>
      <c r="DZ50" s="398">
        <f t="shared" si="176"/>
        <v>200</v>
      </c>
      <c r="EA50" s="398">
        <f t="shared" si="285"/>
        <v>30</v>
      </c>
      <c r="EB50" s="398">
        <f t="shared" si="286"/>
        <v>2.5000000000000009</v>
      </c>
      <c r="EC50" s="398">
        <f t="shared" si="287"/>
        <v>2</v>
      </c>
      <c r="ED50" s="399">
        <f t="shared" si="178"/>
        <v>0</v>
      </c>
      <c r="EE50" s="66"/>
      <c r="EF50" s="66"/>
      <c r="EG50" s="396">
        <f t="shared" si="288"/>
        <v>10</v>
      </c>
      <c r="EH50" s="397">
        <f t="shared" si="289"/>
        <v>5</v>
      </c>
      <c r="EI50" s="398">
        <f t="shared" si="369"/>
        <v>4.0000000000000018</v>
      </c>
      <c r="EJ50" s="398">
        <f t="shared" si="179"/>
        <v>200</v>
      </c>
      <c r="EK50" s="398">
        <f t="shared" si="290"/>
        <v>30</v>
      </c>
      <c r="EL50" s="398">
        <f t="shared" si="291"/>
        <v>-2.5000000000000009</v>
      </c>
      <c r="EM50" s="398">
        <f t="shared" si="292"/>
        <v>2</v>
      </c>
      <c r="EN50" s="399">
        <f t="shared" si="181"/>
        <v>0</v>
      </c>
      <c r="EO50" s="66"/>
      <c r="EP50" s="66"/>
      <c r="EQ50" s="396">
        <f t="shared" si="293"/>
        <v>10</v>
      </c>
      <c r="ER50" s="397">
        <f t="shared" si="294"/>
        <v>5</v>
      </c>
      <c r="ES50" s="398">
        <f t="shared" si="370"/>
        <v>4.0000000000000018</v>
      </c>
      <c r="ET50" s="398">
        <f t="shared" si="182"/>
        <v>200</v>
      </c>
      <c r="EU50" s="398">
        <f t="shared" si="295"/>
        <v>30</v>
      </c>
      <c r="EV50" s="398">
        <f t="shared" si="296"/>
        <v>-7.5</v>
      </c>
      <c r="EW50" s="398">
        <f t="shared" si="297"/>
        <v>2</v>
      </c>
      <c r="EX50" s="399">
        <f t="shared" si="184"/>
        <v>0</v>
      </c>
      <c r="EY50" s="66"/>
      <c r="EZ50" s="66"/>
      <c r="FA50" s="396">
        <f t="shared" si="298"/>
        <v>10</v>
      </c>
      <c r="FB50" s="397">
        <f t="shared" si="299"/>
        <v>5</v>
      </c>
      <c r="FC50" s="398">
        <f t="shared" si="371"/>
        <v>4.0000000000000018</v>
      </c>
      <c r="FD50" s="398">
        <f t="shared" si="185"/>
        <v>200</v>
      </c>
      <c r="FE50" s="398">
        <f t="shared" si="300"/>
        <v>40.000000000000014</v>
      </c>
      <c r="FF50" s="398">
        <f t="shared" si="301"/>
        <v>7.5</v>
      </c>
      <c r="FG50" s="398">
        <f t="shared" si="302"/>
        <v>2</v>
      </c>
      <c r="FH50" s="399">
        <f t="shared" si="187"/>
        <v>0</v>
      </c>
      <c r="FI50" s="66"/>
      <c r="FJ50" s="66"/>
      <c r="FK50" s="396">
        <f t="shared" si="303"/>
        <v>10</v>
      </c>
      <c r="FL50" s="397">
        <f t="shared" si="304"/>
        <v>5</v>
      </c>
      <c r="FM50" s="398">
        <f t="shared" si="372"/>
        <v>4.0000000000000018</v>
      </c>
      <c r="FN50" s="398">
        <f t="shared" si="188"/>
        <v>200</v>
      </c>
      <c r="FO50" s="398">
        <f t="shared" si="305"/>
        <v>40.000000000000014</v>
      </c>
      <c r="FP50" s="398">
        <f t="shared" si="306"/>
        <v>2.5000000000000009</v>
      </c>
      <c r="FQ50" s="398">
        <f t="shared" si="307"/>
        <v>2</v>
      </c>
      <c r="FR50" s="399">
        <f t="shared" si="190"/>
        <v>0</v>
      </c>
      <c r="FS50" s="66"/>
      <c r="FT50" s="66"/>
      <c r="FU50" s="396">
        <f t="shared" si="308"/>
        <v>10</v>
      </c>
      <c r="FV50" s="397">
        <f t="shared" si="309"/>
        <v>5</v>
      </c>
      <c r="FW50" s="398">
        <f t="shared" si="373"/>
        <v>4.0000000000000018</v>
      </c>
      <c r="FX50" s="398">
        <f t="shared" si="191"/>
        <v>200</v>
      </c>
      <c r="FY50" s="398">
        <f t="shared" si="310"/>
        <v>40.000000000000014</v>
      </c>
      <c r="FZ50" s="398">
        <f t="shared" si="311"/>
        <v>-2.5000000000000009</v>
      </c>
      <c r="GA50" s="398">
        <f t="shared" si="312"/>
        <v>2</v>
      </c>
      <c r="GB50" s="399">
        <f t="shared" si="193"/>
        <v>0</v>
      </c>
      <c r="GC50" s="66"/>
      <c r="GD50" s="66"/>
      <c r="GE50" s="396">
        <f t="shared" si="313"/>
        <v>10</v>
      </c>
      <c r="GF50" s="397">
        <f t="shared" si="314"/>
        <v>5</v>
      </c>
      <c r="GG50" s="398">
        <f t="shared" si="374"/>
        <v>4.0000000000000018</v>
      </c>
      <c r="GH50" s="398">
        <f t="shared" si="194"/>
        <v>200</v>
      </c>
      <c r="GI50" s="398">
        <f t="shared" si="315"/>
        <v>40.000000000000014</v>
      </c>
      <c r="GJ50" s="398">
        <f t="shared" si="316"/>
        <v>-7.5</v>
      </c>
      <c r="GK50" s="398">
        <f t="shared" si="317"/>
        <v>2</v>
      </c>
      <c r="GL50" s="399">
        <f t="shared" si="196"/>
        <v>0</v>
      </c>
      <c r="GM50" s="66"/>
      <c r="GN50" s="66"/>
      <c r="GO50" s="396">
        <f t="shared" si="318"/>
        <v>10</v>
      </c>
      <c r="GP50" s="397">
        <f t="shared" si="319"/>
        <v>5</v>
      </c>
      <c r="GQ50" s="398">
        <f t="shared" si="375"/>
        <v>4.0000000000000018</v>
      </c>
      <c r="GR50" s="398">
        <f t="shared" si="197"/>
        <v>200</v>
      </c>
      <c r="GS50" s="398">
        <f t="shared" si="320"/>
        <v>50</v>
      </c>
      <c r="GT50" s="398">
        <f t="shared" si="321"/>
        <v>7.5</v>
      </c>
      <c r="GU50" s="398">
        <f t="shared" si="322"/>
        <v>2</v>
      </c>
      <c r="GV50" s="399">
        <f t="shared" si="199"/>
        <v>0</v>
      </c>
      <c r="GW50" s="66"/>
      <c r="GX50" s="66"/>
      <c r="GY50" s="396">
        <f t="shared" si="323"/>
        <v>10</v>
      </c>
      <c r="GZ50" s="397">
        <f t="shared" si="324"/>
        <v>5</v>
      </c>
      <c r="HA50" s="398">
        <f t="shared" si="376"/>
        <v>4.0000000000000018</v>
      </c>
      <c r="HB50" s="398">
        <f t="shared" si="200"/>
        <v>200</v>
      </c>
      <c r="HC50" s="398">
        <f t="shared" si="325"/>
        <v>50</v>
      </c>
      <c r="HD50" s="398">
        <f t="shared" si="326"/>
        <v>2.5000000000000009</v>
      </c>
      <c r="HE50" s="398">
        <f t="shared" si="327"/>
        <v>2</v>
      </c>
      <c r="HF50" s="399">
        <f t="shared" si="202"/>
        <v>0</v>
      </c>
      <c r="HH50" s="66"/>
      <c r="HI50" s="396">
        <f t="shared" si="328"/>
        <v>10</v>
      </c>
      <c r="HJ50" s="397">
        <f t="shared" si="329"/>
        <v>5</v>
      </c>
      <c r="HK50" s="398">
        <f t="shared" si="377"/>
        <v>4.0000000000000018</v>
      </c>
      <c r="HL50" s="398">
        <f t="shared" si="203"/>
        <v>200</v>
      </c>
      <c r="HM50" s="398">
        <f t="shared" si="330"/>
        <v>50</v>
      </c>
      <c r="HN50" s="398">
        <f t="shared" si="331"/>
        <v>-2.5000000000000009</v>
      </c>
      <c r="HO50" s="398">
        <f t="shared" si="332"/>
        <v>2</v>
      </c>
      <c r="HP50" s="399">
        <f t="shared" si="205"/>
        <v>0</v>
      </c>
      <c r="HQ50" s="66"/>
      <c r="HR50" s="66"/>
      <c r="HS50" s="396">
        <f t="shared" si="333"/>
        <v>10</v>
      </c>
      <c r="HT50" s="397">
        <f t="shared" si="334"/>
        <v>5</v>
      </c>
      <c r="HU50" s="398">
        <f t="shared" si="378"/>
        <v>4.0000000000000018</v>
      </c>
      <c r="HV50" s="398">
        <f t="shared" si="206"/>
        <v>200</v>
      </c>
      <c r="HW50" s="398">
        <f t="shared" si="335"/>
        <v>50</v>
      </c>
      <c r="HX50" s="398">
        <f t="shared" si="336"/>
        <v>-7.5</v>
      </c>
      <c r="HY50" s="398">
        <f t="shared" si="337"/>
        <v>2</v>
      </c>
      <c r="HZ50" s="399">
        <f t="shared" si="208"/>
        <v>0</v>
      </c>
      <c r="IA50" s="66"/>
      <c r="IB50" s="66"/>
      <c r="IC50" s="396">
        <f t="shared" si="338"/>
        <v>5</v>
      </c>
      <c r="ID50" s="397">
        <f t="shared" si="339"/>
        <v>20</v>
      </c>
      <c r="IE50" s="398">
        <f t="shared" si="379"/>
        <v>4.0000000000000018</v>
      </c>
      <c r="IF50" s="398">
        <f t="shared" si="209"/>
        <v>258.61595572327587</v>
      </c>
      <c r="IG50" s="398">
        <f t="shared" si="340"/>
        <v>57.0451719812528</v>
      </c>
      <c r="IH50" s="398">
        <f t="shared" si="341"/>
        <v>0</v>
      </c>
      <c r="II50" s="398">
        <f t="shared" si="342"/>
        <v>2.5782734286321594</v>
      </c>
      <c r="IJ50" s="399">
        <f t="shared" si="211"/>
        <v>0</v>
      </c>
      <c r="IK50" s="66"/>
      <c r="IL50" s="66"/>
      <c r="IM50" s="396">
        <f t="shared" si="343"/>
        <v>11</v>
      </c>
      <c r="IN50" s="397">
        <f t="shared" si="344"/>
        <v>13.75</v>
      </c>
      <c r="IO50" s="398">
        <f t="shared" si="380"/>
        <v>4.0000000000000018</v>
      </c>
      <c r="IP50" s="398">
        <f t="shared" si="212"/>
        <v>580.40359441245005</v>
      </c>
      <c r="IQ50" s="398">
        <f t="shared" si="345"/>
        <v>67.914114595040971</v>
      </c>
      <c r="IR50" s="398">
        <f t="shared" si="346"/>
        <v>6.8749999999999991</v>
      </c>
      <c r="IS50" s="398">
        <f t="shared" si="347"/>
        <v>2.0677924288155474</v>
      </c>
      <c r="IT50" s="399">
        <f t="shared" si="214"/>
        <v>0</v>
      </c>
      <c r="IU50" s="66"/>
      <c r="IV50" s="66"/>
      <c r="IW50" s="396">
        <f t="shared" si="116"/>
        <v>11</v>
      </c>
      <c r="IX50" s="397">
        <f t="shared" si="117"/>
        <v>13.75</v>
      </c>
      <c r="IY50" s="398">
        <f t="shared" si="118"/>
        <v>4.0000000000000018</v>
      </c>
      <c r="IZ50" s="398">
        <f t="shared" si="348"/>
        <v>580.40359441245005</v>
      </c>
      <c r="JA50" s="398">
        <f t="shared" si="119"/>
        <v>67.914114595040971</v>
      </c>
      <c r="JB50" s="398">
        <f t="shared" si="120"/>
        <v>-6.8749999999999991</v>
      </c>
      <c r="JC50" s="398">
        <f t="shared" si="216"/>
        <v>2.0677924288155474</v>
      </c>
      <c r="JD50" s="399">
        <f t="shared" si="217"/>
        <v>0</v>
      </c>
      <c r="JE50" s="66"/>
      <c r="JF50" s="66"/>
      <c r="JG50" s="396">
        <f t="shared" si="121"/>
        <v>7.26</v>
      </c>
      <c r="JH50" s="397">
        <f t="shared" si="122"/>
        <v>6.875</v>
      </c>
      <c r="JI50" s="398">
        <f t="shared" si="123"/>
        <v>4.0000000000000018</v>
      </c>
      <c r="JJ50" s="398">
        <f t="shared" si="349"/>
        <v>127.12105610405995</v>
      </c>
      <c r="JK50" s="398">
        <f t="shared" si="124"/>
        <v>72.540957650882959</v>
      </c>
      <c r="JL50" s="398">
        <f t="shared" si="125"/>
        <v>10.3125</v>
      </c>
      <c r="JM50" s="398">
        <f t="shared" si="219"/>
        <v>3.7846614625174397</v>
      </c>
      <c r="JN50" s="399">
        <f t="shared" si="220"/>
        <v>191.80044778963418</v>
      </c>
      <c r="JO50" s="66"/>
      <c r="JP50" s="66"/>
      <c r="JQ50" s="396">
        <f t="shared" si="126"/>
        <v>7.26</v>
      </c>
      <c r="JR50" s="397">
        <f t="shared" si="127"/>
        <v>6.875</v>
      </c>
      <c r="JS50" s="398">
        <f t="shared" si="128"/>
        <v>4.0000000000000018</v>
      </c>
      <c r="JT50" s="398">
        <f t="shared" si="350"/>
        <v>127.12105610405995</v>
      </c>
      <c r="JU50" s="398">
        <f t="shared" si="129"/>
        <v>72.540957650882959</v>
      </c>
      <c r="JV50" s="398">
        <f t="shared" si="130"/>
        <v>3.4374999999999991</v>
      </c>
      <c r="JW50" s="398">
        <f t="shared" si="222"/>
        <v>3.7846614625174397</v>
      </c>
      <c r="JX50" s="399">
        <f t="shared" si="223"/>
        <v>191.80044778963418</v>
      </c>
      <c r="JY50" s="66"/>
      <c r="JZ50" s="66"/>
      <c r="KA50" s="396">
        <f t="shared" si="131"/>
        <v>7.26</v>
      </c>
      <c r="KB50" s="397">
        <f t="shared" si="132"/>
        <v>6.875</v>
      </c>
      <c r="KC50" s="398">
        <f t="shared" si="133"/>
        <v>4.0000000000000018</v>
      </c>
      <c r="KD50" s="398">
        <f t="shared" si="351"/>
        <v>127.12105610405995</v>
      </c>
      <c r="KE50" s="398">
        <f t="shared" si="134"/>
        <v>72.540957650882959</v>
      </c>
      <c r="KF50" s="398">
        <f t="shared" si="135"/>
        <v>-3.4374999999999991</v>
      </c>
      <c r="KG50" s="398">
        <f t="shared" si="225"/>
        <v>3.7846614625174397</v>
      </c>
      <c r="KH50" s="399">
        <f t="shared" si="226"/>
        <v>191.80044778963418</v>
      </c>
      <c r="KI50" s="66"/>
      <c r="KJ50" s="66"/>
      <c r="KK50" s="396">
        <f t="shared" si="136"/>
        <v>7.26</v>
      </c>
      <c r="KL50" s="397">
        <f t="shared" si="137"/>
        <v>6.875</v>
      </c>
      <c r="KM50" s="398">
        <f t="shared" si="138"/>
        <v>4.0000000000000018</v>
      </c>
      <c r="KN50" s="398">
        <f t="shared" si="352"/>
        <v>127.12105610405995</v>
      </c>
      <c r="KO50" s="398">
        <f t="shared" si="139"/>
        <v>72.540957650882959</v>
      </c>
      <c r="KP50" s="398">
        <f t="shared" si="140"/>
        <v>-10.3125</v>
      </c>
      <c r="KQ50" s="398">
        <f t="shared" si="228"/>
        <v>3.7846614625174397</v>
      </c>
      <c r="KR50" s="399">
        <f t="shared" si="229"/>
        <v>191.80044778963418</v>
      </c>
      <c r="KS50" s="66"/>
      <c r="KT50" s="66"/>
      <c r="KU50" s="396">
        <f t="shared" si="353"/>
        <v>5</v>
      </c>
      <c r="KV50" s="397">
        <f t="shared" si="354"/>
        <v>5</v>
      </c>
      <c r="KW50" s="398">
        <f t="shared" si="381"/>
        <v>4.0000000000000018</v>
      </c>
      <c r="KX50" s="398">
        <f t="shared" si="230"/>
        <v>100</v>
      </c>
      <c r="KY50" s="398">
        <f t="shared" si="355"/>
        <v>57.5</v>
      </c>
      <c r="KZ50" s="398">
        <f t="shared" si="356"/>
        <v>0</v>
      </c>
      <c r="LA50" s="398">
        <f t="shared" si="357"/>
        <v>2</v>
      </c>
      <c r="LB50" s="399">
        <f t="shared" si="232"/>
        <v>0</v>
      </c>
      <c r="LC50" s="66"/>
    </row>
    <row r="51" spans="1:315" x14ac:dyDescent="0.25">
      <c r="Y51" s="481"/>
      <c r="Z51" s="413"/>
      <c r="AA51" s="987" t="e">
        <f t="shared" si="233"/>
        <v>#N/A</v>
      </c>
      <c r="AB51" s="988" t="e">
        <f t="shared" si="234"/>
        <v>#N/A</v>
      </c>
      <c r="AC51" s="989" t="e">
        <f t="shared" si="358"/>
        <v>#N/A</v>
      </c>
      <c r="AD51" s="990" t="e">
        <f t="shared" si="146"/>
        <v>#N/A</v>
      </c>
      <c r="AE51" s="989" t="e">
        <f t="shared" si="235"/>
        <v>#N/A</v>
      </c>
      <c r="AF51" s="990" t="e">
        <f t="shared" si="236"/>
        <v>#N/A</v>
      </c>
      <c r="AG51" s="991" t="e">
        <f t="shared" si="237"/>
        <v>#N/A</v>
      </c>
      <c r="AH51" s="992" t="e">
        <f t="shared" si="148"/>
        <v>#N/A</v>
      </c>
      <c r="AI51" s="367"/>
      <c r="AJ51" s="47"/>
      <c r="AK51" s="987" t="e">
        <f t="shared" si="238"/>
        <v>#N/A</v>
      </c>
      <c r="AL51" s="988" t="e">
        <f t="shared" si="239"/>
        <v>#N/A</v>
      </c>
      <c r="AM51" s="989" t="e">
        <f t="shared" si="359"/>
        <v>#N/A</v>
      </c>
      <c r="AN51" s="990" t="e">
        <f t="shared" si="149"/>
        <v>#N/A</v>
      </c>
      <c r="AO51" s="989" t="e">
        <f t="shared" si="240"/>
        <v>#N/A</v>
      </c>
      <c r="AP51" s="990" t="e">
        <f t="shared" si="241"/>
        <v>#N/A</v>
      </c>
      <c r="AQ51" s="991" t="e">
        <f t="shared" si="242"/>
        <v>#N/A</v>
      </c>
      <c r="AR51" s="992" t="e">
        <f t="shared" si="151"/>
        <v>#N/A</v>
      </c>
      <c r="AS51" s="47"/>
      <c r="AT51" s="47"/>
      <c r="AU51" s="396" t="e">
        <f t="shared" si="243"/>
        <v>#N/A</v>
      </c>
      <c r="AV51" s="397" t="e">
        <f t="shared" si="244"/>
        <v>#N/A</v>
      </c>
      <c r="AW51" s="400" t="e">
        <f t="shared" si="360"/>
        <v>#N/A</v>
      </c>
      <c r="AX51" s="398" t="e">
        <f t="shared" si="152"/>
        <v>#N/A</v>
      </c>
      <c r="AY51" s="400" t="e">
        <f t="shared" si="245"/>
        <v>#N/A</v>
      </c>
      <c r="AZ51" s="398" t="e">
        <f t="shared" si="246"/>
        <v>#N/A</v>
      </c>
      <c r="BA51" s="401" t="e">
        <f t="shared" si="247"/>
        <v>#N/A</v>
      </c>
      <c r="BB51" s="399" t="e">
        <f t="shared" si="154"/>
        <v>#N/A</v>
      </c>
      <c r="BC51" s="66"/>
      <c r="BD51" s="66"/>
      <c r="BE51" s="396" t="e">
        <f t="shared" si="248"/>
        <v>#N/A</v>
      </c>
      <c r="BF51" s="397" t="e">
        <f t="shared" si="249"/>
        <v>#N/A</v>
      </c>
      <c r="BG51" s="400" t="e">
        <f t="shared" si="361"/>
        <v>#N/A</v>
      </c>
      <c r="BH51" s="398" t="e">
        <f t="shared" si="155"/>
        <v>#N/A</v>
      </c>
      <c r="BI51" s="400" t="e">
        <f t="shared" si="250"/>
        <v>#N/A</v>
      </c>
      <c r="BJ51" s="398" t="e">
        <f t="shared" si="251"/>
        <v>#N/A</v>
      </c>
      <c r="BK51" s="401" t="e">
        <f t="shared" si="252"/>
        <v>#N/A</v>
      </c>
      <c r="BL51" s="399" t="e">
        <f t="shared" si="157"/>
        <v>#N/A</v>
      </c>
      <c r="BM51" s="47"/>
      <c r="BN51" s="49"/>
      <c r="BO51" s="396" t="e">
        <f t="shared" si="253"/>
        <v>#N/A</v>
      </c>
      <c r="BP51" s="397" t="e">
        <f t="shared" si="254"/>
        <v>#N/A</v>
      </c>
      <c r="BQ51" s="400" t="e">
        <f t="shared" si="362"/>
        <v>#N/A</v>
      </c>
      <c r="BR51" s="398" t="e">
        <f t="shared" si="158"/>
        <v>#N/A</v>
      </c>
      <c r="BS51" s="400" t="e">
        <f t="shared" si="255"/>
        <v>#N/A</v>
      </c>
      <c r="BT51" s="398" t="e">
        <f t="shared" si="256"/>
        <v>#N/A</v>
      </c>
      <c r="BU51" s="401" t="e">
        <f t="shared" si="257"/>
        <v>#N/A</v>
      </c>
      <c r="BV51" s="399" t="e">
        <f t="shared" si="160"/>
        <v>#N/A</v>
      </c>
      <c r="BW51" s="47"/>
      <c r="BX51" s="47"/>
      <c r="BY51" s="396" t="e">
        <f t="shared" si="258"/>
        <v>#N/A</v>
      </c>
      <c r="BZ51" s="397" t="e">
        <f t="shared" si="259"/>
        <v>#N/A</v>
      </c>
      <c r="CA51" s="400" t="e">
        <f t="shared" si="363"/>
        <v>#N/A</v>
      </c>
      <c r="CB51" s="398" t="e">
        <f t="shared" si="161"/>
        <v>#N/A</v>
      </c>
      <c r="CC51" s="400" t="e">
        <f t="shared" si="260"/>
        <v>#N/A</v>
      </c>
      <c r="CD51" s="398" t="e">
        <f t="shared" si="261"/>
        <v>#N/A</v>
      </c>
      <c r="CE51" s="401" t="e">
        <f t="shared" si="262"/>
        <v>#N/A</v>
      </c>
      <c r="CF51" s="399" t="e">
        <f t="shared" si="163"/>
        <v>#N/A</v>
      </c>
      <c r="CG51" s="49"/>
      <c r="CH51" s="47"/>
      <c r="CI51" s="396" t="e">
        <f t="shared" si="263"/>
        <v>#N/A</v>
      </c>
      <c r="CJ51" s="397" t="e">
        <f t="shared" si="264"/>
        <v>#N/A</v>
      </c>
      <c r="CK51" s="400" t="e">
        <f t="shared" si="364"/>
        <v>#N/A</v>
      </c>
      <c r="CL51" s="398" t="e">
        <f t="shared" si="164"/>
        <v>#N/A</v>
      </c>
      <c r="CM51" s="400" t="e">
        <f t="shared" si="265"/>
        <v>#N/A</v>
      </c>
      <c r="CN51" s="398" t="e">
        <f t="shared" si="266"/>
        <v>#N/A</v>
      </c>
      <c r="CO51" s="401" t="e">
        <f t="shared" si="267"/>
        <v>#N/A</v>
      </c>
      <c r="CP51" s="399" t="e">
        <f t="shared" si="166"/>
        <v>#N/A</v>
      </c>
      <c r="CQ51" s="47"/>
      <c r="CS51" s="396" t="e">
        <f t="shared" si="268"/>
        <v>#N/A</v>
      </c>
      <c r="CT51" s="397" t="e">
        <f t="shared" si="269"/>
        <v>#N/A</v>
      </c>
      <c r="CU51" s="400" t="e">
        <f t="shared" si="365"/>
        <v>#N/A</v>
      </c>
      <c r="CV51" s="398" t="e">
        <f t="shared" si="167"/>
        <v>#N/A</v>
      </c>
      <c r="CW51" s="400" t="e">
        <f t="shared" si="270"/>
        <v>#N/A</v>
      </c>
      <c r="CX51" s="398" t="e">
        <f t="shared" si="271"/>
        <v>#N/A</v>
      </c>
      <c r="CY51" s="401" t="e">
        <f t="shared" si="272"/>
        <v>#N/A</v>
      </c>
      <c r="CZ51" s="399" t="e">
        <f t="shared" si="169"/>
        <v>#N/A</v>
      </c>
      <c r="DA51" s="47"/>
      <c r="DB51" s="47"/>
      <c r="DC51" s="396" t="e">
        <f t="shared" si="273"/>
        <v>#N/A</v>
      </c>
      <c r="DD51" s="397" t="e">
        <f t="shared" si="274"/>
        <v>#N/A</v>
      </c>
      <c r="DE51" s="400" t="e">
        <f t="shared" si="366"/>
        <v>#N/A</v>
      </c>
      <c r="DF51" s="398" t="e">
        <f t="shared" si="170"/>
        <v>#N/A</v>
      </c>
      <c r="DG51" s="400" t="e">
        <f t="shared" si="275"/>
        <v>#N/A</v>
      </c>
      <c r="DH51" s="398" t="e">
        <f t="shared" si="276"/>
        <v>#N/A</v>
      </c>
      <c r="DI51" s="401" t="e">
        <f t="shared" si="277"/>
        <v>#N/A</v>
      </c>
      <c r="DJ51" s="399" t="e">
        <f t="shared" si="172"/>
        <v>#N/A</v>
      </c>
      <c r="DK51" s="47"/>
      <c r="DM51" s="396" t="e">
        <f t="shared" si="278"/>
        <v>#N/A</v>
      </c>
      <c r="DN51" s="397" t="e">
        <f t="shared" si="279"/>
        <v>#N/A</v>
      </c>
      <c r="DO51" s="400" t="e">
        <f t="shared" si="367"/>
        <v>#N/A</v>
      </c>
      <c r="DP51" s="398" t="e">
        <f t="shared" si="173"/>
        <v>#N/A</v>
      </c>
      <c r="DQ51" s="400" t="e">
        <f t="shared" si="280"/>
        <v>#N/A</v>
      </c>
      <c r="DR51" s="398" t="e">
        <f t="shared" si="281"/>
        <v>#N/A</v>
      </c>
      <c r="DS51" s="401" t="e">
        <f t="shared" si="282"/>
        <v>#N/A</v>
      </c>
      <c r="DT51" s="399" t="e">
        <f t="shared" si="175"/>
        <v>#N/A</v>
      </c>
      <c r="DU51" s="47"/>
      <c r="DV51" s="49"/>
      <c r="DW51" s="396" t="e">
        <f t="shared" si="283"/>
        <v>#N/A</v>
      </c>
      <c r="DX51" s="397" t="e">
        <f t="shared" si="284"/>
        <v>#N/A</v>
      </c>
      <c r="DY51" s="400" t="e">
        <f t="shared" si="368"/>
        <v>#N/A</v>
      </c>
      <c r="DZ51" s="398" t="e">
        <f t="shared" si="176"/>
        <v>#N/A</v>
      </c>
      <c r="EA51" s="400" t="e">
        <f t="shared" si="285"/>
        <v>#N/A</v>
      </c>
      <c r="EB51" s="398" t="e">
        <f t="shared" si="286"/>
        <v>#N/A</v>
      </c>
      <c r="EC51" s="401" t="e">
        <f t="shared" si="287"/>
        <v>#N/A</v>
      </c>
      <c r="ED51" s="399" t="e">
        <f t="shared" si="178"/>
        <v>#N/A</v>
      </c>
      <c r="EE51" s="47"/>
      <c r="EF51" s="47"/>
      <c r="EG51" s="396" t="e">
        <f t="shared" si="288"/>
        <v>#N/A</v>
      </c>
      <c r="EH51" s="397" t="e">
        <f t="shared" si="289"/>
        <v>#N/A</v>
      </c>
      <c r="EI51" s="400" t="e">
        <f t="shared" si="369"/>
        <v>#N/A</v>
      </c>
      <c r="EJ51" s="398" t="e">
        <f t="shared" si="179"/>
        <v>#N/A</v>
      </c>
      <c r="EK51" s="400" t="e">
        <f t="shared" si="290"/>
        <v>#N/A</v>
      </c>
      <c r="EL51" s="398" t="e">
        <f t="shared" si="291"/>
        <v>#N/A</v>
      </c>
      <c r="EM51" s="401" t="e">
        <f t="shared" si="292"/>
        <v>#N/A</v>
      </c>
      <c r="EN51" s="399" t="e">
        <f t="shared" si="181"/>
        <v>#N/A</v>
      </c>
      <c r="EO51" s="47"/>
      <c r="EP51" s="47"/>
      <c r="EQ51" s="396" t="e">
        <f t="shared" si="293"/>
        <v>#N/A</v>
      </c>
      <c r="ER51" s="397" t="e">
        <f t="shared" si="294"/>
        <v>#N/A</v>
      </c>
      <c r="ES51" s="400" t="e">
        <f t="shared" si="370"/>
        <v>#N/A</v>
      </c>
      <c r="ET51" s="398" t="e">
        <f t="shared" si="182"/>
        <v>#N/A</v>
      </c>
      <c r="EU51" s="400" t="e">
        <f t="shared" si="295"/>
        <v>#N/A</v>
      </c>
      <c r="EV51" s="398" t="e">
        <f t="shared" si="296"/>
        <v>#N/A</v>
      </c>
      <c r="EW51" s="401" t="e">
        <f t="shared" si="297"/>
        <v>#N/A</v>
      </c>
      <c r="EX51" s="399" t="e">
        <f t="shared" si="184"/>
        <v>#N/A</v>
      </c>
      <c r="EY51" s="47"/>
      <c r="EZ51" s="47"/>
      <c r="FA51" s="396" t="e">
        <f t="shared" si="298"/>
        <v>#N/A</v>
      </c>
      <c r="FB51" s="397" t="e">
        <f t="shared" si="299"/>
        <v>#N/A</v>
      </c>
      <c r="FC51" s="400" t="e">
        <f t="shared" si="371"/>
        <v>#N/A</v>
      </c>
      <c r="FD51" s="398" t="e">
        <f t="shared" si="185"/>
        <v>#N/A</v>
      </c>
      <c r="FE51" s="400" t="e">
        <f t="shared" si="300"/>
        <v>#N/A</v>
      </c>
      <c r="FF51" s="398" t="e">
        <f t="shared" si="301"/>
        <v>#N/A</v>
      </c>
      <c r="FG51" s="401" t="e">
        <f t="shared" si="302"/>
        <v>#N/A</v>
      </c>
      <c r="FH51" s="399" t="e">
        <f t="shared" si="187"/>
        <v>#N/A</v>
      </c>
      <c r="FI51" s="47"/>
      <c r="FJ51" s="49"/>
      <c r="FK51" s="396" t="e">
        <f t="shared" si="303"/>
        <v>#N/A</v>
      </c>
      <c r="FL51" s="397" t="e">
        <f t="shared" si="304"/>
        <v>#N/A</v>
      </c>
      <c r="FM51" s="400" t="e">
        <f t="shared" si="372"/>
        <v>#N/A</v>
      </c>
      <c r="FN51" s="398" t="e">
        <f t="shared" si="188"/>
        <v>#N/A</v>
      </c>
      <c r="FO51" s="400" t="e">
        <f t="shared" si="305"/>
        <v>#N/A</v>
      </c>
      <c r="FP51" s="398" t="e">
        <f t="shared" si="306"/>
        <v>#N/A</v>
      </c>
      <c r="FQ51" s="401" t="e">
        <f t="shared" si="307"/>
        <v>#N/A</v>
      </c>
      <c r="FR51" s="399" t="e">
        <f t="shared" si="190"/>
        <v>#N/A</v>
      </c>
      <c r="FS51" s="47"/>
      <c r="FT51" s="47"/>
      <c r="FU51" s="396" t="e">
        <f t="shared" si="308"/>
        <v>#N/A</v>
      </c>
      <c r="FV51" s="397" t="e">
        <f t="shared" si="309"/>
        <v>#N/A</v>
      </c>
      <c r="FW51" s="400" t="e">
        <f t="shared" si="373"/>
        <v>#N/A</v>
      </c>
      <c r="FX51" s="398" t="e">
        <f t="shared" si="191"/>
        <v>#N/A</v>
      </c>
      <c r="FY51" s="400" t="e">
        <f t="shared" si="310"/>
        <v>#N/A</v>
      </c>
      <c r="FZ51" s="398" t="e">
        <f t="shared" si="311"/>
        <v>#N/A</v>
      </c>
      <c r="GA51" s="401" t="e">
        <f t="shared" si="312"/>
        <v>#N/A</v>
      </c>
      <c r="GB51" s="399" t="e">
        <f t="shared" si="193"/>
        <v>#N/A</v>
      </c>
      <c r="GC51" s="47"/>
      <c r="GD51" s="47"/>
      <c r="GE51" s="396" t="e">
        <f t="shared" si="313"/>
        <v>#N/A</v>
      </c>
      <c r="GF51" s="397" t="e">
        <f t="shared" si="314"/>
        <v>#N/A</v>
      </c>
      <c r="GG51" s="400" t="e">
        <f t="shared" si="374"/>
        <v>#N/A</v>
      </c>
      <c r="GH51" s="398" t="e">
        <f t="shared" si="194"/>
        <v>#N/A</v>
      </c>
      <c r="GI51" s="400" t="e">
        <f t="shared" si="315"/>
        <v>#N/A</v>
      </c>
      <c r="GJ51" s="398" t="e">
        <f t="shared" si="316"/>
        <v>#N/A</v>
      </c>
      <c r="GK51" s="401" t="e">
        <f t="shared" si="317"/>
        <v>#N/A</v>
      </c>
      <c r="GL51" s="399" t="e">
        <f t="shared" si="196"/>
        <v>#N/A</v>
      </c>
      <c r="GM51" s="47"/>
      <c r="GN51" s="47"/>
      <c r="GO51" s="396" t="e">
        <f t="shared" si="318"/>
        <v>#N/A</v>
      </c>
      <c r="GP51" s="397" t="e">
        <f t="shared" si="319"/>
        <v>#N/A</v>
      </c>
      <c r="GQ51" s="400" t="e">
        <f t="shared" si="375"/>
        <v>#N/A</v>
      </c>
      <c r="GR51" s="398" t="e">
        <f t="shared" si="197"/>
        <v>#N/A</v>
      </c>
      <c r="GS51" s="400" t="e">
        <f t="shared" si="320"/>
        <v>#N/A</v>
      </c>
      <c r="GT51" s="398" t="e">
        <f t="shared" si="321"/>
        <v>#N/A</v>
      </c>
      <c r="GU51" s="401" t="e">
        <f t="shared" si="322"/>
        <v>#N/A</v>
      </c>
      <c r="GV51" s="399" t="e">
        <f t="shared" si="199"/>
        <v>#N/A</v>
      </c>
      <c r="GW51" s="47"/>
      <c r="GX51" s="47"/>
      <c r="GY51" s="396" t="e">
        <f t="shared" si="323"/>
        <v>#N/A</v>
      </c>
      <c r="GZ51" s="397" t="e">
        <f t="shared" si="324"/>
        <v>#N/A</v>
      </c>
      <c r="HA51" s="400" t="e">
        <f t="shared" si="376"/>
        <v>#N/A</v>
      </c>
      <c r="HB51" s="398" t="e">
        <f t="shared" si="200"/>
        <v>#N/A</v>
      </c>
      <c r="HC51" s="400" t="e">
        <f t="shared" si="325"/>
        <v>#N/A</v>
      </c>
      <c r="HD51" s="398" t="e">
        <f t="shared" si="326"/>
        <v>#N/A</v>
      </c>
      <c r="HE51" s="401" t="e">
        <f t="shared" si="327"/>
        <v>#N/A</v>
      </c>
      <c r="HF51" s="399" t="e">
        <f t="shared" si="202"/>
        <v>#N/A</v>
      </c>
      <c r="HH51" s="47"/>
      <c r="HI51" s="396" t="e">
        <f t="shared" si="328"/>
        <v>#N/A</v>
      </c>
      <c r="HJ51" s="397" t="e">
        <f t="shared" si="329"/>
        <v>#N/A</v>
      </c>
      <c r="HK51" s="400" t="e">
        <f t="shared" si="377"/>
        <v>#N/A</v>
      </c>
      <c r="HL51" s="398" t="e">
        <f t="shared" si="203"/>
        <v>#N/A</v>
      </c>
      <c r="HM51" s="400" t="e">
        <f t="shared" si="330"/>
        <v>#N/A</v>
      </c>
      <c r="HN51" s="398" t="e">
        <f t="shared" si="331"/>
        <v>#N/A</v>
      </c>
      <c r="HO51" s="401" t="e">
        <f t="shared" si="332"/>
        <v>#N/A</v>
      </c>
      <c r="HP51" s="399" t="e">
        <f t="shared" si="205"/>
        <v>#N/A</v>
      </c>
      <c r="HQ51" s="47"/>
      <c r="HR51" s="47"/>
      <c r="HS51" s="396" t="e">
        <f t="shared" si="333"/>
        <v>#N/A</v>
      </c>
      <c r="HT51" s="397" t="e">
        <f t="shared" si="334"/>
        <v>#N/A</v>
      </c>
      <c r="HU51" s="400" t="e">
        <f t="shared" si="378"/>
        <v>#N/A</v>
      </c>
      <c r="HV51" s="398" t="e">
        <f t="shared" si="206"/>
        <v>#N/A</v>
      </c>
      <c r="HW51" s="400" t="e">
        <f t="shared" si="335"/>
        <v>#N/A</v>
      </c>
      <c r="HX51" s="398" t="e">
        <f t="shared" si="336"/>
        <v>#N/A</v>
      </c>
      <c r="HY51" s="401" t="e">
        <f t="shared" si="337"/>
        <v>#N/A</v>
      </c>
      <c r="HZ51" s="399" t="e">
        <f t="shared" si="208"/>
        <v>#N/A</v>
      </c>
      <c r="IA51" s="47"/>
      <c r="IB51" s="49"/>
      <c r="IC51" s="396" t="e">
        <f t="shared" si="338"/>
        <v>#N/A</v>
      </c>
      <c r="ID51" s="397" t="e">
        <f t="shared" si="339"/>
        <v>#N/A</v>
      </c>
      <c r="IE51" s="400" t="e">
        <f t="shared" si="379"/>
        <v>#N/A</v>
      </c>
      <c r="IF51" s="398" t="e">
        <f t="shared" si="209"/>
        <v>#N/A</v>
      </c>
      <c r="IG51" s="400" t="e">
        <f t="shared" si="340"/>
        <v>#N/A</v>
      </c>
      <c r="IH51" s="398" t="e">
        <f t="shared" si="341"/>
        <v>#N/A</v>
      </c>
      <c r="II51" s="401" t="e">
        <f t="shared" si="342"/>
        <v>#N/A</v>
      </c>
      <c r="IJ51" s="399" t="e">
        <f t="shared" si="211"/>
        <v>#N/A</v>
      </c>
      <c r="IK51" s="47"/>
      <c r="IL51" s="47"/>
      <c r="IM51" s="396" t="e">
        <f t="shared" si="343"/>
        <v>#N/A</v>
      </c>
      <c r="IN51" s="397" t="e">
        <f t="shared" si="344"/>
        <v>#N/A</v>
      </c>
      <c r="IO51" s="400" t="e">
        <f t="shared" si="380"/>
        <v>#N/A</v>
      </c>
      <c r="IP51" s="398" t="e">
        <f t="shared" si="212"/>
        <v>#N/A</v>
      </c>
      <c r="IQ51" s="400" t="e">
        <f t="shared" si="345"/>
        <v>#N/A</v>
      </c>
      <c r="IR51" s="398" t="e">
        <f t="shared" si="346"/>
        <v>#N/A</v>
      </c>
      <c r="IS51" s="401" t="e">
        <f t="shared" si="347"/>
        <v>#N/A</v>
      </c>
      <c r="IT51" s="399" t="e">
        <f t="shared" si="214"/>
        <v>#N/A</v>
      </c>
      <c r="IU51" s="47"/>
      <c r="IV51" s="47"/>
      <c r="IW51" s="396" t="e">
        <f t="shared" si="116"/>
        <v>#N/A</v>
      </c>
      <c r="IX51" s="397" t="e">
        <f t="shared" si="117"/>
        <v>#N/A</v>
      </c>
      <c r="IY51" s="400" t="e">
        <f t="shared" si="118"/>
        <v>#N/A</v>
      </c>
      <c r="IZ51" s="398" t="e">
        <f t="shared" si="348"/>
        <v>#N/A</v>
      </c>
      <c r="JA51" s="400" t="e">
        <f t="shared" si="119"/>
        <v>#N/A</v>
      </c>
      <c r="JB51" s="398" t="e">
        <f t="shared" si="120"/>
        <v>#N/A</v>
      </c>
      <c r="JC51" s="401" t="e">
        <f t="shared" si="216"/>
        <v>#N/A</v>
      </c>
      <c r="JD51" s="399" t="e">
        <f t="shared" si="217"/>
        <v>#N/A</v>
      </c>
      <c r="JE51" s="47"/>
      <c r="JF51" s="47"/>
      <c r="JG51" s="396">
        <f t="shared" si="121"/>
        <v>7.26</v>
      </c>
      <c r="JH51" s="397">
        <f t="shared" si="122"/>
        <v>6.875</v>
      </c>
      <c r="JI51" s="400">
        <f t="shared" si="123"/>
        <v>4.1000000000000014</v>
      </c>
      <c r="JJ51" s="398">
        <f t="shared" si="349"/>
        <v>132.11230610405994</v>
      </c>
      <c r="JK51" s="400">
        <f t="shared" si="124"/>
        <v>72.566989916358082</v>
      </c>
      <c r="JL51" s="398">
        <f t="shared" si="125"/>
        <v>10.3125</v>
      </c>
      <c r="JM51" s="401">
        <f t="shared" si="219"/>
        <v>3.8398713531801967</v>
      </c>
      <c r="JN51" s="399">
        <f t="shared" si="220"/>
        <v>191.80044778963418</v>
      </c>
      <c r="JO51" s="47"/>
      <c r="JP51" s="47"/>
      <c r="JQ51" s="396">
        <f t="shared" si="126"/>
        <v>7.26</v>
      </c>
      <c r="JR51" s="397">
        <f t="shared" si="127"/>
        <v>6.875</v>
      </c>
      <c r="JS51" s="400">
        <f t="shared" si="128"/>
        <v>4.1000000000000014</v>
      </c>
      <c r="JT51" s="398">
        <f t="shared" si="350"/>
        <v>132.11230610405994</v>
      </c>
      <c r="JU51" s="400">
        <f t="shared" si="129"/>
        <v>72.566989916358082</v>
      </c>
      <c r="JV51" s="398">
        <f t="shared" si="130"/>
        <v>3.4374999999999987</v>
      </c>
      <c r="JW51" s="401">
        <f t="shared" si="222"/>
        <v>3.8398713531801967</v>
      </c>
      <c r="JX51" s="399">
        <f t="shared" si="223"/>
        <v>191.80044778963418</v>
      </c>
      <c r="JY51" s="47"/>
      <c r="JZ51" s="47"/>
      <c r="KA51" s="396">
        <f t="shared" si="131"/>
        <v>7.26</v>
      </c>
      <c r="KB51" s="397">
        <f t="shared" si="132"/>
        <v>6.875</v>
      </c>
      <c r="KC51" s="400">
        <f t="shared" si="133"/>
        <v>4.1000000000000014</v>
      </c>
      <c r="KD51" s="398">
        <f t="shared" si="351"/>
        <v>132.11230610405994</v>
      </c>
      <c r="KE51" s="400">
        <f t="shared" si="134"/>
        <v>72.566989916358082</v>
      </c>
      <c r="KF51" s="398">
        <f t="shared" si="135"/>
        <v>-3.4374999999999987</v>
      </c>
      <c r="KG51" s="401">
        <f t="shared" si="225"/>
        <v>3.8398713531801967</v>
      </c>
      <c r="KH51" s="399">
        <f t="shared" si="226"/>
        <v>191.80044778963418</v>
      </c>
      <c r="KI51" s="47"/>
      <c r="KJ51" s="47"/>
      <c r="KK51" s="396">
        <f t="shared" si="136"/>
        <v>7.26</v>
      </c>
      <c r="KL51" s="397">
        <f t="shared" si="137"/>
        <v>6.875</v>
      </c>
      <c r="KM51" s="400">
        <f t="shared" si="138"/>
        <v>4.1000000000000014</v>
      </c>
      <c r="KN51" s="398">
        <f t="shared" si="352"/>
        <v>132.11230610405994</v>
      </c>
      <c r="KO51" s="400">
        <f t="shared" si="139"/>
        <v>72.566989916358082</v>
      </c>
      <c r="KP51" s="398">
        <f t="shared" si="140"/>
        <v>-10.3125</v>
      </c>
      <c r="KQ51" s="401">
        <f t="shared" si="228"/>
        <v>3.8398713531801967</v>
      </c>
      <c r="KR51" s="399">
        <f t="shared" si="229"/>
        <v>191.80044778963418</v>
      </c>
      <c r="KS51" s="47"/>
      <c r="KT51" s="47"/>
      <c r="KU51" s="396" t="e">
        <f t="shared" si="353"/>
        <v>#N/A</v>
      </c>
      <c r="KV51" s="397" t="e">
        <f t="shared" si="354"/>
        <v>#N/A</v>
      </c>
      <c r="KW51" s="400" t="e">
        <f t="shared" si="381"/>
        <v>#N/A</v>
      </c>
      <c r="KX51" s="398" t="e">
        <f t="shared" si="230"/>
        <v>#N/A</v>
      </c>
      <c r="KY51" s="400" t="e">
        <f t="shared" si="355"/>
        <v>#N/A</v>
      </c>
      <c r="KZ51" s="398" t="e">
        <f t="shared" si="356"/>
        <v>#N/A</v>
      </c>
      <c r="LA51" s="401" t="e">
        <f t="shared" si="357"/>
        <v>#N/A</v>
      </c>
      <c r="LB51" s="399" t="e">
        <f t="shared" si="232"/>
        <v>#N/A</v>
      </c>
      <c r="LC51" s="47"/>
    </row>
    <row r="52" spans="1:315" x14ac:dyDescent="0.25">
      <c r="Z52" s="413"/>
      <c r="AA52" s="396" t="e">
        <f t="shared" si="233"/>
        <v>#N/A</v>
      </c>
      <c r="AB52" s="397" t="e">
        <f t="shared" si="234"/>
        <v>#N/A</v>
      </c>
      <c r="AC52" s="400" t="e">
        <f t="shared" si="358"/>
        <v>#N/A</v>
      </c>
      <c r="AD52" s="398" t="e">
        <f t="shared" si="146"/>
        <v>#N/A</v>
      </c>
      <c r="AE52" s="400" t="e">
        <f t="shared" si="235"/>
        <v>#N/A</v>
      </c>
      <c r="AF52" s="398" t="e">
        <f t="shared" si="236"/>
        <v>#N/A</v>
      </c>
      <c r="AG52" s="401" t="e">
        <f t="shared" si="237"/>
        <v>#N/A</v>
      </c>
      <c r="AH52" s="399" t="e">
        <f t="shared" si="148"/>
        <v>#N/A</v>
      </c>
      <c r="AI52" s="47"/>
      <c r="AJ52" s="47"/>
      <c r="AK52" s="396" t="e">
        <f t="shared" si="238"/>
        <v>#N/A</v>
      </c>
      <c r="AL52" s="397" t="e">
        <f t="shared" si="239"/>
        <v>#N/A</v>
      </c>
      <c r="AM52" s="400" t="e">
        <f t="shared" si="359"/>
        <v>#N/A</v>
      </c>
      <c r="AN52" s="398" t="e">
        <f t="shared" si="149"/>
        <v>#N/A</v>
      </c>
      <c r="AO52" s="400" t="e">
        <f t="shared" si="240"/>
        <v>#N/A</v>
      </c>
      <c r="AP52" s="398" t="e">
        <f t="shared" si="241"/>
        <v>#N/A</v>
      </c>
      <c r="AQ52" s="401" t="e">
        <f t="shared" si="242"/>
        <v>#N/A</v>
      </c>
      <c r="AR52" s="399" t="e">
        <f t="shared" si="151"/>
        <v>#N/A</v>
      </c>
      <c r="AS52" s="47"/>
      <c r="AT52" s="47"/>
      <c r="AU52" s="396" t="e">
        <f t="shared" si="243"/>
        <v>#N/A</v>
      </c>
      <c r="AV52" s="397" t="e">
        <f t="shared" si="244"/>
        <v>#N/A</v>
      </c>
      <c r="AW52" s="400" t="e">
        <f t="shared" si="360"/>
        <v>#N/A</v>
      </c>
      <c r="AX52" s="398" t="e">
        <f t="shared" si="152"/>
        <v>#N/A</v>
      </c>
      <c r="AY52" s="400" t="e">
        <f t="shared" si="245"/>
        <v>#N/A</v>
      </c>
      <c r="AZ52" s="398" t="e">
        <f t="shared" si="246"/>
        <v>#N/A</v>
      </c>
      <c r="BA52" s="401" t="e">
        <f t="shared" si="247"/>
        <v>#N/A</v>
      </c>
      <c r="BB52" s="399" t="e">
        <f t="shared" si="154"/>
        <v>#N/A</v>
      </c>
      <c r="BC52" s="66"/>
      <c r="BD52" s="66"/>
      <c r="BE52" s="396" t="e">
        <f t="shared" si="248"/>
        <v>#N/A</v>
      </c>
      <c r="BF52" s="397" t="e">
        <f t="shared" si="249"/>
        <v>#N/A</v>
      </c>
      <c r="BG52" s="400" t="e">
        <f t="shared" si="361"/>
        <v>#N/A</v>
      </c>
      <c r="BH52" s="398" t="e">
        <f t="shared" si="155"/>
        <v>#N/A</v>
      </c>
      <c r="BI52" s="400" t="e">
        <f t="shared" si="250"/>
        <v>#N/A</v>
      </c>
      <c r="BJ52" s="398" t="e">
        <f t="shared" si="251"/>
        <v>#N/A</v>
      </c>
      <c r="BK52" s="401" t="e">
        <f t="shared" si="252"/>
        <v>#N/A</v>
      </c>
      <c r="BL52" s="399" t="e">
        <f t="shared" si="157"/>
        <v>#N/A</v>
      </c>
      <c r="BM52" s="47"/>
      <c r="BN52" s="49"/>
      <c r="BO52" s="396" t="e">
        <f t="shared" si="253"/>
        <v>#N/A</v>
      </c>
      <c r="BP52" s="397" t="e">
        <f t="shared" si="254"/>
        <v>#N/A</v>
      </c>
      <c r="BQ52" s="400" t="e">
        <f t="shared" si="362"/>
        <v>#N/A</v>
      </c>
      <c r="BR52" s="398" t="e">
        <f t="shared" si="158"/>
        <v>#N/A</v>
      </c>
      <c r="BS52" s="400" t="e">
        <f t="shared" si="255"/>
        <v>#N/A</v>
      </c>
      <c r="BT52" s="398" t="e">
        <f t="shared" si="256"/>
        <v>#N/A</v>
      </c>
      <c r="BU52" s="401" t="e">
        <f t="shared" si="257"/>
        <v>#N/A</v>
      </c>
      <c r="BV52" s="399" t="e">
        <f t="shared" si="160"/>
        <v>#N/A</v>
      </c>
      <c r="BW52" s="47"/>
      <c r="BX52" s="47"/>
      <c r="BY52" s="396" t="e">
        <f t="shared" si="258"/>
        <v>#N/A</v>
      </c>
      <c r="BZ52" s="397" t="e">
        <f t="shared" si="259"/>
        <v>#N/A</v>
      </c>
      <c r="CA52" s="400" t="e">
        <f t="shared" si="363"/>
        <v>#N/A</v>
      </c>
      <c r="CB52" s="398" t="e">
        <f t="shared" si="161"/>
        <v>#N/A</v>
      </c>
      <c r="CC52" s="400" t="e">
        <f t="shared" si="260"/>
        <v>#N/A</v>
      </c>
      <c r="CD52" s="398" t="e">
        <f t="shared" si="261"/>
        <v>#N/A</v>
      </c>
      <c r="CE52" s="401" t="e">
        <f t="shared" si="262"/>
        <v>#N/A</v>
      </c>
      <c r="CF52" s="399" t="e">
        <f t="shared" si="163"/>
        <v>#N/A</v>
      </c>
      <c r="CG52" s="49"/>
      <c r="CH52" s="47"/>
      <c r="CI52" s="396" t="e">
        <f t="shared" si="263"/>
        <v>#N/A</v>
      </c>
      <c r="CJ52" s="397" t="e">
        <f t="shared" si="264"/>
        <v>#N/A</v>
      </c>
      <c r="CK52" s="400" t="e">
        <f t="shared" si="364"/>
        <v>#N/A</v>
      </c>
      <c r="CL52" s="398" t="e">
        <f t="shared" si="164"/>
        <v>#N/A</v>
      </c>
      <c r="CM52" s="400" t="e">
        <f t="shared" si="265"/>
        <v>#N/A</v>
      </c>
      <c r="CN52" s="398" t="e">
        <f t="shared" si="266"/>
        <v>#N/A</v>
      </c>
      <c r="CO52" s="401" t="e">
        <f t="shared" si="267"/>
        <v>#N/A</v>
      </c>
      <c r="CP52" s="399" t="e">
        <f t="shared" si="166"/>
        <v>#N/A</v>
      </c>
      <c r="CQ52" s="47"/>
      <c r="CS52" s="396" t="e">
        <f t="shared" si="268"/>
        <v>#N/A</v>
      </c>
      <c r="CT52" s="397" t="e">
        <f t="shared" si="269"/>
        <v>#N/A</v>
      </c>
      <c r="CU52" s="400" t="e">
        <f t="shared" si="365"/>
        <v>#N/A</v>
      </c>
      <c r="CV52" s="398" t="e">
        <f t="shared" si="167"/>
        <v>#N/A</v>
      </c>
      <c r="CW52" s="400" t="e">
        <f t="shared" si="270"/>
        <v>#N/A</v>
      </c>
      <c r="CX52" s="398" t="e">
        <f t="shared" si="271"/>
        <v>#N/A</v>
      </c>
      <c r="CY52" s="401" t="e">
        <f t="shared" si="272"/>
        <v>#N/A</v>
      </c>
      <c r="CZ52" s="399" t="e">
        <f t="shared" si="169"/>
        <v>#N/A</v>
      </c>
      <c r="DA52" s="47"/>
      <c r="DB52" s="47"/>
      <c r="DC52" s="396" t="e">
        <f t="shared" si="273"/>
        <v>#N/A</v>
      </c>
      <c r="DD52" s="397" t="e">
        <f t="shared" si="274"/>
        <v>#N/A</v>
      </c>
      <c r="DE52" s="400" t="e">
        <f t="shared" si="366"/>
        <v>#N/A</v>
      </c>
      <c r="DF52" s="398" t="e">
        <f t="shared" si="170"/>
        <v>#N/A</v>
      </c>
      <c r="DG52" s="400" t="e">
        <f t="shared" si="275"/>
        <v>#N/A</v>
      </c>
      <c r="DH52" s="398" t="e">
        <f t="shared" si="276"/>
        <v>#N/A</v>
      </c>
      <c r="DI52" s="401" t="e">
        <f t="shared" si="277"/>
        <v>#N/A</v>
      </c>
      <c r="DJ52" s="399" t="e">
        <f t="shared" si="172"/>
        <v>#N/A</v>
      </c>
      <c r="DK52" s="47"/>
      <c r="DM52" s="396" t="e">
        <f t="shared" si="278"/>
        <v>#N/A</v>
      </c>
      <c r="DN52" s="397" t="e">
        <f t="shared" si="279"/>
        <v>#N/A</v>
      </c>
      <c r="DO52" s="400" t="e">
        <f t="shared" si="367"/>
        <v>#N/A</v>
      </c>
      <c r="DP52" s="398" t="e">
        <f t="shared" si="173"/>
        <v>#N/A</v>
      </c>
      <c r="DQ52" s="400" t="e">
        <f t="shared" si="280"/>
        <v>#N/A</v>
      </c>
      <c r="DR52" s="398" t="e">
        <f t="shared" si="281"/>
        <v>#N/A</v>
      </c>
      <c r="DS52" s="401" t="e">
        <f t="shared" si="282"/>
        <v>#N/A</v>
      </c>
      <c r="DT52" s="399" t="e">
        <f t="shared" si="175"/>
        <v>#N/A</v>
      </c>
      <c r="DU52" s="47"/>
      <c r="DV52" s="49"/>
      <c r="DW52" s="396" t="e">
        <f t="shared" si="283"/>
        <v>#N/A</v>
      </c>
      <c r="DX52" s="397" t="e">
        <f t="shared" si="284"/>
        <v>#N/A</v>
      </c>
      <c r="DY52" s="400" t="e">
        <f t="shared" si="368"/>
        <v>#N/A</v>
      </c>
      <c r="DZ52" s="398" t="e">
        <f t="shared" si="176"/>
        <v>#N/A</v>
      </c>
      <c r="EA52" s="400" t="e">
        <f t="shared" si="285"/>
        <v>#N/A</v>
      </c>
      <c r="EB52" s="398" t="e">
        <f t="shared" si="286"/>
        <v>#N/A</v>
      </c>
      <c r="EC52" s="401" t="e">
        <f t="shared" si="287"/>
        <v>#N/A</v>
      </c>
      <c r="ED52" s="399" t="e">
        <f t="shared" si="178"/>
        <v>#N/A</v>
      </c>
      <c r="EE52" s="47"/>
      <c r="EF52" s="47"/>
      <c r="EG52" s="396" t="e">
        <f t="shared" si="288"/>
        <v>#N/A</v>
      </c>
      <c r="EH52" s="397" t="e">
        <f t="shared" si="289"/>
        <v>#N/A</v>
      </c>
      <c r="EI52" s="400" t="e">
        <f t="shared" si="369"/>
        <v>#N/A</v>
      </c>
      <c r="EJ52" s="398" t="e">
        <f t="shared" si="179"/>
        <v>#N/A</v>
      </c>
      <c r="EK52" s="400" t="e">
        <f t="shared" si="290"/>
        <v>#N/A</v>
      </c>
      <c r="EL52" s="398" t="e">
        <f t="shared" si="291"/>
        <v>#N/A</v>
      </c>
      <c r="EM52" s="401" t="e">
        <f t="shared" si="292"/>
        <v>#N/A</v>
      </c>
      <c r="EN52" s="399" t="e">
        <f t="shared" si="181"/>
        <v>#N/A</v>
      </c>
      <c r="EO52" s="47"/>
      <c r="EP52" s="47"/>
      <c r="EQ52" s="396" t="e">
        <f t="shared" si="293"/>
        <v>#N/A</v>
      </c>
      <c r="ER52" s="397" t="e">
        <f t="shared" si="294"/>
        <v>#N/A</v>
      </c>
      <c r="ES52" s="400" t="e">
        <f t="shared" si="370"/>
        <v>#N/A</v>
      </c>
      <c r="ET52" s="398" t="e">
        <f t="shared" si="182"/>
        <v>#N/A</v>
      </c>
      <c r="EU52" s="400" t="e">
        <f t="shared" si="295"/>
        <v>#N/A</v>
      </c>
      <c r="EV52" s="398" t="e">
        <f t="shared" si="296"/>
        <v>#N/A</v>
      </c>
      <c r="EW52" s="401" t="e">
        <f t="shared" si="297"/>
        <v>#N/A</v>
      </c>
      <c r="EX52" s="399" t="e">
        <f t="shared" si="184"/>
        <v>#N/A</v>
      </c>
      <c r="EY52" s="47"/>
      <c r="EZ52" s="47"/>
      <c r="FA52" s="396" t="e">
        <f t="shared" si="298"/>
        <v>#N/A</v>
      </c>
      <c r="FB52" s="397" t="e">
        <f t="shared" si="299"/>
        <v>#N/A</v>
      </c>
      <c r="FC52" s="400" t="e">
        <f t="shared" si="371"/>
        <v>#N/A</v>
      </c>
      <c r="FD52" s="398" t="e">
        <f t="shared" si="185"/>
        <v>#N/A</v>
      </c>
      <c r="FE52" s="400" t="e">
        <f t="shared" si="300"/>
        <v>#N/A</v>
      </c>
      <c r="FF52" s="398" t="e">
        <f t="shared" si="301"/>
        <v>#N/A</v>
      </c>
      <c r="FG52" s="401" t="e">
        <f t="shared" si="302"/>
        <v>#N/A</v>
      </c>
      <c r="FH52" s="399" t="e">
        <f t="shared" si="187"/>
        <v>#N/A</v>
      </c>
      <c r="FI52" s="47"/>
      <c r="FJ52" s="49"/>
      <c r="FK52" s="396" t="e">
        <f t="shared" si="303"/>
        <v>#N/A</v>
      </c>
      <c r="FL52" s="397" t="e">
        <f t="shared" si="304"/>
        <v>#N/A</v>
      </c>
      <c r="FM52" s="400" t="e">
        <f t="shared" si="372"/>
        <v>#N/A</v>
      </c>
      <c r="FN52" s="398" t="e">
        <f t="shared" si="188"/>
        <v>#N/A</v>
      </c>
      <c r="FO52" s="400" t="e">
        <f t="shared" si="305"/>
        <v>#N/A</v>
      </c>
      <c r="FP52" s="398" t="e">
        <f t="shared" si="306"/>
        <v>#N/A</v>
      </c>
      <c r="FQ52" s="401" t="e">
        <f t="shared" si="307"/>
        <v>#N/A</v>
      </c>
      <c r="FR52" s="399" t="e">
        <f t="shared" si="190"/>
        <v>#N/A</v>
      </c>
      <c r="FS52" s="47"/>
      <c r="FT52" s="47"/>
      <c r="FU52" s="396" t="e">
        <f t="shared" si="308"/>
        <v>#N/A</v>
      </c>
      <c r="FV52" s="397" t="e">
        <f t="shared" si="309"/>
        <v>#N/A</v>
      </c>
      <c r="FW52" s="400" t="e">
        <f t="shared" si="373"/>
        <v>#N/A</v>
      </c>
      <c r="FX52" s="398" t="e">
        <f t="shared" si="191"/>
        <v>#N/A</v>
      </c>
      <c r="FY52" s="400" t="e">
        <f t="shared" si="310"/>
        <v>#N/A</v>
      </c>
      <c r="FZ52" s="398" t="e">
        <f t="shared" si="311"/>
        <v>#N/A</v>
      </c>
      <c r="GA52" s="401" t="e">
        <f t="shared" si="312"/>
        <v>#N/A</v>
      </c>
      <c r="GB52" s="399" t="e">
        <f t="shared" si="193"/>
        <v>#N/A</v>
      </c>
      <c r="GC52" s="47"/>
      <c r="GD52" s="47"/>
      <c r="GE52" s="396" t="e">
        <f t="shared" si="313"/>
        <v>#N/A</v>
      </c>
      <c r="GF52" s="397" t="e">
        <f t="shared" si="314"/>
        <v>#N/A</v>
      </c>
      <c r="GG52" s="400" t="e">
        <f t="shared" si="374"/>
        <v>#N/A</v>
      </c>
      <c r="GH52" s="398" t="e">
        <f t="shared" si="194"/>
        <v>#N/A</v>
      </c>
      <c r="GI52" s="400" t="e">
        <f t="shared" si="315"/>
        <v>#N/A</v>
      </c>
      <c r="GJ52" s="398" t="e">
        <f t="shared" si="316"/>
        <v>#N/A</v>
      </c>
      <c r="GK52" s="401" t="e">
        <f t="shared" si="317"/>
        <v>#N/A</v>
      </c>
      <c r="GL52" s="399" t="e">
        <f t="shared" si="196"/>
        <v>#N/A</v>
      </c>
      <c r="GM52" s="47"/>
      <c r="GN52" s="47"/>
      <c r="GO52" s="396" t="e">
        <f t="shared" si="318"/>
        <v>#N/A</v>
      </c>
      <c r="GP52" s="397" t="e">
        <f t="shared" si="319"/>
        <v>#N/A</v>
      </c>
      <c r="GQ52" s="400" t="e">
        <f t="shared" si="375"/>
        <v>#N/A</v>
      </c>
      <c r="GR52" s="398" t="e">
        <f t="shared" si="197"/>
        <v>#N/A</v>
      </c>
      <c r="GS52" s="400" t="e">
        <f t="shared" si="320"/>
        <v>#N/A</v>
      </c>
      <c r="GT52" s="398" t="e">
        <f t="shared" si="321"/>
        <v>#N/A</v>
      </c>
      <c r="GU52" s="401" t="e">
        <f t="shared" si="322"/>
        <v>#N/A</v>
      </c>
      <c r="GV52" s="399" t="e">
        <f t="shared" si="199"/>
        <v>#N/A</v>
      </c>
      <c r="GW52" s="47"/>
      <c r="GX52" s="47"/>
      <c r="GY52" s="396" t="e">
        <f t="shared" si="323"/>
        <v>#N/A</v>
      </c>
      <c r="GZ52" s="397" t="e">
        <f t="shared" si="324"/>
        <v>#N/A</v>
      </c>
      <c r="HA52" s="400" t="e">
        <f t="shared" si="376"/>
        <v>#N/A</v>
      </c>
      <c r="HB52" s="398" t="e">
        <f t="shared" si="200"/>
        <v>#N/A</v>
      </c>
      <c r="HC52" s="400" t="e">
        <f t="shared" si="325"/>
        <v>#N/A</v>
      </c>
      <c r="HD52" s="398" t="e">
        <f t="shared" si="326"/>
        <v>#N/A</v>
      </c>
      <c r="HE52" s="401" t="e">
        <f t="shared" si="327"/>
        <v>#N/A</v>
      </c>
      <c r="HF52" s="399" t="e">
        <f t="shared" si="202"/>
        <v>#N/A</v>
      </c>
      <c r="HH52" s="47"/>
      <c r="HI52" s="396" t="e">
        <f t="shared" si="328"/>
        <v>#N/A</v>
      </c>
      <c r="HJ52" s="397" t="e">
        <f t="shared" si="329"/>
        <v>#N/A</v>
      </c>
      <c r="HK52" s="400" t="e">
        <f t="shared" si="377"/>
        <v>#N/A</v>
      </c>
      <c r="HL52" s="398" t="e">
        <f t="shared" si="203"/>
        <v>#N/A</v>
      </c>
      <c r="HM52" s="400" t="e">
        <f t="shared" si="330"/>
        <v>#N/A</v>
      </c>
      <c r="HN52" s="398" t="e">
        <f t="shared" si="331"/>
        <v>#N/A</v>
      </c>
      <c r="HO52" s="401" t="e">
        <f t="shared" si="332"/>
        <v>#N/A</v>
      </c>
      <c r="HP52" s="399" t="e">
        <f t="shared" si="205"/>
        <v>#N/A</v>
      </c>
      <c r="HQ52" s="47"/>
      <c r="HR52" s="47"/>
      <c r="HS52" s="396" t="e">
        <f t="shared" si="333"/>
        <v>#N/A</v>
      </c>
      <c r="HT52" s="397" t="e">
        <f t="shared" si="334"/>
        <v>#N/A</v>
      </c>
      <c r="HU52" s="400" t="e">
        <f t="shared" si="378"/>
        <v>#N/A</v>
      </c>
      <c r="HV52" s="398" t="e">
        <f t="shared" si="206"/>
        <v>#N/A</v>
      </c>
      <c r="HW52" s="400" t="e">
        <f t="shared" si="335"/>
        <v>#N/A</v>
      </c>
      <c r="HX52" s="398" t="e">
        <f t="shared" si="336"/>
        <v>#N/A</v>
      </c>
      <c r="HY52" s="401" t="e">
        <f t="shared" si="337"/>
        <v>#N/A</v>
      </c>
      <c r="HZ52" s="399" t="e">
        <f t="shared" si="208"/>
        <v>#N/A</v>
      </c>
      <c r="IA52" s="47"/>
      <c r="IB52" s="49"/>
      <c r="IC52" s="396" t="e">
        <f t="shared" si="338"/>
        <v>#N/A</v>
      </c>
      <c r="ID52" s="397" t="e">
        <f t="shared" si="339"/>
        <v>#N/A</v>
      </c>
      <c r="IE52" s="400" t="e">
        <f t="shared" si="379"/>
        <v>#N/A</v>
      </c>
      <c r="IF52" s="398" t="e">
        <f t="shared" si="209"/>
        <v>#N/A</v>
      </c>
      <c r="IG52" s="400" t="e">
        <f t="shared" si="340"/>
        <v>#N/A</v>
      </c>
      <c r="IH52" s="398" t="e">
        <f t="shared" si="341"/>
        <v>#N/A</v>
      </c>
      <c r="II52" s="401" t="e">
        <f t="shared" si="342"/>
        <v>#N/A</v>
      </c>
      <c r="IJ52" s="399" t="e">
        <f t="shared" si="211"/>
        <v>#N/A</v>
      </c>
      <c r="IK52" s="47"/>
      <c r="IL52" s="47"/>
      <c r="IM52" s="396" t="e">
        <f t="shared" si="343"/>
        <v>#N/A</v>
      </c>
      <c r="IN52" s="397" t="e">
        <f t="shared" si="344"/>
        <v>#N/A</v>
      </c>
      <c r="IO52" s="400" t="e">
        <f t="shared" si="380"/>
        <v>#N/A</v>
      </c>
      <c r="IP52" s="398" t="e">
        <f t="shared" si="212"/>
        <v>#N/A</v>
      </c>
      <c r="IQ52" s="400" t="e">
        <f t="shared" si="345"/>
        <v>#N/A</v>
      </c>
      <c r="IR52" s="398" t="e">
        <f t="shared" si="346"/>
        <v>#N/A</v>
      </c>
      <c r="IS52" s="401" t="e">
        <f t="shared" si="347"/>
        <v>#N/A</v>
      </c>
      <c r="IT52" s="399" t="e">
        <f t="shared" si="214"/>
        <v>#N/A</v>
      </c>
      <c r="IU52" s="47"/>
      <c r="IV52" s="47"/>
      <c r="IW52" s="396" t="e">
        <f t="shared" si="116"/>
        <v>#N/A</v>
      </c>
      <c r="IX52" s="397" t="e">
        <f t="shared" si="117"/>
        <v>#N/A</v>
      </c>
      <c r="IY52" s="400" t="e">
        <f t="shared" si="118"/>
        <v>#N/A</v>
      </c>
      <c r="IZ52" s="398" t="e">
        <f t="shared" si="348"/>
        <v>#N/A</v>
      </c>
      <c r="JA52" s="400" t="e">
        <f t="shared" si="119"/>
        <v>#N/A</v>
      </c>
      <c r="JB52" s="398" t="e">
        <f t="shared" si="120"/>
        <v>#N/A</v>
      </c>
      <c r="JC52" s="401" t="e">
        <f t="shared" si="216"/>
        <v>#N/A</v>
      </c>
      <c r="JD52" s="399" t="e">
        <f t="shared" si="217"/>
        <v>#N/A</v>
      </c>
      <c r="JE52" s="47"/>
      <c r="JF52" s="47"/>
      <c r="JG52" s="396">
        <f t="shared" si="121"/>
        <v>7.26</v>
      </c>
      <c r="JH52" s="397">
        <f t="shared" si="122"/>
        <v>6.875</v>
      </c>
      <c r="JI52" s="400">
        <f t="shared" si="123"/>
        <v>4.2000000000000011</v>
      </c>
      <c r="JJ52" s="398">
        <f t="shared" si="349"/>
        <v>137.10355610405992</v>
      </c>
      <c r="JK52" s="400">
        <f t="shared" si="124"/>
        <v>72.591126774467483</v>
      </c>
      <c r="JL52" s="398">
        <f t="shared" si="125"/>
        <v>10.3125</v>
      </c>
      <c r="JM52" s="401">
        <f t="shared" si="219"/>
        <v>3.8947019120807527</v>
      </c>
      <c r="JN52" s="399">
        <f t="shared" si="220"/>
        <v>191.80044778963418</v>
      </c>
      <c r="JO52" s="47"/>
      <c r="JP52" s="47"/>
      <c r="JQ52" s="396">
        <f t="shared" si="126"/>
        <v>7.26</v>
      </c>
      <c r="JR52" s="397">
        <f t="shared" si="127"/>
        <v>6.875</v>
      </c>
      <c r="JS52" s="400">
        <f t="shared" si="128"/>
        <v>4.2000000000000011</v>
      </c>
      <c r="JT52" s="398">
        <f t="shared" si="350"/>
        <v>137.10355610405992</v>
      </c>
      <c r="JU52" s="400">
        <f t="shared" si="129"/>
        <v>72.591126774467483</v>
      </c>
      <c r="JV52" s="398">
        <f t="shared" si="130"/>
        <v>3.4374999999999991</v>
      </c>
      <c r="JW52" s="401">
        <f t="shared" si="222"/>
        <v>3.8947019120807527</v>
      </c>
      <c r="JX52" s="399">
        <f t="shared" si="223"/>
        <v>191.80044778963418</v>
      </c>
      <c r="JY52" s="47"/>
      <c r="JZ52" s="47"/>
      <c r="KA52" s="396">
        <f t="shared" si="131"/>
        <v>7.26</v>
      </c>
      <c r="KB52" s="397">
        <f t="shared" si="132"/>
        <v>6.875</v>
      </c>
      <c r="KC52" s="400">
        <f t="shared" si="133"/>
        <v>4.2000000000000011</v>
      </c>
      <c r="KD52" s="398">
        <f t="shared" si="351"/>
        <v>137.10355610405992</v>
      </c>
      <c r="KE52" s="400">
        <f t="shared" si="134"/>
        <v>72.591126774467483</v>
      </c>
      <c r="KF52" s="398">
        <f t="shared" si="135"/>
        <v>-3.4374999999999991</v>
      </c>
      <c r="KG52" s="401">
        <f t="shared" si="225"/>
        <v>3.8947019120807527</v>
      </c>
      <c r="KH52" s="399">
        <f t="shared" si="226"/>
        <v>191.80044778963418</v>
      </c>
      <c r="KI52" s="47"/>
      <c r="KJ52" s="47"/>
      <c r="KK52" s="396">
        <f t="shared" si="136"/>
        <v>7.26</v>
      </c>
      <c r="KL52" s="397">
        <f t="shared" si="137"/>
        <v>6.875</v>
      </c>
      <c r="KM52" s="400">
        <f t="shared" si="138"/>
        <v>4.2000000000000011</v>
      </c>
      <c r="KN52" s="398">
        <f t="shared" si="352"/>
        <v>137.10355610405992</v>
      </c>
      <c r="KO52" s="400">
        <f t="shared" si="139"/>
        <v>72.591126774467483</v>
      </c>
      <c r="KP52" s="398">
        <f t="shared" si="140"/>
        <v>-10.3125</v>
      </c>
      <c r="KQ52" s="401">
        <f t="shared" si="228"/>
        <v>3.8947019120807527</v>
      </c>
      <c r="KR52" s="399">
        <f t="shared" si="229"/>
        <v>191.80044778963418</v>
      </c>
      <c r="KS52" s="47"/>
      <c r="KT52" s="47"/>
      <c r="KU52" s="396" t="e">
        <f t="shared" si="353"/>
        <v>#N/A</v>
      </c>
      <c r="KV52" s="397" t="e">
        <f t="shared" si="354"/>
        <v>#N/A</v>
      </c>
      <c r="KW52" s="400" t="e">
        <f t="shared" si="381"/>
        <v>#N/A</v>
      </c>
      <c r="KX52" s="398" t="e">
        <f t="shared" si="230"/>
        <v>#N/A</v>
      </c>
      <c r="KY52" s="400" t="e">
        <f t="shared" si="355"/>
        <v>#N/A</v>
      </c>
      <c r="KZ52" s="398" t="e">
        <f t="shared" si="356"/>
        <v>#N/A</v>
      </c>
      <c r="LA52" s="401" t="e">
        <f t="shared" si="357"/>
        <v>#N/A</v>
      </c>
      <c r="LB52" s="399" t="e">
        <f t="shared" si="232"/>
        <v>#N/A</v>
      </c>
      <c r="LC52" s="47"/>
    </row>
    <row r="53" spans="1:315" x14ac:dyDescent="0.25">
      <c r="Z53" s="413"/>
      <c r="AA53" s="396" t="e">
        <f t="shared" si="233"/>
        <v>#N/A</v>
      </c>
      <c r="AB53" s="397" t="e">
        <f t="shared" si="234"/>
        <v>#N/A</v>
      </c>
      <c r="AC53" s="400" t="e">
        <f t="shared" si="358"/>
        <v>#N/A</v>
      </c>
      <c r="AD53" s="398" t="e">
        <f t="shared" si="146"/>
        <v>#N/A</v>
      </c>
      <c r="AE53" s="400" t="e">
        <f t="shared" si="235"/>
        <v>#N/A</v>
      </c>
      <c r="AF53" s="398" t="e">
        <f t="shared" si="236"/>
        <v>#N/A</v>
      </c>
      <c r="AG53" s="401" t="e">
        <f t="shared" si="237"/>
        <v>#N/A</v>
      </c>
      <c r="AH53" s="399" t="e">
        <f t="shared" si="148"/>
        <v>#N/A</v>
      </c>
      <c r="AI53" s="47"/>
      <c r="AJ53" s="47"/>
      <c r="AK53" s="396" t="e">
        <f t="shared" si="238"/>
        <v>#N/A</v>
      </c>
      <c r="AL53" s="397" t="e">
        <f t="shared" si="239"/>
        <v>#N/A</v>
      </c>
      <c r="AM53" s="400" t="e">
        <f t="shared" si="359"/>
        <v>#N/A</v>
      </c>
      <c r="AN53" s="398" t="e">
        <f t="shared" si="149"/>
        <v>#N/A</v>
      </c>
      <c r="AO53" s="400" t="e">
        <f t="shared" si="240"/>
        <v>#N/A</v>
      </c>
      <c r="AP53" s="398" t="e">
        <f t="shared" si="241"/>
        <v>#N/A</v>
      </c>
      <c r="AQ53" s="401" t="e">
        <f t="shared" si="242"/>
        <v>#N/A</v>
      </c>
      <c r="AR53" s="399" t="e">
        <f t="shared" si="151"/>
        <v>#N/A</v>
      </c>
      <c r="AS53" s="47"/>
      <c r="AT53" s="47"/>
      <c r="AU53" s="396" t="e">
        <f t="shared" si="243"/>
        <v>#N/A</v>
      </c>
      <c r="AV53" s="397" t="e">
        <f t="shared" si="244"/>
        <v>#N/A</v>
      </c>
      <c r="AW53" s="400" t="e">
        <f t="shared" si="360"/>
        <v>#N/A</v>
      </c>
      <c r="AX53" s="398" t="e">
        <f t="shared" si="152"/>
        <v>#N/A</v>
      </c>
      <c r="AY53" s="400" t="e">
        <f t="shared" si="245"/>
        <v>#N/A</v>
      </c>
      <c r="AZ53" s="398" t="e">
        <f t="shared" si="246"/>
        <v>#N/A</v>
      </c>
      <c r="BA53" s="401" t="e">
        <f t="shared" si="247"/>
        <v>#N/A</v>
      </c>
      <c r="BB53" s="399" t="e">
        <f t="shared" si="154"/>
        <v>#N/A</v>
      </c>
      <c r="BC53" s="47"/>
      <c r="BD53" s="47"/>
      <c r="BE53" s="396" t="e">
        <f t="shared" si="248"/>
        <v>#N/A</v>
      </c>
      <c r="BF53" s="397" t="e">
        <f t="shared" si="249"/>
        <v>#N/A</v>
      </c>
      <c r="BG53" s="400" t="e">
        <f t="shared" si="361"/>
        <v>#N/A</v>
      </c>
      <c r="BH53" s="398" t="e">
        <f t="shared" si="155"/>
        <v>#N/A</v>
      </c>
      <c r="BI53" s="400" t="e">
        <f t="shared" si="250"/>
        <v>#N/A</v>
      </c>
      <c r="BJ53" s="398" t="e">
        <f t="shared" si="251"/>
        <v>#N/A</v>
      </c>
      <c r="BK53" s="401" t="e">
        <f t="shared" si="252"/>
        <v>#N/A</v>
      </c>
      <c r="BL53" s="399" t="e">
        <f t="shared" si="157"/>
        <v>#N/A</v>
      </c>
      <c r="BM53" s="47"/>
      <c r="BN53" s="49"/>
      <c r="BO53" s="396" t="e">
        <f t="shared" si="253"/>
        <v>#N/A</v>
      </c>
      <c r="BP53" s="397" t="e">
        <f t="shared" si="254"/>
        <v>#N/A</v>
      </c>
      <c r="BQ53" s="400" t="e">
        <f t="shared" si="362"/>
        <v>#N/A</v>
      </c>
      <c r="BR53" s="398" t="e">
        <f t="shared" si="158"/>
        <v>#N/A</v>
      </c>
      <c r="BS53" s="400" t="e">
        <f t="shared" si="255"/>
        <v>#N/A</v>
      </c>
      <c r="BT53" s="398" t="e">
        <f t="shared" si="256"/>
        <v>#N/A</v>
      </c>
      <c r="BU53" s="401" t="e">
        <f t="shared" si="257"/>
        <v>#N/A</v>
      </c>
      <c r="BV53" s="399" t="e">
        <f t="shared" si="160"/>
        <v>#N/A</v>
      </c>
      <c r="BW53" s="47"/>
      <c r="BX53" s="47"/>
      <c r="BY53" s="396" t="e">
        <f t="shared" si="258"/>
        <v>#N/A</v>
      </c>
      <c r="BZ53" s="397" t="e">
        <f t="shared" si="259"/>
        <v>#N/A</v>
      </c>
      <c r="CA53" s="400" t="e">
        <f t="shared" si="363"/>
        <v>#N/A</v>
      </c>
      <c r="CB53" s="398" t="e">
        <f t="shared" si="161"/>
        <v>#N/A</v>
      </c>
      <c r="CC53" s="400" t="e">
        <f t="shared" si="260"/>
        <v>#N/A</v>
      </c>
      <c r="CD53" s="398" t="e">
        <f t="shared" si="261"/>
        <v>#N/A</v>
      </c>
      <c r="CE53" s="401" t="e">
        <f t="shared" si="262"/>
        <v>#N/A</v>
      </c>
      <c r="CF53" s="399" t="e">
        <f t="shared" si="163"/>
        <v>#N/A</v>
      </c>
      <c r="CG53" s="49"/>
      <c r="CH53" s="47"/>
      <c r="CI53" s="396" t="e">
        <f t="shared" si="263"/>
        <v>#N/A</v>
      </c>
      <c r="CJ53" s="397" t="e">
        <f t="shared" si="264"/>
        <v>#N/A</v>
      </c>
      <c r="CK53" s="400" t="e">
        <f t="shared" si="364"/>
        <v>#N/A</v>
      </c>
      <c r="CL53" s="398" t="e">
        <f t="shared" si="164"/>
        <v>#N/A</v>
      </c>
      <c r="CM53" s="400" t="e">
        <f t="shared" si="265"/>
        <v>#N/A</v>
      </c>
      <c r="CN53" s="398" t="e">
        <f t="shared" si="266"/>
        <v>#N/A</v>
      </c>
      <c r="CO53" s="401" t="e">
        <f t="shared" si="267"/>
        <v>#N/A</v>
      </c>
      <c r="CP53" s="399" t="e">
        <f t="shared" si="166"/>
        <v>#N/A</v>
      </c>
      <c r="CQ53" s="47"/>
      <c r="CS53" s="396" t="e">
        <f t="shared" si="268"/>
        <v>#N/A</v>
      </c>
      <c r="CT53" s="397" t="e">
        <f t="shared" si="269"/>
        <v>#N/A</v>
      </c>
      <c r="CU53" s="400" t="e">
        <f t="shared" si="365"/>
        <v>#N/A</v>
      </c>
      <c r="CV53" s="398" t="e">
        <f t="shared" si="167"/>
        <v>#N/A</v>
      </c>
      <c r="CW53" s="400" t="e">
        <f t="shared" si="270"/>
        <v>#N/A</v>
      </c>
      <c r="CX53" s="398" t="e">
        <f t="shared" si="271"/>
        <v>#N/A</v>
      </c>
      <c r="CY53" s="401" t="e">
        <f t="shared" si="272"/>
        <v>#N/A</v>
      </c>
      <c r="CZ53" s="399" t="e">
        <f t="shared" si="169"/>
        <v>#N/A</v>
      </c>
      <c r="DA53" s="47"/>
      <c r="DB53" s="47"/>
      <c r="DC53" s="396" t="e">
        <f t="shared" si="273"/>
        <v>#N/A</v>
      </c>
      <c r="DD53" s="397" t="e">
        <f t="shared" si="274"/>
        <v>#N/A</v>
      </c>
      <c r="DE53" s="400" t="e">
        <f t="shared" si="366"/>
        <v>#N/A</v>
      </c>
      <c r="DF53" s="398" t="e">
        <f t="shared" si="170"/>
        <v>#N/A</v>
      </c>
      <c r="DG53" s="400" t="e">
        <f t="shared" si="275"/>
        <v>#N/A</v>
      </c>
      <c r="DH53" s="398" t="e">
        <f t="shared" si="276"/>
        <v>#N/A</v>
      </c>
      <c r="DI53" s="401" t="e">
        <f t="shared" si="277"/>
        <v>#N/A</v>
      </c>
      <c r="DJ53" s="399" t="e">
        <f t="shared" si="172"/>
        <v>#N/A</v>
      </c>
      <c r="DK53" s="47"/>
      <c r="DM53" s="396" t="e">
        <f t="shared" si="278"/>
        <v>#N/A</v>
      </c>
      <c r="DN53" s="397" t="e">
        <f t="shared" si="279"/>
        <v>#N/A</v>
      </c>
      <c r="DO53" s="400" t="e">
        <f t="shared" si="367"/>
        <v>#N/A</v>
      </c>
      <c r="DP53" s="398" t="e">
        <f t="shared" si="173"/>
        <v>#N/A</v>
      </c>
      <c r="DQ53" s="400" t="e">
        <f t="shared" si="280"/>
        <v>#N/A</v>
      </c>
      <c r="DR53" s="398" t="e">
        <f t="shared" si="281"/>
        <v>#N/A</v>
      </c>
      <c r="DS53" s="401" t="e">
        <f t="shared" si="282"/>
        <v>#N/A</v>
      </c>
      <c r="DT53" s="399" t="e">
        <f t="shared" si="175"/>
        <v>#N/A</v>
      </c>
      <c r="DU53" s="47"/>
      <c r="DV53" s="49"/>
      <c r="DW53" s="396" t="e">
        <f t="shared" si="283"/>
        <v>#N/A</v>
      </c>
      <c r="DX53" s="397" t="e">
        <f t="shared" si="284"/>
        <v>#N/A</v>
      </c>
      <c r="DY53" s="400" t="e">
        <f t="shared" si="368"/>
        <v>#N/A</v>
      </c>
      <c r="DZ53" s="398" t="e">
        <f t="shared" si="176"/>
        <v>#N/A</v>
      </c>
      <c r="EA53" s="400" t="e">
        <f t="shared" si="285"/>
        <v>#N/A</v>
      </c>
      <c r="EB53" s="398" t="e">
        <f t="shared" si="286"/>
        <v>#N/A</v>
      </c>
      <c r="EC53" s="401" t="e">
        <f t="shared" si="287"/>
        <v>#N/A</v>
      </c>
      <c r="ED53" s="399" t="e">
        <f t="shared" si="178"/>
        <v>#N/A</v>
      </c>
      <c r="EE53" s="47"/>
      <c r="EF53" s="47"/>
      <c r="EG53" s="396" t="e">
        <f t="shared" si="288"/>
        <v>#N/A</v>
      </c>
      <c r="EH53" s="397" t="e">
        <f t="shared" si="289"/>
        <v>#N/A</v>
      </c>
      <c r="EI53" s="400" t="e">
        <f t="shared" si="369"/>
        <v>#N/A</v>
      </c>
      <c r="EJ53" s="398" t="e">
        <f t="shared" si="179"/>
        <v>#N/A</v>
      </c>
      <c r="EK53" s="400" t="e">
        <f t="shared" si="290"/>
        <v>#N/A</v>
      </c>
      <c r="EL53" s="398" t="e">
        <f t="shared" si="291"/>
        <v>#N/A</v>
      </c>
      <c r="EM53" s="401" t="e">
        <f t="shared" si="292"/>
        <v>#N/A</v>
      </c>
      <c r="EN53" s="399" t="e">
        <f t="shared" si="181"/>
        <v>#N/A</v>
      </c>
      <c r="EO53" s="47"/>
      <c r="EP53" s="47"/>
      <c r="EQ53" s="396" t="e">
        <f t="shared" si="293"/>
        <v>#N/A</v>
      </c>
      <c r="ER53" s="397" t="e">
        <f t="shared" si="294"/>
        <v>#N/A</v>
      </c>
      <c r="ES53" s="400" t="e">
        <f t="shared" si="370"/>
        <v>#N/A</v>
      </c>
      <c r="ET53" s="398" t="e">
        <f t="shared" si="182"/>
        <v>#N/A</v>
      </c>
      <c r="EU53" s="400" t="e">
        <f t="shared" si="295"/>
        <v>#N/A</v>
      </c>
      <c r="EV53" s="398" t="e">
        <f t="shared" si="296"/>
        <v>#N/A</v>
      </c>
      <c r="EW53" s="401" t="e">
        <f t="shared" si="297"/>
        <v>#N/A</v>
      </c>
      <c r="EX53" s="399" t="e">
        <f t="shared" si="184"/>
        <v>#N/A</v>
      </c>
      <c r="EY53" s="47"/>
      <c r="EZ53" s="47"/>
      <c r="FA53" s="396" t="e">
        <f t="shared" si="298"/>
        <v>#N/A</v>
      </c>
      <c r="FB53" s="397" t="e">
        <f t="shared" si="299"/>
        <v>#N/A</v>
      </c>
      <c r="FC53" s="400" t="e">
        <f t="shared" si="371"/>
        <v>#N/A</v>
      </c>
      <c r="FD53" s="398" t="e">
        <f t="shared" si="185"/>
        <v>#N/A</v>
      </c>
      <c r="FE53" s="400" t="e">
        <f t="shared" si="300"/>
        <v>#N/A</v>
      </c>
      <c r="FF53" s="398" t="e">
        <f t="shared" si="301"/>
        <v>#N/A</v>
      </c>
      <c r="FG53" s="401" t="e">
        <f t="shared" si="302"/>
        <v>#N/A</v>
      </c>
      <c r="FH53" s="399" t="e">
        <f t="shared" si="187"/>
        <v>#N/A</v>
      </c>
      <c r="FI53" s="47"/>
      <c r="FJ53" s="49"/>
      <c r="FK53" s="396" t="e">
        <f t="shared" si="303"/>
        <v>#N/A</v>
      </c>
      <c r="FL53" s="397" t="e">
        <f t="shared" si="304"/>
        <v>#N/A</v>
      </c>
      <c r="FM53" s="400" t="e">
        <f t="shared" si="372"/>
        <v>#N/A</v>
      </c>
      <c r="FN53" s="398" t="e">
        <f t="shared" si="188"/>
        <v>#N/A</v>
      </c>
      <c r="FO53" s="400" t="e">
        <f t="shared" si="305"/>
        <v>#N/A</v>
      </c>
      <c r="FP53" s="398" t="e">
        <f t="shared" si="306"/>
        <v>#N/A</v>
      </c>
      <c r="FQ53" s="401" t="e">
        <f t="shared" si="307"/>
        <v>#N/A</v>
      </c>
      <c r="FR53" s="399" t="e">
        <f t="shared" si="190"/>
        <v>#N/A</v>
      </c>
      <c r="FS53" s="47"/>
      <c r="FT53" s="47"/>
      <c r="FU53" s="396" t="e">
        <f t="shared" si="308"/>
        <v>#N/A</v>
      </c>
      <c r="FV53" s="397" t="e">
        <f t="shared" si="309"/>
        <v>#N/A</v>
      </c>
      <c r="FW53" s="400" t="e">
        <f t="shared" si="373"/>
        <v>#N/A</v>
      </c>
      <c r="FX53" s="398" t="e">
        <f t="shared" si="191"/>
        <v>#N/A</v>
      </c>
      <c r="FY53" s="400" t="e">
        <f t="shared" si="310"/>
        <v>#N/A</v>
      </c>
      <c r="FZ53" s="398" t="e">
        <f t="shared" si="311"/>
        <v>#N/A</v>
      </c>
      <c r="GA53" s="401" t="e">
        <f t="shared" si="312"/>
        <v>#N/A</v>
      </c>
      <c r="GB53" s="399" t="e">
        <f t="shared" si="193"/>
        <v>#N/A</v>
      </c>
      <c r="GC53" s="47"/>
      <c r="GD53" s="47"/>
      <c r="GE53" s="396" t="e">
        <f t="shared" si="313"/>
        <v>#N/A</v>
      </c>
      <c r="GF53" s="397" t="e">
        <f t="shared" si="314"/>
        <v>#N/A</v>
      </c>
      <c r="GG53" s="400" t="e">
        <f t="shared" si="374"/>
        <v>#N/A</v>
      </c>
      <c r="GH53" s="398" t="e">
        <f t="shared" si="194"/>
        <v>#N/A</v>
      </c>
      <c r="GI53" s="400" t="e">
        <f t="shared" si="315"/>
        <v>#N/A</v>
      </c>
      <c r="GJ53" s="398" t="e">
        <f t="shared" si="316"/>
        <v>#N/A</v>
      </c>
      <c r="GK53" s="401" t="e">
        <f t="shared" si="317"/>
        <v>#N/A</v>
      </c>
      <c r="GL53" s="399" t="e">
        <f t="shared" si="196"/>
        <v>#N/A</v>
      </c>
      <c r="GM53" s="47"/>
      <c r="GN53" s="47"/>
      <c r="GO53" s="396" t="e">
        <f t="shared" si="318"/>
        <v>#N/A</v>
      </c>
      <c r="GP53" s="397" t="e">
        <f t="shared" si="319"/>
        <v>#N/A</v>
      </c>
      <c r="GQ53" s="400" t="e">
        <f t="shared" si="375"/>
        <v>#N/A</v>
      </c>
      <c r="GR53" s="398" t="e">
        <f t="shared" si="197"/>
        <v>#N/A</v>
      </c>
      <c r="GS53" s="400" t="e">
        <f t="shared" si="320"/>
        <v>#N/A</v>
      </c>
      <c r="GT53" s="398" t="e">
        <f t="shared" si="321"/>
        <v>#N/A</v>
      </c>
      <c r="GU53" s="401" t="e">
        <f t="shared" si="322"/>
        <v>#N/A</v>
      </c>
      <c r="GV53" s="399" t="e">
        <f t="shared" si="199"/>
        <v>#N/A</v>
      </c>
      <c r="GW53" s="47"/>
      <c r="GX53" s="47"/>
      <c r="GY53" s="396" t="e">
        <f t="shared" si="323"/>
        <v>#N/A</v>
      </c>
      <c r="GZ53" s="397" t="e">
        <f t="shared" si="324"/>
        <v>#N/A</v>
      </c>
      <c r="HA53" s="400" t="e">
        <f t="shared" si="376"/>
        <v>#N/A</v>
      </c>
      <c r="HB53" s="398" t="e">
        <f t="shared" si="200"/>
        <v>#N/A</v>
      </c>
      <c r="HC53" s="400" t="e">
        <f t="shared" si="325"/>
        <v>#N/A</v>
      </c>
      <c r="HD53" s="398" t="e">
        <f t="shared" si="326"/>
        <v>#N/A</v>
      </c>
      <c r="HE53" s="401" t="e">
        <f t="shared" si="327"/>
        <v>#N/A</v>
      </c>
      <c r="HF53" s="399" t="e">
        <f t="shared" si="202"/>
        <v>#N/A</v>
      </c>
      <c r="HH53" s="47"/>
      <c r="HI53" s="396" t="e">
        <f t="shared" si="328"/>
        <v>#N/A</v>
      </c>
      <c r="HJ53" s="397" t="e">
        <f t="shared" si="329"/>
        <v>#N/A</v>
      </c>
      <c r="HK53" s="400" t="e">
        <f t="shared" si="377"/>
        <v>#N/A</v>
      </c>
      <c r="HL53" s="398" t="e">
        <f t="shared" si="203"/>
        <v>#N/A</v>
      </c>
      <c r="HM53" s="400" t="e">
        <f t="shared" si="330"/>
        <v>#N/A</v>
      </c>
      <c r="HN53" s="398" t="e">
        <f t="shared" si="331"/>
        <v>#N/A</v>
      </c>
      <c r="HO53" s="401" t="e">
        <f t="shared" si="332"/>
        <v>#N/A</v>
      </c>
      <c r="HP53" s="399" t="e">
        <f t="shared" si="205"/>
        <v>#N/A</v>
      </c>
      <c r="HQ53" s="47"/>
      <c r="HR53" s="47"/>
      <c r="HS53" s="396" t="e">
        <f t="shared" si="333"/>
        <v>#N/A</v>
      </c>
      <c r="HT53" s="397" t="e">
        <f t="shared" si="334"/>
        <v>#N/A</v>
      </c>
      <c r="HU53" s="400" t="e">
        <f t="shared" si="378"/>
        <v>#N/A</v>
      </c>
      <c r="HV53" s="398" t="e">
        <f t="shared" si="206"/>
        <v>#N/A</v>
      </c>
      <c r="HW53" s="400" t="e">
        <f t="shared" si="335"/>
        <v>#N/A</v>
      </c>
      <c r="HX53" s="398" t="e">
        <f t="shared" si="336"/>
        <v>#N/A</v>
      </c>
      <c r="HY53" s="401" t="e">
        <f t="shared" si="337"/>
        <v>#N/A</v>
      </c>
      <c r="HZ53" s="399" t="e">
        <f t="shared" si="208"/>
        <v>#N/A</v>
      </c>
      <c r="IA53" s="47"/>
      <c r="IB53" s="49"/>
      <c r="IC53" s="396" t="e">
        <f t="shared" si="338"/>
        <v>#N/A</v>
      </c>
      <c r="ID53" s="397" t="e">
        <f t="shared" si="339"/>
        <v>#N/A</v>
      </c>
      <c r="IE53" s="400" t="e">
        <f t="shared" si="379"/>
        <v>#N/A</v>
      </c>
      <c r="IF53" s="398" t="e">
        <f t="shared" si="209"/>
        <v>#N/A</v>
      </c>
      <c r="IG53" s="400" t="e">
        <f t="shared" si="340"/>
        <v>#N/A</v>
      </c>
      <c r="IH53" s="398" t="e">
        <f t="shared" si="341"/>
        <v>#N/A</v>
      </c>
      <c r="II53" s="401" t="e">
        <f t="shared" si="342"/>
        <v>#N/A</v>
      </c>
      <c r="IJ53" s="399" t="e">
        <f t="shared" si="211"/>
        <v>#N/A</v>
      </c>
      <c r="IK53" s="47"/>
      <c r="IL53" s="47"/>
      <c r="IM53" s="396" t="e">
        <f t="shared" si="343"/>
        <v>#N/A</v>
      </c>
      <c r="IN53" s="397" t="e">
        <f t="shared" si="344"/>
        <v>#N/A</v>
      </c>
      <c r="IO53" s="400" t="e">
        <f t="shared" si="380"/>
        <v>#N/A</v>
      </c>
      <c r="IP53" s="398" t="e">
        <f t="shared" si="212"/>
        <v>#N/A</v>
      </c>
      <c r="IQ53" s="400" t="e">
        <f t="shared" si="345"/>
        <v>#N/A</v>
      </c>
      <c r="IR53" s="398" t="e">
        <f t="shared" si="346"/>
        <v>#N/A</v>
      </c>
      <c r="IS53" s="401" t="e">
        <f t="shared" si="347"/>
        <v>#N/A</v>
      </c>
      <c r="IT53" s="399" t="e">
        <f t="shared" si="214"/>
        <v>#N/A</v>
      </c>
      <c r="IU53" s="47"/>
      <c r="IV53" s="47"/>
      <c r="IW53" s="396" t="e">
        <f t="shared" si="116"/>
        <v>#N/A</v>
      </c>
      <c r="IX53" s="397" t="e">
        <f t="shared" si="117"/>
        <v>#N/A</v>
      </c>
      <c r="IY53" s="400" t="e">
        <f t="shared" si="118"/>
        <v>#N/A</v>
      </c>
      <c r="IZ53" s="398" t="e">
        <f t="shared" si="348"/>
        <v>#N/A</v>
      </c>
      <c r="JA53" s="400" t="e">
        <f t="shared" si="119"/>
        <v>#N/A</v>
      </c>
      <c r="JB53" s="398" t="e">
        <f t="shared" si="120"/>
        <v>#N/A</v>
      </c>
      <c r="JC53" s="401" t="e">
        <f t="shared" si="216"/>
        <v>#N/A</v>
      </c>
      <c r="JD53" s="399" t="e">
        <f t="shared" si="217"/>
        <v>#N/A</v>
      </c>
      <c r="JE53" s="47"/>
      <c r="JF53" s="47"/>
      <c r="JG53" s="396">
        <f t="shared" si="121"/>
        <v>7.26</v>
      </c>
      <c r="JH53" s="397">
        <f t="shared" si="122"/>
        <v>6.875</v>
      </c>
      <c r="JI53" s="400">
        <f t="shared" si="123"/>
        <v>4.3000000000000007</v>
      </c>
      <c r="JJ53" s="398">
        <f t="shared" si="349"/>
        <v>142.0948061040599</v>
      </c>
      <c r="JK53" s="400">
        <f t="shared" si="124"/>
        <v>72.613567960562662</v>
      </c>
      <c r="JL53" s="398">
        <f t="shared" si="125"/>
        <v>10.3125</v>
      </c>
      <c r="JM53" s="401">
        <f t="shared" si="219"/>
        <v>3.9491931126645134</v>
      </c>
      <c r="JN53" s="399">
        <f t="shared" si="220"/>
        <v>191.80044778963418</v>
      </c>
      <c r="JO53" s="47"/>
      <c r="JP53" s="47"/>
      <c r="JQ53" s="396">
        <f t="shared" si="126"/>
        <v>7.26</v>
      </c>
      <c r="JR53" s="397">
        <f t="shared" si="127"/>
        <v>6.875</v>
      </c>
      <c r="JS53" s="400">
        <f t="shared" si="128"/>
        <v>4.3000000000000007</v>
      </c>
      <c r="JT53" s="398">
        <f t="shared" si="350"/>
        <v>142.0948061040599</v>
      </c>
      <c r="JU53" s="400">
        <f t="shared" si="129"/>
        <v>72.613567960562662</v>
      </c>
      <c r="JV53" s="398">
        <f t="shared" si="130"/>
        <v>3.4374999999999991</v>
      </c>
      <c r="JW53" s="401">
        <f t="shared" si="222"/>
        <v>3.9491931126645134</v>
      </c>
      <c r="JX53" s="399">
        <f t="shared" si="223"/>
        <v>191.80044778963418</v>
      </c>
      <c r="JY53" s="47"/>
      <c r="JZ53" s="47"/>
      <c r="KA53" s="396">
        <f t="shared" si="131"/>
        <v>7.26</v>
      </c>
      <c r="KB53" s="397">
        <f t="shared" si="132"/>
        <v>6.875</v>
      </c>
      <c r="KC53" s="400">
        <f t="shared" si="133"/>
        <v>4.3000000000000007</v>
      </c>
      <c r="KD53" s="398">
        <f t="shared" si="351"/>
        <v>142.0948061040599</v>
      </c>
      <c r="KE53" s="400">
        <f t="shared" si="134"/>
        <v>72.613567960562662</v>
      </c>
      <c r="KF53" s="398">
        <f t="shared" si="135"/>
        <v>-3.4374999999999991</v>
      </c>
      <c r="KG53" s="401">
        <f t="shared" si="225"/>
        <v>3.9491931126645134</v>
      </c>
      <c r="KH53" s="399">
        <f t="shared" si="226"/>
        <v>191.80044778963418</v>
      </c>
      <c r="KI53" s="47"/>
      <c r="KJ53" s="47"/>
      <c r="KK53" s="396">
        <f t="shared" si="136"/>
        <v>7.26</v>
      </c>
      <c r="KL53" s="397">
        <f t="shared" si="137"/>
        <v>6.875</v>
      </c>
      <c r="KM53" s="400">
        <f t="shared" si="138"/>
        <v>4.3000000000000007</v>
      </c>
      <c r="KN53" s="398">
        <f t="shared" si="352"/>
        <v>142.0948061040599</v>
      </c>
      <c r="KO53" s="400">
        <f t="shared" si="139"/>
        <v>72.613567960562662</v>
      </c>
      <c r="KP53" s="398">
        <f t="shared" si="140"/>
        <v>-10.3125</v>
      </c>
      <c r="KQ53" s="401">
        <f t="shared" si="228"/>
        <v>3.9491931126645134</v>
      </c>
      <c r="KR53" s="399">
        <f t="shared" si="229"/>
        <v>191.80044778963418</v>
      </c>
      <c r="KS53" s="47"/>
      <c r="KT53" s="47"/>
      <c r="KU53" s="396" t="e">
        <f t="shared" si="353"/>
        <v>#N/A</v>
      </c>
      <c r="KV53" s="397" t="e">
        <f t="shared" si="354"/>
        <v>#N/A</v>
      </c>
      <c r="KW53" s="400" t="e">
        <f t="shared" si="381"/>
        <v>#N/A</v>
      </c>
      <c r="KX53" s="398" t="e">
        <f t="shared" si="230"/>
        <v>#N/A</v>
      </c>
      <c r="KY53" s="400" t="e">
        <f t="shared" si="355"/>
        <v>#N/A</v>
      </c>
      <c r="KZ53" s="398" t="e">
        <f t="shared" si="356"/>
        <v>#N/A</v>
      </c>
      <c r="LA53" s="401" t="e">
        <f t="shared" si="357"/>
        <v>#N/A</v>
      </c>
      <c r="LB53" s="399" t="e">
        <f t="shared" si="232"/>
        <v>#N/A</v>
      </c>
      <c r="LC53" s="47"/>
    </row>
    <row r="54" spans="1:315" x14ac:dyDescent="0.25">
      <c r="Z54" s="413"/>
      <c r="AA54" s="396" t="e">
        <f t="shared" si="233"/>
        <v>#N/A</v>
      </c>
      <c r="AB54" s="397" t="e">
        <f t="shared" si="234"/>
        <v>#N/A</v>
      </c>
      <c r="AC54" s="400" t="e">
        <f t="shared" si="358"/>
        <v>#N/A</v>
      </c>
      <c r="AD54" s="398" t="e">
        <f t="shared" si="146"/>
        <v>#N/A</v>
      </c>
      <c r="AE54" s="400" t="e">
        <f t="shared" si="235"/>
        <v>#N/A</v>
      </c>
      <c r="AF54" s="398" t="e">
        <f t="shared" si="236"/>
        <v>#N/A</v>
      </c>
      <c r="AG54" s="401" t="e">
        <f t="shared" si="237"/>
        <v>#N/A</v>
      </c>
      <c r="AH54" s="399" t="e">
        <f t="shared" si="148"/>
        <v>#N/A</v>
      </c>
      <c r="AI54" s="47"/>
      <c r="AJ54" s="47"/>
      <c r="AK54" s="396" t="e">
        <f t="shared" si="238"/>
        <v>#N/A</v>
      </c>
      <c r="AL54" s="397" t="e">
        <f t="shared" si="239"/>
        <v>#N/A</v>
      </c>
      <c r="AM54" s="400" t="e">
        <f t="shared" si="359"/>
        <v>#N/A</v>
      </c>
      <c r="AN54" s="398" t="e">
        <f t="shared" si="149"/>
        <v>#N/A</v>
      </c>
      <c r="AO54" s="400" t="e">
        <f t="shared" si="240"/>
        <v>#N/A</v>
      </c>
      <c r="AP54" s="398" t="e">
        <f t="shared" si="241"/>
        <v>#N/A</v>
      </c>
      <c r="AQ54" s="401" t="e">
        <f t="shared" si="242"/>
        <v>#N/A</v>
      </c>
      <c r="AR54" s="399" t="e">
        <f t="shared" si="151"/>
        <v>#N/A</v>
      </c>
      <c r="AS54" s="47"/>
      <c r="AT54" s="47"/>
      <c r="AU54" s="396" t="e">
        <f t="shared" si="243"/>
        <v>#N/A</v>
      </c>
      <c r="AV54" s="397" t="e">
        <f t="shared" si="244"/>
        <v>#N/A</v>
      </c>
      <c r="AW54" s="400" t="e">
        <f t="shared" si="360"/>
        <v>#N/A</v>
      </c>
      <c r="AX54" s="398" t="e">
        <f t="shared" si="152"/>
        <v>#N/A</v>
      </c>
      <c r="AY54" s="400" t="e">
        <f t="shared" si="245"/>
        <v>#N/A</v>
      </c>
      <c r="AZ54" s="398" t="e">
        <f t="shared" si="246"/>
        <v>#N/A</v>
      </c>
      <c r="BA54" s="401" t="e">
        <f t="shared" si="247"/>
        <v>#N/A</v>
      </c>
      <c r="BB54" s="399" t="e">
        <f t="shared" si="154"/>
        <v>#N/A</v>
      </c>
      <c r="BC54" s="47"/>
      <c r="BD54" s="47"/>
      <c r="BE54" s="396" t="e">
        <f t="shared" si="248"/>
        <v>#N/A</v>
      </c>
      <c r="BF54" s="397" t="e">
        <f t="shared" si="249"/>
        <v>#N/A</v>
      </c>
      <c r="BG54" s="400" t="e">
        <f t="shared" si="361"/>
        <v>#N/A</v>
      </c>
      <c r="BH54" s="398" t="e">
        <f t="shared" si="155"/>
        <v>#N/A</v>
      </c>
      <c r="BI54" s="400" t="e">
        <f t="shared" si="250"/>
        <v>#N/A</v>
      </c>
      <c r="BJ54" s="398" t="e">
        <f t="shared" si="251"/>
        <v>#N/A</v>
      </c>
      <c r="BK54" s="401" t="e">
        <f t="shared" si="252"/>
        <v>#N/A</v>
      </c>
      <c r="BL54" s="399" t="e">
        <f t="shared" si="157"/>
        <v>#N/A</v>
      </c>
      <c r="BM54" s="47"/>
      <c r="BN54" s="49"/>
      <c r="BO54" s="396" t="e">
        <f t="shared" si="253"/>
        <v>#N/A</v>
      </c>
      <c r="BP54" s="397" t="e">
        <f t="shared" si="254"/>
        <v>#N/A</v>
      </c>
      <c r="BQ54" s="400" t="e">
        <f t="shared" si="362"/>
        <v>#N/A</v>
      </c>
      <c r="BR54" s="398" t="e">
        <f t="shared" si="158"/>
        <v>#N/A</v>
      </c>
      <c r="BS54" s="400" t="e">
        <f t="shared" si="255"/>
        <v>#N/A</v>
      </c>
      <c r="BT54" s="398" t="e">
        <f t="shared" si="256"/>
        <v>#N/A</v>
      </c>
      <c r="BU54" s="401" t="e">
        <f t="shared" si="257"/>
        <v>#N/A</v>
      </c>
      <c r="BV54" s="399" t="e">
        <f t="shared" si="160"/>
        <v>#N/A</v>
      </c>
      <c r="BW54" s="47"/>
      <c r="BX54" s="47"/>
      <c r="BY54" s="396" t="e">
        <f t="shared" si="258"/>
        <v>#N/A</v>
      </c>
      <c r="BZ54" s="397" t="e">
        <f t="shared" si="259"/>
        <v>#N/A</v>
      </c>
      <c r="CA54" s="400" t="e">
        <f t="shared" si="363"/>
        <v>#N/A</v>
      </c>
      <c r="CB54" s="398" t="e">
        <f t="shared" si="161"/>
        <v>#N/A</v>
      </c>
      <c r="CC54" s="400" t="e">
        <f t="shared" si="260"/>
        <v>#N/A</v>
      </c>
      <c r="CD54" s="398" t="e">
        <f t="shared" si="261"/>
        <v>#N/A</v>
      </c>
      <c r="CE54" s="401" t="e">
        <f t="shared" si="262"/>
        <v>#N/A</v>
      </c>
      <c r="CF54" s="399" t="e">
        <f t="shared" si="163"/>
        <v>#N/A</v>
      </c>
      <c r="CG54" s="49"/>
      <c r="CH54" s="47"/>
      <c r="CI54" s="396" t="e">
        <f t="shared" si="263"/>
        <v>#N/A</v>
      </c>
      <c r="CJ54" s="397" t="e">
        <f t="shared" si="264"/>
        <v>#N/A</v>
      </c>
      <c r="CK54" s="400" t="e">
        <f t="shared" si="364"/>
        <v>#N/A</v>
      </c>
      <c r="CL54" s="398" t="e">
        <f t="shared" si="164"/>
        <v>#N/A</v>
      </c>
      <c r="CM54" s="400" t="e">
        <f t="shared" si="265"/>
        <v>#N/A</v>
      </c>
      <c r="CN54" s="398" t="e">
        <f t="shared" si="266"/>
        <v>#N/A</v>
      </c>
      <c r="CO54" s="401" t="e">
        <f t="shared" si="267"/>
        <v>#N/A</v>
      </c>
      <c r="CP54" s="399" t="e">
        <f t="shared" si="166"/>
        <v>#N/A</v>
      </c>
      <c r="CQ54" s="47"/>
      <c r="CS54" s="396" t="e">
        <f t="shared" si="268"/>
        <v>#N/A</v>
      </c>
      <c r="CT54" s="397" t="e">
        <f t="shared" si="269"/>
        <v>#N/A</v>
      </c>
      <c r="CU54" s="400" t="e">
        <f t="shared" si="365"/>
        <v>#N/A</v>
      </c>
      <c r="CV54" s="398" t="e">
        <f t="shared" si="167"/>
        <v>#N/A</v>
      </c>
      <c r="CW54" s="400" t="e">
        <f t="shared" si="270"/>
        <v>#N/A</v>
      </c>
      <c r="CX54" s="398" t="e">
        <f t="shared" si="271"/>
        <v>#N/A</v>
      </c>
      <c r="CY54" s="401" t="e">
        <f t="shared" si="272"/>
        <v>#N/A</v>
      </c>
      <c r="CZ54" s="399" t="e">
        <f t="shared" si="169"/>
        <v>#N/A</v>
      </c>
      <c r="DA54" s="47"/>
      <c r="DB54" s="47"/>
      <c r="DC54" s="396" t="e">
        <f t="shared" si="273"/>
        <v>#N/A</v>
      </c>
      <c r="DD54" s="397" t="e">
        <f t="shared" si="274"/>
        <v>#N/A</v>
      </c>
      <c r="DE54" s="400" t="e">
        <f t="shared" si="366"/>
        <v>#N/A</v>
      </c>
      <c r="DF54" s="398" t="e">
        <f t="shared" si="170"/>
        <v>#N/A</v>
      </c>
      <c r="DG54" s="400" t="e">
        <f t="shared" si="275"/>
        <v>#N/A</v>
      </c>
      <c r="DH54" s="398" t="e">
        <f t="shared" si="276"/>
        <v>#N/A</v>
      </c>
      <c r="DI54" s="401" t="e">
        <f t="shared" si="277"/>
        <v>#N/A</v>
      </c>
      <c r="DJ54" s="399" t="e">
        <f t="shared" si="172"/>
        <v>#N/A</v>
      </c>
      <c r="DK54" s="47"/>
      <c r="DM54" s="396" t="e">
        <f t="shared" si="278"/>
        <v>#N/A</v>
      </c>
      <c r="DN54" s="397" t="e">
        <f t="shared" si="279"/>
        <v>#N/A</v>
      </c>
      <c r="DO54" s="400" t="e">
        <f t="shared" si="367"/>
        <v>#N/A</v>
      </c>
      <c r="DP54" s="398" t="e">
        <f t="shared" si="173"/>
        <v>#N/A</v>
      </c>
      <c r="DQ54" s="400" t="e">
        <f t="shared" si="280"/>
        <v>#N/A</v>
      </c>
      <c r="DR54" s="398" t="e">
        <f t="shared" si="281"/>
        <v>#N/A</v>
      </c>
      <c r="DS54" s="401" t="e">
        <f t="shared" si="282"/>
        <v>#N/A</v>
      </c>
      <c r="DT54" s="399" t="e">
        <f t="shared" si="175"/>
        <v>#N/A</v>
      </c>
      <c r="DU54" s="47"/>
      <c r="DV54" s="49"/>
      <c r="DW54" s="396" t="e">
        <f t="shared" si="283"/>
        <v>#N/A</v>
      </c>
      <c r="DX54" s="397" t="e">
        <f t="shared" si="284"/>
        <v>#N/A</v>
      </c>
      <c r="DY54" s="400" t="e">
        <f t="shared" si="368"/>
        <v>#N/A</v>
      </c>
      <c r="DZ54" s="398" t="e">
        <f t="shared" si="176"/>
        <v>#N/A</v>
      </c>
      <c r="EA54" s="400" t="e">
        <f t="shared" si="285"/>
        <v>#N/A</v>
      </c>
      <c r="EB54" s="398" t="e">
        <f t="shared" si="286"/>
        <v>#N/A</v>
      </c>
      <c r="EC54" s="401" t="e">
        <f t="shared" si="287"/>
        <v>#N/A</v>
      </c>
      <c r="ED54" s="399" t="e">
        <f t="shared" si="178"/>
        <v>#N/A</v>
      </c>
      <c r="EE54" s="47"/>
      <c r="EF54" s="47"/>
      <c r="EG54" s="396" t="e">
        <f t="shared" si="288"/>
        <v>#N/A</v>
      </c>
      <c r="EH54" s="397" t="e">
        <f t="shared" si="289"/>
        <v>#N/A</v>
      </c>
      <c r="EI54" s="400" t="e">
        <f t="shared" si="369"/>
        <v>#N/A</v>
      </c>
      <c r="EJ54" s="398" t="e">
        <f t="shared" si="179"/>
        <v>#N/A</v>
      </c>
      <c r="EK54" s="400" t="e">
        <f t="shared" si="290"/>
        <v>#N/A</v>
      </c>
      <c r="EL54" s="398" t="e">
        <f t="shared" si="291"/>
        <v>#N/A</v>
      </c>
      <c r="EM54" s="401" t="e">
        <f t="shared" si="292"/>
        <v>#N/A</v>
      </c>
      <c r="EN54" s="399" t="e">
        <f t="shared" si="181"/>
        <v>#N/A</v>
      </c>
      <c r="EO54" s="47"/>
      <c r="EP54" s="47"/>
      <c r="EQ54" s="396" t="e">
        <f t="shared" si="293"/>
        <v>#N/A</v>
      </c>
      <c r="ER54" s="397" t="e">
        <f t="shared" si="294"/>
        <v>#N/A</v>
      </c>
      <c r="ES54" s="400" t="e">
        <f t="shared" si="370"/>
        <v>#N/A</v>
      </c>
      <c r="ET54" s="398" t="e">
        <f t="shared" si="182"/>
        <v>#N/A</v>
      </c>
      <c r="EU54" s="400" t="e">
        <f t="shared" si="295"/>
        <v>#N/A</v>
      </c>
      <c r="EV54" s="398" t="e">
        <f t="shared" si="296"/>
        <v>#N/A</v>
      </c>
      <c r="EW54" s="401" t="e">
        <f t="shared" si="297"/>
        <v>#N/A</v>
      </c>
      <c r="EX54" s="399" t="e">
        <f t="shared" si="184"/>
        <v>#N/A</v>
      </c>
      <c r="EY54" s="47"/>
      <c r="EZ54" s="47"/>
      <c r="FA54" s="396" t="e">
        <f t="shared" si="298"/>
        <v>#N/A</v>
      </c>
      <c r="FB54" s="397" t="e">
        <f t="shared" si="299"/>
        <v>#N/A</v>
      </c>
      <c r="FC54" s="400" t="e">
        <f t="shared" si="371"/>
        <v>#N/A</v>
      </c>
      <c r="FD54" s="398" t="e">
        <f t="shared" si="185"/>
        <v>#N/A</v>
      </c>
      <c r="FE54" s="400" t="e">
        <f t="shared" si="300"/>
        <v>#N/A</v>
      </c>
      <c r="FF54" s="398" t="e">
        <f t="shared" si="301"/>
        <v>#N/A</v>
      </c>
      <c r="FG54" s="401" t="e">
        <f t="shared" si="302"/>
        <v>#N/A</v>
      </c>
      <c r="FH54" s="399" t="e">
        <f t="shared" si="187"/>
        <v>#N/A</v>
      </c>
      <c r="FI54" s="47"/>
      <c r="FJ54" s="49"/>
      <c r="FK54" s="396" t="e">
        <f t="shared" si="303"/>
        <v>#N/A</v>
      </c>
      <c r="FL54" s="397" t="e">
        <f t="shared" si="304"/>
        <v>#N/A</v>
      </c>
      <c r="FM54" s="400" t="e">
        <f t="shared" si="372"/>
        <v>#N/A</v>
      </c>
      <c r="FN54" s="398" t="e">
        <f t="shared" si="188"/>
        <v>#N/A</v>
      </c>
      <c r="FO54" s="400" t="e">
        <f t="shared" si="305"/>
        <v>#N/A</v>
      </c>
      <c r="FP54" s="398" t="e">
        <f t="shared" si="306"/>
        <v>#N/A</v>
      </c>
      <c r="FQ54" s="401" t="e">
        <f t="shared" si="307"/>
        <v>#N/A</v>
      </c>
      <c r="FR54" s="399" t="e">
        <f t="shared" si="190"/>
        <v>#N/A</v>
      </c>
      <c r="FS54" s="47"/>
      <c r="FT54" s="47"/>
      <c r="FU54" s="396" t="e">
        <f t="shared" si="308"/>
        <v>#N/A</v>
      </c>
      <c r="FV54" s="397" t="e">
        <f t="shared" si="309"/>
        <v>#N/A</v>
      </c>
      <c r="FW54" s="400" t="e">
        <f t="shared" si="373"/>
        <v>#N/A</v>
      </c>
      <c r="FX54" s="398" t="e">
        <f t="shared" si="191"/>
        <v>#N/A</v>
      </c>
      <c r="FY54" s="400" t="e">
        <f t="shared" si="310"/>
        <v>#N/A</v>
      </c>
      <c r="FZ54" s="398" t="e">
        <f t="shared" si="311"/>
        <v>#N/A</v>
      </c>
      <c r="GA54" s="401" t="e">
        <f t="shared" si="312"/>
        <v>#N/A</v>
      </c>
      <c r="GB54" s="399" t="e">
        <f t="shared" si="193"/>
        <v>#N/A</v>
      </c>
      <c r="GC54" s="47"/>
      <c r="GD54" s="47"/>
      <c r="GE54" s="396" t="e">
        <f t="shared" si="313"/>
        <v>#N/A</v>
      </c>
      <c r="GF54" s="397" t="e">
        <f t="shared" si="314"/>
        <v>#N/A</v>
      </c>
      <c r="GG54" s="400" t="e">
        <f t="shared" si="374"/>
        <v>#N/A</v>
      </c>
      <c r="GH54" s="398" t="e">
        <f t="shared" si="194"/>
        <v>#N/A</v>
      </c>
      <c r="GI54" s="400" t="e">
        <f t="shared" si="315"/>
        <v>#N/A</v>
      </c>
      <c r="GJ54" s="398" t="e">
        <f t="shared" si="316"/>
        <v>#N/A</v>
      </c>
      <c r="GK54" s="401" t="e">
        <f t="shared" si="317"/>
        <v>#N/A</v>
      </c>
      <c r="GL54" s="399" t="e">
        <f t="shared" si="196"/>
        <v>#N/A</v>
      </c>
      <c r="GM54" s="47"/>
      <c r="GN54" s="47"/>
      <c r="GO54" s="396" t="e">
        <f t="shared" si="318"/>
        <v>#N/A</v>
      </c>
      <c r="GP54" s="397" t="e">
        <f t="shared" si="319"/>
        <v>#N/A</v>
      </c>
      <c r="GQ54" s="400" t="e">
        <f t="shared" si="375"/>
        <v>#N/A</v>
      </c>
      <c r="GR54" s="398" t="e">
        <f t="shared" si="197"/>
        <v>#N/A</v>
      </c>
      <c r="GS54" s="400" t="e">
        <f t="shared" si="320"/>
        <v>#N/A</v>
      </c>
      <c r="GT54" s="398" t="e">
        <f t="shared" si="321"/>
        <v>#N/A</v>
      </c>
      <c r="GU54" s="401" t="e">
        <f t="shared" si="322"/>
        <v>#N/A</v>
      </c>
      <c r="GV54" s="399" t="e">
        <f t="shared" si="199"/>
        <v>#N/A</v>
      </c>
      <c r="GW54" s="47"/>
      <c r="GX54" s="47"/>
      <c r="GY54" s="396" t="e">
        <f t="shared" si="323"/>
        <v>#N/A</v>
      </c>
      <c r="GZ54" s="397" t="e">
        <f t="shared" si="324"/>
        <v>#N/A</v>
      </c>
      <c r="HA54" s="400" t="e">
        <f t="shared" si="376"/>
        <v>#N/A</v>
      </c>
      <c r="HB54" s="398" t="e">
        <f t="shared" si="200"/>
        <v>#N/A</v>
      </c>
      <c r="HC54" s="400" t="e">
        <f t="shared" si="325"/>
        <v>#N/A</v>
      </c>
      <c r="HD54" s="398" t="e">
        <f t="shared" si="326"/>
        <v>#N/A</v>
      </c>
      <c r="HE54" s="401" t="e">
        <f t="shared" si="327"/>
        <v>#N/A</v>
      </c>
      <c r="HF54" s="399" t="e">
        <f t="shared" si="202"/>
        <v>#N/A</v>
      </c>
      <c r="HH54" s="47"/>
      <c r="HI54" s="396" t="e">
        <f t="shared" si="328"/>
        <v>#N/A</v>
      </c>
      <c r="HJ54" s="397" t="e">
        <f t="shared" si="329"/>
        <v>#N/A</v>
      </c>
      <c r="HK54" s="400" t="e">
        <f t="shared" si="377"/>
        <v>#N/A</v>
      </c>
      <c r="HL54" s="398" t="e">
        <f t="shared" si="203"/>
        <v>#N/A</v>
      </c>
      <c r="HM54" s="400" t="e">
        <f t="shared" si="330"/>
        <v>#N/A</v>
      </c>
      <c r="HN54" s="398" t="e">
        <f t="shared" si="331"/>
        <v>#N/A</v>
      </c>
      <c r="HO54" s="401" t="e">
        <f t="shared" si="332"/>
        <v>#N/A</v>
      </c>
      <c r="HP54" s="399" t="e">
        <f t="shared" si="205"/>
        <v>#N/A</v>
      </c>
      <c r="HQ54" s="47"/>
      <c r="HR54" s="47"/>
      <c r="HS54" s="396" t="e">
        <f t="shared" si="333"/>
        <v>#N/A</v>
      </c>
      <c r="HT54" s="397" t="e">
        <f t="shared" si="334"/>
        <v>#N/A</v>
      </c>
      <c r="HU54" s="400" t="e">
        <f t="shared" si="378"/>
        <v>#N/A</v>
      </c>
      <c r="HV54" s="398" t="e">
        <f t="shared" si="206"/>
        <v>#N/A</v>
      </c>
      <c r="HW54" s="400" t="e">
        <f t="shared" si="335"/>
        <v>#N/A</v>
      </c>
      <c r="HX54" s="398" t="e">
        <f t="shared" si="336"/>
        <v>#N/A</v>
      </c>
      <c r="HY54" s="401" t="e">
        <f t="shared" si="337"/>
        <v>#N/A</v>
      </c>
      <c r="HZ54" s="399" t="e">
        <f t="shared" si="208"/>
        <v>#N/A</v>
      </c>
      <c r="IA54" s="47"/>
      <c r="IB54" s="49"/>
      <c r="IC54" s="396" t="e">
        <f t="shared" si="338"/>
        <v>#N/A</v>
      </c>
      <c r="ID54" s="397" t="e">
        <f t="shared" si="339"/>
        <v>#N/A</v>
      </c>
      <c r="IE54" s="400" t="e">
        <f t="shared" si="379"/>
        <v>#N/A</v>
      </c>
      <c r="IF54" s="398" t="e">
        <f t="shared" si="209"/>
        <v>#N/A</v>
      </c>
      <c r="IG54" s="400" t="e">
        <f t="shared" si="340"/>
        <v>#N/A</v>
      </c>
      <c r="IH54" s="398" t="e">
        <f t="shared" si="341"/>
        <v>#N/A</v>
      </c>
      <c r="II54" s="401" t="e">
        <f t="shared" si="342"/>
        <v>#N/A</v>
      </c>
      <c r="IJ54" s="399" t="e">
        <f t="shared" si="211"/>
        <v>#N/A</v>
      </c>
      <c r="IK54" s="47"/>
      <c r="IL54" s="47"/>
      <c r="IM54" s="396" t="e">
        <f t="shared" si="343"/>
        <v>#N/A</v>
      </c>
      <c r="IN54" s="397" t="e">
        <f t="shared" si="344"/>
        <v>#N/A</v>
      </c>
      <c r="IO54" s="400" t="e">
        <f t="shared" si="380"/>
        <v>#N/A</v>
      </c>
      <c r="IP54" s="398" t="e">
        <f t="shared" si="212"/>
        <v>#N/A</v>
      </c>
      <c r="IQ54" s="400" t="e">
        <f t="shared" si="345"/>
        <v>#N/A</v>
      </c>
      <c r="IR54" s="398" t="e">
        <f t="shared" si="346"/>
        <v>#N/A</v>
      </c>
      <c r="IS54" s="401" t="e">
        <f t="shared" si="347"/>
        <v>#N/A</v>
      </c>
      <c r="IT54" s="399" t="e">
        <f t="shared" si="214"/>
        <v>#N/A</v>
      </c>
      <c r="IU54" s="47"/>
      <c r="IV54" s="47"/>
      <c r="IW54" s="396" t="e">
        <f t="shared" si="116"/>
        <v>#N/A</v>
      </c>
      <c r="IX54" s="397" t="e">
        <f t="shared" si="117"/>
        <v>#N/A</v>
      </c>
      <c r="IY54" s="400" t="e">
        <f t="shared" si="118"/>
        <v>#N/A</v>
      </c>
      <c r="IZ54" s="398" t="e">
        <f t="shared" si="348"/>
        <v>#N/A</v>
      </c>
      <c r="JA54" s="400" t="e">
        <f t="shared" si="119"/>
        <v>#N/A</v>
      </c>
      <c r="JB54" s="398" t="e">
        <f t="shared" si="120"/>
        <v>#N/A</v>
      </c>
      <c r="JC54" s="401" t="e">
        <f t="shared" si="216"/>
        <v>#N/A</v>
      </c>
      <c r="JD54" s="399" t="e">
        <f t="shared" si="217"/>
        <v>#N/A</v>
      </c>
      <c r="JE54" s="47"/>
      <c r="JF54" s="47"/>
      <c r="JG54" s="396">
        <f t="shared" si="121"/>
        <v>7.26</v>
      </c>
      <c r="JH54" s="397">
        <f t="shared" si="122"/>
        <v>6.875</v>
      </c>
      <c r="JI54" s="400">
        <f t="shared" si="123"/>
        <v>4.4000000000000004</v>
      </c>
      <c r="JJ54" s="398">
        <f t="shared" si="349"/>
        <v>147.08605610405988</v>
      </c>
      <c r="JK54" s="400">
        <f t="shared" si="124"/>
        <v>72.634486098544855</v>
      </c>
      <c r="JL54" s="398">
        <f t="shared" si="125"/>
        <v>10.312500000000002</v>
      </c>
      <c r="JM54" s="401">
        <f t="shared" si="219"/>
        <v>4.0033795025067604</v>
      </c>
      <c r="JN54" s="399">
        <f t="shared" si="220"/>
        <v>191.80044778963418</v>
      </c>
      <c r="JO54" s="47"/>
      <c r="JP54" s="47"/>
      <c r="JQ54" s="396">
        <f t="shared" si="126"/>
        <v>7.26</v>
      </c>
      <c r="JR54" s="397">
        <f t="shared" si="127"/>
        <v>6.875</v>
      </c>
      <c r="JS54" s="400">
        <f t="shared" si="128"/>
        <v>4.4000000000000004</v>
      </c>
      <c r="JT54" s="398">
        <f t="shared" si="350"/>
        <v>147.08605610405988</v>
      </c>
      <c r="JU54" s="400">
        <f t="shared" si="129"/>
        <v>72.634486098544855</v>
      </c>
      <c r="JV54" s="398">
        <f t="shared" si="130"/>
        <v>3.4374999999999996</v>
      </c>
      <c r="JW54" s="401">
        <f t="shared" si="222"/>
        <v>4.0033795025067604</v>
      </c>
      <c r="JX54" s="399">
        <f t="shared" si="223"/>
        <v>191.80044778963418</v>
      </c>
      <c r="JY54" s="47"/>
      <c r="JZ54" s="47"/>
      <c r="KA54" s="396">
        <f t="shared" si="131"/>
        <v>7.26</v>
      </c>
      <c r="KB54" s="397">
        <f t="shared" si="132"/>
        <v>6.875</v>
      </c>
      <c r="KC54" s="400">
        <f t="shared" si="133"/>
        <v>4.4000000000000004</v>
      </c>
      <c r="KD54" s="398">
        <f t="shared" si="351"/>
        <v>147.08605610405988</v>
      </c>
      <c r="KE54" s="400">
        <f t="shared" si="134"/>
        <v>72.634486098544855</v>
      </c>
      <c r="KF54" s="398">
        <f t="shared" si="135"/>
        <v>-3.4374999999999996</v>
      </c>
      <c r="KG54" s="401">
        <f t="shared" si="225"/>
        <v>4.0033795025067604</v>
      </c>
      <c r="KH54" s="399">
        <f t="shared" si="226"/>
        <v>191.80044778963418</v>
      </c>
      <c r="KI54" s="47"/>
      <c r="KJ54" s="47"/>
      <c r="KK54" s="396">
        <f t="shared" si="136"/>
        <v>7.26</v>
      </c>
      <c r="KL54" s="397">
        <f t="shared" si="137"/>
        <v>6.875</v>
      </c>
      <c r="KM54" s="400">
        <f t="shared" si="138"/>
        <v>4.4000000000000004</v>
      </c>
      <c r="KN54" s="398">
        <f t="shared" si="352"/>
        <v>147.08605610405988</v>
      </c>
      <c r="KO54" s="400">
        <f t="shared" si="139"/>
        <v>72.634486098544855</v>
      </c>
      <c r="KP54" s="398">
        <f t="shared" si="140"/>
        <v>-10.312500000000002</v>
      </c>
      <c r="KQ54" s="401">
        <f t="shared" si="228"/>
        <v>4.0033795025067604</v>
      </c>
      <c r="KR54" s="399">
        <f t="shared" si="229"/>
        <v>191.80044778963418</v>
      </c>
      <c r="KS54" s="47"/>
      <c r="KT54" s="47"/>
      <c r="KU54" s="396" t="e">
        <f t="shared" si="353"/>
        <v>#N/A</v>
      </c>
      <c r="KV54" s="397" t="e">
        <f t="shared" si="354"/>
        <v>#N/A</v>
      </c>
      <c r="KW54" s="400" t="e">
        <f t="shared" si="381"/>
        <v>#N/A</v>
      </c>
      <c r="KX54" s="398" t="e">
        <f t="shared" si="230"/>
        <v>#N/A</v>
      </c>
      <c r="KY54" s="400" t="e">
        <f t="shared" si="355"/>
        <v>#N/A</v>
      </c>
      <c r="KZ54" s="398" t="e">
        <f t="shared" si="356"/>
        <v>#N/A</v>
      </c>
      <c r="LA54" s="401" t="e">
        <f t="shared" si="357"/>
        <v>#N/A</v>
      </c>
      <c r="LB54" s="399" t="e">
        <f t="shared" si="232"/>
        <v>#N/A</v>
      </c>
      <c r="LC54" s="47"/>
    </row>
    <row r="55" spans="1:315" x14ac:dyDescent="0.25">
      <c r="Z55" s="413"/>
      <c r="AA55" s="396" t="e">
        <f t="shared" si="233"/>
        <v>#N/A</v>
      </c>
      <c r="AB55" s="397" t="e">
        <f t="shared" si="234"/>
        <v>#N/A</v>
      </c>
      <c r="AC55" s="400" t="e">
        <f t="shared" si="358"/>
        <v>#N/A</v>
      </c>
      <c r="AD55" s="398" t="e">
        <f t="shared" si="146"/>
        <v>#N/A</v>
      </c>
      <c r="AE55" s="400" t="e">
        <f t="shared" si="235"/>
        <v>#N/A</v>
      </c>
      <c r="AF55" s="398" t="e">
        <f t="shared" si="236"/>
        <v>#N/A</v>
      </c>
      <c r="AG55" s="401" t="e">
        <f t="shared" si="237"/>
        <v>#N/A</v>
      </c>
      <c r="AH55" s="399" t="e">
        <f t="shared" si="148"/>
        <v>#N/A</v>
      </c>
      <c r="AI55" s="47"/>
      <c r="AJ55" s="47"/>
      <c r="AK55" s="396" t="e">
        <f t="shared" si="238"/>
        <v>#N/A</v>
      </c>
      <c r="AL55" s="397" t="e">
        <f t="shared" si="239"/>
        <v>#N/A</v>
      </c>
      <c r="AM55" s="400" t="e">
        <f t="shared" si="359"/>
        <v>#N/A</v>
      </c>
      <c r="AN55" s="398" t="e">
        <f t="shared" si="149"/>
        <v>#N/A</v>
      </c>
      <c r="AO55" s="400" t="e">
        <f t="shared" si="240"/>
        <v>#N/A</v>
      </c>
      <c r="AP55" s="398" t="e">
        <f t="shared" si="241"/>
        <v>#N/A</v>
      </c>
      <c r="AQ55" s="401" t="e">
        <f t="shared" si="242"/>
        <v>#N/A</v>
      </c>
      <c r="AR55" s="399" t="e">
        <f t="shared" si="151"/>
        <v>#N/A</v>
      </c>
      <c r="AS55" s="47"/>
      <c r="AT55" s="47"/>
      <c r="AU55" s="396" t="e">
        <f t="shared" si="243"/>
        <v>#N/A</v>
      </c>
      <c r="AV55" s="397" t="e">
        <f t="shared" si="244"/>
        <v>#N/A</v>
      </c>
      <c r="AW55" s="400" t="e">
        <f t="shared" si="360"/>
        <v>#N/A</v>
      </c>
      <c r="AX55" s="398" t="e">
        <f t="shared" si="152"/>
        <v>#N/A</v>
      </c>
      <c r="AY55" s="400" t="e">
        <f t="shared" si="245"/>
        <v>#N/A</v>
      </c>
      <c r="AZ55" s="398" t="e">
        <f t="shared" si="246"/>
        <v>#N/A</v>
      </c>
      <c r="BA55" s="401" t="e">
        <f t="shared" si="247"/>
        <v>#N/A</v>
      </c>
      <c r="BB55" s="399" t="e">
        <f t="shared" si="154"/>
        <v>#N/A</v>
      </c>
      <c r="BC55" s="47"/>
      <c r="BD55" s="47"/>
      <c r="BE55" s="396" t="e">
        <f t="shared" si="248"/>
        <v>#N/A</v>
      </c>
      <c r="BF55" s="397" t="e">
        <f t="shared" si="249"/>
        <v>#N/A</v>
      </c>
      <c r="BG55" s="400" t="e">
        <f t="shared" si="361"/>
        <v>#N/A</v>
      </c>
      <c r="BH55" s="398" t="e">
        <f t="shared" si="155"/>
        <v>#N/A</v>
      </c>
      <c r="BI55" s="400" t="e">
        <f t="shared" si="250"/>
        <v>#N/A</v>
      </c>
      <c r="BJ55" s="398" t="e">
        <f t="shared" si="251"/>
        <v>#N/A</v>
      </c>
      <c r="BK55" s="401" t="e">
        <f t="shared" si="252"/>
        <v>#N/A</v>
      </c>
      <c r="BL55" s="399" t="e">
        <f t="shared" si="157"/>
        <v>#N/A</v>
      </c>
      <c r="BM55" s="47"/>
      <c r="BN55" s="49"/>
      <c r="BO55" s="396" t="e">
        <f t="shared" si="253"/>
        <v>#N/A</v>
      </c>
      <c r="BP55" s="397" t="e">
        <f t="shared" si="254"/>
        <v>#N/A</v>
      </c>
      <c r="BQ55" s="400" t="e">
        <f t="shared" si="362"/>
        <v>#N/A</v>
      </c>
      <c r="BR55" s="398" t="e">
        <f t="shared" si="158"/>
        <v>#N/A</v>
      </c>
      <c r="BS55" s="400" t="e">
        <f t="shared" si="255"/>
        <v>#N/A</v>
      </c>
      <c r="BT55" s="398" t="e">
        <f t="shared" si="256"/>
        <v>#N/A</v>
      </c>
      <c r="BU55" s="401" t="e">
        <f t="shared" si="257"/>
        <v>#N/A</v>
      </c>
      <c r="BV55" s="399" t="e">
        <f t="shared" si="160"/>
        <v>#N/A</v>
      </c>
      <c r="BW55" s="47"/>
      <c r="BX55" s="47"/>
      <c r="BY55" s="396" t="e">
        <f t="shared" si="258"/>
        <v>#N/A</v>
      </c>
      <c r="BZ55" s="397" t="e">
        <f t="shared" si="259"/>
        <v>#N/A</v>
      </c>
      <c r="CA55" s="400" t="e">
        <f t="shared" si="363"/>
        <v>#N/A</v>
      </c>
      <c r="CB55" s="398" t="e">
        <f t="shared" si="161"/>
        <v>#N/A</v>
      </c>
      <c r="CC55" s="400" t="e">
        <f t="shared" si="260"/>
        <v>#N/A</v>
      </c>
      <c r="CD55" s="398" t="e">
        <f t="shared" si="261"/>
        <v>#N/A</v>
      </c>
      <c r="CE55" s="401" t="e">
        <f t="shared" si="262"/>
        <v>#N/A</v>
      </c>
      <c r="CF55" s="399" t="e">
        <f t="shared" si="163"/>
        <v>#N/A</v>
      </c>
      <c r="CG55" s="49"/>
      <c r="CH55" s="47"/>
      <c r="CI55" s="396" t="e">
        <f t="shared" si="263"/>
        <v>#N/A</v>
      </c>
      <c r="CJ55" s="397" t="e">
        <f t="shared" si="264"/>
        <v>#N/A</v>
      </c>
      <c r="CK55" s="400" t="e">
        <f t="shared" si="364"/>
        <v>#N/A</v>
      </c>
      <c r="CL55" s="398" t="e">
        <f t="shared" si="164"/>
        <v>#N/A</v>
      </c>
      <c r="CM55" s="400" t="e">
        <f t="shared" si="265"/>
        <v>#N/A</v>
      </c>
      <c r="CN55" s="398" t="e">
        <f t="shared" si="266"/>
        <v>#N/A</v>
      </c>
      <c r="CO55" s="401" t="e">
        <f t="shared" si="267"/>
        <v>#N/A</v>
      </c>
      <c r="CP55" s="399" t="e">
        <f t="shared" si="166"/>
        <v>#N/A</v>
      </c>
      <c r="CQ55" s="47"/>
      <c r="CS55" s="396" t="e">
        <f t="shared" si="268"/>
        <v>#N/A</v>
      </c>
      <c r="CT55" s="397" t="e">
        <f t="shared" si="269"/>
        <v>#N/A</v>
      </c>
      <c r="CU55" s="400" t="e">
        <f t="shared" si="365"/>
        <v>#N/A</v>
      </c>
      <c r="CV55" s="398" t="e">
        <f t="shared" si="167"/>
        <v>#N/A</v>
      </c>
      <c r="CW55" s="400" t="e">
        <f t="shared" si="270"/>
        <v>#N/A</v>
      </c>
      <c r="CX55" s="398" t="e">
        <f t="shared" si="271"/>
        <v>#N/A</v>
      </c>
      <c r="CY55" s="401" t="e">
        <f t="shared" si="272"/>
        <v>#N/A</v>
      </c>
      <c r="CZ55" s="399" t="e">
        <f t="shared" si="169"/>
        <v>#N/A</v>
      </c>
      <c r="DA55" s="47"/>
      <c r="DB55" s="47"/>
      <c r="DC55" s="396" t="e">
        <f t="shared" si="273"/>
        <v>#N/A</v>
      </c>
      <c r="DD55" s="397" t="e">
        <f t="shared" si="274"/>
        <v>#N/A</v>
      </c>
      <c r="DE55" s="400" t="e">
        <f t="shared" si="366"/>
        <v>#N/A</v>
      </c>
      <c r="DF55" s="398" t="e">
        <f t="shared" si="170"/>
        <v>#N/A</v>
      </c>
      <c r="DG55" s="400" t="e">
        <f t="shared" si="275"/>
        <v>#N/A</v>
      </c>
      <c r="DH55" s="398" t="e">
        <f t="shared" si="276"/>
        <v>#N/A</v>
      </c>
      <c r="DI55" s="401" t="e">
        <f t="shared" si="277"/>
        <v>#N/A</v>
      </c>
      <c r="DJ55" s="399" t="e">
        <f t="shared" si="172"/>
        <v>#N/A</v>
      </c>
      <c r="DK55" s="47"/>
      <c r="DM55" s="396" t="e">
        <f t="shared" si="278"/>
        <v>#N/A</v>
      </c>
      <c r="DN55" s="397" t="e">
        <f t="shared" si="279"/>
        <v>#N/A</v>
      </c>
      <c r="DO55" s="400" t="e">
        <f t="shared" si="367"/>
        <v>#N/A</v>
      </c>
      <c r="DP55" s="398" t="e">
        <f t="shared" si="173"/>
        <v>#N/A</v>
      </c>
      <c r="DQ55" s="400" t="e">
        <f t="shared" si="280"/>
        <v>#N/A</v>
      </c>
      <c r="DR55" s="398" t="e">
        <f t="shared" si="281"/>
        <v>#N/A</v>
      </c>
      <c r="DS55" s="401" t="e">
        <f t="shared" si="282"/>
        <v>#N/A</v>
      </c>
      <c r="DT55" s="399" t="e">
        <f t="shared" si="175"/>
        <v>#N/A</v>
      </c>
      <c r="DU55" s="47"/>
      <c r="DV55" s="49"/>
      <c r="DW55" s="396" t="e">
        <f t="shared" si="283"/>
        <v>#N/A</v>
      </c>
      <c r="DX55" s="397" t="e">
        <f t="shared" si="284"/>
        <v>#N/A</v>
      </c>
      <c r="DY55" s="400" t="e">
        <f t="shared" si="368"/>
        <v>#N/A</v>
      </c>
      <c r="DZ55" s="398" t="e">
        <f t="shared" si="176"/>
        <v>#N/A</v>
      </c>
      <c r="EA55" s="400" t="e">
        <f t="shared" si="285"/>
        <v>#N/A</v>
      </c>
      <c r="EB55" s="398" t="e">
        <f t="shared" si="286"/>
        <v>#N/A</v>
      </c>
      <c r="EC55" s="401" t="e">
        <f t="shared" si="287"/>
        <v>#N/A</v>
      </c>
      <c r="ED55" s="399" t="e">
        <f t="shared" si="178"/>
        <v>#N/A</v>
      </c>
      <c r="EE55" s="47"/>
      <c r="EF55" s="47"/>
      <c r="EG55" s="396" t="e">
        <f t="shared" si="288"/>
        <v>#N/A</v>
      </c>
      <c r="EH55" s="397" t="e">
        <f t="shared" si="289"/>
        <v>#N/A</v>
      </c>
      <c r="EI55" s="400" t="e">
        <f t="shared" si="369"/>
        <v>#N/A</v>
      </c>
      <c r="EJ55" s="398" t="e">
        <f t="shared" si="179"/>
        <v>#N/A</v>
      </c>
      <c r="EK55" s="400" t="e">
        <f t="shared" si="290"/>
        <v>#N/A</v>
      </c>
      <c r="EL55" s="398" t="e">
        <f t="shared" si="291"/>
        <v>#N/A</v>
      </c>
      <c r="EM55" s="401" t="e">
        <f t="shared" si="292"/>
        <v>#N/A</v>
      </c>
      <c r="EN55" s="399" t="e">
        <f t="shared" si="181"/>
        <v>#N/A</v>
      </c>
      <c r="EO55" s="47"/>
      <c r="EP55" s="47"/>
      <c r="EQ55" s="396" t="e">
        <f t="shared" si="293"/>
        <v>#N/A</v>
      </c>
      <c r="ER55" s="397" t="e">
        <f t="shared" si="294"/>
        <v>#N/A</v>
      </c>
      <c r="ES55" s="400" t="e">
        <f t="shared" si="370"/>
        <v>#N/A</v>
      </c>
      <c r="ET55" s="398" t="e">
        <f t="shared" si="182"/>
        <v>#N/A</v>
      </c>
      <c r="EU55" s="400" t="e">
        <f t="shared" si="295"/>
        <v>#N/A</v>
      </c>
      <c r="EV55" s="398" t="e">
        <f t="shared" si="296"/>
        <v>#N/A</v>
      </c>
      <c r="EW55" s="401" t="e">
        <f t="shared" si="297"/>
        <v>#N/A</v>
      </c>
      <c r="EX55" s="399" t="e">
        <f t="shared" si="184"/>
        <v>#N/A</v>
      </c>
      <c r="EY55" s="47"/>
      <c r="EZ55" s="47"/>
      <c r="FA55" s="396" t="e">
        <f t="shared" si="298"/>
        <v>#N/A</v>
      </c>
      <c r="FB55" s="397" t="e">
        <f t="shared" si="299"/>
        <v>#N/A</v>
      </c>
      <c r="FC55" s="400" t="e">
        <f t="shared" si="371"/>
        <v>#N/A</v>
      </c>
      <c r="FD55" s="398" t="e">
        <f t="shared" si="185"/>
        <v>#N/A</v>
      </c>
      <c r="FE55" s="400" t="e">
        <f t="shared" si="300"/>
        <v>#N/A</v>
      </c>
      <c r="FF55" s="398" t="e">
        <f t="shared" si="301"/>
        <v>#N/A</v>
      </c>
      <c r="FG55" s="401" t="e">
        <f t="shared" si="302"/>
        <v>#N/A</v>
      </c>
      <c r="FH55" s="399" t="e">
        <f t="shared" si="187"/>
        <v>#N/A</v>
      </c>
      <c r="FI55" s="47"/>
      <c r="FJ55" s="49"/>
      <c r="FK55" s="396" t="e">
        <f t="shared" si="303"/>
        <v>#N/A</v>
      </c>
      <c r="FL55" s="397" t="e">
        <f t="shared" si="304"/>
        <v>#N/A</v>
      </c>
      <c r="FM55" s="400" t="e">
        <f t="shared" si="372"/>
        <v>#N/A</v>
      </c>
      <c r="FN55" s="398" t="e">
        <f t="shared" si="188"/>
        <v>#N/A</v>
      </c>
      <c r="FO55" s="400" t="e">
        <f t="shared" si="305"/>
        <v>#N/A</v>
      </c>
      <c r="FP55" s="398" t="e">
        <f t="shared" si="306"/>
        <v>#N/A</v>
      </c>
      <c r="FQ55" s="401" t="e">
        <f t="shared" si="307"/>
        <v>#N/A</v>
      </c>
      <c r="FR55" s="399" t="e">
        <f t="shared" si="190"/>
        <v>#N/A</v>
      </c>
      <c r="FS55" s="47"/>
      <c r="FT55" s="47"/>
      <c r="FU55" s="396" t="e">
        <f t="shared" si="308"/>
        <v>#N/A</v>
      </c>
      <c r="FV55" s="397" t="e">
        <f t="shared" si="309"/>
        <v>#N/A</v>
      </c>
      <c r="FW55" s="400" t="e">
        <f t="shared" si="373"/>
        <v>#N/A</v>
      </c>
      <c r="FX55" s="398" t="e">
        <f t="shared" si="191"/>
        <v>#N/A</v>
      </c>
      <c r="FY55" s="400" t="e">
        <f t="shared" si="310"/>
        <v>#N/A</v>
      </c>
      <c r="FZ55" s="398" t="e">
        <f t="shared" si="311"/>
        <v>#N/A</v>
      </c>
      <c r="GA55" s="401" t="e">
        <f t="shared" si="312"/>
        <v>#N/A</v>
      </c>
      <c r="GB55" s="399" t="e">
        <f t="shared" si="193"/>
        <v>#N/A</v>
      </c>
      <c r="GC55" s="47"/>
      <c r="GD55" s="47"/>
      <c r="GE55" s="396" t="e">
        <f t="shared" si="313"/>
        <v>#N/A</v>
      </c>
      <c r="GF55" s="397" t="e">
        <f t="shared" si="314"/>
        <v>#N/A</v>
      </c>
      <c r="GG55" s="400" t="e">
        <f t="shared" si="374"/>
        <v>#N/A</v>
      </c>
      <c r="GH55" s="398" t="e">
        <f t="shared" si="194"/>
        <v>#N/A</v>
      </c>
      <c r="GI55" s="400" t="e">
        <f t="shared" si="315"/>
        <v>#N/A</v>
      </c>
      <c r="GJ55" s="398" t="e">
        <f t="shared" si="316"/>
        <v>#N/A</v>
      </c>
      <c r="GK55" s="401" t="e">
        <f t="shared" si="317"/>
        <v>#N/A</v>
      </c>
      <c r="GL55" s="399" t="e">
        <f t="shared" si="196"/>
        <v>#N/A</v>
      </c>
      <c r="GM55" s="47"/>
      <c r="GN55" s="47"/>
      <c r="GO55" s="396" t="e">
        <f t="shared" si="318"/>
        <v>#N/A</v>
      </c>
      <c r="GP55" s="397" t="e">
        <f t="shared" si="319"/>
        <v>#N/A</v>
      </c>
      <c r="GQ55" s="400" t="e">
        <f t="shared" si="375"/>
        <v>#N/A</v>
      </c>
      <c r="GR55" s="398" t="e">
        <f t="shared" si="197"/>
        <v>#N/A</v>
      </c>
      <c r="GS55" s="400" t="e">
        <f t="shared" si="320"/>
        <v>#N/A</v>
      </c>
      <c r="GT55" s="398" t="e">
        <f t="shared" si="321"/>
        <v>#N/A</v>
      </c>
      <c r="GU55" s="401" t="e">
        <f t="shared" si="322"/>
        <v>#N/A</v>
      </c>
      <c r="GV55" s="399" t="e">
        <f t="shared" si="199"/>
        <v>#N/A</v>
      </c>
      <c r="GW55" s="47"/>
      <c r="GX55" s="47"/>
      <c r="GY55" s="396" t="e">
        <f t="shared" si="323"/>
        <v>#N/A</v>
      </c>
      <c r="GZ55" s="397" t="e">
        <f t="shared" si="324"/>
        <v>#N/A</v>
      </c>
      <c r="HA55" s="400" t="e">
        <f t="shared" si="376"/>
        <v>#N/A</v>
      </c>
      <c r="HB55" s="398" t="e">
        <f t="shared" si="200"/>
        <v>#N/A</v>
      </c>
      <c r="HC55" s="400" t="e">
        <f t="shared" si="325"/>
        <v>#N/A</v>
      </c>
      <c r="HD55" s="398" t="e">
        <f t="shared" si="326"/>
        <v>#N/A</v>
      </c>
      <c r="HE55" s="401" t="e">
        <f t="shared" si="327"/>
        <v>#N/A</v>
      </c>
      <c r="HF55" s="399" t="e">
        <f t="shared" si="202"/>
        <v>#N/A</v>
      </c>
      <c r="HH55" s="47"/>
      <c r="HI55" s="396" t="e">
        <f t="shared" si="328"/>
        <v>#N/A</v>
      </c>
      <c r="HJ55" s="397" t="e">
        <f t="shared" si="329"/>
        <v>#N/A</v>
      </c>
      <c r="HK55" s="400" t="e">
        <f t="shared" si="377"/>
        <v>#N/A</v>
      </c>
      <c r="HL55" s="398" t="e">
        <f t="shared" si="203"/>
        <v>#N/A</v>
      </c>
      <c r="HM55" s="400" t="e">
        <f t="shared" si="330"/>
        <v>#N/A</v>
      </c>
      <c r="HN55" s="398" t="e">
        <f t="shared" si="331"/>
        <v>#N/A</v>
      </c>
      <c r="HO55" s="401" t="e">
        <f t="shared" si="332"/>
        <v>#N/A</v>
      </c>
      <c r="HP55" s="399" t="e">
        <f t="shared" si="205"/>
        <v>#N/A</v>
      </c>
      <c r="HQ55" s="47"/>
      <c r="HR55" s="47"/>
      <c r="HS55" s="396" t="e">
        <f t="shared" si="333"/>
        <v>#N/A</v>
      </c>
      <c r="HT55" s="397" t="e">
        <f t="shared" si="334"/>
        <v>#N/A</v>
      </c>
      <c r="HU55" s="400" t="e">
        <f t="shared" si="378"/>
        <v>#N/A</v>
      </c>
      <c r="HV55" s="398" t="e">
        <f t="shared" si="206"/>
        <v>#N/A</v>
      </c>
      <c r="HW55" s="400" t="e">
        <f t="shared" si="335"/>
        <v>#N/A</v>
      </c>
      <c r="HX55" s="398" t="e">
        <f t="shared" si="336"/>
        <v>#N/A</v>
      </c>
      <c r="HY55" s="401" t="e">
        <f t="shared" si="337"/>
        <v>#N/A</v>
      </c>
      <c r="HZ55" s="399" t="e">
        <f t="shared" si="208"/>
        <v>#N/A</v>
      </c>
      <c r="IA55" s="47"/>
      <c r="IB55" s="49"/>
      <c r="IC55" s="396" t="e">
        <f t="shared" si="338"/>
        <v>#N/A</v>
      </c>
      <c r="ID55" s="397" t="e">
        <f t="shared" si="339"/>
        <v>#N/A</v>
      </c>
      <c r="IE55" s="400" t="e">
        <f t="shared" si="379"/>
        <v>#N/A</v>
      </c>
      <c r="IF55" s="398" t="e">
        <f t="shared" si="209"/>
        <v>#N/A</v>
      </c>
      <c r="IG55" s="400" t="e">
        <f t="shared" si="340"/>
        <v>#N/A</v>
      </c>
      <c r="IH55" s="398" t="e">
        <f t="shared" si="341"/>
        <v>#N/A</v>
      </c>
      <c r="II55" s="401" t="e">
        <f t="shared" si="342"/>
        <v>#N/A</v>
      </c>
      <c r="IJ55" s="399" t="e">
        <f t="shared" si="211"/>
        <v>#N/A</v>
      </c>
      <c r="IK55" s="47"/>
      <c r="IL55" s="47"/>
      <c r="IM55" s="396" t="e">
        <f t="shared" si="343"/>
        <v>#N/A</v>
      </c>
      <c r="IN55" s="397" t="e">
        <f t="shared" si="344"/>
        <v>#N/A</v>
      </c>
      <c r="IO55" s="400" t="e">
        <f t="shared" si="380"/>
        <v>#N/A</v>
      </c>
      <c r="IP55" s="398" t="e">
        <f t="shared" si="212"/>
        <v>#N/A</v>
      </c>
      <c r="IQ55" s="400" t="e">
        <f t="shared" si="345"/>
        <v>#N/A</v>
      </c>
      <c r="IR55" s="398" t="e">
        <f t="shared" si="346"/>
        <v>#N/A</v>
      </c>
      <c r="IS55" s="401" t="e">
        <f t="shared" si="347"/>
        <v>#N/A</v>
      </c>
      <c r="IT55" s="399" t="e">
        <f t="shared" si="214"/>
        <v>#N/A</v>
      </c>
      <c r="IU55" s="47"/>
      <c r="IV55" s="47"/>
      <c r="IW55" s="396" t="e">
        <f t="shared" si="116"/>
        <v>#N/A</v>
      </c>
      <c r="IX55" s="397" t="e">
        <f t="shared" si="117"/>
        <v>#N/A</v>
      </c>
      <c r="IY55" s="400" t="e">
        <f t="shared" si="118"/>
        <v>#N/A</v>
      </c>
      <c r="IZ55" s="398" t="e">
        <f t="shared" si="348"/>
        <v>#N/A</v>
      </c>
      <c r="JA55" s="400" t="e">
        <f t="shared" si="119"/>
        <v>#N/A</v>
      </c>
      <c r="JB55" s="398" t="e">
        <f t="shared" si="120"/>
        <v>#N/A</v>
      </c>
      <c r="JC55" s="401" t="e">
        <f t="shared" si="216"/>
        <v>#N/A</v>
      </c>
      <c r="JD55" s="399" t="e">
        <f t="shared" si="217"/>
        <v>#N/A</v>
      </c>
      <c r="JE55" s="47"/>
      <c r="JF55" s="47"/>
      <c r="JG55" s="396">
        <f t="shared" si="121"/>
        <v>7.26</v>
      </c>
      <c r="JH55" s="397">
        <f t="shared" si="122"/>
        <v>6.875</v>
      </c>
      <c r="JI55" s="400">
        <f t="shared" si="123"/>
        <v>4.5</v>
      </c>
      <c r="JJ55" s="398">
        <f t="shared" si="349"/>
        <v>152.07730610405986</v>
      </c>
      <c r="JK55" s="400">
        <f t="shared" si="124"/>
        <v>72.65403114991895</v>
      </c>
      <c r="JL55" s="398">
        <f t="shared" si="125"/>
        <v>10.312500000000002</v>
      </c>
      <c r="JM55" s="401">
        <f t="shared" si="219"/>
        <v>4.0572910937109272</v>
      </c>
      <c r="JN55" s="399">
        <f t="shared" si="220"/>
        <v>191.80044778963418</v>
      </c>
      <c r="JO55" s="47"/>
      <c r="JP55" s="47"/>
      <c r="JQ55" s="396">
        <f t="shared" si="126"/>
        <v>7.26</v>
      </c>
      <c r="JR55" s="397">
        <f t="shared" si="127"/>
        <v>6.875</v>
      </c>
      <c r="JS55" s="400">
        <f t="shared" si="128"/>
        <v>4.5</v>
      </c>
      <c r="JT55" s="398">
        <f t="shared" si="350"/>
        <v>152.07730610405986</v>
      </c>
      <c r="JU55" s="400">
        <f t="shared" si="129"/>
        <v>72.65403114991895</v>
      </c>
      <c r="JV55" s="398">
        <f t="shared" si="130"/>
        <v>3.4374999999999996</v>
      </c>
      <c r="JW55" s="401">
        <f t="shared" si="222"/>
        <v>4.0572910937109272</v>
      </c>
      <c r="JX55" s="399">
        <f t="shared" si="223"/>
        <v>191.80044778963418</v>
      </c>
      <c r="JY55" s="47"/>
      <c r="JZ55" s="47"/>
      <c r="KA55" s="396">
        <f t="shared" si="131"/>
        <v>7.26</v>
      </c>
      <c r="KB55" s="397">
        <f t="shared" si="132"/>
        <v>6.875</v>
      </c>
      <c r="KC55" s="400">
        <f t="shared" si="133"/>
        <v>4.5</v>
      </c>
      <c r="KD55" s="398">
        <f t="shared" si="351"/>
        <v>152.07730610405986</v>
      </c>
      <c r="KE55" s="400">
        <f t="shared" si="134"/>
        <v>72.65403114991895</v>
      </c>
      <c r="KF55" s="398">
        <f t="shared" si="135"/>
        <v>-3.4374999999999996</v>
      </c>
      <c r="KG55" s="401">
        <f t="shared" si="225"/>
        <v>4.0572910937109272</v>
      </c>
      <c r="KH55" s="399">
        <f t="shared" si="226"/>
        <v>191.80044778963418</v>
      </c>
      <c r="KI55" s="47"/>
      <c r="KJ55" s="47"/>
      <c r="KK55" s="396">
        <f t="shared" si="136"/>
        <v>7.26</v>
      </c>
      <c r="KL55" s="397">
        <f t="shared" si="137"/>
        <v>6.875</v>
      </c>
      <c r="KM55" s="400">
        <f t="shared" si="138"/>
        <v>4.5</v>
      </c>
      <c r="KN55" s="398">
        <f t="shared" si="352"/>
        <v>152.07730610405986</v>
      </c>
      <c r="KO55" s="400">
        <f t="shared" si="139"/>
        <v>72.65403114991895</v>
      </c>
      <c r="KP55" s="398">
        <f t="shared" si="140"/>
        <v>-10.312500000000002</v>
      </c>
      <c r="KQ55" s="401">
        <f t="shared" si="228"/>
        <v>4.0572910937109272</v>
      </c>
      <c r="KR55" s="399">
        <f t="shared" si="229"/>
        <v>191.80044778963418</v>
      </c>
      <c r="KS55" s="47"/>
      <c r="KT55" s="47"/>
      <c r="KU55" s="396" t="e">
        <f t="shared" si="353"/>
        <v>#N/A</v>
      </c>
      <c r="KV55" s="397" t="e">
        <f t="shared" si="354"/>
        <v>#N/A</v>
      </c>
      <c r="KW55" s="400" t="e">
        <f t="shared" si="381"/>
        <v>#N/A</v>
      </c>
      <c r="KX55" s="398" t="e">
        <f t="shared" si="230"/>
        <v>#N/A</v>
      </c>
      <c r="KY55" s="400" t="e">
        <f t="shared" si="355"/>
        <v>#N/A</v>
      </c>
      <c r="KZ55" s="398" t="e">
        <f t="shared" si="356"/>
        <v>#N/A</v>
      </c>
      <c r="LA55" s="401" t="e">
        <f t="shared" si="357"/>
        <v>#N/A</v>
      </c>
      <c r="LB55" s="399" t="e">
        <f t="shared" si="232"/>
        <v>#N/A</v>
      </c>
      <c r="LC55" s="47"/>
    </row>
    <row r="56" spans="1:315" x14ac:dyDescent="0.25">
      <c r="Z56" s="413"/>
      <c r="AA56" s="396" t="e">
        <f t="shared" si="233"/>
        <v>#N/A</v>
      </c>
      <c r="AB56" s="397" t="e">
        <f t="shared" si="234"/>
        <v>#N/A</v>
      </c>
      <c r="AC56" s="400" t="e">
        <f t="shared" si="358"/>
        <v>#N/A</v>
      </c>
      <c r="AD56" s="398" t="e">
        <f t="shared" si="146"/>
        <v>#N/A</v>
      </c>
      <c r="AE56" s="400" t="e">
        <f t="shared" si="235"/>
        <v>#N/A</v>
      </c>
      <c r="AF56" s="398" t="e">
        <f t="shared" si="236"/>
        <v>#N/A</v>
      </c>
      <c r="AG56" s="401" t="e">
        <f t="shared" si="237"/>
        <v>#N/A</v>
      </c>
      <c r="AH56" s="399" t="e">
        <f t="shared" si="148"/>
        <v>#N/A</v>
      </c>
      <c r="AI56" s="47"/>
      <c r="AJ56" s="47"/>
      <c r="AK56" s="396" t="e">
        <f t="shared" si="238"/>
        <v>#N/A</v>
      </c>
      <c r="AL56" s="397" t="e">
        <f t="shared" si="239"/>
        <v>#N/A</v>
      </c>
      <c r="AM56" s="400" t="e">
        <f t="shared" si="359"/>
        <v>#N/A</v>
      </c>
      <c r="AN56" s="398" t="e">
        <f t="shared" si="149"/>
        <v>#N/A</v>
      </c>
      <c r="AO56" s="400" t="e">
        <f t="shared" si="240"/>
        <v>#N/A</v>
      </c>
      <c r="AP56" s="398" t="e">
        <f t="shared" si="241"/>
        <v>#N/A</v>
      </c>
      <c r="AQ56" s="401" t="e">
        <f t="shared" si="242"/>
        <v>#N/A</v>
      </c>
      <c r="AR56" s="399" t="e">
        <f t="shared" si="151"/>
        <v>#N/A</v>
      </c>
      <c r="AS56" s="47"/>
      <c r="AT56" s="47"/>
      <c r="AU56" s="396" t="e">
        <f t="shared" si="243"/>
        <v>#N/A</v>
      </c>
      <c r="AV56" s="397" t="e">
        <f t="shared" si="244"/>
        <v>#N/A</v>
      </c>
      <c r="AW56" s="400" t="e">
        <f t="shared" si="360"/>
        <v>#N/A</v>
      </c>
      <c r="AX56" s="398" t="e">
        <f t="shared" si="152"/>
        <v>#N/A</v>
      </c>
      <c r="AY56" s="400" t="e">
        <f t="shared" si="245"/>
        <v>#N/A</v>
      </c>
      <c r="AZ56" s="398" t="e">
        <f t="shared" si="246"/>
        <v>#N/A</v>
      </c>
      <c r="BA56" s="401" t="e">
        <f t="shared" si="247"/>
        <v>#N/A</v>
      </c>
      <c r="BB56" s="399" t="e">
        <f t="shared" si="154"/>
        <v>#N/A</v>
      </c>
      <c r="BC56" s="47"/>
      <c r="BD56" s="47"/>
      <c r="BE56" s="396" t="e">
        <f t="shared" si="248"/>
        <v>#N/A</v>
      </c>
      <c r="BF56" s="397" t="e">
        <f t="shared" si="249"/>
        <v>#N/A</v>
      </c>
      <c r="BG56" s="400" t="e">
        <f t="shared" si="361"/>
        <v>#N/A</v>
      </c>
      <c r="BH56" s="398" t="e">
        <f t="shared" si="155"/>
        <v>#N/A</v>
      </c>
      <c r="BI56" s="400" t="e">
        <f t="shared" si="250"/>
        <v>#N/A</v>
      </c>
      <c r="BJ56" s="398" t="e">
        <f t="shared" si="251"/>
        <v>#N/A</v>
      </c>
      <c r="BK56" s="401" t="e">
        <f t="shared" si="252"/>
        <v>#N/A</v>
      </c>
      <c r="BL56" s="399" t="e">
        <f t="shared" si="157"/>
        <v>#N/A</v>
      </c>
      <c r="BM56" s="47"/>
      <c r="BN56" s="49"/>
      <c r="BO56" s="396" t="e">
        <f t="shared" si="253"/>
        <v>#N/A</v>
      </c>
      <c r="BP56" s="397" t="e">
        <f t="shared" si="254"/>
        <v>#N/A</v>
      </c>
      <c r="BQ56" s="400" t="e">
        <f t="shared" si="362"/>
        <v>#N/A</v>
      </c>
      <c r="BR56" s="398" t="e">
        <f t="shared" si="158"/>
        <v>#N/A</v>
      </c>
      <c r="BS56" s="400" t="e">
        <f t="shared" si="255"/>
        <v>#N/A</v>
      </c>
      <c r="BT56" s="398" t="e">
        <f t="shared" si="256"/>
        <v>#N/A</v>
      </c>
      <c r="BU56" s="401" t="e">
        <f t="shared" si="257"/>
        <v>#N/A</v>
      </c>
      <c r="BV56" s="399" t="e">
        <f t="shared" si="160"/>
        <v>#N/A</v>
      </c>
      <c r="BW56" s="47"/>
      <c r="BX56" s="47"/>
      <c r="BY56" s="396" t="e">
        <f t="shared" si="258"/>
        <v>#N/A</v>
      </c>
      <c r="BZ56" s="397" t="e">
        <f t="shared" si="259"/>
        <v>#N/A</v>
      </c>
      <c r="CA56" s="400" t="e">
        <f t="shared" si="363"/>
        <v>#N/A</v>
      </c>
      <c r="CB56" s="398" t="e">
        <f t="shared" si="161"/>
        <v>#N/A</v>
      </c>
      <c r="CC56" s="400" t="e">
        <f t="shared" si="260"/>
        <v>#N/A</v>
      </c>
      <c r="CD56" s="398" t="e">
        <f t="shared" si="261"/>
        <v>#N/A</v>
      </c>
      <c r="CE56" s="401" t="e">
        <f t="shared" si="262"/>
        <v>#N/A</v>
      </c>
      <c r="CF56" s="399" t="e">
        <f t="shared" si="163"/>
        <v>#N/A</v>
      </c>
      <c r="CG56" s="49"/>
      <c r="CH56" s="47"/>
      <c r="CI56" s="396" t="e">
        <f t="shared" si="263"/>
        <v>#N/A</v>
      </c>
      <c r="CJ56" s="397" t="e">
        <f t="shared" si="264"/>
        <v>#N/A</v>
      </c>
      <c r="CK56" s="400" t="e">
        <f t="shared" si="364"/>
        <v>#N/A</v>
      </c>
      <c r="CL56" s="398" t="e">
        <f t="shared" si="164"/>
        <v>#N/A</v>
      </c>
      <c r="CM56" s="400" t="e">
        <f t="shared" si="265"/>
        <v>#N/A</v>
      </c>
      <c r="CN56" s="398" t="e">
        <f t="shared" si="266"/>
        <v>#N/A</v>
      </c>
      <c r="CO56" s="401" t="e">
        <f t="shared" si="267"/>
        <v>#N/A</v>
      </c>
      <c r="CP56" s="399" t="e">
        <f t="shared" si="166"/>
        <v>#N/A</v>
      </c>
      <c r="CQ56" s="47"/>
      <c r="CS56" s="396" t="e">
        <f t="shared" si="268"/>
        <v>#N/A</v>
      </c>
      <c r="CT56" s="397" t="e">
        <f t="shared" si="269"/>
        <v>#N/A</v>
      </c>
      <c r="CU56" s="400" t="e">
        <f t="shared" si="365"/>
        <v>#N/A</v>
      </c>
      <c r="CV56" s="398" t="e">
        <f t="shared" si="167"/>
        <v>#N/A</v>
      </c>
      <c r="CW56" s="400" t="e">
        <f t="shared" si="270"/>
        <v>#N/A</v>
      </c>
      <c r="CX56" s="398" t="e">
        <f t="shared" si="271"/>
        <v>#N/A</v>
      </c>
      <c r="CY56" s="401" t="e">
        <f t="shared" si="272"/>
        <v>#N/A</v>
      </c>
      <c r="CZ56" s="399" t="e">
        <f t="shared" si="169"/>
        <v>#N/A</v>
      </c>
      <c r="DA56" s="47"/>
      <c r="DB56" s="47"/>
      <c r="DC56" s="396" t="e">
        <f t="shared" si="273"/>
        <v>#N/A</v>
      </c>
      <c r="DD56" s="397" t="e">
        <f t="shared" si="274"/>
        <v>#N/A</v>
      </c>
      <c r="DE56" s="400" t="e">
        <f t="shared" si="366"/>
        <v>#N/A</v>
      </c>
      <c r="DF56" s="398" t="e">
        <f t="shared" si="170"/>
        <v>#N/A</v>
      </c>
      <c r="DG56" s="400" t="e">
        <f t="shared" si="275"/>
        <v>#N/A</v>
      </c>
      <c r="DH56" s="398" t="e">
        <f t="shared" si="276"/>
        <v>#N/A</v>
      </c>
      <c r="DI56" s="401" t="e">
        <f t="shared" si="277"/>
        <v>#N/A</v>
      </c>
      <c r="DJ56" s="399" t="e">
        <f t="shared" si="172"/>
        <v>#N/A</v>
      </c>
      <c r="DK56" s="47"/>
      <c r="DM56" s="396" t="e">
        <f t="shared" si="278"/>
        <v>#N/A</v>
      </c>
      <c r="DN56" s="397" t="e">
        <f t="shared" si="279"/>
        <v>#N/A</v>
      </c>
      <c r="DO56" s="400" t="e">
        <f t="shared" si="367"/>
        <v>#N/A</v>
      </c>
      <c r="DP56" s="398" t="e">
        <f t="shared" si="173"/>
        <v>#N/A</v>
      </c>
      <c r="DQ56" s="400" t="e">
        <f t="shared" si="280"/>
        <v>#N/A</v>
      </c>
      <c r="DR56" s="398" t="e">
        <f t="shared" si="281"/>
        <v>#N/A</v>
      </c>
      <c r="DS56" s="401" t="e">
        <f t="shared" si="282"/>
        <v>#N/A</v>
      </c>
      <c r="DT56" s="399" t="e">
        <f t="shared" si="175"/>
        <v>#N/A</v>
      </c>
      <c r="DU56" s="47"/>
      <c r="DV56" s="49"/>
      <c r="DW56" s="396" t="e">
        <f t="shared" si="283"/>
        <v>#N/A</v>
      </c>
      <c r="DX56" s="397" t="e">
        <f t="shared" si="284"/>
        <v>#N/A</v>
      </c>
      <c r="DY56" s="400" t="e">
        <f t="shared" si="368"/>
        <v>#N/A</v>
      </c>
      <c r="DZ56" s="398" t="e">
        <f t="shared" si="176"/>
        <v>#N/A</v>
      </c>
      <c r="EA56" s="400" t="e">
        <f t="shared" si="285"/>
        <v>#N/A</v>
      </c>
      <c r="EB56" s="398" t="e">
        <f t="shared" si="286"/>
        <v>#N/A</v>
      </c>
      <c r="EC56" s="401" t="e">
        <f t="shared" si="287"/>
        <v>#N/A</v>
      </c>
      <c r="ED56" s="399" t="e">
        <f t="shared" si="178"/>
        <v>#N/A</v>
      </c>
      <c r="EE56" s="47"/>
      <c r="EF56" s="47"/>
      <c r="EG56" s="396" t="e">
        <f t="shared" si="288"/>
        <v>#N/A</v>
      </c>
      <c r="EH56" s="397" t="e">
        <f t="shared" si="289"/>
        <v>#N/A</v>
      </c>
      <c r="EI56" s="400" t="e">
        <f t="shared" si="369"/>
        <v>#N/A</v>
      </c>
      <c r="EJ56" s="398" t="e">
        <f t="shared" si="179"/>
        <v>#N/A</v>
      </c>
      <c r="EK56" s="400" t="e">
        <f t="shared" si="290"/>
        <v>#N/A</v>
      </c>
      <c r="EL56" s="398" t="e">
        <f t="shared" si="291"/>
        <v>#N/A</v>
      </c>
      <c r="EM56" s="401" t="e">
        <f t="shared" si="292"/>
        <v>#N/A</v>
      </c>
      <c r="EN56" s="399" t="e">
        <f t="shared" si="181"/>
        <v>#N/A</v>
      </c>
      <c r="EO56" s="47"/>
      <c r="EP56" s="47"/>
      <c r="EQ56" s="396" t="e">
        <f t="shared" si="293"/>
        <v>#N/A</v>
      </c>
      <c r="ER56" s="397" t="e">
        <f t="shared" si="294"/>
        <v>#N/A</v>
      </c>
      <c r="ES56" s="400" t="e">
        <f t="shared" si="370"/>
        <v>#N/A</v>
      </c>
      <c r="ET56" s="398" t="e">
        <f t="shared" si="182"/>
        <v>#N/A</v>
      </c>
      <c r="EU56" s="400" t="e">
        <f t="shared" si="295"/>
        <v>#N/A</v>
      </c>
      <c r="EV56" s="398" t="e">
        <f t="shared" si="296"/>
        <v>#N/A</v>
      </c>
      <c r="EW56" s="401" t="e">
        <f t="shared" si="297"/>
        <v>#N/A</v>
      </c>
      <c r="EX56" s="399" t="e">
        <f t="shared" si="184"/>
        <v>#N/A</v>
      </c>
      <c r="EY56" s="47"/>
      <c r="EZ56" s="47"/>
      <c r="FA56" s="396" t="e">
        <f t="shared" si="298"/>
        <v>#N/A</v>
      </c>
      <c r="FB56" s="397" t="e">
        <f t="shared" si="299"/>
        <v>#N/A</v>
      </c>
      <c r="FC56" s="400" t="e">
        <f t="shared" si="371"/>
        <v>#N/A</v>
      </c>
      <c r="FD56" s="398" t="e">
        <f t="shared" si="185"/>
        <v>#N/A</v>
      </c>
      <c r="FE56" s="400" t="e">
        <f t="shared" si="300"/>
        <v>#N/A</v>
      </c>
      <c r="FF56" s="398" t="e">
        <f t="shared" si="301"/>
        <v>#N/A</v>
      </c>
      <c r="FG56" s="401" t="e">
        <f t="shared" si="302"/>
        <v>#N/A</v>
      </c>
      <c r="FH56" s="399" t="e">
        <f t="shared" si="187"/>
        <v>#N/A</v>
      </c>
      <c r="FI56" s="47"/>
      <c r="FJ56" s="49"/>
      <c r="FK56" s="396" t="e">
        <f t="shared" si="303"/>
        <v>#N/A</v>
      </c>
      <c r="FL56" s="397" t="e">
        <f t="shared" si="304"/>
        <v>#N/A</v>
      </c>
      <c r="FM56" s="400" t="e">
        <f t="shared" si="372"/>
        <v>#N/A</v>
      </c>
      <c r="FN56" s="398" t="e">
        <f t="shared" si="188"/>
        <v>#N/A</v>
      </c>
      <c r="FO56" s="400" t="e">
        <f t="shared" si="305"/>
        <v>#N/A</v>
      </c>
      <c r="FP56" s="398" t="e">
        <f t="shared" si="306"/>
        <v>#N/A</v>
      </c>
      <c r="FQ56" s="401" t="e">
        <f t="shared" si="307"/>
        <v>#N/A</v>
      </c>
      <c r="FR56" s="399" t="e">
        <f t="shared" si="190"/>
        <v>#N/A</v>
      </c>
      <c r="FS56" s="47"/>
      <c r="FT56" s="47"/>
      <c r="FU56" s="396" t="e">
        <f t="shared" si="308"/>
        <v>#N/A</v>
      </c>
      <c r="FV56" s="397" t="e">
        <f t="shared" si="309"/>
        <v>#N/A</v>
      </c>
      <c r="FW56" s="400" t="e">
        <f t="shared" si="373"/>
        <v>#N/A</v>
      </c>
      <c r="FX56" s="398" t="e">
        <f t="shared" si="191"/>
        <v>#N/A</v>
      </c>
      <c r="FY56" s="400" t="e">
        <f t="shared" si="310"/>
        <v>#N/A</v>
      </c>
      <c r="FZ56" s="398" t="e">
        <f t="shared" si="311"/>
        <v>#N/A</v>
      </c>
      <c r="GA56" s="401" t="e">
        <f t="shared" si="312"/>
        <v>#N/A</v>
      </c>
      <c r="GB56" s="399" t="e">
        <f t="shared" si="193"/>
        <v>#N/A</v>
      </c>
      <c r="GC56" s="47"/>
      <c r="GD56" s="47"/>
      <c r="GE56" s="396" t="e">
        <f t="shared" si="313"/>
        <v>#N/A</v>
      </c>
      <c r="GF56" s="397" t="e">
        <f t="shared" si="314"/>
        <v>#N/A</v>
      </c>
      <c r="GG56" s="400" t="e">
        <f t="shared" si="374"/>
        <v>#N/A</v>
      </c>
      <c r="GH56" s="398" t="e">
        <f t="shared" si="194"/>
        <v>#N/A</v>
      </c>
      <c r="GI56" s="400" t="e">
        <f t="shared" si="315"/>
        <v>#N/A</v>
      </c>
      <c r="GJ56" s="398" t="e">
        <f t="shared" si="316"/>
        <v>#N/A</v>
      </c>
      <c r="GK56" s="401" t="e">
        <f t="shared" si="317"/>
        <v>#N/A</v>
      </c>
      <c r="GL56" s="399" t="e">
        <f t="shared" si="196"/>
        <v>#N/A</v>
      </c>
      <c r="GM56" s="47"/>
      <c r="GN56" s="47"/>
      <c r="GO56" s="396" t="e">
        <f t="shared" si="318"/>
        <v>#N/A</v>
      </c>
      <c r="GP56" s="397" t="e">
        <f t="shared" si="319"/>
        <v>#N/A</v>
      </c>
      <c r="GQ56" s="400" t="e">
        <f t="shared" si="375"/>
        <v>#N/A</v>
      </c>
      <c r="GR56" s="398" t="e">
        <f t="shared" si="197"/>
        <v>#N/A</v>
      </c>
      <c r="GS56" s="400" t="e">
        <f t="shared" si="320"/>
        <v>#N/A</v>
      </c>
      <c r="GT56" s="398" t="e">
        <f t="shared" si="321"/>
        <v>#N/A</v>
      </c>
      <c r="GU56" s="401" t="e">
        <f t="shared" si="322"/>
        <v>#N/A</v>
      </c>
      <c r="GV56" s="399" t="e">
        <f t="shared" si="199"/>
        <v>#N/A</v>
      </c>
      <c r="GW56" s="47"/>
      <c r="GX56" s="47"/>
      <c r="GY56" s="396" t="e">
        <f t="shared" si="323"/>
        <v>#N/A</v>
      </c>
      <c r="GZ56" s="397" t="e">
        <f t="shared" si="324"/>
        <v>#N/A</v>
      </c>
      <c r="HA56" s="400" t="e">
        <f t="shared" si="376"/>
        <v>#N/A</v>
      </c>
      <c r="HB56" s="398" t="e">
        <f t="shared" si="200"/>
        <v>#N/A</v>
      </c>
      <c r="HC56" s="400" t="e">
        <f t="shared" si="325"/>
        <v>#N/A</v>
      </c>
      <c r="HD56" s="398" t="e">
        <f t="shared" si="326"/>
        <v>#N/A</v>
      </c>
      <c r="HE56" s="401" t="e">
        <f t="shared" si="327"/>
        <v>#N/A</v>
      </c>
      <c r="HF56" s="399" t="e">
        <f t="shared" si="202"/>
        <v>#N/A</v>
      </c>
      <c r="HH56" s="47"/>
      <c r="HI56" s="396" t="e">
        <f t="shared" si="328"/>
        <v>#N/A</v>
      </c>
      <c r="HJ56" s="397" t="e">
        <f t="shared" si="329"/>
        <v>#N/A</v>
      </c>
      <c r="HK56" s="400" t="e">
        <f t="shared" si="377"/>
        <v>#N/A</v>
      </c>
      <c r="HL56" s="398" t="e">
        <f t="shared" si="203"/>
        <v>#N/A</v>
      </c>
      <c r="HM56" s="400" t="e">
        <f t="shared" si="330"/>
        <v>#N/A</v>
      </c>
      <c r="HN56" s="398" t="e">
        <f t="shared" si="331"/>
        <v>#N/A</v>
      </c>
      <c r="HO56" s="401" t="e">
        <f t="shared" si="332"/>
        <v>#N/A</v>
      </c>
      <c r="HP56" s="399" t="e">
        <f t="shared" si="205"/>
        <v>#N/A</v>
      </c>
      <c r="HQ56" s="47"/>
      <c r="HR56" s="47"/>
      <c r="HS56" s="396" t="e">
        <f t="shared" si="333"/>
        <v>#N/A</v>
      </c>
      <c r="HT56" s="397" t="e">
        <f t="shared" si="334"/>
        <v>#N/A</v>
      </c>
      <c r="HU56" s="400" t="e">
        <f t="shared" si="378"/>
        <v>#N/A</v>
      </c>
      <c r="HV56" s="398" t="e">
        <f t="shared" si="206"/>
        <v>#N/A</v>
      </c>
      <c r="HW56" s="400" t="e">
        <f t="shared" si="335"/>
        <v>#N/A</v>
      </c>
      <c r="HX56" s="398" t="e">
        <f t="shared" si="336"/>
        <v>#N/A</v>
      </c>
      <c r="HY56" s="401" t="e">
        <f t="shared" si="337"/>
        <v>#N/A</v>
      </c>
      <c r="HZ56" s="399" t="e">
        <f t="shared" si="208"/>
        <v>#N/A</v>
      </c>
      <c r="IA56" s="47"/>
      <c r="IB56" s="49"/>
      <c r="IC56" s="396" t="e">
        <f t="shared" si="338"/>
        <v>#N/A</v>
      </c>
      <c r="ID56" s="397" t="e">
        <f t="shared" si="339"/>
        <v>#N/A</v>
      </c>
      <c r="IE56" s="400" t="e">
        <f t="shared" si="379"/>
        <v>#N/A</v>
      </c>
      <c r="IF56" s="398" t="e">
        <f t="shared" si="209"/>
        <v>#N/A</v>
      </c>
      <c r="IG56" s="400" t="e">
        <f t="shared" si="340"/>
        <v>#N/A</v>
      </c>
      <c r="IH56" s="398" t="e">
        <f t="shared" si="341"/>
        <v>#N/A</v>
      </c>
      <c r="II56" s="401" t="e">
        <f t="shared" si="342"/>
        <v>#N/A</v>
      </c>
      <c r="IJ56" s="399" t="e">
        <f t="shared" si="211"/>
        <v>#N/A</v>
      </c>
      <c r="IK56" s="47"/>
      <c r="IL56" s="47"/>
      <c r="IM56" s="396" t="e">
        <f t="shared" si="343"/>
        <v>#N/A</v>
      </c>
      <c r="IN56" s="397" t="e">
        <f t="shared" si="344"/>
        <v>#N/A</v>
      </c>
      <c r="IO56" s="400" t="e">
        <f t="shared" si="380"/>
        <v>#N/A</v>
      </c>
      <c r="IP56" s="398" t="e">
        <f t="shared" si="212"/>
        <v>#N/A</v>
      </c>
      <c r="IQ56" s="400" t="e">
        <f t="shared" si="345"/>
        <v>#N/A</v>
      </c>
      <c r="IR56" s="398" t="e">
        <f t="shared" si="346"/>
        <v>#N/A</v>
      </c>
      <c r="IS56" s="401" t="e">
        <f t="shared" si="347"/>
        <v>#N/A</v>
      </c>
      <c r="IT56" s="399" t="e">
        <f t="shared" si="214"/>
        <v>#N/A</v>
      </c>
      <c r="IU56" s="47"/>
      <c r="IV56" s="47"/>
      <c r="IW56" s="396" t="e">
        <f t="shared" si="116"/>
        <v>#N/A</v>
      </c>
      <c r="IX56" s="397" t="e">
        <f t="shared" si="117"/>
        <v>#N/A</v>
      </c>
      <c r="IY56" s="400" t="e">
        <f t="shared" si="118"/>
        <v>#N/A</v>
      </c>
      <c r="IZ56" s="398" t="e">
        <f t="shared" si="348"/>
        <v>#N/A</v>
      </c>
      <c r="JA56" s="400" t="e">
        <f t="shared" si="119"/>
        <v>#N/A</v>
      </c>
      <c r="JB56" s="398" t="e">
        <f t="shared" si="120"/>
        <v>#N/A</v>
      </c>
      <c r="JC56" s="401" t="e">
        <f t="shared" si="216"/>
        <v>#N/A</v>
      </c>
      <c r="JD56" s="399" t="e">
        <f t="shared" si="217"/>
        <v>#N/A</v>
      </c>
      <c r="JE56" s="47"/>
      <c r="JF56" s="47"/>
      <c r="JG56" s="396">
        <f t="shared" si="121"/>
        <v>7.26</v>
      </c>
      <c r="JH56" s="397">
        <f t="shared" si="122"/>
        <v>6.875</v>
      </c>
      <c r="JI56" s="400">
        <f t="shared" si="123"/>
        <v>4.5999999999999996</v>
      </c>
      <c r="JJ56" s="398">
        <f t="shared" si="349"/>
        <v>157.06855610405984</v>
      </c>
      <c r="JK56" s="400">
        <f t="shared" si="124"/>
        <v>72.672334014567824</v>
      </c>
      <c r="JL56" s="398">
        <f t="shared" si="125"/>
        <v>10.312500000000002</v>
      </c>
      <c r="JM56" s="401">
        <f t="shared" si="219"/>
        <v>4.1109540835389558</v>
      </c>
      <c r="JN56" s="399">
        <f t="shared" si="220"/>
        <v>191.80044778963418</v>
      </c>
      <c r="JO56" s="47"/>
      <c r="JP56" s="47"/>
      <c r="JQ56" s="396">
        <f t="shared" si="126"/>
        <v>7.26</v>
      </c>
      <c r="JR56" s="397">
        <f t="shared" si="127"/>
        <v>6.875</v>
      </c>
      <c r="JS56" s="400">
        <f t="shared" si="128"/>
        <v>4.5999999999999996</v>
      </c>
      <c r="JT56" s="398">
        <f t="shared" si="350"/>
        <v>157.06855610405984</v>
      </c>
      <c r="JU56" s="400">
        <f t="shared" si="129"/>
        <v>72.672334014567824</v>
      </c>
      <c r="JV56" s="398">
        <f t="shared" si="130"/>
        <v>3.4374999999999996</v>
      </c>
      <c r="JW56" s="401">
        <f t="shared" si="222"/>
        <v>4.1109540835389558</v>
      </c>
      <c r="JX56" s="399">
        <f t="shared" si="223"/>
        <v>191.80044778963418</v>
      </c>
      <c r="JY56" s="47"/>
      <c r="JZ56" s="47"/>
      <c r="KA56" s="396">
        <f t="shared" si="131"/>
        <v>7.26</v>
      </c>
      <c r="KB56" s="397">
        <f t="shared" si="132"/>
        <v>6.875</v>
      </c>
      <c r="KC56" s="400">
        <f t="shared" si="133"/>
        <v>4.5999999999999996</v>
      </c>
      <c r="KD56" s="398">
        <f t="shared" si="351"/>
        <v>157.06855610405984</v>
      </c>
      <c r="KE56" s="400">
        <f t="shared" si="134"/>
        <v>72.672334014567824</v>
      </c>
      <c r="KF56" s="398">
        <f t="shared" si="135"/>
        <v>-3.4374999999999996</v>
      </c>
      <c r="KG56" s="401">
        <f t="shared" si="225"/>
        <v>4.1109540835389558</v>
      </c>
      <c r="KH56" s="399">
        <f t="shared" si="226"/>
        <v>191.80044778963418</v>
      </c>
      <c r="KI56" s="47"/>
      <c r="KJ56" s="47"/>
      <c r="KK56" s="396">
        <f t="shared" si="136"/>
        <v>7.26</v>
      </c>
      <c r="KL56" s="397">
        <f t="shared" si="137"/>
        <v>6.875</v>
      </c>
      <c r="KM56" s="400">
        <f t="shared" si="138"/>
        <v>4.5999999999999996</v>
      </c>
      <c r="KN56" s="398">
        <f t="shared" si="352"/>
        <v>157.06855610405984</v>
      </c>
      <c r="KO56" s="400">
        <f t="shared" si="139"/>
        <v>72.672334014567824</v>
      </c>
      <c r="KP56" s="398">
        <f t="shared" si="140"/>
        <v>-10.312500000000002</v>
      </c>
      <c r="KQ56" s="401">
        <f t="shared" si="228"/>
        <v>4.1109540835389558</v>
      </c>
      <c r="KR56" s="399">
        <f t="shared" si="229"/>
        <v>191.80044778963418</v>
      </c>
      <c r="KS56" s="47"/>
      <c r="KT56" s="47"/>
      <c r="KU56" s="396" t="e">
        <f t="shared" si="353"/>
        <v>#N/A</v>
      </c>
      <c r="KV56" s="397" t="e">
        <f t="shared" si="354"/>
        <v>#N/A</v>
      </c>
      <c r="KW56" s="400" t="e">
        <f t="shared" si="381"/>
        <v>#N/A</v>
      </c>
      <c r="KX56" s="398" t="e">
        <f t="shared" si="230"/>
        <v>#N/A</v>
      </c>
      <c r="KY56" s="400" t="e">
        <f t="shared" si="355"/>
        <v>#N/A</v>
      </c>
      <c r="KZ56" s="398" t="e">
        <f t="shared" si="356"/>
        <v>#N/A</v>
      </c>
      <c r="LA56" s="401" t="e">
        <f t="shared" si="357"/>
        <v>#N/A</v>
      </c>
      <c r="LB56" s="399" t="e">
        <f t="shared" si="232"/>
        <v>#N/A</v>
      </c>
      <c r="LC56" s="47"/>
    </row>
    <row r="57" spans="1:315" x14ac:dyDescent="0.25">
      <c r="Z57" s="413"/>
      <c r="AA57" s="396" t="e">
        <f t="shared" si="233"/>
        <v>#N/A</v>
      </c>
      <c r="AB57" s="397" t="e">
        <f t="shared" si="234"/>
        <v>#N/A</v>
      </c>
      <c r="AC57" s="400" t="e">
        <f t="shared" si="358"/>
        <v>#N/A</v>
      </c>
      <c r="AD57" s="398" t="e">
        <f t="shared" si="146"/>
        <v>#N/A</v>
      </c>
      <c r="AE57" s="400" t="e">
        <f t="shared" si="235"/>
        <v>#N/A</v>
      </c>
      <c r="AF57" s="398" t="e">
        <f t="shared" si="236"/>
        <v>#N/A</v>
      </c>
      <c r="AG57" s="401" t="e">
        <f t="shared" si="237"/>
        <v>#N/A</v>
      </c>
      <c r="AH57" s="399" t="e">
        <f t="shared" si="148"/>
        <v>#N/A</v>
      </c>
      <c r="AI57" s="47"/>
      <c r="AJ57" s="47"/>
      <c r="AK57" s="396" t="e">
        <f t="shared" si="238"/>
        <v>#N/A</v>
      </c>
      <c r="AL57" s="397" t="e">
        <f t="shared" si="239"/>
        <v>#N/A</v>
      </c>
      <c r="AM57" s="400" t="e">
        <f t="shared" si="359"/>
        <v>#N/A</v>
      </c>
      <c r="AN57" s="398" t="e">
        <f t="shared" si="149"/>
        <v>#N/A</v>
      </c>
      <c r="AO57" s="400" t="e">
        <f t="shared" si="240"/>
        <v>#N/A</v>
      </c>
      <c r="AP57" s="398" t="e">
        <f t="shared" si="241"/>
        <v>#N/A</v>
      </c>
      <c r="AQ57" s="401" t="e">
        <f t="shared" si="242"/>
        <v>#N/A</v>
      </c>
      <c r="AR57" s="399" t="e">
        <f t="shared" si="151"/>
        <v>#N/A</v>
      </c>
      <c r="AS57" s="47"/>
      <c r="AT57" s="47"/>
      <c r="AU57" s="396" t="e">
        <f t="shared" si="243"/>
        <v>#N/A</v>
      </c>
      <c r="AV57" s="397" t="e">
        <f t="shared" si="244"/>
        <v>#N/A</v>
      </c>
      <c r="AW57" s="400" t="e">
        <f t="shared" si="360"/>
        <v>#N/A</v>
      </c>
      <c r="AX57" s="398" t="e">
        <f t="shared" si="152"/>
        <v>#N/A</v>
      </c>
      <c r="AY57" s="400" t="e">
        <f t="shared" si="245"/>
        <v>#N/A</v>
      </c>
      <c r="AZ57" s="398" t="e">
        <f t="shared" si="246"/>
        <v>#N/A</v>
      </c>
      <c r="BA57" s="401" t="e">
        <f t="shared" si="247"/>
        <v>#N/A</v>
      </c>
      <c r="BB57" s="399" t="e">
        <f t="shared" si="154"/>
        <v>#N/A</v>
      </c>
      <c r="BC57" s="47"/>
      <c r="BD57" s="47"/>
      <c r="BE57" s="396" t="e">
        <f t="shared" si="248"/>
        <v>#N/A</v>
      </c>
      <c r="BF57" s="397" t="e">
        <f t="shared" si="249"/>
        <v>#N/A</v>
      </c>
      <c r="BG57" s="400" t="e">
        <f t="shared" si="361"/>
        <v>#N/A</v>
      </c>
      <c r="BH57" s="398" t="e">
        <f t="shared" si="155"/>
        <v>#N/A</v>
      </c>
      <c r="BI57" s="400" t="e">
        <f t="shared" si="250"/>
        <v>#N/A</v>
      </c>
      <c r="BJ57" s="398" t="e">
        <f t="shared" si="251"/>
        <v>#N/A</v>
      </c>
      <c r="BK57" s="401" t="e">
        <f t="shared" si="252"/>
        <v>#N/A</v>
      </c>
      <c r="BL57" s="399" t="e">
        <f t="shared" si="157"/>
        <v>#N/A</v>
      </c>
      <c r="BM57" s="47"/>
      <c r="BN57" s="49"/>
      <c r="BO57" s="396" t="e">
        <f t="shared" si="253"/>
        <v>#N/A</v>
      </c>
      <c r="BP57" s="397" t="e">
        <f t="shared" si="254"/>
        <v>#N/A</v>
      </c>
      <c r="BQ57" s="400" t="e">
        <f t="shared" si="362"/>
        <v>#N/A</v>
      </c>
      <c r="BR57" s="398" t="e">
        <f t="shared" si="158"/>
        <v>#N/A</v>
      </c>
      <c r="BS57" s="400" t="e">
        <f t="shared" si="255"/>
        <v>#N/A</v>
      </c>
      <c r="BT57" s="398" t="e">
        <f t="shared" si="256"/>
        <v>#N/A</v>
      </c>
      <c r="BU57" s="401" t="e">
        <f t="shared" si="257"/>
        <v>#N/A</v>
      </c>
      <c r="BV57" s="399" t="e">
        <f t="shared" si="160"/>
        <v>#N/A</v>
      </c>
      <c r="BW57" s="47"/>
      <c r="BX57" s="47"/>
      <c r="BY57" s="396" t="e">
        <f t="shared" si="258"/>
        <v>#N/A</v>
      </c>
      <c r="BZ57" s="397" t="e">
        <f t="shared" si="259"/>
        <v>#N/A</v>
      </c>
      <c r="CA57" s="400" t="e">
        <f t="shared" si="363"/>
        <v>#N/A</v>
      </c>
      <c r="CB57" s="398" t="e">
        <f t="shared" si="161"/>
        <v>#N/A</v>
      </c>
      <c r="CC57" s="400" t="e">
        <f t="shared" si="260"/>
        <v>#N/A</v>
      </c>
      <c r="CD57" s="398" t="e">
        <f t="shared" si="261"/>
        <v>#N/A</v>
      </c>
      <c r="CE57" s="401" t="e">
        <f t="shared" si="262"/>
        <v>#N/A</v>
      </c>
      <c r="CF57" s="399" t="e">
        <f t="shared" si="163"/>
        <v>#N/A</v>
      </c>
      <c r="CG57" s="49"/>
      <c r="CH57" s="47"/>
      <c r="CI57" s="396" t="e">
        <f t="shared" si="263"/>
        <v>#N/A</v>
      </c>
      <c r="CJ57" s="397" t="e">
        <f t="shared" si="264"/>
        <v>#N/A</v>
      </c>
      <c r="CK57" s="400" t="e">
        <f t="shared" si="364"/>
        <v>#N/A</v>
      </c>
      <c r="CL57" s="398" t="e">
        <f t="shared" si="164"/>
        <v>#N/A</v>
      </c>
      <c r="CM57" s="400" t="e">
        <f t="shared" si="265"/>
        <v>#N/A</v>
      </c>
      <c r="CN57" s="398" t="e">
        <f t="shared" si="266"/>
        <v>#N/A</v>
      </c>
      <c r="CO57" s="401" t="e">
        <f t="shared" si="267"/>
        <v>#N/A</v>
      </c>
      <c r="CP57" s="399" t="e">
        <f t="shared" si="166"/>
        <v>#N/A</v>
      </c>
      <c r="CQ57" s="47"/>
      <c r="CS57" s="396" t="e">
        <f t="shared" si="268"/>
        <v>#N/A</v>
      </c>
      <c r="CT57" s="397" t="e">
        <f t="shared" si="269"/>
        <v>#N/A</v>
      </c>
      <c r="CU57" s="400" t="e">
        <f t="shared" si="365"/>
        <v>#N/A</v>
      </c>
      <c r="CV57" s="398" t="e">
        <f t="shared" si="167"/>
        <v>#N/A</v>
      </c>
      <c r="CW57" s="400" t="e">
        <f t="shared" si="270"/>
        <v>#N/A</v>
      </c>
      <c r="CX57" s="398" t="e">
        <f t="shared" si="271"/>
        <v>#N/A</v>
      </c>
      <c r="CY57" s="401" t="e">
        <f t="shared" si="272"/>
        <v>#N/A</v>
      </c>
      <c r="CZ57" s="399" t="e">
        <f t="shared" si="169"/>
        <v>#N/A</v>
      </c>
      <c r="DA57" s="47"/>
      <c r="DB57" s="47"/>
      <c r="DC57" s="396" t="e">
        <f t="shared" si="273"/>
        <v>#N/A</v>
      </c>
      <c r="DD57" s="397" t="e">
        <f t="shared" si="274"/>
        <v>#N/A</v>
      </c>
      <c r="DE57" s="400" t="e">
        <f t="shared" si="366"/>
        <v>#N/A</v>
      </c>
      <c r="DF57" s="398" t="e">
        <f t="shared" si="170"/>
        <v>#N/A</v>
      </c>
      <c r="DG57" s="400" t="e">
        <f t="shared" si="275"/>
        <v>#N/A</v>
      </c>
      <c r="DH57" s="398" t="e">
        <f t="shared" si="276"/>
        <v>#N/A</v>
      </c>
      <c r="DI57" s="401" t="e">
        <f t="shared" si="277"/>
        <v>#N/A</v>
      </c>
      <c r="DJ57" s="399" t="e">
        <f t="shared" si="172"/>
        <v>#N/A</v>
      </c>
      <c r="DK57" s="47"/>
      <c r="DM57" s="396" t="e">
        <f t="shared" si="278"/>
        <v>#N/A</v>
      </c>
      <c r="DN57" s="397" t="e">
        <f t="shared" si="279"/>
        <v>#N/A</v>
      </c>
      <c r="DO57" s="400" t="e">
        <f t="shared" si="367"/>
        <v>#N/A</v>
      </c>
      <c r="DP57" s="398" t="e">
        <f t="shared" si="173"/>
        <v>#N/A</v>
      </c>
      <c r="DQ57" s="400" t="e">
        <f t="shared" si="280"/>
        <v>#N/A</v>
      </c>
      <c r="DR57" s="398" t="e">
        <f t="shared" si="281"/>
        <v>#N/A</v>
      </c>
      <c r="DS57" s="401" t="e">
        <f t="shared" si="282"/>
        <v>#N/A</v>
      </c>
      <c r="DT57" s="399" t="e">
        <f t="shared" si="175"/>
        <v>#N/A</v>
      </c>
      <c r="DU57" s="47"/>
      <c r="DV57" s="49"/>
      <c r="DW57" s="396" t="e">
        <f t="shared" si="283"/>
        <v>#N/A</v>
      </c>
      <c r="DX57" s="397" t="e">
        <f t="shared" si="284"/>
        <v>#N/A</v>
      </c>
      <c r="DY57" s="400" t="e">
        <f t="shared" si="368"/>
        <v>#N/A</v>
      </c>
      <c r="DZ57" s="398" t="e">
        <f t="shared" si="176"/>
        <v>#N/A</v>
      </c>
      <c r="EA57" s="400" t="e">
        <f t="shared" si="285"/>
        <v>#N/A</v>
      </c>
      <c r="EB57" s="398" t="e">
        <f t="shared" si="286"/>
        <v>#N/A</v>
      </c>
      <c r="EC57" s="401" t="e">
        <f t="shared" si="287"/>
        <v>#N/A</v>
      </c>
      <c r="ED57" s="399" t="e">
        <f t="shared" si="178"/>
        <v>#N/A</v>
      </c>
      <c r="EE57" s="47"/>
      <c r="EF57" s="47"/>
      <c r="EG57" s="396" t="e">
        <f t="shared" si="288"/>
        <v>#N/A</v>
      </c>
      <c r="EH57" s="397" t="e">
        <f t="shared" si="289"/>
        <v>#N/A</v>
      </c>
      <c r="EI57" s="400" t="e">
        <f t="shared" si="369"/>
        <v>#N/A</v>
      </c>
      <c r="EJ57" s="398" t="e">
        <f t="shared" si="179"/>
        <v>#N/A</v>
      </c>
      <c r="EK57" s="400" t="e">
        <f t="shared" si="290"/>
        <v>#N/A</v>
      </c>
      <c r="EL57" s="398" t="e">
        <f t="shared" si="291"/>
        <v>#N/A</v>
      </c>
      <c r="EM57" s="401" t="e">
        <f t="shared" si="292"/>
        <v>#N/A</v>
      </c>
      <c r="EN57" s="399" t="e">
        <f t="shared" si="181"/>
        <v>#N/A</v>
      </c>
      <c r="EO57" s="47"/>
      <c r="EP57" s="47"/>
      <c r="EQ57" s="396" t="e">
        <f t="shared" si="293"/>
        <v>#N/A</v>
      </c>
      <c r="ER57" s="397" t="e">
        <f t="shared" si="294"/>
        <v>#N/A</v>
      </c>
      <c r="ES57" s="400" t="e">
        <f t="shared" si="370"/>
        <v>#N/A</v>
      </c>
      <c r="ET57" s="398" t="e">
        <f t="shared" si="182"/>
        <v>#N/A</v>
      </c>
      <c r="EU57" s="400" t="e">
        <f t="shared" si="295"/>
        <v>#N/A</v>
      </c>
      <c r="EV57" s="398" t="e">
        <f t="shared" si="296"/>
        <v>#N/A</v>
      </c>
      <c r="EW57" s="401" t="e">
        <f t="shared" si="297"/>
        <v>#N/A</v>
      </c>
      <c r="EX57" s="399" t="e">
        <f t="shared" si="184"/>
        <v>#N/A</v>
      </c>
      <c r="EY57" s="47"/>
      <c r="EZ57" s="47"/>
      <c r="FA57" s="396" t="e">
        <f t="shared" si="298"/>
        <v>#N/A</v>
      </c>
      <c r="FB57" s="397" t="e">
        <f t="shared" si="299"/>
        <v>#N/A</v>
      </c>
      <c r="FC57" s="400" t="e">
        <f t="shared" si="371"/>
        <v>#N/A</v>
      </c>
      <c r="FD57" s="398" t="e">
        <f t="shared" si="185"/>
        <v>#N/A</v>
      </c>
      <c r="FE57" s="400" t="e">
        <f t="shared" si="300"/>
        <v>#N/A</v>
      </c>
      <c r="FF57" s="398" t="e">
        <f t="shared" si="301"/>
        <v>#N/A</v>
      </c>
      <c r="FG57" s="401" t="e">
        <f t="shared" si="302"/>
        <v>#N/A</v>
      </c>
      <c r="FH57" s="399" t="e">
        <f t="shared" si="187"/>
        <v>#N/A</v>
      </c>
      <c r="FI57" s="47"/>
      <c r="FJ57" s="49"/>
      <c r="FK57" s="396" t="e">
        <f t="shared" si="303"/>
        <v>#N/A</v>
      </c>
      <c r="FL57" s="397" t="e">
        <f t="shared" si="304"/>
        <v>#N/A</v>
      </c>
      <c r="FM57" s="400" t="e">
        <f t="shared" si="372"/>
        <v>#N/A</v>
      </c>
      <c r="FN57" s="398" t="e">
        <f t="shared" si="188"/>
        <v>#N/A</v>
      </c>
      <c r="FO57" s="400" t="e">
        <f t="shared" si="305"/>
        <v>#N/A</v>
      </c>
      <c r="FP57" s="398" t="e">
        <f t="shared" si="306"/>
        <v>#N/A</v>
      </c>
      <c r="FQ57" s="401" t="e">
        <f t="shared" si="307"/>
        <v>#N/A</v>
      </c>
      <c r="FR57" s="399" t="e">
        <f t="shared" si="190"/>
        <v>#N/A</v>
      </c>
      <c r="FS57" s="47"/>
      <c r="FT57" s="47"/>
      <c r="FU57" s="396" t="e">
        <f t="shared" si="308"/>
        <v>#N/A</v>
      </c>
      <c r="FV57" s="397" t="e">
        <f t="shared" si="309"/>
        <v>#N/A</v>
      </c>
      <c r="FW57" s="400" t="e">
        <f t="shared" si="373"/>
        <v>#N/A</v>
      </c>
      <c r="FX57" s="398" t="e">
        <f t="shared" si="191"/>
        <v>#N/A</v>
      </c>
      <c r="FY57" s="400" t="e">
        <f t="shared" si="310"/>
        <v>#N/A</v>
      </c>
      <c r="FZ57" s="398" t="e">
        <f t="shared" si="311"/>
        <v>#N/A</v>
      </c>
      <c r="GA57" s="401" t="e">
        <f t="shared" si="312"/>
        <v>#N/A</v>
      </c>
      <c r="GB57" s="399" t="e">
        <f t="shared" si="193"/>
        <v>#N/A</v>
      </c>
      <c r="GC57" s="47"/>
      <c r="GD57" s="47"/>
      <c r="GE57" s="396" t="e">
        <f t="shared" si="313"/>
        <v>#N/A</v>
      </c>
      <c r="GF57" s="397" t="e">
        <f t="shared" si="314"/>
        <v>#N/A</v>
      </c>
      <c r="GG57" s="400" t="e">
        <f t="shared" si="374"/>
        <v>#N/A</v>
      </c>
      <c r="GH57" s="398" t="e">
        <f t="shared" si="194"/>
        <v>#N/A</v>
      </c>
      <c r="GI57" s="400" t="e">
        <f t="shared" si="315"/>
        <v>#N/A</v>
      </c>
      <c r="GJ57" s="398" t="e">
        <f t="shared" si="316"/>
        <v>#N/A</v>
      </c>
      <c r="GK57" s="401" t="e">
        <f t="shared" si="317"/>
        <v>#N/A</v>
      </c>
      <c r="GL57" s="399" t="e">
        <f t="shared" si="196"/>
        <v>#N/A</v>
      </c>
      <c r="GM57" s="47"/>
      <c r="GN57" s="47"/>
      <c r="GO57" s="396" t="e">
        <f t="shared" si="318"/>
        <v>#N/A</v>
      </c>
      <c r="GP57" s="397" t="e">
        <f t="shared" si="319"/>
        <v>#N/A</v>
      </c>
      <c r="GQ57" s="400" t="e">
        <f t="shared" si="375"/>
        <v>#N/A</v>
      </c>
      <c r="GR57" s="398" t="e">
        <f t="shared" si="197"/>
        <v>#N/A</v>
      </c>
      <c r="GS57" s="400" t="e">
        <f t="shared" si="320"/>
        <v>#N/A</v>
      </c>
      <c r="GT57" s="398" t="e">
        <f t="shared" si="321"/>
        <v>#N/A</v>
      </c>
      <c r="GU57" s="401" t="e">
        <f t="shared" si="322"/>
        <v>#N/A</v>
      </c>
      <c r="GV57" s="399" t="e">
        <f t="shared" si="199"/>
        <v>#N/A</v>
      </c>
      <c r="GW57" s="47"/>
      <c r="GX57" s="47"/>
      <c r="GY57" s="396" t="e">
        <f t="shared" si="323"/>
        <v>#N/A</v>
      </c>
      <c r="GZ57" s="397" t="e">
        <f t="shared" si="324"/>
        <v>#N/A</v>
      </c>
      <c r="HA57" s="400" t="e">
        <f t="shared" si="376"/>
        <v>#N/A</v>
      </c>
      <c r="HB57" s="398" t="e">
        <f t="shared" si="200"/>
        <v>#N/A</v>
      </c>
      <c r="HC57" s="400" t="e">
        <f t="shared" si="325"/>
        <v>#N/A</v>
      </c>
      <c r="HD57" s="398" t="e">
        <f t="shared" si="326"/>
        <v>#N/A</v>
      </c>
      <c r="HE57" s="401" t="e">
        <f t="shared" si="327"/>
        <v>#N/A</v>
      </c>
      <c r="HF57" s="399" t="e">
        <f t="shared" si="202"/>
        <v>#N/A</v>
      </c>
      <c r="HH57" s="47"/>
      <c r="HI57" s="396" t="e">
        <f t="shared" si="328"/>
        <v>#N/A</v>
      </c>
      <c r="HJ57" s="397" t="e">
        <f t="shared" si="329"/>
        <v>#N/A</v>
      </c>
      <c r="HK57" s="400" t="e">
        <f t="shared" si="377"/>
        <v>#N/A</v>
      </c>
      <c r="HL57" s="398" t="e">
        <f t="shared" si="203"/>
        <v>#N/A</v>
      </c>
      <c r="HM57" s="400" t="e">
        <f t="shared" si="330"/>
        <v>#N/A</v>
      </c>
      <c r="HN57" s="398" t="e">
        <f t="shared" si="331"/>
        <v>#N/A</v>
      </c>
      <c r="HO57" s="401" t="e">
        <f t="shared" si="332"/>
        <v>#N/A</v>
      </c>
      <c r="HP57" s="399" t="e">
        <f t="shared" si="205"/>
        <v>#N/A</v>
      </c>
      <c r="HQ57" s="47"/>
      <c r="HR57" s="47"/>
      <c r="HS57" s="396" t="e">
        <f t="shared" si="333"/>
        <v>#N/A</v>
      </c>
      <c r="HT57" s="397" t="e">
        <f t="shared" si="334"/>
        <v>#N/A</v>
      </c>
      <c r="HU57" s="400" t="e">
        <f t="shared" si="378"/>
        <v>#N/A</v>
      </c>
      <c r="HV57" s="398" t="e">
        <f t="shared" si="206"/>
        <v>#N/A</v>
      </c>
      <c r="HW57" s="400" t="e">
        <f t="shared" si="335"/>
        <v>#N/A</v>
      </c>
      <c r="HX57" s="398" t="e">
        <f t="shared" si="336"/>
        <v>#N/A</v>
      </c>
      <c r="HY57" s="401" t="e">
        <f t="shared" si="337"/>
        <v>#N/A</v>
      </c>
      <c r="HZ57" s="399" t="e">
        <f t="shared" si="208"/>
        <v>#N/A</v>
      </c>
      <c r="IA57" s="47"/>
      <c r="IB57" s="49"/>
      <c r="IC57" s="396" t="e">
        <f t="shared" si="338"/>
        <v>#N/A</v>
      </c>
      <c r="ID57" s="397" t="e">
        <f t="shared" si="339"/>
        <v>#N/A</v>
      </c>
      <c r="IE57" s="400" t="e">
        <f t="shared" si="379"/>
        <v>#N/A</v>
      </c>
      <c r="IF57" s="398" t="e">
        <f t="shared" si="209"/>
        <v>#N/A</v>
      </c>
      <c r="IG57" s="400" t="e">
        <f t="shared" si="340"/>
        <v>#N/A</v>
      </c>
      <c r="IH57" s="398" t="e">
        <f t="shared" si="341"/>
        <v>#N/A</v>
      </c>
      <c r="II57" s="401" t="e">
        <f t="shared" si="342"/>
        <v>#N/A</v>
      </c>
      <c r="IJ57" s="399" t="e">
        <f t="shared" si="211"/>
        <v>#N/A</v>
      </c>
      <c r="IK57" s="47"/>
      <c r="IL57" s="47"/>
      <c r="IM57" s="396" t="e">
        <f t="shared" si="343"/>
        <v>#N/A</v>
      </c>
      <c r="IN57" s="397" t="e">
        <f t="shared" si="344"/>
        <v>#N/A</v>
      </c>
      <c r="IO57" s="400" t="e">
        <f t="shared" si="380"/>
        <v>#N/A</v>
      </c>
      <c r="IP57" s="398" t="e">
        <f t="shared" si="212"/>
        <v>#N/A</v>
      </c>
      <c r="IQ57" s="400" t="e">
        <f t="shared" si="345"/>
        <v>#N/A</v>
      </c>
      <c r="IR57" s="398" t="e">
        <f t="shared" si="346"/>
        <v>#N/A</v>
      </c>
      <c r="IS57" s="401" t="e">
        <f t="shared" si="347"/>
        <v>#N/A</v>
      </c>
      <c r="IT57" s="399" t="e">
        <f t="shared" si="214"/>
        <v>#N/A</v>
      </c>
      <c r="IU57" s="47"/>
      <c r="IV57" s="47"/>
      <c r="IW57" s="396" t="e">
        <f t="shared" si="116"/>
        <v>#N/A</v>
      </c>
      <c r="IX57" s="397" t="e">
        <f t="shared" si="117"/>
        <v>#N/A</v>
      </c>
      <c r="IY57" s="400" t="e">
        <f t="shared" si="118"/>
        <v>#N/A</v>
      </c>
      <c r="IZ57" s="398" t="e">
        <f t="shared" si="348"/>
        <v>#N/A</v>
      </c>
      <c r="JA57" s="400" t="e">
        <f t="shared" si="119"/>
        <v>#N/A</v>
      </c>
      <c r="JB57" s="398" t="e">
        <f t="shared" si="120"/>
        <v>#N/A</v>
      </c>
      <c r="JC57" s="401" t="e">
        <f t="shared" si="216"/>
        <v>#N/A</v>
      </c>
      <c r="JD57" s="399" t="e">
        <f t="shared" si="217"/>
        <v>#N/A</v>
      </c>
      <c r="JE57" s="47"/>
      <c r="JF57" s="47"/>
      <c r="JG57" s="396">
        <f t="shared" si="121"/>
        <v>7.26</v>
      </c>
      <c r="JH57" s="397">
        <f t="shared" si="122"/>
        <v>6.875</v>
      </c>
      <c r="JI57" s="400">
        <f t="shared" si="123"/>
        <v>4.6999999999999993</v>
      </c>
      <c r="JJ57" s="398">
        <f t="shared" si="349"/>
        <v>162.05980610405982</v>
      </c>
      <c r="JK57" s="400">
        <f t="shared" si="124"/>
        <v>72.689509466129209</v>
      </c>
      <c r="JL57" s="398">
        <f t="shared" si="125"/>
        <v>10.312500000000002</v>
      </c>
      <c r="JM57" s="401">
        <f t="shared" si="219"/>
        <v>4.1643914418742822</v>
      </c>
      <c r="JN57" s="399">
        <f t="shared" si="220"/>
        <v>191.80044778963418</v>
      </c>
      <c r="JO57" s="47"/>
      <c r="JP57" s="47"/>
      <c r="JQ57" s="396">
        <f t="shared" si="126"/>
        <v>7.26</v>
      </c>
      <c r="JR57" s="397">
        <f t="shared" si="127"/>
        <v>6.875</v>
      </c>
      <c r="JS57" s="400">
        <f t="shared" si="128"/>
        <v>4.6999999999999993</v>
      </c>
      <c r="JT57" s="398">
        <f t="shared" si="350"/>
        <v>162.05980610405982</v>
      </c>
      <c r="JU57" s="400">
        <f t="shared" si="129"/>
        <v>72.689509466129209</v>
      </c>
      <c r="JV57" s="398">
        <f t="shared" si="130"/>
        <v>3.4375</v>
      </c>
      <c r="JW57" s="401">
        <f t="shared" si="222"/>
        <v>4.1643914418742822</v>
      </c>
      <c r="JX57" s="399">
        <f t="shared" si="223"/>
        <v>191.80044778963418</v>
      </c>
      <c r="JY57" s="47"/>
      <c r="JZ57" s="47"/>
      <c r="KA57" s="396">
        <f t="shared" si="131"/>
        <v>7.26</v>
      </c>
      <c r="KB57" s="397">
        <f t="shared" si="132"/>
        <v>6.875</v>
      </c>
      <c r="KC57" s="400">
        <f t="shared" si="133"/>
        <v>4.6999999999999993</v>
      </c>
      <c r="KD57" s="398">
        <f t="shared" si="351"/>
        <v>162.05980610405982</v>
      </c>
      <c r="KE57" s="400">
        <f t="shared" si="134"/>
        <v>72.689509466129209</v>
      </c>
      <c r="KF57" s="398">
        <f t="shared" si="135"/>
        <v>-3.4375</v>
      </c>
      <c r="KG57" s="401">
        <f t="shared" si="225"/>
        <v>4.1643914418742822</v>
      </c>
      <c r="KH57" s="399">
        <f t="shared" si="226"/>
        <v>191.80044778963418</v>
      </c>
      <c r="KI57" s="47"/>
      <c r="KJ57" s="47"/>
      <c r="KK57" s="396">
        <f t="shared" si="136"/>
        <v>7.26</v>
      </c>
      <c r="KL57" s="397">
        <f t="shared" si="137"/>
        <v>6.875</v>
      </c>
      <c r="KM57" s="400">
        <f t="shared" si="138"/>
        <v>4.6999999999999993</v>
      </c>
      <c r="KN57" s="398">
        <f t="shared" si="352"/>
        <v>162.05980610405982</v>
      </c>
      <c r="KO57" s="400">
        <f t="shared" si="139"/>
        <v>72.689509466129209</v>
      </c>
      <c r="KP57" s="398">
        <f t="shared" si="140"/>
        <v>-10.312500000000002</v>
      </c>
      <c r="KQ57" s="401">
        <f t="shared" si="228"/>
        <v>4.1643914418742822</v>
      </c>
      <c r="KR57" s="399">
        <f t="shared" si="229"/>
        <v>191.80044778963418</v>
      </c>
      <c r="KS57" s="47"/>
      <c r="KT57" s="47"/>
      <c r="KU57" s="396" t="e">
        <f t="shared" si="353"/>
        <v>#N/A</v>
      </c>
      <c r="KV57" s="397" t="e">
        <f t="shared" si="354"/>
        <v>#N/A</v>
      </c>
      <c r="KW57" s="400" t="e">
        <f t="shared" si="381"/>
        <v>#N/A</v>
      </c>
      <c r="KX57" s="398" t="e">
        <f t="shared" si="230"/>
        <v>#N/A</v>
      </c>
      <c r="KY57" s="400" t="e">
        <f t="shared" si="355"/>
        <v>#N/A</v>
      </c>
      <c r="KZ57" s="398" t="e">
        <f t="shared" si="356"/>
        <v>#N/A</v>
      </c>
      <c r="LA57" s="401" t="e">
        <f t="shared" si="357"/>
        <v>#N/A</v>
      </c>
      <c r="LB57" s="399" t="e">
        <f t="shared" si="232"/>
        <v>#N/A</v>
      </c>
      <c r="LC57" s="47"/>
    </row>
    <row r="58" spans="1:315" x14ac:dyDescent="0.25">
      <c r="Z58" s="413"/>
      <c r="AA58" s="396" t="e">
        <f t="shared" si="233"/>
        <v>#N/A</v>
      </c>
      <c r="AB58" s="397" t="e">
        <f t="shared" si="234"/>
        <v>#N/A</v>
      </c>
      <c r="AC58" s="400" t="e">
        <f t="shared" si="358"/>
        <v>#N/A</v>
      </c>
      <c r="AD58" s="398" t="e">
        <f t="shared" si="146"/>
        <v>#N/A</v>
      </c>
      <c r="AE58" s="400" t="e">
        <f t="shared" si="235"/>
        <v>#N/A</v>
      </c>
      <c r="AF58" s="398" t="e">
        <f t="shared" si="236"/>
        <v>#N/A</v>
      </c>
      <c r="AG58" s="401" t="e">
        <f t="shared" si="237"/>
        <v>#N/A</v>
      </c>
      <c r="AH58" s="399" t="e">
        <f t="shared" si="148"/>
        <v>#N/A</v>
      </c>
      <c r="AI58" s="47"/>
      <c r="AJ58" s="47"/>
      <c r="AK58" s="396" t="e">
        <f t="shared" si="238"/>
        <v>#N/A</v>
      </c>
      <c r="AL58" s="397" t="e">
        <f t="shared" si="239"/>
        <v>#N/A</v>
      </c>
      <c r="AM58" s="400" t="e">
        <f t="shared" si="359"/>
        <v>#N/A</v>
      </c>
      <c r="AN58" s="398" t="e">
        <f t="shared" si="149"/>
        <v>#N/A</v>
      </c>
      <c r="AO58" s="400" t="e">
        <f t="shared" si="240"/>
        <v>#N/A</v>
      </c>
      <c r="AP58" s="398" t="e">
        <f t="shared" si="241"/>
        <v>#N/A</v>
      </c>
      <c r="AQ58" s="401" t="e">
        <f t="shared" si="242"/>
        <v>#N/A</v>
      </c>
      <c r="AR58" s="399" t="e">
        <f t="shared" si="151"/>
        <v>#N/A</v>
      </c>
      <c r="AS58" s="47"/>
      <c r="AT58" s="47"/>
      <c r="AU58" s="396" t="e">
        <f t="shared" si="243"/>
        <v>#N/A</v>
      </c>
      <c r="AV58" s="397" t="e">
        <f t="shared" si="244"/>
        <v>#N/A</v>
      </c>
      <c r="AW58" s="400" t="e">
        <f t="shared" si="360"/>
        <v>#N/A</v>
      </c>
      <c r="AX58" s="398" t="e">
        <f t="shared" si="152"/>
        <v>#N/A</v>
      </c>
      <c r="AY58" s="400" t="e">
        <f t="shared" si="245"/>
        <v>#N/A</v>
      </c>
      <c r="AZ58" s="398" t="e">
        <f t="shared" si="246"/>
        <v>#N/A</v>
      </c>
      <c r="BA58" s="401" t="e">
        <f t="shared" si="247"/>
        <v>#N/A</v>
      </c>
      <c r="BB58" s="399" t="e">
        <f t="shared" si="154"/>
        <v>#N/A</v>
      </c>
      <c r="BC58" s="47"/>
      <c r="BD58" s="47"/>
      <c r="BE58" s="396" t="e">
        <f t="shared" si="248"/>
        <v>#N/A</v>
      </c>
      <c r="BF58" s="397" t="e">
        <f t="shared" si="249"/>
        <v>#N/A</v>
      </c>
      <c r="BG58" s="400" t="e">
        <f t="shared" si="361"/>
        <v>#N/A</v>
      </c>
      <c r="BH58" s="398" t="e">
        <f t="shared" si="155"/>
        <v>#N/A</v>
      </c>
      <c r="BI58" s="400" t="e">
        <f t="shared" si="250"/>
        <v>#N/A</v>
      </c>
      <c r="BJ58" s="398" t="e">
        <f t="shared" si="251"/>
        <v>#N/A</v>
      </c>
      <c r="BK58" s="401" t="e">
        <f t="shared" si="252"/>
        <v>#N/A</v>
      </c>
      <c r="BL58" s="399" t="e">
        <f t="shared" si="157"/>
        <v>#N/A</v>
      </c>
      <c r="BM58" s="47"/>
      <c r="BN58" s="49"/>
      <c r="BO58" s="396" t="e">
        <f t="shared" si="253"/>
        <v>#N/A</v>
      </c>
      <c r="BP58" s="397" t="e">
        <f t="shared" si="254"/>
        <v>#N/A</v>
      </c>
      <c r="BQ58" s="400" t="e">
        <f t="shared" si="362"/>
        <v>#N/A</v>
      </c>
      <c r="BR58" s="398" t="e">
        <f t="shared" si="158"/>
        <v>#N/A</v>
      </c>
      <c r="BS58" s="400" t="e">
        <f t="shared" si="255"/>
        <v>#N/A</v>
      </c>
      <c r="BT58" s="398" t="e">
        <f t="shared" si="256"/>
        <v>#N/A</v>
      </c>
      <c r="BU58" s="401" t="e">
        <f t="shared" si="257"/>
        <v>#N/A</v>
      </c>
      <c r="BV58" s="399" t="e">
        <f t="shared" si="160"/>
        <v>#N/A</v>
      </c>
      <c r="BW58" s="47"/>
      <c r="BX58" s="47"/>
      <c r="BY58" s="396" t="e">
        <f t="shared" si="258"/>
        <v>#N/A</v>
      </c>
      <c r="BZ58" s="397" t="e">
        <f t="shared" si="259"/>
        <v>#N/A</v>
      </c>
      <c r="CA58" s="400" t="e">
        <f t="shared" si="363"/>
        <v>#N/A</v>
      </c>
      <c r="CB58" s="398" t="e">
        <f t="shared" si="161"/>
        <v>#N/A</v>
      </c>
      <c r="CC58" s="400" t="e">
        <f t="shared" si="260"/>
        <v>#N/A</v>
      </c>
      <c r="CD58" s="398" t="e">
        <f t="shared" si="261"/>
        <v>#N/A</v>
      </c>
      <c r="CE58" s="401" t="e">
        <f t="shared" si="262"/>
        <v>#N/A</v>
      </c>
      <c r="CF58" s="399" t="e">
        <f t="shared" si="163"/>
        <v>#N/A</v>
      </c>
      <c r="CG58" s="49"/>
      <c r="CH58" s="47"/>
      <c r="CI58" s="396" t="e">
        <f t="shared" si="263"/>
        <v>#N/A</v>
      </c>
      <c r="CJ58" s="397" t="e">
        <f t="shared" si="264"/>
        <v>#N/A</v>
      </c>
      <c r="CK58" s="400" t="e">
        <f t="shared" si="364"/>
        <v>#N/A</v>
      </c>
      <c r="CL58" s="398" t="e">
        <f t="shared" si="164"/>
        <v>#N/A</v>
      </c>
      <c r="CM58" s="400" t="e">
        <f t="shared" si="265"/>
        <v>#N/A</v>
      </c>
      <c r="CN58" s="398" t="e">
        <f t="shared" si="266"/>
        <v>#N/A</v>
      </c>
      <c r="CO58" s="401" t="e">
        <f t="shared" si="267"/>
        <v>#N/A</v>
      </c>
      <c r="CP58" s="399" t="e">
        <f t="shared" si="166"/>
        <v>#N/A</v>
      </c>
      <c r="CQ58" s="47"/>
      <c r="CS58" s="396" t="e">
        <f t="shared" si="268"/>
        <v>#N/A</v>
      </c>
      <c r="CT58" s="397" t="e">
        <f t="shared" si="269"/>
        <v>#N/A</v>
      </c>
      <c r="CU58" s="400" t="e">
        <f t="shared" si="365"/>
        <v>#N/A</v>
      </c>
      <c r="CV58" s="398" t="e">
        <f t="shared" si="167"/>
        <v>#N/A</v>
      </c>
      <c r="CW58" s="400" t="e">
        <f t="shared" si="270"/>
        <v>#N/A</v>
      </c>
      <c r="CX58" s="398" t="e">
        <f t="shared" si="271"/>
        <v>#N/A</v>
      </c>
      <c r="CY58" s="401" t="e">
        <f t="shared" si="272"/>
        <v>#N/A</v>
      </c>
      <c r="CZ58" s="399" t="e">
        <f t="shared" si="169"/>
        <v>#N/A</v>
      </c>
      <c r="DA58" s="47"/>
      <c r="DB58" s="47"/>
      <c r="DC58" s="396" t="e">
        <f t="shared" si="273"/>
        <v>#N/A</v>
      </c>
      <c r="DD58" s="397" t="e">
        <f t="shared" si="274"/>
        <v>#N/A</v>
      </c>
      <c r="DE58" s="400" t="e">
        <f t="shared" si="366"/>
        <v>#N/A</v>
      </c>
      <c r="DF58" s="398" t="e">
        <f t="shared" si="170"/>
        <v>#N/A</v>
      </c>
      <c r="DG58" s="400" t="e">
        <f t="shared" si="275"/>
        <v>#N/A</v>
      </c>
      <c r="DH58" s="398" t="e">
        <f t="shared" si="276"/>
        <v>#N/A</v>
      </c>
      <c r="DI58" s="401" t="e">
        <f t="shared" si="277"/>
        <v>#N/A</v>
      </c>
      <c r="DJ58" s="399" t="e">
        <f t="shared" si="172"/>
        <v>#N/A</v>
      </c>
      <c r="DK58" s="47"/>
      <c r="DM58" s="396" t="e">
        <f t="shared" si="278"/>
        <v>#N/A</v>
      </c>
      <c r="DN58" s="397" t="e">
        <f t="shared" si="279"/>
        <v>#N/A</v>
      </c>
      <c r="DO58" s="400" t="e">
        <f t="shared" si="367"/>
        <v>#N/A</v>
      </c>
      <c r="DP58" s="398" t="e">
        <f t="shared" si="173"/>
        <v>#N/A</v>
      </c>
      <c r="DQ58" s="400" t="e">
        <f t="shared" si="280"/>
        <v>#N/A</v>
      </c>
      <c r="DR58" s="398" t="e">
        <f t="shared" si="281"/>
        <v>#N/A</v>
      </c>
      <c r="DS58" s="401" t="e">
        <f t="shared" si="282"/>
        <v>#N/A</v>
      </c>
      <c r="DT58" s="399" t="e">
        <f t="shared" si="175"/>
        <v>#N/A</v>
      </c>
      <c r="DU58" s="47"/>
      <c r="DV58" s="49"/>
      <c r="DW58" s="396" t="e">
        <f t="shared" si="283"/>
        <v>#N/A</v>
      </c>
      <c r="DX58" s="397" t="e">
        <f t="shared" si="284"/>
        <v>#N/A</v>
      </c>
      <c r="DY58" s="400" t="e">
        <f t="shared" si="368"/>
        <v>#N/A</v>
      </c>
      <c r="DZ58" s="398" t="e">
        <f t="shared" si="176"/>
        <v>#N/A</v>
      </c>
      <c r="EA58" s="400" t="e">
        <f t="shared" si="285"/>
        <v>#N/A</v>
      </c>
      <c r="EB58" s="398" t="e">
        <f t="shared" si="286"/>
        <v>#N/A</v>
      </c>
      <c r="EC58" s="401" t="e">
        <f t="shared" si="287"/>
        <v>#N/A</v>
      </c>
      <c r="ED58" s="399" t="e">
        <f t="shared" si="178"/>
        <v>#N/A</v>
      </c>
      <c r="EE58" s="47"/>
      <c r="EF58" s="47"/>
      <c r="EG58" s="396" t="e">
        <f t="shared" si="288"/>
        <v>#N/A</v>
      </c>
      <c r="EH58" s="397" t="e">
        <f t="shared" si="289"/>
        <v>#N/A</v>
      </c>
      <c r="EI58" s="400" t="e">
        <f t="shared" si="369"/>
        <v>#N/A</v>
      </c>
      <c r="EJ58" s="398" t="e">
        <f t="shared" si="179"/>
        <v>#N/A</v>
      </c>
      <c r="EK58" s="400" t="e">
        <f t="shared" si="290"/>
        <v>#N/A</v>
      </c>
      <c r="EL58" s="398" t="e">
        <f t="shared" si="291"/>
        <v>#N/A</v>
      </c>
      <c r="EM58" s="401" t="e">
        <f t="shared" si="292"/>
        <v>#N/A</v>
      </c>
      <c r="EN58" s="399" t="e">
        <f t="shared" si="181"/>
        <v>#N/A</v>
      </c>
      <c r="EO58" s="47"/>
      <c r="EP58" s="47"/>
      <c r="EQ58" s="396" t="e">
        <f t="shared" si="293"/>
        <v>#N/A</v>
      </c>
      <c r="ER58" s="397" t="e">
        <f t="shared" si="294"/>
        <v>#N/A</v>
      </c>
      <c r="ES58" s="400" t="e">
        <f t="shared" si="370"/>
        <v>#N/A</v>
      </c>
      <c r="ET58" s="398" t="e">
        <f t="shared" si="182"/>
        <v>#N/A</v>
      </c>
      <c r="EU58" s="400" t="e">
        <f t="shared" si="295"/>
        <v>#N/A</v>
      </c>
      <c r="EV58" s="398" t="e">
        <f t="shared" si="296"/>
        <v>#N/A</v>
      </c>
      <c r="EW58" s="401" t="e">
        <f t="shared" si="297"/>
        <v>#N/A</v>
      </c>
      <c r="EX58" s="399" t="e">
        <f t="shared" si="184"/>
        <v>#N/A</v>
      </c>
      <c r="EY58" s="47"/>
      <c r="EZ58" s="47"/>
      <c r="FA58" s="396" t="e">
        <f t="shared" si="298"/>
        <v>#N/A</v>
      </c>
      <c r="FB58" s="397" t="e">
        <f t="shared" si="299"/>
        <v>#N/A</v>
      </c>
      <c r="FC58" s="400" t="e">
        <f t="shared" si="371"/>
        <v>#N/A</v>
      </c>
      <c r="FD58" s="398" t="e">
        <f t="shared" si="185"/>
        <v>#N/A</v>
      </c>
      <c r="FE58" s="400" t="e">
        <f t="shared" si="300"/>
        <v>#N/A</v>
      </c>
      <c r="FF58" s="398" t="e">
        <f t="shared" si="301"/>
        <v>#N/A</v>
      </c>
      <c r="FG58" s="401" t="e">
        <f t="shared" si="302"/>
        <v>#N/A</v>
      </c>
      <c r="FH58" s="399" t="e">
        <f t="shared" si="187"/>
        <v>#N/A</v>
      </c>
      <c r="FI58" s="47"/>
      <c r="FJ58" s="49"/>
      <c r="FK58" s="396" t="e">
        <f t="shared" si="303"/>
        <v>#N/A</v>
      </c>
      <c r="FL58" s="397" t="e">
        <f t="shared" si="304"/>
        <v>#N/A</v>
      </c>
      <c r="FM58" s="400" t="e">
        <f t="shared" si="372"/>
        <v>#N/A</v>
      </c>
      <c r="FN58" s="398" t="e">
        <f t="shared" si="188"/>
        <v>#N/A</v>
      </c>
      <c r="FO58" s="400" t="e">
        <f t="shared" si="305"/>
        <v>#N/A</v>
      </c>
      <c r="FP58" s="398" t="e">
        <f t="shared" si="306"/>
        <v>#N/A</v>
      </c>
      <c r="FQ58" s="401" t="e">
        <f t="shared" si="307"/>
        <v>#N/A</v>
      </c>
      <c r="FR58" s="399" t="e">
        <f t="shared" si="190"/>
        <v>#N/A</v>
      </c>
      <c r="FS58" s="47"/>
      <c r="FT58" s="47"/>
      <c r="FU58" s="396" t="e">
        <f t="shared" si="308"/>
        <v>#N/A</v>
      </c>
      <c r="FV58" s="397" t="e">
        <f t="shared" si="309"/>
        <v>#N/A</v>
      </c>
      <c r="FW58" s="400" t="e">
        <f t="shared" si="373"/>
        <v>#N/A</v>
      </c>
      <c r="FX58" s="398" t="e">
        <f t="shared" si="191"/>
        <v>#N/A</v>
      </c>
      <c r="FY58" s="400" t="e">
        <f t="shared" si="310"/>
        <v>#N/A</v>
      </c>
      <c r="FZ58" s="398" t="e">
        <f t="shared" si="311"/>
        <v>#N/A</v>
      </c>
      <c r="GA58" s="401" t="e">
        <f t="shared" si="312"/>
        <v>#N/A</v>
      </c>
      <c r="GB58" s="399" t="e">
        <f t="shared" si="193"/>
        <v>#N/A</v>
      </c>
      <c r="GC58" s="47"/>
      <c r="GD58" s="47"/>
      <c r="GE58" s="396" t="e">
        <f t="shared" si="313"/>
        <v>#N/A</v>
      </c>
      <c r="GF58" s="397" t="e">
        <f t="shared" si="314"/>
        <v>#N/A</v>
      </c>
      <c r="GG58" s="400" t="e">
        <f t="shared" si="374"/>
        <v>#N/A</v>
      </c>
      <c r="GH58" s="398" t="e">
        <f t="shared" si="194"/>
        <v>#N/A</v>
      </c>
      <c r="GI58" s="400" t="e">
        <f t="shared" si="315"/>
        <v>#N/A</v>
      </c>
      <c r="GJ58" s="398" t="e">
        <f t="shared" si="316"/>
        <v>#N/A</v>
      </c>
      <c r="GK58" s="401" t="e">
        <f t="shared" si="317"/>
        <v>#N/A</v>
      </c>
      <c r="GL58" s="399" t="e">
        <f t="shared" si="196"/>
        <v>#N/A</v>
      </c>
      <c r="GM58" s="47"/>
      <c r="GN58" s="47"/>
      <c r="GO58" s="396" t="e">
        <f t="shared" si="318"/>
        <v>#N/A</v>
      </c>
      <c r="GP58" s="397" t="e">
        <f t="shared" si="319"/>
        <v>#N/A</v>
      </c>
      <c r="GQ58" s="400" t="e">
        <f t="shared" si="375"/>
        <v>#N/A</v>
      </c>
      <c r="GR58" s="398" t="e">
        <f t="shared" si="197"/>
        <v>#N/A</v>
      </c>
      <c r="GS58" s="400" t="e">
        <f t="shared" si="320"/>
        <v>#N/A</v>
      </c>
      <c r="GT58" s="398" t="e">
        <f t="shared" si="321"/>
        <v>#N/A</v>
      </c>
      <c r="GU58" s="401" t="e">
        <f t="shared" si="322"/>
        <v>#N/A</v>
      </c>
      <c r="GV58" s="399" t="e">
        <f t="shared" si="199"/>
        <v>#N/A</v>
      </c>
      <c r="GW58" s="47"/>
      <c r="GX58" s="47"/>
      <c r="GY58" s="396" t="e">
        <f t="shared" si="323"/>
        <v>#N/A</v>
      </c>
      <c r="GZ58" s="397" t="e">
        <f t="shared" si="324"/>
        <v>#N/A</v>
      </c>
      <c r="HA58" s="400" t="e">
        <f t="shared" si="376"/>
        <v>#N/A</v>
      </c>
      <c r="HB58" s="398" t="e">
        <f t="shared" si="200"/>
        <v>#N/A</v>
      </c>
      <c r="HC58" s="400" t="e">
        <f t="shared" si="325"/>
        <v>#N/A</v>
      </c>
      <c r="HD58" s="398" t="e">
        <f t="shared" si="326"/>
        <v>#N/A</v>
      </c>
      <c r="HE58" s="401" t="e">
        <f t="shared" si="327"/>
        <v>#N/A</v>
      </c>
      <c r="HF58" s="399" t="e">
        <f t="shared" si="202"/>
        <v>#N/A</v>
      </c>
      <c r="HH58" s="47"/>
      <c r="HI58" s="396" t="e">
        <f t="shared" si="328"/>
        <v>#N/A</v>
      </c>
      <c r="HJ58" s="397" t="e">
        <f t="shared" si="329"/>
        <v>#N/A</v>
      </c>
      <c r="HK58" s="400" t="e">
        <f t="shared" si="377"/>
        <v>#N/A</v>
      </c>
      <c r="HL58" s="398" t="e">
        <f t="shared" si="203"/>
        <v>#N/A</v>
      </c>
      <c r="HM58" s="400" t="e">
        <f t="shared" si="330"/>
        <v>#N/A</v>
      </c>
      <c r="HN58" s="398" t="e">
        <f t="shared" si="331"/>
        <v>#N/A</v>
      </c>
      <c r="HO58" s="401" t="e">
        <f t="shared" si="332"/>
        <v>#N/A</v>
      </c>
      <c r="HP58" s="399" t="e">
        <f t="shared" si="205"/>
        <v>#N/A</v>
      </c>
      <c r="HQ58" s="47"/>
      <c r="HR58" s="47"/>
      <c r="HS58" s="396" t="e">
        <f t="shared" si="333"/>
        <v>#N/A</v>
      </c>
      <c r="HT58" s="397" t="e">
        <f t="shared" si="334"/>
        <v>#N/A</v>
      </c>
      <c r="HU58" s="400" t="e">
        <f t="shared" si="378"/>
        <v>#N/A</v>
      </c>
      <c r="HV58" s="398" t="e">
        <f t="shared" si="206"/>
        <v>#N/A</v>
      </c>
      <c r="HW58" s="400" t="e">
        <f t="shared" si="335"/>
        <v>#N/A</v>
      </c>
      <c r="HX58" s="398" t="e">
        <f t="shared" si="336"/>
        <v>#N/A</v>
      </c>
      <c r="HY58" s="401" t="e">
        <f t="shared" si="337"/>
        <v>#N/A</v>
      </c>
      <c r="HZ58" s="399" t="e">
        <f t="shared" si="208"/>
        <v>#N/A</v>
      </c>
      <c r="IA58" s="47"/>
      <c r="IB58" s="49"/>
      <c r="IC58" s="396" t="e">
        <f t="shared" si="338"/>
        <v>#N/A</v>
      </c>
      <c r="ID58" s="397" t="e">
        <f t="shared" si="339"/>
        <v>#N/A</v>
      </c>
      <c r="IE58" s="400" t="e">
        <f t="shared" si="379"/>
        <v>#N/A</v>
      </c>
      <c r="IF58" s="398" t="e">
        <f t="shared" si="209"/>
        <v>#N/A</v>
      </c>
      <c r="IG58" s="400" t="e">
        <f t="shared" si="340"/>
        <v>#N/A</v>
      </c>
      <c r="IH58" s="398" t="e">
        <f t="shared" si="341"/>
        <v>#N/A</v>
      </c>
      <c r="II58" s="401" t="e">
        <f t="shared" si="342"/>
        <v>#N/A</v>
      </c>
      <c r="IJ58" s="399" t="e">
        <f t="shared" si="211"/>
        <v>#N/A</v>
      </c>
      <c r="IK58" s="47"/>
      <c r="IL58" s="47"/>
      <c r="IM58" s="396" t="e">
        <f t="shared" si="343"/>
        <v>#N/A</v>
      </c>
      <c r="IN58" s="397" t="e">
        <f t="shared" si="344"/>
        <v>#N/A</v>
      </c>
      <c r="IO58" s="400" t="e">
        <f t="shared" si="380"/>
        <v>#N/A</v>
      </c>
      <c r="IP58" s="398" t="e">
        <f t="shared" si="212"/>
        <v>#N/A</v>
      </c>
      <c r="IQ58" s="400" t="e">
        <f t="shared" si="345"/>
        <v>#N/A</v>
      </c>
      <c r="IR58" s="398" t="e">
        <f t="shared" si="346"/>
        <v>#N/A</v>
      </c>
      <c r="IS58" s="401" t="e">
        <f t="shared" si="347"/>
        <v>#N/A</v>
      </c>
      <c r="IT58" s="399" t="e">
        <f t="shared" si="214"/>
        <v>#N/A</v>
      </c>
      <c r="IU58" s="47"/>
      <c r="IV58" s="47"/>
      <c r="IW58" s="396" t="e">
        <f t="shared" si="116"/>
        <v>#N/A</v>
      </c>
      <c r="IX58" s="397" t="e">
        <f t="shared" si="117"/>
        <v>#N/A</v>
      </c>
      <c r="IY58" s="400" t="e">
        <f t="shared" si="118"/>
        <v>#N/A</v>
      </c>
      <c r="IZ58" s="398" t="e">
        <f t="shared" si="348"/>
        <v>#N/A</v>
      </c>
      <c r="JA58" s="400" t="e">
        <f t="shared" si="119"/>
        <v>#N/A</v>
      </c>
      <c r="JB58" s="398" t="e">
        <f t="shared" si="120"/>
        <v>#N/A</v>
      </c>
      <c r="JC58" s="401" t="e">
        <f t="shared" si="216"/>
        <v>#N/A</v>
      </c>
      <c r="JD58" s="399" t="e">
        <f t="shared" si="217"/>
        <v>#N/A</v>
      </c>
      <c r="JE58" s="47"/>
      <c r="JF58" s="47"/>
      <c r="JG58" s="396">
        <f t="shared" si="121"/>
        <v>7.26</v>
      </c>
      <c r="JH58" s="397">
        <f t="shared" si="122"/>
        <v>6.875</v>
      </c>
      <c r="JI58" s="400">
        <f t="shared" si="123"/>
        <v>4.7999999999999989</v>
      </c>
      <c r="JJ58" s="398">
        <f t="shared" si="349"/>
        <v>167.0510561040598</v>
      </c>
      <c r="JK58" s="400">
        <f t="shared" si="124"/>
        <v>72.705658561143025</v>
      </c>
      <c r="JL58" s="398">
        <f t="shared" si="125"/>
        <v>10.312500000000002</v>
      </c>
      <c r="JM58" s="401">
        <f t="shared" si="219"/>
        <v>4.2176233933694327</v>
      </c>
      <c r="JN58" s="399">
        <f t="shared" si="220"/>
        <v>191.80044778963418</v>
      </c>
      <c r="JO58" s="47"/>
      <c r="JP58" s="47"/>
      <c r="JQ58" s="396">
        <f t="shared" si="126"/>
        <v>7.26</v>
      </c>
      <c r="JR58" s="397">
        <f t="shared" si="127"/>
        <v>6.875</v>
      </c>
      <c r="JS58" s="400">
        <f t="shared" si="128"/>
        <v>4.7999999999999989</v>
      </c>
      <c r="JT58" s="398">
        <f t="shared" si="350"/>
        <v>167.0510561040598</v>
      </c>
      <c r="JU58" s="400">
        <f t="shared" si="129"/>
        <v>72.705658561143025</v>
      </c>
      <c r="JV58" s="398">
        <f t="shared" si="130"/>
        <v>3.4375</v>
      </c>
      <c r="JW58" s="401">
        <f t="shared" si="222"/>
        <v>4.2176233933694327</v>
      </c>
      <c r="JX58" s="399">
        <f t="shared" si="223"/>
        <v>191.80044778963418</v>
      </c>
      <c r="JY58" s="47"/>
      <c r="JZ58" s="47"/>
      <c r="KA58" s="396">
        <f t="shared" si="131"/>
        <v>7.26</v>
      </c>
      <c r="KB58" s="397">
        <f t="shared" si="132"/>
        <v>6.875</v>
      </c>
      <c r="KC58" s="400">
        <f t="shared" si="133"/>
        <v>4.7999999999999989</v>
      </c>
      <c r="KD58" s="398">
        <f t="shared" si="351"/>
        <v>167.0510561040598</v>
      </c>
      <c r="KE58" s="400">
        <f t="shared" si="134"/>
        <v>72.705658561143025</v>
      </c>
      <c r="KF58" s="398">
        <f t="shared" si="135"/>
        <v>-3.4375</v>
      </c>
      <c r="KG58" s="401">
        <f t="shared" si="225"/>
        <v>4.2176233933694327</v>
      </c>
      <c r="KH58" s="399">
        <f t="shared" si="226"/>
        <v>191.80044778963418</v>
      </c>
      <c r="KI58" s="47"/>
      <c r="KJ58" s="47"/>
      <c r="KK58" s="396">
        <f t="shared" si="136"/>
        <v>7.26</v>
      </c>
      <c r="KL58" s="397">
        <f t="shared" si="137"/>
        <v>6.875</v>
      </c>
      <c r="KM58" s="400">
        <f t="shared" si="138"/>
        <v>4.7999999999999989</v>
      </c>
      <c r="KN58" s="398">
        <f t="shared" si="352"/>
        <v>167.0510561040598</v>
      </c>
      <c r="KO58" s="400">
        <f t="shared" si="139"/>
        <v>72.705658561143025</v>
      </c>
      <c r="KP58" s="398">
        <f t="shared" si="140"/>
        <v>-10.312500000000002</v>
      </c>
      <c r="KQ58" s="401">
        <f t="shared" si="228"/>
        <v>4.2176233933694327</v>
      </c>
      <c r="KR58" s="399">
        <f t="shared" si="229"/>
        <v>191.80044778963418</v>
      </c>
      <c r="KS58" s="47"/>
      <c r="KT58" s="47"/>
      <c r="KU58" s="396" t="e">
        <f t="shared" si="353"/>
        <v>#N/A</v>
      </c>
      <c r="KV58" s="397" t="e">
        <f t="shared" si="354"/>
        <v>#N/A</v>
      </c>
      <c r="KW58" s="400" t="e">
        <f t="shared" si="381"/>
        <v>#N/A</v>
      </c>
      <c r="KX58" s="398" t="e">
        <f t="shared" si="230"/>
        <v>#N/A</v>
      </c>
      <c r="KY58" s="400" t="e">
        <f t="shared" si="355"/>
        <v>#N/A</v>
      </c>
      <c r="KZ58" s="398" t="e">
        <f t="shared" si="356"/>
        <v>#N/A</v>
      </c>
      <c r="LA58" s="401" t="e">
        <f t="shared" si="357"/>
        <v>#N/A</v>
      </c>
      <c r="LB58" s="399" t="e">
        <f t="shared" si="232"/>
        <v>#N/A</v>
      </c>
      <c r="LC58" s="47"/>
    </row>
    <row r="59" spans="1:315" x14ac:dyDescent="0.25">
      <c r="Z59" s="413"/>
      <c r="AA59" s="396" t="e">
        <f t="shared" si="233"/>
        <v>#N/A</v>
      </c>
      <c r="AB59" s="397" t="e">
        <f t="shared" si="234"/>
        <v>#N/A</v>
      </c>
      <c r="AC59" s="400" t="e">
        <f t="shared" si="358"/>
        <v>#N/A</v>
      </c>
      <c r="AD59" s="398" t="e">
        <f t="shared" si="146"/>
        <v>#N/A</v>
      </c>
      <c r="AE59" s="400" t="e">
        <f t="shared" si="235"/>
        <v>#N/A</v>
      </c>
      <c r="AF59" s="398" t="e">
        <f t="shared" si="236"/>
        <v>#N/A</v>
      </c>
      <c r="AG59" s="401" t="e">
        <f t="shared" si="237"/>
        <v>#N/A</v>
      </c>
      <c r="AH59" s="399" t="e">
        <f t="shared" si="148"/>
        <v>#N/A</v>
      </c>
      <c r="AI59" s="47"/>
      <c r="AJ59" s="47"/>
      <c r="AK59" s="396" t="e">
        <f t="shared" si="238"/>
        <v>#N/A</v>
      </c>
      <c r="AL59" s="397" t="e">
        <f t="shared" si="239"/>
        <v>#N/A</v>
      </c>
      <c r="AM59" s="400" t="e">
        <f t="shared" si="359"/>
        <v>#N/A</v>
      </c>
      <c r="AN59" s="398" t="e">
        <f t="shared" si="149"/>
        <v>#N/A</v>
      </c>
      <c r="AO59" s="400" t="e">
        <f t="shared" si="240"/>
        <v>#N/A</v>
      </c>
      <c r="AP59" s="398" t="e">
        <f t="shared" si="241"/>
        <v>#N/A</v>
      </c>
      <c r="AQ59" s="401" t="e">
        <f t="shared" si="242"/>
        <v>#N/A</v>
      </c>
      <c r="AR59" s="399" t="e">
        <f t="shared" si="151"/>
        <v>#N/A</v>
      </c>
      <c r="AS59" s="47"/>
      <c r="AT59" s="47"/>
      <c r="AU59" s="396" t="e">
        <f t="shared" si="243"/>
        <v>#N/A</v>
      </c>
      <c r="AV59" s="397" t="e">
        <f t="shared" si="244"/>
        <v>#N/A</v>
      </c>
      <c r="AW59" s="400" t="e">
        <f t="shared" si="360"/>
        <v>#N/A</v>
      </c>
      <c r="AX59" s="398" t="e">
        <f t="shared" si="152"/>
        <v>#N/A</v>
      </c>
      <c r="AY59" s="400" t="e">
        <f t="shared" si="245"/>
        <v>#N/A</v>
      </c>
      <c r="AZ59" s="398" t="e">
        <f t="shared" si="246"/>
        <v>#N/A</v>
      </c>
      <c r="BA59" s="401" t="e">
        <f t="shared" si="247"/>
        <v>#N/A</v>
      </c>
      <c r="BB59" s="399" t="e">
        <f t="shared" si="154"/>
        <v>#N/A</v>
      </c>
      <c r="BC59" s="47"/>
      <c r="BD59" s="47"/>
      <c r="BE59" s="396" t="e">
        <f t="shared" si="248"/>
        <v>#N/A</v>
      </c>
      <c r="BF59" s="397" t="e">
        <f t="shared" si="249"/>
        <v>#N/A</v>
      </c>
      <c r="BG59" s="400" t="e">
        <f t="shared" si="361"/>
        <v>#N/A</v>
      </c>
      <c r="BH59" s="398" t="e">
        <f t="shared" si="155"/>
        <v>#N/A</v>
      </c>
      <c r="BI59" s="400" t="e">
        <f t="shared" si="250"/>
        <v>#N/A</v>
      </c>
      <c r="BJ59" s="398" t="e">
        <f t="shared" si="251"/>
        <v>#N/A</v>
      </c>
      <c r="BK59" s="401" t="e">
        <f t="shared" si="252"/>
        <v>#N/A</v>
      </c>
      <c r="BL59" s="399" t="e">
        <f t="shared" si="157"/>
        <v>#N/A</v>
      </c>
      <c r="BM59" s="47"/>
      <c r="BN59" s="49"/>
      <c r="BO59" s="396" t="e">
        <f t="shared" si="253"/>
        <v>#N/A</v>
      </c>
      <c r="BP59" s="397" t="e">
        <f t="shared" si="254"/>
        <v>#N/A</v>
      </c>
      <c r="BQ59" s="400" t="e">
        <f t="shared" si="362"/>
        <v>#N/A</v>
      </c>
      <c r="BR59" s="398" t="e">
        <f t="shared" si="158"/>
        <v>#N/A</v>
      </c>
      <c r="BS59" s="400" t="e">
        <f t="shared" si="255"/>
        <v>#N/A</v>
      </c>
      <c r="BT59" s="398" t="e">
        <f t="shared" si="256"/>
        <v>#N/A</v>
      </c>
      <c r="BU59" s="401" t="e">
        <f t="shared" si="257"/>
        <v>#N/A</v>
      </c>
      <c r="BV59" s="399" t="e">
        <f t="shared" si="160"/>
        <v>#N/A</v>
      </c>
      <c r="BW59" s="47"/>
      <c r="BX59" s="47"/>
      <c r="BY59" s="396" t="e">
        <f t="shared" si="258"/>
        <v>#N/A</v>
      </c>
      <c r="BZ59" s="397" t="e">
        <f t="shared" si="259"/>
        <v>#N/A</v>
      </c>
      <c r="CA59" s="400" t="e">
        <f t="shared" si="363"/>
        <v>#N/A</v>
      </c>
      <c r="CB59" s="398" t="e">
        <f t="shared" si="161"/>
        <v>#N/A</v>
      </c>
      <c r="CC59" s="400" t="e">
        <f t="shared" si="260"/>
        <v>#N/A</v>
      </c>
      <c r="CD59" s="398" t="e">
        <f t="shared" si="261"/>
        <v>#N/A</v>
      </c>
      <c r="CE59" s="401" t="e">
        <f t="shared" si="262"/>
        <v>#N/A</v>
      </c>
      <c r="CF59" s="399" t="e">
        <f t="shared" si="163"/>
        <v>#N/A</v>
      </c>
      <c r="CG59" s="49"/>
      <c r="CH59" s="47"/>
      <c r="CI59" s="396" t="e">
        <f t="shared" si="263"/>
        <v>#N/A</v>
      </c>
      <c r="CJ59" s="397" t="e">
        <f t="shared" si="264"/>
        <v>#N/A</v>
      </c>
      <c r="CK59" s="400" t="e">
        <f t="shared" si="364"/>
        <v>#N/A</v>
      </c>
      <c r="CL59" s="398" t="e">
        <f t="shared" si="164"/>
        <v>#N/A</v>
      </c>
      <c r="CM59" s="400" t="e">
        <f t="shared" si="265"/>
        <v>#N/A</v>
      </c>
      <c r="CN59" s="398" t="e">
        <f t="shared" si="266"/>
        <v>#N/A</v>
      </c>
      <c r="CO59" s="401" t="e">
        <f t="shared" si="267"/>
        <v>#N/A</v>
      </c>
      <c r="CP59" s="399" t="e">
        <f t="shared" si="166"/>
        <v>#N/A</v>
      </c>
      <c r="CQ59" s="47"/>
      <c r="CS59" s="396" t="e">
        <f t="shared" si="268"/>
        <v>#N/A</v>
      </c>
      <c r="CT59" s="397" t="e">
        <f t="shared" si="269"/>
        <v>#N/A</v>
      </c>
      <c r="CU59" s="400" t="e">
        <f t="shared" si="365"/>
        <v>#N/A</v>
      </c>
      <c r="CV59" s="398" t="e">
        <f t="shared" si="167"/>
        <v>#N/A</v>
      </c>
      <c r="CW59" s="400" t="e">
        <f t="shared" si="270"/>
        <v>#N/A</v>
      </c>
      <c r="CX59" s="398" t="e">
        <f t="shared" si="271"/>
        <v>#N/A</v>
      </c>
      <c r="CY59" s="401" t="e">
        <f t="shared" si="272"/>
        <v>#N/A</v>
      </c>
      <c r="CZ59" s="399" t="e">
        <f t="shared" si="169"/>
        <v>#N/A</v>
      </c>
      <c r="DA59" s="47"/>
      <c r="DB59" s="47"/>
      <c r="DC59" s="396" t="e">
        <f t="shared" si="273"/>
        <v>#N/A</v>
      </c>
      <c r="DD59" s="397" t="e">
        <f t="shared" si="274"/>
        <v>#N/A</v>
      </c>
      <c r="DE59" s="400" t="e">
        <f t="shared" si="366"/>
        <v>#N/A</v>
      </c>
      <c r="DF59" s="398" t="e">
        <f t="shared" si="170"/>
        <v>#N/A</v>
      </c>
      <c r="DG59" s="400" t="e">
        <f t="shared" si="275"/>
        <v>#N/A</v>
      </c>
      <c r="DH59" s="398" t="e">
        <f t="shared" si="276"/>
        <v>#N/A</v>
      </c>
      <c r="DI59" s="401" t="e">
        <f t="shared" si="277"/>
        <v>#N/A</v>
      </c>
      <c r="DJ59" s="399" t="e">
        <f t="shared" si="172"/>
        <v>#N/A</v>
      </c>
      <c r="DK59" s="47"/>
      <c r="DM59" s="396" t="e">
        <f t="shared" si="278"/>
        <v>#N/A</v>
      </c>
      <c r="DN59" s="397" t="e">
        <f t="shared" si="279"/>
        <v>#N/A</v>
      </c>
      <c r="DO59" s="400" t="e">
        <f t="shared" si="367"/>
        <v>#N/A</v>
      </c>
      <c r="DP59" s="398" t="e">
        <f t="shared" si="173"/>
        <v>#N/A</v>
      </c>
      <c r="DQ59" s="400" t="e">
        <f t="shared" si="280"/>
        <v>#N/A</v>
      </c>
      <c r="DR59" s="398" t="e">
        <f t="shared" si="281"/>
        <v>#N/A</v>
      </c>
      <c r="DS59" s="401" t="e">
        <f t="shared" si="282"/>
        <v>#N/A</v>
      </c>
      <c r="DT59" s="399" t="e">
        <f t="shared" si="175"/>
        <v>#N/A</v>
      </c>
      <c r="DU59" s="47"/>
      <c r="DV59" s="49"/>
      <c r="DW59" s="396" t="e">
        <f t="shared" si="283"/>
        <v>#N/A</v>
      </c>
      <c r="DX59" s="397" t="e">
        <f t="shared" si="284"/>
        <v>#N/A</v>
      </c>
      <c r="DY59" s="400" t="e">
        <f t="shared" si="368"/>
        <v>#N/A</v>
      </c>
      <c r="DZ59" s="398" t="e">
        <f t="shared" si="176"/>
        <v>#N/A</v>
      </c>
      <c r="EA59" s="400" t="e">
        <f t="shared" si="285"/>
        <v>#N/A</v>
      </c>
      <c r="EB59" s="398" t="e">
        <f t="shared" si="286"/>
        <v>#N/A</v>
      </c>
      <c r="EC59" s="401" t="e">
        <f t="shared" si="287"/>
        <v>#N/A</v>
      </c>
      <c r="ED59" s="399" t="e">
        <f t="shared" si="178"/>
        <v>#N/A</v>
      </c>
      <c r="EE59" s="47"/>
      <c r="EF59" s="47"/>
      <c r="EG59" s="396" t="e">
        <f t="shared" si="288"/>
        <v>#N/A</v>
      </c>
      <c r="EH59" s="397" t="e">
        <f t="shared" si="289"/>
        <v>#N/A</v>
      </c>
      <c r="EI59" s="400" t="e">
        <f t="shared" si="369"/>
        <v>#N/A</v>
      </c>
      <c r="EJ59" s="398" t="e">
        <f t="shared" si="179"/>
        <v>#N/A</v>
      </c>
      <c r="EK59" s="400" t="e">
        <f t="shared" si="290"/>
        <v>#N/A</v>
      </c>
      <c r="EL59" s="398" t="e">
        <f t="shared" si="291"/>
        <v>#N/A</v>
      </c>
      <c r="EM59" s="401" t="e">
        <f t="shared" si="292"/>
        <v>#N/A</v>
      </c>
      <c r="EN59" s="399" t="e">
        <f t="shared" si="181"/>
        <v>#N/A</v>
      </c>
      <c r="EO59" s="47"/>
      <c r="EP59" s="47"/>
      <c r="EQ59" s="396" t="e">
        <f t="shared" si="293"/>
        <v>#N/A</v>
      </c>
      <c r="ER59" s="397" t="e">
        <f t="shared" si="294"/>
        <v>#N/A</v>
      </c>
      <c r="ES59" s="400" t="e">
        <f t="shared" si="370"/>
        <v>#N/A</v>
      </c>
      <c r="ET59" s="398" t="e">
        <f t="shared" si="182"/>
        <v>#N/A</v>
      </c>
      <c r="EU59" s="400" t="e">
        <f t="shared" si="295"/>
        <v>#N/A</v>
      </c>
      <c r="EV59" s="398" t="e">
        <f t="shared" si="296"/>
        <v>#N/A</v>
      </c>
      <c r="EW59" s="401" t="e">
        <f t="shared" si="297"/>
        <v>#N/A</v>
      </c>
      <c r="EX59" s="399" t="e">
        <f t="shared" si="184"/>
        <v>#N/A</v>
      </c>
      <c r="EY59" s="47"/>
      <c r="EZ59" s="47"/>
      <c r="FA59" s="396" t="e">
        <f t="shared" si="298"/>
        <v>#N/A</v>
      </c>
      <c r="FB59" s="397" t="e">
        <f t="shared" si="299"/>
        <v>#N/A</v>
      </c>
      <c r="FC59" s="400" t="e">
        <f t="shared" si="371"/>
        <v>#N/A</v>
      </c>
      <c r="FD59" s="398" t="e">
        <f t="shared" si="185"/>
        <v>#N/A</v>
      </c>
      <c r="FE59" s="400" t="e">
        <f t="shared" si="300"/>
        <v>#N/A</v>
      </c>
      <c r="FF59" s="398" t="e">
        <f t="shared" si="301"/>
        <v>#N/A</v>
      </c>
      <c r="FG59" s="401" t="e">
        <f t="shared" si="302"/>
        <v>#N/A</v>
      </c>
      <c r="FH59" s="399" t="e">
        <f t="shared" si="187"/>
        <v>#N/A</v>
      </c>
      <c r="FI59" s="47"/>
      <c r="FJ59" s="49"/>
      <c r="FK59" s="396" t="e">
        <f t="shared" si="303"/>
        <v>#N/A</v>
      </c>
      <c r="FL59" s="397" t="e">
        <f t="shared" si="304"/>
        <v>#N/A</v>
      </c>
      <c r="FM59" s="400" t="e">
        <f t="shared" si="372"/>
        <v>#N/A</v>
      </c>
      <c r="FN59" s="398" t="e">
        <f t="shared" si="188"/>
        <v>#N/A</v>
      </c>
      <c r="FO59" s="400" t="e">
        <f t="shared" si="305"/>
        <v>#N/A</v>
      </c>
      <c r="FP59" s="398" t="e">
        <f t="shared" si="306"/>
        <v>#N/A</v>
      </c>
      <c r="FQ59" s="401" t="e">
        <f t="shared" si="307"/>
        <v>#N/A</v>
      </c>
      <c r="FR59" s="399" t="e">
        <f t="shared" si="190"/>
        <v>#N/A</v>
      </c>
      <c r="FS59" s="47"/>
      <c r="FT59" s="47"/>
      <c r="FU59" s="396" t="e">
        <f t="shared" si="308"/>
        <v>#N/A</v>
      </c>
      <c r="FV59" s="397" t="e">
        <f t="shared" si="309"/>
        <v>#N/A</v>
      </c>
      <c r="FW59" s="400" t="e">
        <f t="shared" si="373"/>
        <v>#N/A</v>
      </c>
      <c r="FX59" s="398" t="e">
        <f t="shared" si="191"/>
        <v>#N/A</v>
      </c>
      <c r="FY59" s="400" t="e">
        <f t="shared" si="310"/>
        <v>#N/A</v>
      </c>
      <c r="FZ59" s="398" t="e">
        <f t="shared" si="311"/>
        <v>#N/A</v>
      </c>
      <c r="GA59" s="401" t="e">
        <f t="shared" si="312"/>
        <v>#N/A</v>
      </c>
      <c r="GB59" s="399" t="e">
        <f t="shared" si="193"/>
        <v>#N/A</v>
      </c>
      <c r="GC59" s="47"/>
      <c r="GD59" s="47"/>
      <c r="GE59" s="396" t="e">
        <f t="shared" si="313"/>
        <v>#N/A</v>
      </c>
      <c r="GF59" s="397" t="e">
        <f t="shared" si="314"/>
        <v>#N/A</v>
      </c>
      <c r="GG59" s="400" t="e">
        <f t="shared" si="374"/>
        <v>#N/A</v>
      </c>
      <c r="GH59" s="398" t="e">
        <f t="shared" si="194"/>
        <v>#N/A</v>
      </c>
      <c r="GI59" s="400" t="e">
        <f t="shared" si="315"/>
        <v>#N/A</v>
      </c>
      <c r="GJ59" s="398" t="e">
        <f t="shared" si="316"/>
        <v>#N/A</v>
      </c>
      <c r="GK59" s="401" t="e">
        <f t="shared" si="317"/>
        <v>#N/A</v>
      </c>
      <c r="GL59" s="399" t="e">
        <f t="shared" si="196"/>
        <v>#N/A</v>
      </c>
      <c r="GM59" s="47"/>
      <c r="GN59" s="47"/>
      <c r="GO59" s="396" t="e">
        <f t="shared" si="318"/>
        <v>#N/A</v>
      </c>
      <c r="GP59" s="397" t="e">
        <f t="shared" si="319"/>
        <v>#N/A</v>
      </c>
      <c r="GQ59" s="400" t="e">
        <f t="shared" si="375"/>
        <v>#N/A</v>
      </c>
      <c r="GR59" s="398" t="e">
        <f t="shared" si="197"/>
        <v>#N/A</v>
      </c>
      <c r="GS59" s="400" t="e">
        <f t="shared" si="320"/>
        <v>#N/A</v>
      </c>
      <c r="GT59" s="398" t="e">
        <f t="shared" si="321"/>
        <v>#N/A</v>
      </c>
      <c r="GU59" s="401" t="e">
        <f t="shared" si="322"/>
        <v>#N/A</v>
      </c>
      <c r="GV59" s="399" t="e">
        <f t="shared" si="199"/>
        <v>#N/A</v>
      </c>
      <c r="GW59" s="47"/>
      <c r="GX59" s="47"/>
      <c r="GY59" s="396" t="e">
        <f t="shared" si="323"/>
        <v>#N/A</v>
      </c>
      <c r="GZ59" s="397" t="e">
        <f t="shared" si="324"/>
        <v>#N/A</v>
      </c>
      <c r="HA59" s="400" t="e">
        <f t="shared" si="376"/>
        <v>#N/A</v>
      </c>
      <c r="HB59" s="398" t="e">
        <f t="shared" si="200"/>
        <v>#N/A</v>
      </c>
      <c r="HC59" s="400" t="e">
        <f t="shared" si="325"/>
        <v>#N/A</v>
      </c>
      <c r="HD59" s="398" t="e">
        <f t="shared" si="326"/>
        <v>#N/A</v>
      </c>
      <c r="HE59" s="401" t="e">
        <f t="shared" si="327"/>
        <v>#N/A</v>
      </c>
      <c r="HF59" s="399" t="e">
        <f t="shared" si="202"/>
        <v>#N/A</v>
      </c>
      <c r="HH59" s="47"/>
      <c r="HI59" s="396" t="e">
        <f t="shared" si="328"/>
        <v>#N/A</v>
      </c>
      <c r="HJ59" s="397" t="e">
        <f t="shared" si="329"/>
        <v>#N/A</v>
      </c>
      <c r="HK59" s="400" t="e">
        <f t="shared" si="377"/>
        <v>#N/A</v>
      </c>
      <c r="HL59" s="398" t="e">
        <f t="shared" si="203"/>
        <v>#N/A</v>
      </c>
      <c r="HM59" s="400" t="e">
        <f t="shared" si="330"/>
        <v>#N/A</v>
      </c>
      <c r="HN59" s="398" t="e">
        <f t="shared" si="331"/>
        <v>#N/A</v>
      </c>
      <c r="HO59" s="401" t="e">
        <f t="shared" si="332"/>
        <v>#N/A</v>
      </c>
      <c r="HP59" s="399" t="e">
        <f t="shared" si="205"/>
        <v>#N/A</v>
      </c>
      <c r="HQ59" s="47"/>
      <c r="HR59" s="47"/>
      <c r="HS59" s="396" t="e">
        <f t="shared" si="333"/>
        <v>#N/A</v>
      </c>
      <c r="HT59" s="397" t="e">
        <f t="shared" si="334"/>
        <v>#N/A</v>
      </c>
      <c r="HU59" s="400" t="e">
        <f t="shared" si="378"/>
        <v>#N/A</v>
      </c>
      <c r="HV59" s="398" t="e">
        <f t="shared" si="206"/>
        <v>#N/A</v>
      </c>
      <c r="HW59" s="400" t="e">
        <f t="shared" si="335"/>
        <v>#N/A</v>
      </c>
      <c r="HX59" s="398" t="e">
        <f t="shared" si="336"/>
        <v>#N/A</v>
      </c>
      <c r="HY59" s="401" t="e">
        <f t="shared" si="337"/>
        <v>#N/A</v>
      </c>
      <c r="HZ59" s="399" t="e">
        <f t="shared" si="208"/>
        <v>#N/A</v>
      </c>
      <c r="IA59" s="47"/>
      <c r="IB59" s="49"/>
      <c r="IC59" s="396" t="e">
        <f t="shared" si="338"/>
        <v>#N/A</v>
      </c>
      <c r="ID59" s="397" t="e">
        <f t="shared" si="339"/>
        <v>#N/A</v>
      </c>
      <c r="IE59" s="400" t="e">
        <f t="shared" si="379"/>
        <v>#N/A</v>
      </c>
      <c r="IF59" s="398" t="e">
        <f t="shared" si="209"/>
        <v>#N/A</v>
      </c>
      <c r="IG59" s="400" t="e">
        <f t="shared" si="340"/>
        <v>#N/A</v>
      </c>
      <c r="IH59" s="398" t="e">
        <f t="shared" si="341"/>
        <v>#N/A</v>
      </c>
      <c r="II59" s="401" t="e">
        <f t="shared" si="342"/>
        <v>#N/A</v>
      </c>
      <c r="IJ59" s="399" t="e">
        <f t="shared" si="211"/>
        <v>#N/A</v>
      </c>
      <c r="IK59" s="47"/>
      <c r="IL59" s="47"/>
      <c r="IM59" s="396" t="e">
        <f t="shared" si="343"/>
        <v>#N/A</v>
      </c>
      <c r="IN59" s="397" t="e">
        <f t="shared" si="344"/>
        <v>#N/A</v>
      </c>
      <c r="IO59" s="400" t="e">
        <f t="shared" si="380"/>
        <v>#N/A</v>
      </c>
      <c r="IP59" s="398" t="e">
        <f t="shared" si="212"/>
        <v>#N/A</v>
      </c>
      <c r="IQ59" s="400" t="e">
        <f t="shared" si="345"/>
        <v>#N/A</v>
      </c>
      <c r="IR59" s="398" t="e">
        <f t="shared" si="346"/>
        <v>#N/A</v>
      </c>
      <c r="IS59" s="401" t="e">
        <f t="shared" si="347"/>
        <v>#N/A</v>
      </c>
      <c r="IT59" s="399" t="e">
        <f t="shared" si="214"/>
        <v>#N/A</v>
      </c>
      <c r="IU59" s="47"/>
      <c r="IV59" s="47"/>
      <c r="IW59" s="396" t="e">
        <f t="shared" si="116"/>
        <v>#N/A</v>
      </c>
      <c r="IX59" s="397" t="e">
        <f t="shared" si="117"/>
        <v>#N/A</v>
      </c>
      <c r="IY59" s="400" t="e">
        <f t="shared" si="118"/>
        <v>#N/A</v>
      </c>
      <c r="IZ59" s="398" t="e">
        <f t="shared" si="348"/>
        <v>#N/A</v>
      </c>
      <c r="JA59" s="400" t="e">
        <f t="shared" si="119"/>
        <v>#N/A</v>
      </c>
      <c r="JB59" s="398" t="e">
        <f t="shared" si="120"/>
        <v>#N/A</v>
      </c>
      <c r="JC59" s="401" t="e">
        <f t="shared" si="216"/>
        <v>#N/A</v>
      </c>
      <c r="JD59" s="399" t="e">
        <f t="shared" si="217"/>
        <v>#N/A</v>
      </c>
      <c r="JE59" s="47"/>
      <c r="JF59" s="47"/>
      <c r="JG59" s="396">
        <f t="shared" si="121"/>
        <v>7.26</v>
      </c>
      <c r="JH59" s="397">
        <f t="shared" si="122"/>
        <v>6.875</v>
      </c>
      <c r="JI59" s="400">
        <f t="shared" si="123"/>
        <v>4.8999999999999986</v>
      </c>
      <c r="JJ59" s="398">
        <f t="shared" si="349"/>
        <v>172.04230610405978</v>
      </c>
      <c r="JK59" s="400">
        <f t="shared" si="124"/>
        <v>72.720870628837062</v>
      </c>
      <c r="JL59" s="398">
        <f t="shared" si="125"/>
        <v>10.312500000000002</v>
      </c>
      <c r="JM59" s="401">
        <f t="shared" si="219"/>
        <v>4.2706678156659166</v>
      </c>
      <c r="JN59" s="399">
        <f t="shared" si="220"/>
        <v>0</v>
      </c>
      <c r="JO59" s="47"/>
      <c r="JP59" s="47"/>
      <c r="JQ59" s="396">
        <f t="shared" si="126"/>
        <v>7.26</v>
      </c>
      <c r="JR59" s="397">
        <f t="shared" si="127"/>
        <v>6.875</v>
      </c>
      <c r="JS59" s="400">
        <f t="shared" si="128"/>
        <v>4.8999999999999986</v>
      </c>
      <c r="JT59" s="398">
        <f t="shared" si="350"/>
        <v>172.04230610405978</v>
      </c>
      <c r="JU59" s="400">
        <f t="shared" si="129"/>
        <v>72.720870628837062</v>
      </c>
      <c r="JV59" s="398">
        <f t="shared" si="130"/>
        <v>3.4375</v>
      </c>
      <c r="JW59" s="401">
        <f t="shared" si="222"/>
        <v>4.2706678156659166</v>
      </c>
      <c r="JX59" s="399">
        <f t="shared" si="223"/>
        <v>0</v>
      </c>
      <c r="JY59" s="47"/>
      <c r="JZ59" s="47"/>
      <c r="KA59" s="396">
        <f t="shared" si="131"/>
        <v>7.26</v>
      </c>
      <c r="KB59" s="397">
        <f t="shared" si="132"/>
        <v>6.875</v>
      </c>
      <c r="KC59" s="400">
        <f t="shared" si="133"/>
        <v>4.8999999999999986</v>
      </c>
      <c r="KD59" s="398">
        <f t="shared" si="351"/>
        <v>172.04230610405978</v>
      </c>
      <c r="KE59" s="400">
        <f t="shared" si="134"/>
        <v>72.720870628837062</v>
      </c>
      <c r="KF59" s="398">
        <f t="shared" si="135"/>
        <v>-3.4375</v>
      </c>
      <c r="KG59" s="401">
        <f t="shared" si="225"/>
        <v>4.2706678156659166</v>
      </c>
      <c r="KH59" s="399">
        <f t="shared" si="226"/>
        <v>0</v>
      </c>
      <c r="KI59" s="47"/>
      <c r="KJ59" s="47"/>
      <c r="KK59" s="396">
        <f t="shared" si="136"/>
        <v>7.26</v>
      </c>
      <c r="KL59" s="397">
        <f t="shared" si="137"/>
        <v>6.875</v>
      </c>
      <c r="KM59" s="400">
        <f t="shared" si="138"/>
        <v>4.8999999999999986</v>
      </c>
      <c r="KN59" s="398">
        <f t="shared" si="352"/>
        <v>172.04230610405978</v>
      </c>
      <c r="KO59" s="400">
        <f t="shared" si="139"/>
        <v>72.720870628837062</v>
      </c>
      <c r="KP59" s="398">
        <f t="shared" si="140"/>
        <v>-10.312500000000002</v>
      </c>
      <c r="KQ59" s="401">
        <f t="shared" si="228"/>
        <v>4.2706678156659166</v>
      </c>
      <c r="KR59" s="399">
        <f t="shared" si="229"/>
        <v>0</v>
      </c>
      <c r="KS59" s="47"/>
      <c r="KT59" s="47"/>
      <c r="KU59" s="396" t="e">
        <f t="shared" si="353"/>
        <v>#N/A</v>
      </c>
      <c r="KV59" s="397" t="e">
        <f t="shared" si="354"/>
        <v>#N/A</v>
      </c>
      <c r="KW59" s="400" t="e">
        <f t="shared" si="381"/>
        <v>#N/A</v>
      </c>
      <c r="KX59" s="398" t="e">
        <f t="shared" si="230"/>
        <v>#N/A</v>
      </c>
      <c r="KY59" s="400" t="e">
        <f t="shared" si="355"/>
        <v>#N/A</v>
      </c>
      <c r="KZ59" s="398" t="e">
        <f t="shared" si="356"/>
        <v>#N/A</v>
      </c>
      <c r="LA59" s="401" t="e">
        <f t="shared" si="357"/>
        <v>#N/A</v>
      </c>
      <c r="LB59" s="399" t="e">
        <f t="shared" si="232"/>
        <v>#N/A</v>
      </c>
      <c r="LC59" s="47"/>
    </row>
    <row r="60" spans="1:315" x14ac:dyDescent="0.25">
      <c r="Z60" s="413"/>
      <c r="AA60" s="396" t="e">
        <f t="shared" si="233"/>
        <v>#N/A</v>
      </c>
      <c r="AB60" s="397" t="e">
        <f t="shared" si="234"/>
        <v>#N/A</v>
      </c>
      <c r="AC60" s="400" t="e">
        <f t="shared" si="358"/>
        <v>#N/A</v>
      </c>
      <c r="AD60" s="398" t="e">
        <f t="shared" si="146"/>
        <v>#N/A</v>
      </c>
      <c r="AE60" s="400" t="e">
        <f t="shared" si="235"/>
        <v>#N/A</v>
      </c>
      <c r="AF60" s="398" t="e">
        <f t="shared" si="236"/>
        <v>#N/A</v>
      </c>
      <c r="AG60" s="401" t="e">
        <f t="shared" si="237"/>
        <v>#N/A</v>
      </c>
      <c r="AH60" s="399" t="e">
        <f t="shared" si="148"/>
        <v>#N/A</v>
      </c>
      <c r="AI60" s="47"/>
      <c r="AJ60" s="47"/>
      <c r="AK60" s="396" t="e">
        <f t="shared" si="238"/>
        <v>#N/A</v>
      </c>
      <c r="AL60" s="397" t="e">
        <f t="shared" si="239"/>
        <v>#N/A</v>
      </c>
      <c r="AM60" s="400" t="e">
        <f t="shared" si="359"/>
        <v>#N/A</v>
      </c>
      <c r="AN60" s="398" t="e">
        <f t="shared" si="149"/>
        <v>#N/A</v>
      </c>
      <c r="AO60" s="400" t="e">
        <f t="shared" si="240"/>
        <v>#N/A</v>
      </c>
      <c r="AP60" s="398" t="e">
        <f t="shared" si="241"/>
        <v>#N/A</v>
      </c>
      <c r="AQ60" s="401" t="e">
        <f t="shared" si="242"/>
        <v>#N/A</v>
      </c>
      <c r="AR60" s="399" t="e">
        <f t="shared" si="151"/>
        <v>#N/A</v>
      </c>
      <c r="AS60" s="47"/>
      <c r="AT60" s="47"/>
      <c r="AU60" s="396" t="e">
        <f t="shared" si="243"/>
        <v>#N/A</v>
      </c>
      <c r="AV60" s="397" t="e">
        <f t="shared" si="244"/>
        <v>#N/A</v>
      </c>
      <c r="AW60" s="400" t="e">
        <f t="shared" si="360"/>
        <v>#N/A</v>
      </c>
      <c r="AX60" s="398" t="e">
        <f t="shared" si="152"/>
        <v>#N/A</v>
      </c>
      <c r="AY60" s="400" t="e">
        <f t="shared" si="245"/>
        <v>#N/A</v>
      </c>
      <c r="AZ60" s="398" t="e">
        <f t="shared" si="246"/>
        <v>#N/A</v>
      </c>
      <c r="BA60" s="401" t="e">
        <f t="shared" si="247"/>
        <v>#N/A</v>
      </c>
      <c r="BB60" s="399" t="e">
        <f t="shared" si="154"/>
        <v>#N/A</v>
      </c>
      <c r="BC60" s="47"/>
      <c r="BD60" s="47"/>
      <c r="BE60" s="396" t="e">
        <f t="shared" si="248"/>
        <v>#N/A</v>
      </c>
      <c r="BF60" s="397" t="e">
        <f t="shared" si="249"/>
        <v>#N/A</v>
      </c>
      <c r="BG60" s="400" t="e">
        <f t="shared" si="361"/>
        <v>#N/A</v>
      </c>
      <c r="BH60" s="398" t="e">
        <f t="shared" si="155"/>
        <v>#N/A</v>
      </c>
      <c r="BI60" s="400" t="e">
        <f t="shared" si="250"/>
        <v>#N/A</v>
      </c>
      <c r="BJ60" s="398" t="e">
        <f t="shared" si="251"/>
        <v>#N/A</v>
      </c>
      <c r="BK60" s="401" t="e">
        <f t="shared" si="252"/>
        <v>#N/A</v>
      </c>
      <c r="BL60" s="399" t="e">
        <f t="shared" si="157"/>
        <v>#N/A</v>
      </c>
      <c r="BM60" s="47"/>
      <c r="BN60" s="49"/>
      <c r="BO60" s="396" t="e">
        <f t="shared" si="253"/>
        <v>#N/A</v>
      </c>
      <c r="BP60" s="397" t="e">
        <f t="shared" si="254"/>
        <v>#N/A</v>
      </c>
      <c r="BQ60" s="400" t="e">
        <f t="shared" si="362"/>
        <v>#N/A</v>
      </c>
      <c r="BR60" s="398" t="e">
        <f t="shared" si="158"/>
        <v>#N/A</v>
      </c>
      <c r="BS60" s="400" t="e">
        <f t="shared" si="255"/>
        <v>#N/A</v>
      </c>
      <c r="BT60" s="398" t="e">
        <f t="shared" si="256"/>
        <v>#N/A</v>
      </c>
      <c r="BU60" s="401" t="e">
        <f t="shared" si="257"/>
        <v>#N/A</v>
      </c>
      <c r="BV60" s="399" t="e">
        <f t="shared" si="160"/>
        <v>#N/A</v>
      </c>
      <c r="BW60" s="47"/>
      <c r="BX60" s="47"/>
      <c r="BY60" s="396" t="e">
        <f t="shared" si="258"/>
        <v>#N/A</v>
      </c>
      <c r="BZ60" s="397" t="e">
        <f t="shared" si="259"/>
        <v>#N/A</v>
      </c>
      <c r="CA60" s="400" t="e">
        <f t="shared" si="363"/>
        <v>#N/A</v>
      </c>
      <c r="CB60" s="398" t="e">
        <f t="shared" si="161"/>
        <v>#N/A</v>
      </c>
      <c r="CC60" s="400" t="e">
        <f t="shared" si="260"/>
        <v>#N/A</v>
      </c>
      <c r="CD60" s="398" t="e">
        <f t="shared" si="261"/>
        <v>#N/A</v>
      </c>
      <c r="CE60" s="401" t="e">
        <f t="shared" si="262"/>
        <v>#N/A</v>
      </c>
      <c r="CF60" s="399" t="e">
        <f t="shared" si="163"/>
        <v>#N/A</v>
      </c>
      <c r="CG60" s="49"/>
      <c r="CH60" s="47"/>
      <c r="CI60" s="396" t="e">
        <f t="shared" si="263"/>
        <v>#N/A</v>
      </c>
      <c r="CJ60" s="397" t="e">
        <f t="shared" si="264"/>
        <v>#N/A</v>
      </c>
      <c r="CK60" s="400" t="e">
        <f t="shared" si="364"/>
        <v>#N/A</v>
      </c>
      <c r="CL60" s="398" t="e">
        <f t="shared" si="164"/>
        <v>#N/A</v>
      </c>
      <c r="CM60" s="400" t="e">
        <f t="shared" si="265"/>
        <v>#N/A</v>
      </c>
      <c r="CN60" s="398" t="e">
        <f t="shared" si="266"/>
        <v>#N/A</v>
      </c>
      <c r="CO60" s="401" t="e">
        <f t="shared" si="267"/>
        <v>#N/A</v>
      </c>
      <c r="CP60" s="399" t="e">
        <f t="shared" si="166"/>
        <v>#N/A</v>
      </c>
      <c r="CQ60" s="47"/>
      <c r="CS60" s="396" t="e">
        <f t="shared" si="268"/>
        <v>#N/A</v>
      </c>
      <c r="CT60" s="397" t="e">
        <f t="shared" si="269"/>
        <v>#N/A</v>
      </c>
      <c r="CU60" s="400" t="e">
        <f t="shared" si="365"/>
        <v>#N/A</v>
      </c>
      <c r="CV60" s="398" t="e">
        <f t="shared" si="167"/>
        <v>#N/A</v>
      </c>
      <c r="CW60" s="400" t="e">
        <f t="shared" si="270"/>
        <v>#N/A</v>
      </c>
      <c r="CX60" s="398" t="e">
        <f t="shared" si="271"/>
        <v>#N/A</v>
      </c>
      <c r="CY60" s="401" t="e">
        <f t="shared" si="272"/>
        <v>#N/A</v>
      </c>
      <c r="CZ60" s="399" t="e">
        <f t="shared" si="169"/>
        <v>#N/A</v>
      </c>
      <c r="DA60" s="47"/>
      <c r="DB60" s="47"/>
      <c r="DC60" s="396" t="e">
        <f t="shared" si="273"/>
        <v>#N/A</v>
      </c>
      <c r="DD60" s="397" t="e">
        <f t="shared" si="274"/>
        <v>#N/A</v>
      </c>
      <c r="DE60" s="400" t="e">
        <f t="shared" si="366"/>
        <v>#N/A</v>
      </c>
      <c r="DF60" s="398" t="e">
        <f t="shared" si="170"/>
        <v>#N/A</v>
      </c>
      <c r="DG60" s="400" t="e">
        <f t="shared" si="275"/>
        <v>#N/A</v>
      </c>
      <c r="DH60" s="398" t="e">
        <f t="shared" si="276"/>
        <v>#N/A</v>
      </c>
      <c r="DI60" s="401" t="e">
        <f t="shared" si="277"/>
        <v>#N/A</v>
      </c>
      <c r="DJ60" s="399" t="e">
        <f t="shared" si="172"/>
        <v>#N/A</v>
      </c>
      <c r="DK60" s="47"/>
      <c r="DM60" s="396" t="e">
        <f t="shared" si="278"/>
        <v>#N/A</v>
      </c>
      <c r="DN60" s="397" t="e">
        <f t="shared" si="279"/>
        <v>#N/A</v>
      </c>
      <c r="DO60" s="400" t="e">
        <f t="shared" si="367"/>
        <v>#N/A</v>
      </c>
      <c r="DP60" s="398" t="e">
        <f t="shared" si="173"/>
        <v>#N/A</v>
      </c>
      <c r="DQ60" s="400" t="e">
        <f t="shared" si="280"/>
        <v>#N/A</v>
      </c>
      <c r="DR60" s="398" t="e">
        <f t="shared" si="281"/>
        <v>#N/A</v>
      </c>
      <c r="DS60" s="401" t="e">
        <f t="shared" si="282"/>
        <v>#N/A</v>
      </c>
      <c r="DT60" s="399" t="e">
        <f t="shared" si="175"/>
        <v>#N/A</v>
      </c>
      <c r="DU60" s="47"/>
      <c r="DV60" s="49"/>
      <c r="DW60" s="396" t="e">
        <f t="shared" si="283"/>
        <v>#N/A</v>
      </c>
      <c r="DX60" s="397" t="e">
        <f t="shared" si="284"/>
        <v>#N/A</v>
      </c>
      <c r="DY60" s="400" t="e">
        <f t="shared" si="368"/>
        <v>#N/A</v>
      </c>
      <c r="DZ60" s="398" t="e">
        <f t="shared" si="176"/>
        <v>#N/A</v>
      </c>
      <c r="EA60" s="400" t="e">
        <f t="shared" si="285"/>
        <v>#N/A</v>
      </c>
      <c r="EB60" s="398" t="e">
        <f t="shared" si="286"/>
        <v>#N/A</v>
      </c>
      <c r="EC60" s="401" t="e">
        <f t="shared" si="287"/>
        <v>#N/A</v>
      </c>
      <c r="ED60" s="399" t="e">
        <f t="shared" si="178"/>
        <v>#N/A</v>
      </c>
      <c r="EE60" s="47"/>
      <c r="EF60" s="47"/>
      <c r="EG60" s="396" t="e">
        <f t="shared" si="288"/>
        <v>#N/A</v>
      </c>
      <c r="EH60" s="397" t="e">
        <f t="shared" si="289"/>
        <v>#N/A</v>
      </c>
      <c r="EI60" s="400" t="e">
        <f t="shared" si="369"/>
        <v>#N/A</v>
      </c>
      <c r="EJ60" s="398" t="e">
        <f t="shared" si="179"/>
        <v>#N/A</v>
      </c>
      <c r="EK60" s="400" t="e">
        <f t="shared" si="290"/>
        <v>#N/A</v>
      </c>
      <c r="EL60" s="398" t="e">
        <f t="shared" si="291"/>
        <v>#N/A</v>
      </c>
      <c r="EM60" s="401" t="e">
        <f t="shared" si="292"/>
        <v>#N/A</v>
      </c>
      <c r="EN60" s="399" t="e">
        <f t="shared" si="181"/>
        <v>#N/A</v>
      </c>
      <c r="EO60" s="47"/>
      <c r="EP60" s="47"/>
      <c r="EQ60" s="396" t="e">
        <f t="shared" si="293"/>
        <v>#N/A</v>
      </c>
      <c r="ER60" s="397" t="e">
        <f t="shared" si="294"/>
        <v>#N/A</v>
      </c>
      <c r="ES60" s="400" t="e">
        <f t="shared" si="370"/>
        <v>#N/A</v>
      </c>
      <c r="ET60" s="398" t="e">
        <f t="shared" si="182"/>
        <v>#N/A</v>
      </c>
      <c r="EU60" s="400" t="e">
        <f t="shared" si="295"/>
        <v>#N/A</v>
      </c>
      <c r="EV60" s="398" t="e">
        <f t="shared" si="296"/>
        <v>#N/A</v>
      </c>
      <c r="EW60" s="401" t="e">
        <f t="shared" si="297"/>
        <v>#N/A</v>
      </c>
      <c r="EX60" s="399" t="e">
        <f t="shared" si="184"/>
        <v>#N/A</v>
      </c>
      <c r="EY60" s="47"/>
      <c r="EZ60" s="47"/>
      <c r="FA60" s="396" t="e">
        <f t="shared" si="298"/>
        <v>#N/A</v>
      </c>
      <c r="FB60" s="397" t="e">
        <f t="shared" si="299"/>
        <v>#N/A</v>
      </c>
      <c r="FC60" s="400" t="e">
        <f t="shared" si="371"/>
        <v>#N/A</v>
      </c>
      <c r="FD60" s="398" t="e">
        <f t="shared" si="185"/>
        <v>#N/A</v>
      </c>
      <c r="FE60" s="400" t="e">
        <f t="shared" si="300"/>
        <v>#N/A</v>
      </c>
      <c r="FF60" s="398" t="e">
        <f t="shared" si="301"/>
        <v>#N/A</v>
      </c>
      <c r="FG60" s="401" t="e">
        <f t="shared" si="302"/>
        <v>#N/A</v>
      </c>
      <c r="FH60" s="399" t="e">
        <f t="shared" si="187"/>
        <v>#N/A</v>
      </c>
      <c r="FI60" s="47"/>
      <c r="FJ60" s="49"/>
      <c r="FK60" s="396" t="e">
        <f t="shared" si="303"/>
        <v>#N/A</v>
      </c>
      <c r="FL60" s="397" t="e">
        <f t="shared" si="304"/>
        <v>#N/A</v>
      </c>
      <c r="FM60" s="400" t="e">
        <f t="shared" si="372"/>
        <v>#N/A</v>
      </c>
      <c r="FN60" s="398" t="e">
        <f t="shared" si="188"/>
        <v>#N/A</v>
      </c>
      <c r="FO60" s="400" t="e">
        <f t="shared" si="305"/>
        <v>#N/A</v>
      </c>
      <c r="FP60" s="398" t="e">
        <f t="shared" si="306"/>
        <v>#N/A</v>
      </c>
      <c r="FQ60" s="401" t="e">
        <f t="shared" si="307"/>
        <v>#N/A</v>
      </c>
      <c r="FR60" s="399" t="e">
        <f t="shared" si="190"/>
        <v>#N/A</v>
      </c>
      <c r="FS60" s="47"/>
      <c r="FT60" s="47"/>
      <c r="FU60" s="396" t="e">
        <f t="shared" si="308"/>
        <v>#N/A</v>
      </c>
      <c r="FV60" s="397" t="e">
        <f t="shared" si="309"/>
        <v>#N/A</v>
      </c>
      <c r="FW60" s="400" t="e">
        <f t="shared" si="373"/>
        <v>#N/A</v>
      </c>
      <c r="FX60" s="398" t="e">
        <f t="shared" si="191"/>
        <v>#N/A</v>
      </c>
      <c r="FY60" s="400" t="e">
        <f t="shared" si="310"/>
        <v>#N/A</v>
      </c>
      <c r="FZ60" s="398" t="e">
        <f t="shared" si="311"/>
        <v>#N/A</v>
      </c>
      <c r="GA60" s="401" t="e">
        <f t="shared" si="312"/>
        <v>#N/A</v>
      </c>
      <c r="GB60" s="399" t="e">
        <f t="shared" si="193"/>
        <v>#N/A</v>
      </c>
      <c r="GC60" s="47"/>
      <c r="GD60" s="47"/>
      <c r="GE60" s="396" t="e">
        <f t="shared" si="313"/>
        <v>#N/A</v>
      </c>
      <c r="GF60" s="397" t="e">
        <f t="shared" si="314"/>
        <v>#N/A</v>
      </c>
      <c r="GG60" s="400" t="e">
        <f t="shared" si="374"/>
        <v>#N/A</v>
      </c>
      <c r="GH60" s="398" t="e">
        <f t="shared" si="194"/>
        <v>#N/A</v>
      </c>
      <c r="GI60" s="400" t="e">
        <f t="shared" si="315"/>
        <v>#N/A</v>
      </c>
      <c r="GJ60" s="398" t="e">
        <f t="shared" si="316"/>
        <v>#N/A</v>
      </c>
      <c r="GK60" s="401" t="e">
        <f t="shared" si="317"/>
        <v>#N/A</v>
      </c>
      <c r="GL60" s="399" t="e">
        <f t="shared" si="196"/>
        <v>#N/A</v>
      </c>
      <c r="GM60" s="47"/>
      <c r="GN60" s="47"/>
      <c r="GO60" s="396" t="e">
        <f t="shared" si="318"/>
        <v>#N/A</v>
      </c>
      <c r="GP60" s="397" t="e">
        <f t="shared" si="319"/>
        <v>#N/A</v>
      </c>
      <c r="GQ60" s="400" t="e">
        <f t="shared" si="375"/>
        <v>#N/A</v>
      </c>
      <c r="GR60" s="398" t="e">
        <f t="shared" si="197"/>
        <v>#N/A</v>
      </c>
      <c r="GS60" s="400" t="e">
        <f t="shared" si="320"/>
        <v>#N/A</v>
      </c>
      <c r="GT60" s="398" t="e">
        <f t="shared" si="321"/>
        <v>#N/A</v>
      </c>
      <c r="GU60" s="401" t="e">
        <f t="shared" si="322"/>
        <v>#N/A</v>
      </c>
      <c r="GV60" s="399" t="e">
        <f t="shared" si="199"/>
        <v>#N/A</v>
      </c>
      <c r="GW60" s="47"/>
      <c r="GX60" s="47"/>
      <c r="GY60" s="396" t="e">
        <f t="shared" si="323"/>
        <v>#N/A</v>
      </c>
      <c r="GZ60" s="397" t="e">
        <f t="shared" si="324"/>
        <v>#N/A</v>
      </c>
      <c r="HA60" s="400" t="e">
        <f t="shared" si="376"/>
        <v>#N/A</v>
      </c>
      <c r="HB60" s="398" t="e">
        <f t="shared" si="200"/>
        <v>#N/A</v>
      </c>
      <c r="HC60" s="400" t="e">
        <f t="shared" si="325"/>
        <v>#N/A</v>
      </c>
      <c r="HD60" s="398" t="e">
        <f t="shared" si="326"/>
        <v>#N/A</v>
      </c>
      <c r="HE60" s="401" t="e">
        <f t="shared" si="327"/>
        <v>#N/A</v>
      </c>
      <c r="HF60" s="399" t="e">
        <f t="shared" si="202"/>
        <v>#N/A</v>
      </c>
      <c r="HH60" s="47"/>
      <c r="HI60" s="396" t="e">
        <f t="shared" si="328"/>
        <v>#N/A</v>
      </c>
      <c r="HJ60" s="397" t="e">
        <f t="shared" si="329"/>
        <v>#N/A</v>
      </c>
      <c r="HK60" s="400" t="e">
        <f t="shared" si="377"/>
        <v>#N/A</v>
      </c>
      <c r="HL60" s="398" t="e">
        <f t="shared" si="203"/>
        <v>#N/A</v>
      </c>
      <c r="HM60" s="400" t="e">
        <f t="shared" si="330"/>
        <v>#N/A</v>
      </c>
      <c r="HN60" s="398" t="e">
        <f t="shared" si="331"/>
        <v>#N/A</v>
      </c>
      <c r="HO60" s="401" t="e">
        <f t="shared" si="332"/>
        <v>#N/A</v>
      </c>
      <c r="HP60" s="399" t="e">
        <f t="shared" si="205"/>
        <v>#N/A</v>
      </c>
      <c r="HQ60" s="47"/>
      <c r="HR60" s="47"/>
      <c r="HS60" s="396" t="e">
        <f t="shared" si="333"/>
        <v>#N/A</v>
      </c>
      <c r="HT60" s="397" t="e">
        <f t="shared" si="334"/>
        <v>#N/A</v>
      </c>
      <c r="HU60" s="400" t="e">
        <f t="shared" si="378"/>
        <v>#N/A</v>
      </c>
      <c r="HV60" s="398" t="e">
        <f t="shared" si="206"/>
        <v>#N/A</v>
      </c>
      <c r="HW60" s="400" t="e">
        <f t="shared" si="335"/>
        <v>#N/A</v>
      </c>
      <c r="HX60" s="398" t="e">
        <f t="shared" si="336"/>
        <v>#N/A</v>
      </c>
      <c r="HY60" s="401" t="e">
        <f t="shared" si="337"/>
        <v>#N/A</v>
      </c>
      <c r="HZ60" s="399" t="e">
        <f t="shared" si="208"/>
        <v>#N/A</v>
      </c>
      <c r="IA60" s="47"/>
      <c r="IB60" s="49"/>
      <c r="IC60" s="396" t="e">
        <f t="shared" si="338"/>
        <v>#N/A</v>
      </c>
      <c r="ID60" s="397" t="e">
        <f t="shared" si="339"/>
        <v>#N/A</v>
      </c>
      <c r="IE60" s="400" t="e">
        <f t="shared" si="379"/>
        <v>#N/A</v>
      </c>
      <c r="IF60" s="398" t="e">
        <f t="shared" si="209"/>
        <v>#N/A</v>
      </c>
      <c r="IG60" s="400" t="e">
        <f t="shared" si="340"/>
        <v>#N/A</v>
      </c>
      <c r="IH60" s="398" t="e">
        <f t="shared" si="341"/>
        <v>#N/A</v>
      </c>
      <c r="II60" s="401" t="e">
        <f t="shared" si="342"/>
        <v>#N/A</v>
      </c>
      <c r="IJ60" s="399" t="e">
        <f t="shared" si="211"/>
        <v>#N/A</v>
      </c>
      <c r="IK60" s="47"/>
      <c r="IL60" s="47"/>
      <c r="IM60" s="396" t="e">
        <f t="shared" si="343"/>
        <v>#N/A</v>
      </c>
      <c r="IN60" s="397" t="e">
        <f t="shared" si="344"/>
        <v>#N/A</v>
      </c>
      <c r="IO60" s="400" t="e">
        <f t="shared" si="380"/>
        <v>#N/A</v>
      </c>
      <c r="IP60" s="398" t="e">
        <f t="shared" si="212"/>
        <v>#N/A</v>
      </c>
      <c r="IQ60" s="400" t="e">
        <f t="shared" si="345"/>
        <v>#N/A</v>
      </c>
      <c r="IR60" s="398" t="e">
        <f t="shared" si="346"/>
        <v>#N/A</v>
      </c>
      <c r="IS60" s="401" t="e">
        <f t="shared" si="347"/>
        <v>#N/A</v>
      </c>
      <c r="IT60" s="399" t="e">
        <f t="shared" si="214"/>
        <v>#N/A</v>
      </c>
      <c r="IU60" s="47"/>
      <c r="IV60" s="47"/>
      <c r="IW60" s="396" t="e">
        <f t="shared" si="116"/>
        <v>#N/A</v>
      </c>
      <c r="IX60" s="397" t="e">
        <f t="shared" si="117"/>
        <v>#N/A</v>
      </c>
      <c r="IY60" s="400" t="e">
        <f t="shared" si="118"/>
        <v>#N/A</v>
      </c>
      <c r="IZ60" s="398" t="e">
        <f t="shared" si="348"/>
        <v>#N/A</v>
      </c>
      <c r="JA60" s="400" t="e">
        <f t="shared" si="119"/>
        <v>#N/A</v>
      </c>
      <c r="JB60" s="398" t="e">
        <f t="shared" si="120"/>
        <v>#N/A</v>
      </c>
      <c r="JC60" s="401" t="e">
        <f t="shared" si="216"/>
        <v>#N/A</v>
      </c>
      <c r="JD60" s="399" t="e">
        <f t="shared" si="217"/>
        <v>#N/A</v>
      </c>
      <c r="JE60" s="47"/>
      <c r="JF60" s="47"/>
      <c r="JG60" s="396" t="e">
        <f t="shared" si="121"/>
        <v>#N/A</v>
      </c>
      <c r="JH60" s="397" t="e">
        <f t="shared" si="122"/>
        <v>#N/A</v>
      </c>
      <c r="JI60" s="400" t="e">
        <f t="shared" si="123"/>
        <v>#N/A</v>
      </c>
      <c r="JJ60" s="398" t="e">
        <f t="shared" si="349"/>
        <v>#N/A</v>
      </c>
      <c r="JK60" s="400" t="e">
        <f t="shared" si="124"/>
        <v>#N/A</v>
      </c>
      <c r="JL60" s="398" t="e">
        <f t="shared" si="125"/>
        <v>#N/A</v>
      </c>
      <c r="JM60" s="401" t="e">
        <f t="shared" si="219"/>
        <v>#N/A</v>
      </c>
      <c r="JN60" s="399" t="e">
        <f t="shared" si="220"/>
        <v>#N/A</v>
      </c>
      <c r="JO60" s="47"/>
      <c r="JP60" s="47"/>
      <c r="JQ60" s="396" t="e">
        <f t="shared" si="126"/>
        <v>#N/A</v>
      </c>
      <c r="JR60" s="397" t="e">
        <f t="shared" si="127"/>
        <v>#N/A</v>
      </c>
      <c r="JS60" s="400" t="e">
        <f t="shared" si="128"/>
        <v>#N/A</v>
      </c>
      <c r="JT60" s="398" t="e">
        <f t="shared" si="350"/>
        <v>#N/A</v>
      </c>
      <c r="JU60" s="400" t="e">
        <f t="shared" si="129"/>
        <v>#N/A</v>
      </c>
      <c r="JV60" s="398" t="e">
        <f t="shared" si="130"/>
        <v>#N/A</v>
      </c>
      <c r="JW60" s="401" t="e">
        <f t="shared" si="222"/>
        <v>#N/A</v>
      </c>
      <c r="JX60" s="399" t="e">
        <f t="shared" si="223"/>
        <v>#N/A</v>
      </c>
      <c r="JY60" s="47"/>
      <c r="JZ60" s="47"/>
      <c r="KA60" s="396" t="e">
        <f t="shared" si="131"/>
        <v>#N/A</v>
      </c>
      <c r="KB60" s="397" t="e">
        <f t="shared" si="132"/>
        <v>#N/A</v>
      </c>
      <c r="KC60" s="400" t="e">
        <f t="shared" si="133"/>
        <v>#N/A</v>
      </c>
      <c r="KD60" s="398" t="e">
        <f t="shared" si="351"/>
        <v>#N/A</v>
      </c>
      <c r="KE60" s="400" t="e">
        <f t="shared" si="134"/>
        <v>#N/A</v>
      </c>
      <c r="KF60" s="398" t="e">
        <f t="shared" si="135"/>
        <v>#N/A</v>
      </c>
      <c r="KG60" s="401" t="e">
        <f t="shared" si="225"/>
        <v>#N/A</v>
      </c>
      <c r="KH60" s="399" t="e">
        <f t="shared" si="226"/>
        <v>#N/A</v>
      </c>
      <c r="KI60" s="47"/>
      <c r="KJ60" s="47"/>
      <c r="KK60" s="396" t="e">
        <f t="shared" si="136"/>
        <v>#N/A</v>
      </c>
      <c r="KL60" s="397" t="e">
        <f t="shared" si="137"/>
        <v>#N/A</v>
      </c>
      <c r="KM60" s="400" t="e">
        <f t="shared" si="138"/>
        <v>#N/A</v>
      </c>
      <c r="KN60" s="398" t="e">
        <f t="shared" si="352"/>
        <v>#N/A</v>
      </c>
      <c r="KO60" s="400" t="e">
        <f t="shared" si="139"/>
        <v>#N/A</v>
      </c>
      <c r="KP60" s="398" t="e">
        <f t="shared" si="140"/>
        <v>#N/A</v>
      </c>
      <c r="KQ60" s="401" t="e">
        <f t="shared" si="228"/>
        <v>#N/A</v>
      </c>
      <c r="KR60" s="399" t="e">
        <f t="shared" si="229"/>
        <v>#N/A</v>
      </c>
      <c r="KS60" s="47"/>
      <c r="KT60" s="47"/>
      <c r="KU60" s="396" t="e">
        <f t="shared" si="353"/>
        <v>#N/A</v>
      </c>
      <c r="KV60" s="397" t="e">
        <f t="shared" si="354"/>
        <v>#N/A</v>
      </c>
      <c r="KW60" s="400" t="e">
        <f t="shared" si="381"/>
        <v>#N/A</v>
      </c>
      <c r="KX60" s="398" t="e">
        <f t="shared" si="230"/>
        <v>#N/A</v>
      </c>
      <c r="KY60" s="400" t="e">
        <f t="shared" si="355"/>
        <v>#N/A</v>
      </c>
      <c r="KZ60" s="398" t="e">
        <f t="shared" si="356"/>
        <v>#N/A</v>
      </c>
      <c r="LA60" s="401" t="e">
        <f t="shared" si="357"/>
        <v>#N/A</v>
      </c>
      <c r="LB60" s="399" t="e">
        <f t="shared" si="232"/>
        <v>#N/A</v>
      </c>
      <c r="LC60" s="47"/>
    </row>
    <row r="61" spans="1:315" x14ac:dyDescent="0.25">
      <c r="Z61" s="413"/>
      <c r="AA61" s="396" t="e">
        <f t="shared" si="233"/>
        <v>#N/A</v>
      </c>
      <c r="AB61" s="397" t="e">
        <f t="shared" si="234"/>
        <v>#N/A</v>
      </c>
      <c r="AC61" s="400" t="e">
        <f t="shared" si="358"/>
        <v>#N/A</v>
      </c>
      <c r="AD61" s="398" t="e">
        <f t="shared" si="146"/>
        <v>#N/A</v>
      </c>
      <c r="AE61" s="400" t="e">
        <f t="shared" si="235"/>
        <v>#N/A</v>
      </c>
      <c r="AF61" s="398" t="e">
        <f t="shared" si="236"/>
        <v>#N/A</v>
      </c>
      <c r="AG61" s="401" t="e">
        <f t="shared" si="237"/>
        <v>#N/A</v>
      </c>
      <c r="AH61" s="399" t="e">
        <f t="shared" si="148"/>
        <v>#N/A</v>
      </c>
      <c r="AI61" s="47"/>
      <c r="AJ61" s="47"/>
      <c r="AK61" s="396" t="e">
        <f t="shared" si="238"/>
        <v>#N/A</v>
      </c>
      <c r="AL61" s="397" t="e">
        <f t="shared" si="239"/>
        <v>#N/A</v>
      </c>
      <c r="AM61" s="400" t="e">
        <f t="shared" si="359"/>
        <v>#N/A</v>
      </c>
      <c r="AN61" s="398" t="e">
        <f t="shared" si="149"/>
        <v>#N/A</v>
      </c>
      <c r="AO61" s="400" t="e">
        <f t="shared" si="240"/>
        <v>#N/A</v>
      </c>
      <c r="AP61" s="398" t="e">
        <f t="shared" si="241"/>
        <v>#N/A</v>
      </c>
      <c r="AQ61" s="401" t="e">
        <f t="shared" si="242"/>
        <v>#N/A</v>
      </c>
      <c r="AR61" s="399" t="e">
        <f t="shared" si="151"/>
        <v>#N/A</v>
      </c>
      <c r="AS61" s="47"/>
      <c r="AT61" s="47"/>
      <c r="AU61" s="396" t="e">
        <f t="shared" si="243"/>
        <v>#N/A</v>
      </c>
      <c r="AV61" s="397" t="e">
        <f t="shared" si="244"/>
        <v>#N/A</v>
      </c>
      <c r="AW61" s="400" t="e">
        <f t="shared" si="360"/>
        <v>#N/A</v>
      </c>
      <c r="AX61" s="398" t="e">
        <f t="shared" si="152"/>
        <v>#N/A</v>
      </c>
      <c r="AY61" s="400" t="e">
        <f t="shared" si="245"/>
        <v>#N/A</v>
      </c>
      <c r="AZ61" s="398" t="e">
        <f t="shared" si="246"/>
        <v>#N/A</v>
      </c>
      <c r="BA61" s="401" t="e">
        <f t="shared" si="247"/>
        <v>#N/A</v>
      </c>
      <c r="BB61" s="399" t="e">
        <f t="shared" si="154"/>
        <v>#N/A</v>
      </c>
      <c r="BC61" s="47"/>
      <c r="BD61" s="47"/>
      <c r="BE61" s="396" t="e">
        <f t="shared" si="248"/>
        <v>#N/A</v>
      </c>
      <c r="BF61" s="397" t="e">
        <f t="shared" si="249"/>
        <v>#N/A</v>
      </c>
      <c r="BG61" s="400" t="e">
        <f t="shared" si="361"/>
        <v>#N/A</v>
      </c>
      <c r="BH61" s="398" t="e">
        <f t="shared" si="155"/>
        <v>#N/A</v>
      </c>
      <c r="BI61" s="400" t="e">
        <f t="shared" si="250"/>
        <v>#N/A</v>
      </c>
      <c r="BJ61" s="398" t="e">
        <f t="shared" si="251"/>
        <v>#N/A</v>
      </c>
      <c r="BK61" s="401" t="e">
        <f t="shared" si="252"/>
        <v>#N/A</v>
      </c>
      <c r="BL61" s="399" t="e">
        <f t="shared" si="157"/>
        <v>#N/A</v>
      </c>
      <c r="BM61" s="47"/>
      <c r="BN61" s="49"/>
      <c r="BO61" s="396" t="e">
        <f t="shared" si="253"/>
        <v>#N/A</v>
      </c>
      <c r="BP61" s="397" t="e">
        <f t="shared" si="254"/>
        <v>#N/A</v>
      </c>
      <c r="BQ61" s="400" t="e">
        <f t="shared" si="362"/>
        <v>#N/A</v>
      </c>
      <c r="BR61" s="398" t="e">
        <f t="shared" si="158"/>
        <v>#N/A</v>
      </c>
      <c r="BS61" s="400" t="e">
        <f t="shared" si="255"/>
        <v>#N/A</v>
      </c>
      <c r="BT61" s="398" t="e">
        <f t="shared" si="256"/>
        <v>#N/A</v>
      </c>
      <c r="BU61" s="401" t="e">
        <f t="shared" si="257"/>
        <v>#N/A</v>
      </c>
      <c r="BV61" s="399" t="e">
        <f t="shared" si="160"/>
        <v>#N/A</v>
      </c>
      <c r="BW61" s="47"/>
      <c r="BX61" s="47"/>
      <c r="BY61" s="396" t="e">
        <f t="shared" si="258"/>
        <v>#N/A</v>
      </c>
      <c r="BZ61" s="397" t="e">
        <f t="shared" si="259"/>
        <v>#N/A</v>
      </c>
      <c r="CA61" s="400" t="e">
        <f t="shared" si="363"/>
        <v>#N/A</v>
      </c>
      <c r="CB61" s="398" t="e">
        <f t="shared" si="161"/>
        <v>#N/A</v>
      </c>
      <c r="CC61" s="400" t="e">
        <f t="shared" si="260"/>
        <v>#N/A</v>
      </c>
      <c r="CD61" s="398" t="e">
        <f t="shared" si="261"/>
        <v>#N/A</v>
      </c>
      <c r="CE61" s="401" t="e">
        <f t="shared" si="262"/>
        <v>#N/A</v>
      </c>
      <c r="CF61" s="399" t="e">
        <f t="shared" si="163"/>
        <v>#N/A</v>
      </c>
      <c r="CG61" s="49"/>
      <c r="CH61" s="47"/>
      <c r="CI61" s="396" t="e">
        <f t="shared" si="263"/>
        <v>#N/A</v>
      </c>
      <c r="CJ61" s="397" t="e">
        <f t="shared" si="264"/>
        <v>#N/A</v>
      </c>
      <c r="CK61" s="400" t="e">
        <f t="shared" si="364"/>
        <v>#N/A</v>
      </c>
      <c r="CL61" s="398" t="e">
        <f t="shared" si="164"/>
        <v>#N/A</v>
      </c>
      <c r="CM61" s="400" t="e">
        <f t="shared" si="265"/>
        <v>#N/A</v>
      </c>
      <c r="CN61" s="398" t="e">
        <f t="shared" si="266"/>
        <v>#N/A</v>
      </c>
      <c r="CO61" s="401" t="e">
        <f t="shared" si="267"/>
        <v>#N/A</v>
      </c>
      <c r="CP61" s="399" t="e">
        <f t="shared" si="166"/>
        <v>#N/A</v>
      </c>
      <c r="CQ61" s="47"/>
      <c r="CS61" s="396" t="e">
        <f t="shared" si="268"/>
        <v>#N/A</v>
      </c>
      <c r="CT61" s="397" t="e">
        <f t="shared" si="269"/>
        <v>#N/A</v>
      </c>
      <c r="CU61" s="400" t="e">
        <f t="shared" si="365"/>
        <v>#N/A</v>
      </c>
      <c r="CV61" s="398" t="e">
        <f t="shared" si="167"/>
        <v>#N/A</v>
      </c>
      <c r="CW61" s="400" t="e">
        <f t="shared" si="270"/>
        <v>#N/A</v>
      </c>
      <c r="CX61" s="398" t="e">
        <f t="shared" si="271"/>
        <v>#N/A</v>
      </c>
      <c r="CY61" s="401" t="e">
        <f t="shared" si="272"/>
        <v>#N/A</v>
      </c>
      <c r="CZ61" s="399" t="e">
        <f t="shared" si="169"/>
        <v>#N/A</v>
      </c>
      <c r="DA61" s="47"/>
      <c r="DB61" s="47"/>
      <c r="DC61" s="396" t="e">
        <f t="shared" si="273"/>
        <v>#N/A</v>
      </c>
      <c r="DD61" s="397" t="e">
        <f t="shared" si="274"/>
        <v>#N/A</v>
      </c>
      <c r="DE61" s="400" t="e">
        <f t="shared" si="366"/>
        <v>#N/A</v>
      </c>
      <c r="DF61" s="398" t="e">
        <f t="shared" si="170"/>
        <v>#N/A</v>
      </c>
      <c r="DG61" s="400" t="e">
        <f t="shared" si="275"/>
        <v>#N/A</v>
      </c>
      <c r="DH61" s="398" t="e">
        <f t="shared" si="276"/>
        <v>#N/A</v>
      </c>
      <c r="DI61" s="401" t="e">
        <f t="shared" si="277"/>
        <v>#N/A</v>
      </c>
      <c r="DJ61" s="399" t="e">
        <f t="shared" si="172"/>
        <v>#N/A</v>
      </c>
      <c r="DK61" s="47"/>
      <c r="DM61" s="396" t="e">
        <f t="shared" si="278"/>
        <v>#N/A</v>
      </c>
      <c r="DN61" s="397" t="e">
        <f t="shared" si="279"/>
        <v>#N/A</v>
      </c>
      <c r="DO61" s="400" t="e">
        <f t="shared" si="367"/>
        <v>#N/A</v>
      </c>
      <c r="DP61" s="398" t="e">
        <f t="shared" si="173"/>
        <v>#N/A</v>
      </c>
      <c r="DQ61" s="400" t="e">
        <f t="shared" si="280"/>
        <v>#N/A</v>
      </c>
      <c r="DR61" s="398" t="e">
        <f t="shared" si="281"/>
        <v>#N/A</v>
      </c>
      <c r="DS61" s="401" t="e">
        <f t="shared" si="282"/>
        <v>#N/A</v>
      </c>
      <c r="DT61" s="399" t="e">
        <f t="shared" si="175"/>
        <v>#N/A</v>
      </c>
      <c r="DU61" s="47"/>
      <c r="DV61" s="49"/>
      <c r="DW61" s="396" t="e">
        <f t="shared" si="283"/>
        <v>#N/A</v>
      </c>
      <c r="DX61" s="397" t="e">
        <f t="shared" si="284"/>
        <v>#N/A</v>
      </c>
      <c r="DY61" s="400" t="e">
        <f t="shared" si="368"/>
        <v>#N/A</v>
      </c>
      <c r="DZ61" s="398" t="e">
        <f t="shared" si="176"/>
        <v>#N/A</v>
      </c>
      <c r="EA61" s="400" t="e">
        <f t="shared" si="285"/>
        <v>#N/A</v>
      </c>
      <c r="EB61" s="398" t="e">
        <f t="shared" si="286"/>
        <v>#N/A</v>
      </c>
      <c r="EC61" s="401" t="e">
        <f t="shared" si="287"/>
        <v>#N/A</v>
      </c>
      <c r="ED61" s="399" t="e">
        <f t="shared" si="178"/>
        <v>#N/A</v>
      </c>
      <c r="EE61" s="47"/>
      <c r="EF61" s="47"/>
      <c r="EG61" s="396" t="e">
        <f t="shared" si="288"/>
        <v>#N/A</v>
      </c>
      <c r="EH61" s="397" t="e">
        <f t="shared" si="289"/>
        <v>#N/A</v>
      </c>
      <c r="EI61" s="400" t="e">
        <f t="shared" si="369"/>
        <v>#N/A</v>
      </c>
      <c r="EJ61" s="398" t="e">
        <f t="shared" si="179"/>
        <v>#N/A</v>
      </c>
      <c r="EK61" s="400" t="e">
        <f t="shared" si="290"/>
        <v>#N/A</v>
      </c>
      <c r="EL61" s="398" t="e">
        <f t="shared" si="291"/>
        <v>#N/A</v>
      </c>
      <c r="EM61" s="401" t="e">
        <f t="shared" si="292"/>
        <v>#N/A</v>
      </c>
      <c r="EN61" s="399" t="e">
        <f t="shared" si="181"/>
        <v>#N/A</v>
      </c>
      <c r="EO61" s="47"/>
      <c r="EP61" s="47"/>
      <c r="EQ61" s="396" t="e">
        <f t="shared" si="293"/>
        <v>#N/A</v>
      </c>
      <c r="ER61" s="397" t="e">
        <f t="shared" si="294"/>
        <v>#N/A</v>
      </c>
      <c r="ES61" s="400" t="e">
        <f t="shared" si="370"/>
        <v>#N/A</v>
      </c>
      <c r="ET61" s="398" t="e">
        <f t="shared" si="182"/>
        <v>#N/A</v>
      </c>
      <c r="EU61" s="400" t="e">
        <f t="shared" si="295"/>
        <v>#N/A</v>
      </c>
      <c r="EV61" s="398" t="e">
        <f t="shared" si="296"/>
        <v>#N/A</v>
      </c>
      <c r="EW61" s="401" t="e">
        <f t="shared" si="297"/>
        <v>#N/A</v>
      </c>
      <c r="EX61" s="399" t="e">
        <f t="shared" si="184"/>
        <v>#N/A</v>
      </c>
      <c r="EY61" s="47"/>
      <c r="EZ61" s="47"/>
      <c r="FA61" s="396" t="e">
        <f t="shared" si="298"/>
        <v>#N/A</v>
      </c>
      <c r="FB61" s="397" t="e">
        <f t="shared" si="299"/>
        <v>#N/A</v>
      </c>
      <c r="FC61" s="400" t="e">
        <f t="shared" si="371"/>
        <v>#N/A</v>
      </c>
      <c r="FD61" s="398" t="e">
        <f t="shared" si="185"/>
        <v>#N/A</v>
      </c>
      <c r="FE61" s="400" t="e">
        <f t="shared" si="300"/>
        <v>#N/A</v>
      </c>
      <c r="FF61" s="398" t="e">
        <f t="shared" si="301"/>
        <v>#N/A</v>
      </c>
      <c r="FG61" s="401" t="e">
        <f t="shared" si="302"/>
        <v>#N/A</v>
      </c>
      <c r="FH61" s="399" t="e">
        <f t="shared" si="187"/>
        <v>#N/A</v>
      </c>
      <c r="FI61" s="47"/>
      <c r="FJ61" s="49"/>
      <c r="FK61" s="396" t="e">
        <f t="shared" si="303"/>
        <v>#N/A</v>
      </c>
      <c r="FL61" s="397" t="e">
        <f t="shared" si="304"/>
        <v>#N/A</v>
      </c>
      <c r="FM61" s="400" t="e">
        <f t="shared" si="372"/>
        <v>#N/A</v>
      </c>
      <c r="FN61" s="398" t="e">
        <f t="shared" si="188"/>
        <v>#N/A</v>
      </c>
      <c r="FO61" s="400" t="e">
        <f t="shared" si="305"/>
        <v>#N/A</v>
      </c>
      <c r="FP61" s="398" t="e">
        <f t="shared" si="306"/>
        <v>#N/A</v>
      </c>
      <c r="FQ61" s="401" t="e">
        <f t="shared" si="307"/>
        <v>#N/A</v>
      </c>
      <c r="FR61" s="399" t="e">
        <f t="shared" si="190"/>
        <v>#N/A</v>
      </c>
      <c r="FS61" s="47"/>
      <c r="FT61" s="47"/>
      <c r="FU61" s="396" t="e">
        <f t="shared" si="308"/>
        <v>#N/A</v>
      </c>
      <c r="FV61" s="397" t="e">
        <f t="shared" si="309"/>
        <v>#N/A</v>
      </c>
      <c r="FW61" s="400" t="e">
        <f t="shared" si="373"/>
        <v>#N/A</v>
      </c>
      <c r="FX61" s="398" t="e">
        <f t="shared" si="191"/>
        <v>#N/A</v>
      </c>
      <c r="FY61" s="400" t="e">
        <f t="shared" si="310"/>
        <v>#N/A</v>
      </c>
      <c r="FZ61" s="398" t="e">
        <f t="shared" si="311"/>
        <v>#N/A</v>
      </c>
      <c r="GA61" s="401" t="e">
        <f t="shared" si="312"/>
        <v>#N/A</v>
      </c>
      <c r="GB61" s="399" t="e">
        <f t="shared" si="193"/>
        <v>#N/A</v>
      </c>
      <c r="GC61" s="47"/>
      <c r="GD61" s="47"/>
      <c r="GE61" s="396" t="e">
        <f t="shared" si="313"/>
        <v>#N/A</v>
      </c>
      <c r="GF61" s="397" t="e">
        <f t="shared" si="314"/>
        <v>#N/A</v>
      </c>
      <c r="GG61" s="400" t="e">
        <f t="shared" si="374"/>
        <v>#N/A</v>
      </c>
      <c r="GH61" s="398" t="e">
        <f t="shared" si="194"/>
        <v>#N/A</v>
      </c>
      <c r="GI61" s="400" t="e">
        <f t="shared" si="315"/>
        <v>#N/A</v>
      </c>
      <c r="GJ61" s="398" t="e">
        <f t="shared" si="316"/>
        <v>#N/A</v>
      </c>
      <c r="GK61" s="401" t="e">
        <f t="shared" si="317"/>
        <v>#N/A</v>
      </c>
      <c r="GL61" s="399" t="e">
        <f t="shared" si="196"/>
        <v>#N/A</v>
      </c>
      <c r="GM61" s="47"/>
      <c r="GN61" s="47"/>
      <c r="GO61" s="396" t="e">
        <f t="shared" si="318"/>
        <v>#N/A</v>
      </c>
      <c r="GP61" s="397" t="e">
        <f t="shared" si="319"/>
        <v>#N/A</v>
      </c>
      <c r="GQ61" s="400" t="e">
        <f t="shared" si="375"/>
        <v>#N/A</v>
      </c>
      <c r="GR61" s="398" t="e">
        <f t="shared" si="197"/>
        <v>#N/A</v>
      </c>
      <c r="GS61" s="400" t="e">
        <f t="shared" si="320"/>
        <v>#N/A</v>
      </c>
      <c r="GT61" s="398" t="e">
        <f t="shared" si="321"/>
        <v>#N/A</v>
      </c>
      <c r="GU61" s="401" t="e">
        <f t="shared" si="322"/>
        <v>#N/A</v>
      </c>
      <c r="GV61" s="399" t="e">
        <f t="shared" si="199"/>
        <v>#N/A</v>
      </c>
      <c r="GW61" s="47"/>
      <c r="GX61" s="47"/>
      <c r="GY61" s="396" t="e">
        <f t="shared" si="323"/>
        <v>#N/A</v>
      </c>
      <c r="GZ61" s="397" t="e">
        <f t="shared" si="324"/>
        <v>#N/A</v>
      </c>
      <c r="HA61" s="400" t="e">
        <f t="shared" si="376"/>
        <v>#N/A</v>
      </c>
      <c r="HB61" s="398" t="e">
        <f t="shared" si="200"/>
        <v>#N/A</v>
      </c>
      <c r="HC61" s="400" t="e">
        <f t="shared" si="325"/>
        <v>#N/A</v>
      </c>
      <c r="HD61" s="398" t="e">
        <f t="shared" si="326"/>
        <v>#N/A</v>
      </c>
      <c r="HE61" s="401" t="e">
        <f t="shared" si="327"/>
        <v>#N/A</v>
      </c>
      <c r="HF61" s="399" t="e">
        <f t="shared" si="202"/>
        <v>#N/A</v>
      </c>
      <c r="HH61" s="47"/>
      <c r="HI61" s="396" t="e">
        <f t="shared" si="328"/>
        <v>#N/A</v>
      </c>
      <c r="HJ61" s="397" t="e">
        <f t="shared" si="329"/>
        <v>#N/A</v>
      </c>
      <c r="HK61" s="400" t="e">
        <f t="shared" si="377"/>
        <v>#N/A</v>
      </c>
      <c r="HL61" s="398" t="e">
        <f t="shared" si="203"/>
        <v>#N/A</v>
      </c>
      <c r="HM61" s="400" t="e">
        <f t="shared" si="330"/>
        <v>#N/A</v>
      </c>
      <c r="HN61" s="398" t="e">
        <f t="shared" si="331"/>
        <v>#N/A</v>
      </c>
      <c r="HO61" s="401" t="e">
        <f t="shared" si="332"/>
        <v>#N/A</v>
      </c>
      <c r="HP61" s="399" t="e">
        <f t="shared" si="205"/>
        <v>#N/A</v>
      </c>
      <c r="HQ61" s="47"/>
      <c r="HR61" s="47"/>
      <c r="HS61" s="396" t="e">
        <f t="shared" si="333"/>
        <v>#N/A</v>
      </c>
      <c r="HT61" s="397" t="e">
        <f t="shared" si="334"/>
        <v>#N/A</v>
      </c>
      <c r="HU61" s="400" t="e">
        <f t="shared" si="378"/>
        <v>#N/A</v>
      </c>
      <c r="HV61" s="398" t="e">
        <f t="shared" si="206"/>
        <v>#N/A</v>
      </c>
      <c r="HW61" s="400" t="e">
        <f t="shared" si="335"/>
        <v>#N/A</v>
      </c>
      <c r="HX61" s="398" t="e">
        <f t="shared" si="336"/>
        <v>#N/A</v>
      </c>
      <c r="HY61" s="401" t="e">
        <f t="shared" si="337"/>
        <v>#N/A</v>
      </c>
      <c r="HZ61" s="399" t="e">
        <f t="shared" si="208"/>
        <v>#N/A</v>
      </c>
      <c r="IA61" s="47"/>
      <c r="IB61" s="49"/>
      <c r="IC61" s="396" t="e">
        <f t="shared" si="338"/>
        <v>#N/A</v>
      </c>
      <c r="ID61" s="397" t="e">
        <f t="shared" si="339"/>
        <v>#N/A</v>
      </c>
      <c r="IE61" s="400" t="e">
        <f t="shared" si="379"/>
        <v>#N/A</v>
      </c>
      <c r="IF61" s="398" t="e">
        <f t="shared" si="209"/>
        <v>#N/A</v>
      </c>
      <c r="IG61" s="400" t="e">
        <f t="shared" si="340"/>
        <v>#N/A</v>
      </c>
      <c r="IH61" s="398" t="e">
        <f t="shared" si="341"/>
        <v>#N/A</v>
      </c>
      <c r="II61" s="401" t="e">
        <f t="shared" si="342"/>
        <v>#N/A</v>
      </c>
      <c r="IJ61" s="399" t="e">
        <f t="shared" si="211"/>
        <v>#N/A</v>
      </c>
      <c r="IK61" s="47"/>
      <c r="IL61" s="47"/>
      <c r="IM61" s="396" t="e">
        <f t="shared" si="343"/>
        <v>#N/A</v>
      </c>
      <c r="IN61" s="397" t="e">
        <f t="shared" si="344"/>
        <v>#N/A</v>
      </c>
      <c r="IO61" s="400" t="e">
        <f t="shared" si="380"/>
        <v>#N/A</v>
      </c>
      <c r="IP61" s="398" t="e">
        <f t="shared" si="212"/>
        <v>#N/A</v>
      </c>
      <c r="IQ61" s="400" t="e">
        <f t="shared" si="345"/>
        <v>#N/A</v>
      </c>
      <c r="IR61" s="398" t="e">
        <f t="shared" si="346"/>
        <v>#N/A</v>
      </c>
      <c r="IS61" s="401" t="e">
        <f t="shared" si="347"/>
        <v>#N/A</v>
      </c>
      <c r="IT61" s="399" t="e">
        <f t="shared" si="214"/>
        <v>#N/A</v>
      </c>
      <c r="IU61" s="47"/>
      <c r="IV61" s="47"/>
      <c r="IW61" s="396" t="e">
        <f t="shared" si="116"/>
        <v>#N/A</v>
      </c>
      <c r="IX61" s="397" t="e">
        <f t="shared" si="117"/>
        <v>#N/A</v>
      </c>
      <c r="IY61" s="400" t="e">
        <f t="shared" si="118"/>
        <v>#N/A</v>
      </c>
      <c r="IZ61" s="398" t="e">
        <f t="shared" si="348"/>
        <v>#N/A</v>
      </c>
      <c r="JA61" s="400" t="e">
        <f t="shared" si="119"/>
        <v>#N/A</v>
      </c>
      <c r="JB61" s="398" t="e">
        <f t="shared" si="120"/>
        <v>#N/A</v>
      </c>
      <c r="JC61" s="401" t="e">
        <f t="shared" si="216"/>
        <v>#N/A</v>
      </c>
      <c r="JD61" s="399" t="e">
        <f t="shared" si="217"/>
        <v>#N/A</v>
      </c>
      <c r="JE61" s="47"/>
      <c r="JF61" s="47"/>
      <c r="JG61" s="396" t="e">
        <f t="shared" si="121"/>
        <v>#N/A</v>
      </c>
      <c r="JH61" s="397" t="e">
        <f t="shared" si="122"/>
        <v>#N/A</v>
      </c>
      <c r="JI61" s="400" t="e">
        <f t="shared" si="123"/>
        <v>#N/A</v>
      </c>
      <c r="JJ61" s="398" t="e">
        <f t="shared" si="349"/>
        <v>#N/A</v>
      </c>
      <c r="JK61" s="400" t="e">
        <f t="shared" si="124"/>
        <v>#N/A</v>
      </c>
      <c r="JL61" s="398" t="e">
        <f t="shared" si="125"/>
        <v>#N/A</v>
      </c>
      <c r="JM61" s="401" t="e">
        <f t="shared" si="219"/>
        <v>#N/A</v>
      </c>
      <c r="JN61" s="399" t="e">
        <f t="shared" si="220"/>
        <v>#N/A</v>
      </c>
      <c r="JO61" s="47"/>
      <c r="JP61" s="47"/>
      <c r="JQ61" s="396" t="e">
        <f t="shared" si="126"/>
        <v>#N/A</v>
      </c>
      <c r="JR61" s="397" t="e">
        <f t="shared" si="127"/>
        <v>#N/A</v>
      </c>
      <c r="JS61" s="400" t="e">
        <f t="shared" si="128"/>
        <v>#N/A</v>
      </c>
      <c r="JT61" s="398" t="e">
        <f t="shared" si="350"/>
        <v>#N/A</v>
      </c>
      <c r="JU61" s="400" t="e">
        <f t="shared" si="129"/>
        <v>#N/A</v>
      </c>
      <c r="JV61" s="398" t="e">
        <f t="shared" si="130"/>
        <v>#N/A</v>
      </c>
      <c r="JW61" s="401" t="e">
        <f t="shared" si="222"/>
        <v>#N/A</v>
      </c>
      <c r="JX61" s="399" t="e">
        <f t="shared" si="223"/>
        <v>#N/A</v>
      </c>
      <c r="JY61" s="47"/>
      <c r="JZ61" s="47"/>
      <c r="KA61" s="396" t="e">
        <f t="shared" si="131"/>
        <v>#N/A</v>
      </c>
      <c r="KB61" s="397" t="e">
        <f t="shared" si="132"/>
        <v>#N/A</v>
      </c>
      <c r="KC61" s="400" t="e">
        <f t="shared" si="133"/>
        <v>#N/A</v>
      </c>
      <c r="KD61" s="398" t="e">
        <f t="shared" si="351"/>
        <v>#N/A</v>
      </c>
      <c r="KE61" s="400" t="e">
        <f t="shared" si="134"/>
        <v>#N/A</v>
      </c>
      <c r="KF61" s="398" t="e">
        <f t="shared" si="135"/>
        <v>#N/A</v>
      </c>
      <c r="KG61" s="401" t="e">
        <f t="shared" si="225"/>
        <v>#N/A</v>
      </c>
      <c r="KH61" s="399" t="e">
        <f t="shared" si="226"/>
        <v>#N/A</v>
      </c>
      <c r="KI61" s="47"/>
      <c r="KJ61" s="47"/>
      <c r="KK61" s="396" t="e">
        <f t="shared" si="136"/>
        <v>#N/A</v>
      </c>
      <c r="KL61" s="397" t="e">
        <f t="shared" si="137"/>
        <v>#N/A</v>
      </c>
      <c r="KM61" s="400" t="e">
        <f t="shared" si="138"/>
        <v>#N/A</v>
      </c>
      <c r="KN61" s="398" t="e">
        <f t="shared" si="352"/>
        <v>#N/A</v>
      </c>
      <c r="KO61" s="400" t="e">
        <f t="shared" si="139"/>
        <v>#N/A</v>
      </c>
      <c r="KP61" s="398" t="e">
        <f t="shared" si="140"/>
        <v>#N/A</v>
      </c>
      <c r="KQ61" s="401" t="e">
        <f t="shared" si="228"/>
        <v>#N/A</v>
      </c>
      <c r="KR61" s="399" t="e">
        <f t="shared" si="229"/>
        <v>#N/A</v>
      </c>
      <c r="KS61" s="47"/>
      <c r="KT61" s="47"/>
      <c r="KU61" s="396" t="e">
        <f t="shared" si="353"/>
        <v>#N/A</v>
      </c>
      <c r="KV61" s="397" t="e">
        <f t="shared" si="354"/>
        <v>#N/A</v>
      </c>
      <c r="KW61" s="400" t="e">
        <f t="shared" si="381"/>
        <v>#N/A</v>
      </c>
      <c r="KX61" s="398" t="e">
        <f t="shared" si="230"/>
        <v>#N/A</v>
      </c>
      <c r="KY61" s="400" t="e">
        <f t="shared" si="355"/>
        <v>#N/A</v>
      </c>
      <c r="KZ61" s="398" t="e">
        <f t="shared" si="356"/>
        <v>#N/A</v>
      </c>
      <c r="LA61" s="401" t="e">
        <f t="shared" si="357"/>
        <v>#N/A</v>
      </c>
      <c r="LB61" s="399" t="e">
        <f t="shared" si="232"/>
        <v>#N/A</v>
      </c>
      <c r="LC61" s="47"/>
    </row>
    <row r="62" spans="1:315" x14ac:dyDescent="0.25">
      <c r="Z62" s="413"/>
      <c r="AA62" s="396" t="e">
        <f t="shared" si="233"/>
        <v>#N/A</v>
      </c>
      <c r="AB62" s="397" t="e">
        <f t="shared" si="234"/>
        <v>#N/A</v>
      </c>
      <c r="AC62" s="400" t="e">
        <f t="shared" si="358"/>
        <v>#N/A</v>
      </c>
      <c r="AD62" s="398" t="e">
        <f t="shared" si="146"/>
        <v>#N/A</v>
      </c>
      <c r="AE62" s="400" t="e">
        <f t="shared" si="235"/>
        <v>#N/A</v>
      </c>
      <c r="AF62" s="398" t="e">
        <f t="shared" si="236"/>
        <v>#N/A</v>
      </c>
      <c r="AG62" s="401" t="e">
        <f t="shared" si="237"/>
        <v>#N/A</v>
      </c>
      <c r="AH62" s="399" t="e">
        <f t="shared" si="148"/>
        <v>#N/A</v>
      </c>
      <c r="AI62" s="47"/>
      <c r="AJ62" s="47"/>
      <c r="AK62" s="396" t="e">
        <f t="shared" si="238"/>
        <v>#N/A</v>
      </c>
      <c r="AL62" s="397" t="e">
        <f t="shared" si="239"/>
        <v>#N/A</v>
      </c>
      <c r="AM62" s="400" t="e">
        <f t="shared" si="359"/>
        <v>#N/A</v>
      </c>
      <c r="AN62" s="398" t="e">
        <f t="shared" si="149"/>
        <v>#N/A</v>
      </c>
      <c r="AO62" s="400" t="e">
        <f t="shared" si="240"/>
        <v>#N/A</v>
      </c>
      <c r="AP62" s="398" t="e">
        <f t="shared" si="241"/>
        <v>#N/A</v>
      </c>
      <c r="AQ62" s="401" t="e">
        <f t="shared" si="242"/>
        <v>#N/A</v>
      </c>
      <c r="AR62" s="399" t="e">
        <f t="shared" si="151"/>
        <v>#N/A</v>
      </c>
      <c r="AS62" s="47"/>
      <c r="AT62" s="47"/>
      <c r="AU62" s="396" t="e">
        <f t="shared" si="243"/>
        <v>#N/A</v>
      </c>
      <c r="AV62" s="397" t="e">
        <f t="shared" si="244"/>
        <v>#N/A</v>
      </c>
      <c r="AW62" s="400" t="e">
        <f t="shared" si="360"/>
        <v>#N/A</v>
      </c>
      <c r="AX62" s="398" t="e">
        <f t="shared" si="152"/>
        <v>#N/A</v>
      </c>
      <c r="AY62" s="400" t="e">
        <f t="shared" si="245"/>
        <v>#N/A</v>
      </c>
      <c r="AZ62" s="398" t="e">
        <f t="shared" si="246"/>
        <v>#N/A</v>
      </c>
      <c r="BA62" s="401" t="e">
        <f t="shared" si="247"/>
        <v>#N/A</v>
      </c>
      <c r="BB62" s="399" t="e">
        <f t="shared" si="154"/>
        <v>#N/A</v>
      </c>
      <c r="BC62" s="47"/>
      <c r="BD62" s="47"/>
      <c r="BE62" s="396" t="e">
        <f t="shared" si="248"/>
        <v>#N/A</v>
      </c>
      <c r="BF62" s="397" t="e">
        <f t="shared" si="249"/>
        <v>#N/A</v>
      </c>
      <c r="BG62" s="400" t="e">
        <f t="shared" si="361"/>
        <v>#N/A</v>
      </c>
      <c r="BH62" s="398" t="e">
        <f t="shared" si="155"/>
        <v>#N/A</v>
      </c>
      <c r="BI62" s="400" t="e">
        <f t="shared" si="250"/>
        <v>#N/A</v>
      </c>
      <c r="BJ62" s="398" t="e">
        <f t="shared" si="251"/>
        <v>#N/A</v>
      </c>
      <c r="BK62" s="401" t="e">
        <f t="shared" si="252"/>
        <v>#N/A</v>
      </c>
      <c r="BL62" s="399" t="e">
        <f t="shared" si="157"/>
        <v>#N/A</v>
      </c>
      <c r="BM62" s="47"/>
      <c r="BN62" s="49"/>
      <c r="BO62" s="396" t="e">
        <f t="shared" si="253"/>
        <v>#N/A</v>
      </c>
      <c r="BP62" s="397" t="e">
        <f t="shared" si="254"/>
        <v>#N/A</v>
      </c>
      <c r="BQ62" s="400" t="e">
        <f t="shared" si="362"/>
        <v>#N/A</v>
      </c>
      <c r="BR62" s="398" t="e">
        <f t="shared" si="158"/>
        <v>#N/A</v>
      </c>
      <c r="BS62" s="400" t="e">
        <f t="shared" si="255"/>
        <v>#N/A</v>
      </c>
      <c r="BT62" s="398" t="e">
        <f t="shared" si="256"/>
        <v>#N/A</v>
      </c>
      <c r="BU62" s="401" t="e">
        <f t="shared" si="257"/>
        <v>#N/A</v>
      </c>
      <c r="BV62" s="399" t="e">
        <f t="shared" si="160"/>
        <v>#N/A</v>
      </c>
      <c r="BW62" s="47"/>
      <c r="BX62" s="47"/>
      <c r="BY62" s="396" t="e">
        <f t="shared" si="258"/>
        <v>#N/A</v>
      </c>
      <c r="BZ62" s="397" t="e">
        <f t="shared" si="259"/>
        <v>#N/A</v>
      </c>
      <c r="CA62" s="400" t="e">
        <f t="shared" si="363"/>
        <v>#N/A</v>
      </c>
      <c r="CB62" s="398" t="e">
        <f t="shared" si="161"/>
        <v>#N/A</v>
      </c>
      <c r="CC62" s="400" t="e">
        <f t="shared" si="260"/>
        <v>#N/A</v>
      </c>
      <c r="CD62" s="398" t="e">
        <f t="shared" si="261"/>
        <v>#N/A</v>
      </c>
      <c r="CE62" s="401" t="e">
        <f t="shared" si="262"/>
        <v>#N/A</v>
      </c>
      <c r="CF62" s="399" t="e">
        <f t="shared" si="163"/>
        <v>#N/A</v>
      </c>
      <c r="CG62" s="49"/>
      <c r="CH62" s="47"/>
      <c r="CI62" s="396" t="e">
        <f t="shared" si="263"/>
        <v>#N/A</v>
      </c>
      <c r="CJ62" s="397" t="e">
        <f t="shared" si="264"/>
        <v>#N/A</v>
      </c>
      <c r="CK62" s="400" t="e">
        <f t="shared" si="364"/>
        <v>#N/A</v>
      </c>
      <c r="CL62" s="398" t="e">
        <f t="shared" si="164"/>
        <v>#N/A</v>
      </c>
      <c r="CM62" s="400" t="e">
        <f t="shared" si="265"/>
        <v>#N/A</v>
      </c>
      <c r="CN62" s="398" t="e">
        <f t="shared" si="266"/>
        <v>#N/A</v>
      </c>
      <c r="CO62" s="401" t="e">
        <f t="shared" si="267"/>
        <v>#N/A</v>
      </c>
      <c r="CP62" s="399" t="e">
        <f t="shared" si="166"/>
        <v>#N/A</v>
      </c>
      <c r="CQ62" s="47"/>
      <c r="CS62" s="396" t="e">
        <f t="shared" si="268"/>
        <v>#N/A</v>
      </c>
      <c r="CT62" s="397" t="e">
        <f t="shared" si="269"/>
        <v>#N/A</v>
      </c>
      <c r="CU62" s="400" t="e">
        <f t="shared" si="365"/>
        <v>#N/A</v>
      </c>
      <c r="CV62" s="398" t="e">
        <f t="shared" si="167"/>
        <v>#N/A</v>
      </c>
      <c r="CW62" s="400" t="e">
        <f t="shared" si="270"/>
        <v>#N/A</v>
      </c>
      <c r="CX62" s="398" t="e">
        <f t="shared" si="271"/>
        <v>#N/A</v>
      </c>
      <c r="CY62" s="401" t="e">
        <f t="shared" si="272"/>
        <v>#N/A</v>
      </c>
      <c r="CZ62" s="399" t="e">
        <f t="shared" si="169"/>
        <v>#N/A</v>
      </c>
      <c r="DA62" s="47"/>
      <c r="DB62" s="47"/>
      <c r="DC62" s="396" t="e">
        <f t="shared" si="273"/>
        <v>#N/A</v>
      </c>
      <c r="DD62" s="397" t="e">
        <f t="shared" si="274"/>
        <v>#N/A</v>
      </c>
      <c r="DE62" s="400" t="e">
        <f t="shared" si="366"/>
        <v>#N/A</v>
      </c>
      <c r="DF62" s="398" t="e">
        <f t="shared" si="170"/>
        <v>#N/A</v>
      </c>
      <c r="DG62" s="400" t="e">
        <f t="shared" si="275"/>
        <v>#N/A</v>
      </c>
      <c r="DH62" s="398" t="e">
        <f t="shared" si="276"/>
        <v>#N/A</v>
      </c>
      <c r="DI62" s="401" t="e">
        <f t="shared" si="277"/>
        <v>#N/A</v>
      </c>
      <c r="DJ62" s="399" t="e">
        <f t="shared" si="172"/>
        <v>#N/A</v>
      </c>
      <c r="DK62" s="47"/>
      <c r="DM62" s="396" t="e">
        <f t="shared" si="278"/>
        <v>#N/A</v>
      </c>
      <c r="DN62" s="397" t="e">
        <f t="shared" si="279"/>
        <v>#N/A</v>
      </c>
      <c r="DO62" s="400" t="e">
        <f t="shared" si="367"/>
        <v>#N/A</v>
      </c>
      <c r="DP62" s="398" t="e">
        <f t="shared" si="173"/>
        <v>#N/A</v>
      </c>
      <c r="DQ62" s="400" t="e">
        <f t="shared" si="280"/>
        <v>#N/A</v>
      </c>
      <c r="DR62" s="398" t="e">
        <f t="shared" si="281"/>
        <v>#N/A</v>
      </c>
      <c r="DS62" s="401" t="e">
        <f t="shared" si="282"/>
        <v>#N/A</v>
      </c>
      <c r="DT62" s="399" t="e">
        <f t="shared" si="175"/>
        <v>#N/A</v>
      </c>
      <c r="DU62" s="47"/>
      <c r="DV62" s="49"/>
      <c r="DW62" s="396" t="e">
        <f t="shared" si="283"/>
        <v>#N/A</v>
      </c>
      <c r="DX62" s="397" t="e">
        <f t="shared" si="284"/>
        <v>#N/A</v>
      </c>
      <c r="DY62" s="400" t="e">
        <f t="shared" si="368"/>
        <v>#N/A</v>
      </c>
      <c r="DZ62" s="398" t="e">
        <f t="shared" si="176"/>
        <v>#N/A</v>
      </c>
      <c r="EA62" s="400" t="e">
        <f t="shared" si="285"/>
        <v>#N/A</v>
      </c>
      <c r="EB62" s="398" t="e">
        <f t="shared" si="286"/>
        <v>#N/A</v>
      </c>
      <c r="EC62" s="401" t="e">
        <f t="shared" si="287"/>
        <v>#N/A</v>
      </c>
      <c r="ED62" s="399" t="e">
        <f t="shared" si="178"/>
        <v>#N/A</v>
      </c>
      <c r="EE62" s="47"/>
      <c r="EF62" s="47"/>
      <c r="EG62" s="396" t="e">
        <f t="shared" si="288"/>
        <v>#N/A</v>
      </c>
      <c r="EH62" s="397" t="e">
        <f t="shared" si="289"/>
        <v>#N/A</v>
      </c>
      <c r="EI62" s="400" t="e">
        <f t="shared" si="369"/>
        <v>#N/A</v>
      </c>
      <c r="EJ62" s="398" t="e">
        <f t="shared" si="179"/>
        <v>#N/A</v>
      </c>
      <c r="EK62" s="400" t="e">
        <f t="shared" si="290"/>
        <v>#N/A</v>
      </c>
      <c r="EL62" s="398" t="e">
        <f t="shared" si="291"/>
        <v>#N/A</v>
      </c>
      <c r="EM62" s="401" t="e">
        <f t="shared" si="292"/>
        <v>#N/A</v>
      </c>
      <c r="EN62" s="399" t="e">
        <f t="shared" si="181"/>
        <v>#N/A</v>
      </c>
      <c r="EO62" s="47"/>
      <c r="EP62" s="47"/>
      <c r="EQ62" s="396" t="e">
        <f t="shared" si="293"/>
        <v>#N/A</v>
      </c>
      <c r="ER62" s="397" t="e">
        <f t="shared" si="294"/>
        <v>#N/A</v>
      </c>
      <c r="ES62" s="400" t="e">
        <f t="shared" si="370"/>
        <v>#N/A</v>
      </c>
      <c r="ET62" s="398" t="e">
        <f t="shared" si="182"/>
        <v>#N/A</v>
      </c>
      <c r="EU62" s="400" t="e">
        <f t="shared" si="295"/>
        <v>#N/A</v>
      </c>
      <c r="EV62" s="398" t="e">
        <f t="shared" si="296"/>
        <v>#N/A</v>
      </c>
      <c r="EW62" s="401" t="e">
        <f t="shared" si="297"/>
        <v>#N/A</v>
      </c>
      <c r="EX62" s="399" t="e">
        <f t="shared" si="184"/>
        <v>#N/A</v>
      </c>
      <c r="EY62" s="47"/>
      <c r="EZ62" s="47"/>
      <c r="FA62" s="396" t="e">
        <f t="shared" si="298"/>
        <v>#N/A</v>
      </c>
      <c r="FB62" s="397" t="e">
        <f t="shared" si="299"/>
        <v>#N/A</v>
      </c>
      <c r="FC62" s="400" t="e">
        <f t="shared" si="371"/>
        <v>#N/A</v>
      </c>
      <c r="FD62" s="398" t="e">
        <f t="shared" si="185"/>
        <v>#N/A</v>
      </c>
      <c r="FE62" s="400" t="e">
        <f t="shared" si="300"/>
        <v>#N/A</v>
      </c>
      <c r="FF62" s="398" t="e">
        <f t="shared" si="301"/>
        <v>#N/A</v>
      </c>
      <c r="FG62" s="401" t="e">
        <f t="shared" si="302"/>
        <v>#N/A</v>
      </c>
      <c r="FH62" s="399" t="e">
        <f t="shared" si="187"/>
        <v>#N/A</v>
      </c>
      <c r="FI62" s="47"/>
      <c r="FJ62" s="49"/>
      <c r="FK62" s="396" t="e">
        <f t="shared" si="303"/>
        <v>#N/A</v>
      </c>
      <c r="FL62" s="397" t="e">
        <f t="shared" si="304"/>
        <v>#N/A</v>
      </c>
      <c r="FM62" s="400" t="e">
        <f t="shared" si="372"/>
        <v>#N/A</v>
      </c>
      <c r="FN62" s="398" t="e">
        <f t="shared" si="188"/>
        <v>#N/A</v>
      </c>
      <c r="FO62" s="400" t="e">
        <f t="shared" si="305"/>
        <v>#N/A</v>
      </c>
      <c r="FP62" s="398" t="e">
        <f t="shared" si="306"/>
        <v>#N/A</v>
      </c>
      <c r="FQ62" s="401" t="e">
        <f t="shared" si="307"/>
        <v>#N/A</v>
      </c>
      <c r="FR62" s="399" t="e">
        <f t="shared" si="190"/>
        <v>#N/A</v>
      </c>
      <c r="FS62" s="47"/>
      <c r="FT62" s="47"/>
      <c r="FU62" s="396" t="e">
        <f t="shared" si="308"/>
        <v>#N/A</v>
      </c>
      <c r="FV62" s="397" t="e">
        <f t="shared" si="309"/>
        <v>#N/A</v>
      </c>
      <c r="FW62" s="400" t="e">
        <f t="shared" si="373"/>
        <v>#N/A</v>
      </c>
      <c r="FX62" s="398" t="e">
        <f t="shared" si="191"/>
        <v>#N/A</v>
      </c>
      <c r="FY62" s="400" t="e">
        <f t="shared" si="310"/>
        <v>#N/A</v>
      </c>
      <c r="FZ62" s="398" t="e">
        <f t="shared" si="311"/>
        <v>#N/A</v>
      </c>
      <c r="GA62" s="401" t="e">
        <f t="shared" si="312"/>
        <v>#N/A</v>
      </c>
      <c r="GB62" s="399" t="e">
        <f t="shared" si="193"/>
        <v>#N/A</v>
      </c>
      <c r="GC62" s="47"/>
      <c r="GD62" s="47"/>
      <c r="GE62" s="396" t="e">
        <f t="shared" si="313"/>
        <v>#N/A</v>
      </c>
      <c r="GF62" s="397" t="e">
        <f t="shared" si="314"/>
        <v>#N/A</v>
      </c>
      <c r="GG62" s="400" t="e">
        <f t="shared" si="374"/>
        <v>#N/A</v>
      </c>
      <c r="GH62" s="398" t="e">
        <f t="shared" si="194"/>
        <v>#N/A</v>
      </c>
      <c r="GI62" s="400" t="e">
        <f t="shared" si="315"/>
        <v>#N/A</v>
      </c>
      <c r="GJ62" s="398" t="e">
        <f t="shared" si="316"/>
        <v>#N/A</v>
      </c>
      <c r="GK62" s="401" t="e">
        <f t="shared" si="317"/>
        <v>#N/A</v>
      </c>
      <c r="GL62" s="399" t="e">
        <f t="shared" si="196"/>
        <v>#N/A</v>
      </c>
      <c r="GM62" s="47"/>
      <c r="GN62" s="47"/>
      <c r="GO62" s="396" t="e">
        <f t="shared" si="318"/>
        <v>#N/A</v>
      </c>
      <c r="GP62" s="397" t="e">
        <f t="shared" si="319"/>
        <v>#N/A</v>
      </c>
      <c r="GQ62" s="400" t="e">
        <f t="shared" si="375"/>
        <v>#N/A</v>
      </c>
      <c r="GR62" s="398" t="e">
        <f t="shared" si="197"/>
        <v>#N/A</v>
      </c>
      <c r="GS62" s="400" t="e">
        <f t="shared" si="320"/>
        <v>#N/A</v>
      </c>
      <c r="GT62" s="398" t="e">
        <f t="shared" si="321"/>
        <v>#N/A</v>
      </c>
      <c r="GU62" s="401" t="e">
        <f t="shared" si="322"/>
        <v>#N/A</v>
      </c>
      <c r="GV62" s="399" t="e">
        <f t="shared" si="199"/>
        <v>#N/A</v>
      </c>
      <c r="GW62" s="47"/>
      <c r="GX62" s="47"/>
      <c r="GY62" s="396" t="e">
        <f t="shared" si="323"/>
        <v>#N/A</v>
      </c>
      <c r="GZ62" s="397" t="e">
        <f t="shared" si="324"/>
        <v>#N/A</v>
      </c>
      <c r="HA62" s="400" t="e">
        <f t="shared" si="376"/>
        <v>#N/A</v>
      </c>
      <c r="HB62" s="398" t="e">
        <f t="shared" si="200"/>
        <v>#N/A</v>
      </c>
      <c r="HC62" s="400" t="e">
        <f t="shared" si="325"/>
        <v>#N/A</v>
      </c>
      <c r="HD62" s="398" t="e">
        <f t="shared" si="326"/>
        <v>#N/A</v>
      </c>
      <c r="HE62" s="401" t="e">
        <f t="shared" si="327"/>
        <v>#N/A</v>
      </c>
      <c r="HF62" s="399" t="e">
        <f t="shared" si="202"/>
        <v>#N/A</v>
      </c>
      <c r="HH62" s="47"/>
      <c r="HI62" s="396" t="e">
        <f t="shared" si="328"/>
        <v>#N/A</v>
      </c>
      <c r="HJ62" s="397" t="e">
        <f t="shared" si="329"/>
        <v>#N/A</v>
      </c>
      <c r="HK62" s="400" t="e">
        <f t="shared" si="377"/>
        <v>#N/A</v>
      </c>
      <c r="HL62" s="398" t="e">
        <f t="shared" si="203"/>
        <v>#N/A</v>
      </c>
      <c r="HM62" s="400" t="e">
        <f t="shared" si="330"/>
        <v>#N/A</v>
      </c>
      <c r="HN62" s="398" t="e">
        <f t="shared" si="331"/>
        <v>#N/A</v>
      </c>
      <c r="HO62" s="401" t="e">
        <f t="shared" si="332"/>
        <v>#N/A</v>
      </c>
      <c r="HP62" s="399" t="e">
        <f t="shared" si="205"/>
        <v>#N/A</v>
      </c>
      <c r="HQ62" s="47"/>
      <c r="HR62" s="47"/>
      <c r="HS62" s="396" t="e">
        <f t="shared" si="333"/>
        <v>#N/A</v>
      </c>
      <c r="HT62" s="397" t="e">
        <f t="shared" si="334"/>
        <v>#N/A</v>
      </c>
      <c r="HU62" s="400" t="e">
        <f t="shared" si="378"/>
        <v>#N/A</v>
      </c>
      <c r="HV62" s="398" t="e">
        <f t="shared" si="206"/>
        <v>#N/A</v>
      </c>
      <c r="HW62" s="400" t="e">
        <f t="shared" si="335"/>
        <v>#N/A</v>
      </c>
      <c r="HX62" s="398" t="e">
        <f t="shared" si="336"/>
        <v>#N/A</v>
      </c>
      <c r="HY62" s="401" t="e">
        <f t="shared" si="337"/>
        <v>#N/A</v>
      </c>
      <c r="HZ62" s="399" t="e">
        <f t="shared" si="208"/>
        <v>#N/A</v>
      </c>
      <c r="IA62" s="47"/>
      <c r="IB62" s="49"/>
      <c r="IC62" s="396" t="e">
        <f t="shared" si="338"/>
        <v>#N/A</v>
      </c>
      <c r="ID62" s="397" t="e">
        <f t="shared" si="339"/>
        <v>#N/A</v>
      </c>
      <c r="IE62" s="400" t="e">
        <f t="shared" si="379"/>
        <v>#N/A</v>
      </c>
      <c r="IF62" s="398" t="e">
        <f t="shared" si="209"/>
        <v>#N/A</v>
      </c>
      <c r="IG62" s="400" t="e">
        <f t="shared" si="340"/>
        <v>#N/A</v>
      </c>
      <c r="IH62" s="398" t="e">
        <f t="shared" si="341"/>
        <v>#N/A</v>
      </c>
      <c r="II62" s="401" t="e">
        <f t="shared" si="342"/>
        <v>#N/A</v>
      </c>
      <c r="IJ62" s="399" t="e">
        <f t="shared" si="211"/>
        <v>#N/A</v>
      </c>
      <c r="IK62" s="47"/>
      <c r="IL62" s="47"/>
      <c r="IM62" s="396" t="e">
        <f t="shared" si="343"/>
        <v>#N/A</v>
      </c>
      <c r="IN62" s="397" t="e">
        <f t="shared" si="344"/>
        <v>#N/A</v>
      </c>
      <c r="IO62" s="400" t="e">
        <f t="shared" si="380"/>
        <v>#N/A</v>
      </c>
      <c r="IP62" s="398" t="e">
        <f t="shared" si="212"/>
        <v>#N/A</v>
      </c>
      <c r="IQ62" s="400" t="e">
        <f t="shared" si="345"/>
        <v>#N/A</v>
      </c>
      <c r="IR62" s="398" t="e">
        <f t="shared" si="346"/>
        <v>#N/A</v>
      </c>
      <c r="IS62" s="401" t="e">
        <f t="shared" si="347"/>
        <v>#N/A</v>
      </c>
      <c r="IT62" s="399" t="e">
        <f t="shared" si="214"/>
        <v>#N/A</v>
      </c>
      <c r="IU62" s="47"/>
      <c r="IV62" s="47"/>
      <c r="IW62" s="396" t="e">
        <f t="shared" si="116"/>
        <v>#N/A</v>
      </c>
      <c r="IX62" s="397" t="e">
        <f t="shared" si="117"/>
        <v>#N/A</v>
      </c>
      <c r="IY62" s="400" t="e">
        <f t="shared" si="118"/>
        <v>#N/A</v>
      </c>
      <c r="IZ62" s="398" t="e">
        <f t="shared" si="348"/>
        <v>#N/A</v>
      </c>
      <c r="JA62" s="400" t="e">
        <f t="shared" si="119"/>
        <v>#N/A</v>
      </c>
      <c r="JB62" s="398" t="e">
        <f t="shared" si="120"/>
        <v>#N/A</v>
      </c>
      <c r="JC62" s="401" t="e">
        <f t="shared" si="216"/>
        <v>#N/A</v>
      </c>
      <c r="JD62" s="399" t="e">
        <f t="shared" si="217"/>
        <v>#N/A</v>
      </c>
      <c r="JE62" s="47"/>
      <c r="JF62" s="47"/>
      <c r="JG62" s="396" t="e">
        <f t="shared" si="121"/>
        <v>#N/A</v>
      </c>
      <c r="JH62" s="397" t="e">
        <f t="shared" si="122"/>
        <v>#N/A</v>
      </c>
      <c r="JI62" s="400" t="e">
        <f t="shared" si="123"/>
        <v>#N/A</v>
      </c>
      <c r="JJ62" s="398" t="e">
        <f t="shared" si="349"/>
        <v>#N/A</v>
      </c>
      <c r="JK62" s="400" t="e">
        <f t="shared" si="124"/>
        <v>#N/A</v>
      </c>
      <c r="JL62" s="398" t="e">
        <f t="shared" si="125"/>
        <v>#N/A</v>
      </c>
      <c r="JM62" s="401" t="e">
        <f t="shared" si="219"/>
        <v>#N/A</v>
      </c>
      <c r="JN62" s="399" t="e">
        <f t="shared" si="220"/>
        <v>#N/A</v>
      </c>
      <c r="JO62" s="47"/>
      <c r="JP62" s="47"/>
      <c r="JQ62" s="396" t="e">
        <f t="shared" si="126"/>
        <v>#N/A</v>
      </c>
      <c r="JR62" s="397" t="e">
        <f t="shared" si="127"/>
        <v>#N/A</v>
      </c>
      <c r="JS62" s="400" t="e">
        <f t="shared" si="128"/>
        <v>#N/A</v>
      </c>
      <c r="JT62" s="398" t="e">
        <f t="shared" si="350"/>
        <v>#N/A</v>
      </c>
      <c r="JU62" s="400" t="e">
        <f t="shared" si="129"/>
        <v>#N/A</v>
      </c>
      <c r="JV62" s="398" t="e">
        <f t="shared" si="130"/>
        <v>#N/A</v>
      </c>
      <c r="JW62" s="401" t="e">
        <f t="shared" si="222"/>
        <v>#N/A</v>
      </c>
      <c r="JX62" s="399" t="e">
        <f t="shared" si="223"/>
        <v>#N/A</v>
      </c>
      <c r="JY62" s="47"/>
      <c r="JZ62" s="47"/>
      <c r="KA62" s="396" t="e">
        <f t="shared" si="131"/>
        <v>#N/A</v>
      </c>
      <c r="KB62" s="397" t="e">
        <f t="shared" si="132"/>
        <v>#N/A</v>
      </c>
      <c r="KC62" s="400" t="e">
        <f t="shared" si="133"/>
        <v>#N/A</v>
      </c>
      <c r="KD62" s="398" t="e">
        <f t="shared" si="351"/>
        <v>#N/A</v>
      </c>
      <c r="KE62" s="400" t="e">
        <f t="shared" si="134"/>
        <v>#N/A</v>
      </c>
      <c r="KF62" s="398" t="e">
        <f t="shared" si="135"/>
        <v>#N/A</v>
      </c>
      <c r="KG62" s="401" t="e">
        <f t="shared" si="225"/>
        <v>#N/A</v>
      </c>
      <c r="KH62" s="399" t="e">
        <f t="shared" si="226"/>
        <v>#N/A</v>
      </c>
      <c r="KI62" s="47"/>
      <c r="KJ62" s="47"/>
      <c r="KK62" s="396" t="e">
        <f t="shared" si="136"/>
        <v>#N/A</v>
      </c>
      <c r="KL62" s="397" t="e">
        <f t="shared" si="137"/>
        <v>#N/A</v>
      </c>
      <c r="KM62" s="400" t="e">
        <f t="shared" si="138"/>
        <v>#N/A</v>
      </c>
      <c r="KN62" s="398" t="e">
        <f t="shared" si="352"/>
        <v>#N/A</v>
      </c>
      <c r="KO62" s="400" t="e">
        <f t="shared" si="139"/>
        <v>#N/A</v>
      </c>
      <c r="KP62" s="398" t="e">
        <f t="shared" si="140"/>
        <v>#N/A</v>
      </c>
      <c r="KQ62" s="401" t="e">
        <f t="shared" si="228"/>
        <v>#N/A</v>
      </c>
      <c r="KR62" s="399" t="e">
        <f t="shared" si="229"/>
        <v>#N/A</v>
      </c>
      <c r="KS62" s="47"/>
      <c r="KT62" s="47"/>
      <c r="KU62" s="396" t="e">
        <f t="shared" si="353"/>
        <v>#N/A</v>
      </c>
      <c r="KV62" s="397" t="e">
        <f t="shared" si="354"/>
        <v>#N/A</v>
      </c>
      <c r="KW62" s="400" t="e">
        <f t="shared" si="381"/>
        <v>#N/A</v>
      </c>
      <c r="KX62" s="398" t="e">
        <f t="shared" si="230"/>
        <v>#N/A</v>
      </c>
      <c r="KY62" s="400" t="e">
        <f t="shared" si="355"/>
        <v>#N/A</v>
      </c>
      <c r="KZ62" s="398" t="e">
        <f t="shared" si="356"/>
        <v>#N/A</v>
      </c>
      <c r="LA62" s="401" t="e">
        <f t="shared" si="357"/>
        <v>#N/A</v>
      </c>
      <c r="LB62" s="399" t="e">
        <f t="shared" si="232"/>
        <v>#N/A</v>
      </c>
      <c r="LC62" s="47"/>
    </row>
    <row r="63" spans="1:315" x14ac:dyDescent="0.25">
      <c r="Z63" s="413"/>
      <c r="AA63" s="396" t="e">
        <f t="shared" si="233"/>
        <v>#N/A</v>
      </c>
      <c r="AB63" s="397" t="e">
        <f t="shared" si="234"/>
        <v>#N/A</v>
      </c>
      <c r="AC63" s="400" t="e">
        <f t="shared" si="358"/>
        <v>#N/A</v>
      </c>
      <c r="AD63" s="398" t="e">
        <f t="shared" si="146"/>
        <v>#N/A</v>
      </c>
      <c r="AE63" s="400" t="e">
        <f t="shared" si="235"/>
        <v>#N/A</v>
      </c>
      <c r="AF63" s="398" t="e">
        <f t="shared" si="236"/>
        <v>#N/A</v>
      </c>
      <c r="AG63" s="401" t="e">
        <f t="shared" si="237"/>
        <v>#N/A</v>
      </c>
      <c r="AH63" s="399" t="e">
        <f t="shared" si="148"/>
        <v>#N/A</v>
      </c>
      <c r="AI63" s="47"/>
      <c r="AJ63" s="47"/>
      <c r="AK63" s="396" t="e">
        <f t="shared" si="238"/>
        <v>#N/A</v>
      </c>
      <c r="AL63" s="397" t="e">
        <f t="shared" si="239"/>
        <v>#N/A</v>
      </c>
      <c r="AM63" s="400" t="e">
        <f t="shared" si="359"/>
        <v>#N/A</v>
      </c>
      <c r="AN63" s="398" t="e">
        <f t="shared" si="149"/>
        <v>#N/A</v>
      </c>
      <c r="AO63" s="400" t="e">
        <f t="shared" si="240"/>
        <v>#N/A</v>
      </c>
      <c r="AP63" s="398" t="e">
        <f t="shared" si="241"/>
        <v>#N/A</v>
      </c>
      <c r="AQ63" s="401" t="e">
        <f t="shared" si="242"/>
        <v>#N/A</v>
      </c>
      <c r="AR63" s="399" t="e">
        <f t="shared" si="151"/>
        <v>#N/A</v>
      </c>
      <c r="AS63" s="47"/>
      <c r="AT63" s="47"/>
      <c r="AU63" s="396" t="e">
        <f t="shared" si="243"/>
        <v>#N/A</v>
      </c>
      <c r="AV63" s="397" t="e">
        <f t="shared" si="244"/>
        <v>#N/A</v>
      </c>
      <c r="AW63" s="400" t="e">
        <f t="shared" si="360"/>
        <v>#N/A</v>
      </c>
      <c r="AX63" s="398" t="e">
        <f t="shared" si="152"/>
        <v>#N/A</v>
      </c>
      <c r="AY63" s="400" t="e">
        <f t="shared" si="245"/>
        <v>#N/A</v>
      </c>
      <c r="AZ63" s="398" t="e">
        <f t="shared" si="246"/>
        <v>#N/A</v>
      </c>
      <c r="BA63" s="401" t="e">
        <f t="shared" si="247"/>
        <v>#N/A</v>
      </c>
      <c r="BB63" s="399" t="e">
        <f t="shared" si="154"/>
        <v>#N/A</v>
      </c>
      <c r="BC63" s="47"/>
      <c r="BD63" s="47"/>
      <c r="BE63" s="396" t="e">
        <f t="shared" si="248"/>
        <v>#N/A</v>
      </c>
      <c r="BF63" s="397" t="e">
        <f t="shared" si="249"/>
        <v>#N/A</v>
      </c>
      <c r="BG63" s="400" t="e">
        <f t="shared" si="361"/>
        <v>#N/A</v>
      </c>
      <c r="BH63" s="398" t="e">
        <f t="shared" si="155"/>
        <v>#N/A</v>
      </c>
      <c r="BI63" s="400" t="e">
        <f t="shared" si="250"/>
        <v>#N/A</v>
      </c>
      <c r="BJ63" s="398" t="e">
        <f t="shared" si="251"/>
        <v>#N/A</v>
      </c>
      <c r="BK63" s="401" t="e">
        <f t="shared" si="252"/>
        <v>#N/A</v>
      </c>
      <c r="BL63" s="399" t="e">
        <f t="shared" si="157"/>
        <v>#N/A</v>
      </c>
      <c r="BM63" s="47"/>
      <c r="BN63" s="49"/>
      <c r="BO63" s="396" t="e">
        <f t="shared" si="253"/>
        <v>#N/A</v>
      </c>
      <c r="BP63" s="397" t="e">
        <f t="shared" si="254"/>
        <v>#N/A</v>
      </c>
      <c r="BQ63" s="400" t="e">
        <f t="shared" si="362"/>
        <v>#N/A</v>
      </c>
      <c r="BR63" s="398" t="e">
        <f t="shared" si="158"/>
        <v>#N/A</v>
      </c>
      <c r="BS63" s="400" t="e">
        <f t="shared" si="255"/>
        <v>#N/A</v>
      </c>
      <c r="BT63" s="398" t="e">
        <f t="shared" si="256"/>
        <v>#N/A</v>
      </c>
      <c r="BU63" s="401" t="e">
        <f t="shared" si="257"/>
        <v>#N/A</v>
      </c>
      <c r="BV63" s="399" t="e">
        <f t="shared" si="160"/>
        <v>#N/A</v>
      </c>
      <c r="BW63" s="47"/>
      <c r="BX63" s="47"/>
      <c r="BY63" s="396" t="e">
        <f t="shared" si="258"/>
        <v>#N/A</v>
      </c>
      <c r="BZ63" s="397" t="e">
        <f t="shared" si="259"/>
        <v>#N/A</v>
      </c>
      <c r="CA63" s="400" t="e">
        <f t="shared" si="363"/>
        <v>#N/A</v>
      </c>
      <c r="CB63" s="398" t="e">
        <f t="shared" si="161"/>
        <v>#N/A</v>
      </c>
      <c r="CC63" s="400" t="e">
        <f t="shared" si="260"/>
        <v>#N/A</v>
      </c>
      <c r="CD63" s="398" t="e">
        <f t="shared" si="261"/>
        <v>#N/A</v>
      </c>
      <c r="CE63" s="401" t="e">
        <f t="shared" si="262"/>
        <v>#N/A</v>
      </c>
      <c r="CF63" s="399" t="e">
        <f t="shared" si="163"/>
        <v>#N/A</v>
      </c>
      <c r="CG63" s="49"/>
      <c r="CH63" s="47"/>
      <c r="CI63" s="396" t="e">
        <f t="shared" si="263"/>
        <v>#N/A</v>
      </c>
      <c r="CJ63" s="397" t="e">
        <f t="shared" si="264"/>
        <v>#N/A</v>
      </c>
      <c r="CK63" s="400" t="e">
        <f t="shared" si="364"/>
        <v>#N/A</v>
      </c>
      <c r="CL63" s="398" t="e">
        <f t="shared" si="164"/>
        <v>#N/A</v>
      </c>
      <c r="CM63" s="400" t="e">
        <f t="shared" si="265"/>
        <v>#N/A</v>
      </c>
      <c r="CN63" s="398" t="e">
        <f t="shared" si="266"/>
        <v>#N/A</v>
      </c>
      <c r="CO63" s="401" t="e">
        <f t="shared" si="267"/>
        <v>#N/A</v>
      </c>
      <c r="CP63" s="399" t="e">
        <f t="shared" si="166"/>
        <v>#N/A</v>
      </c>
      <c r="CQ63" s="47"/>
      <c r="CS63" s="396" t="e">
        <f t="shared" si="268"/>
        <v>#N/A</v>
      </c>
      <c r="CT63" s="397" t="e">
        <f t="shared" si="269"/>
        <v>#N/A</v>
      </c>
      <c r="CU63" s="400" t="e">
        <f t="shared" si="365"/>
        <v>#N/A</v>
      </c>
      <c r="CV63" s="398" t="e">
        <f t="shared" si="167"/>
        <v>#N/A</v>
      </c>
      <c r="CW63" s="400" t="e">
        <f t="shared" si="270"/>
        <v>#N/A</v>
      </c>
      <c r="CX63" s="398" t="e">
        <f t="shared" si="271"/>
        <v>#N/A</v>
      </c>
      <c r="CY63" s="401" t="e">
        <f t="shared" si="272"/>
        <v>#N/A</v>
      </c>
      <c r="CZ63" s="399" t="e">
        <f t="shared" si="169"/>
        <v>#N/A</v>
      </c>
      <c r="DA63" s="47"/>
      <c r="DB63" s="47"/>
      <c r="DC63" s="396" t="e">
        <f t="shared" si="273"/>
        <v>#N/A</v>
      </c>
      <c r="DD63" s="397" t="e">
        <f t="shared" si="274"/>
        <v>#N/A</v>
      </c>
      <c r="DE63" s="400" t="e">
        <f t="shared" si="366"/>
        <v>#N/A</v>
      </c>
      <c r="DF63" s="398" t="e">
        <f t="shared" si="170"/>
        <v>#N/A</v>
      </c>
      <c r="DG63" s="400" t="e">
        <f t="shared" si="275"/>
        <v>#N/A</v>
      </c>
      <c r="DH63" s="398" t="e">
        <f t="shared" si="276"/>
        <v>#N/A</v>
      </c>
      <c r="DI63" s="401" t="e">
        <f t="shared" si="277"/>
        <v>#N/A</v>
      </c>
      <c r="DJ63" s="399" t="e">
        <f t="shared" si="172"/>
        <v>#N/A</v>
      </c>
      <c r="DK63" s="47"/>
      <c r="DM63" s="396" t="e">
        <f t="shared" si="278"/>
        <v>#N/A</v>
      </c>
      <c r="DN63" s="397" t="e">
        <f t="shared" si="279"/>
        <v>#N/A</v>
      </c>
      <c r="DO63" s="400" t="e">
        <f t="shared" si="367"/>
        <v>#N/A</v>
      </c>
      <c r="DP63" s="398" t="e">
        <f t="shared" si="173"/>
        <v>#N/A</v>
      </c>
      <c r="DQ63" s="400" t="e">
        <f t="shared" si="280"/>
        <v>#N/A</v>
      </c>
      <c r="DR63" s="398" t="e">
        <f t="shared" si="281"/>
        <v>#N/A</v>
      </c>
      <c r="DS63" s="401" t="e">
        <f t="shared" si="282"/>
        <v>#N/A</v>
      </c>
      <c r="DT63" s="399" t="e">
        <f t="shared" si="175"/>
        <v>#N/A</v>
      </c>
      <c r="DU63" s="47"/>
      <c r="DV63" s="49"/>
      <c r="DW63" s="396" t="e">
        <f t="shared" si="283"/>
        <v>#N/A</v>
      </c>
      <c r="DX63" s="397" t="e">
        <f t="shared" si="284"/>
        <v>#N/A</v>
      </c>
      <c r="DY63" s="400" t="e">
        <f t="shared" si="368"/>
        <v>#N/A</v>
      </c>
      <c r="DZ63" s="398" t="e">
        <f t="shared" si="176"/>
        <v>#N/A</v>
      </c>
      <c r="EA63" s="400" t="e">
        <f t="shared" si="285"/>
        <v>#N/A</v>
      </c>
      <c r="EB63" s="398" t="e">
        <f t="shared" si="286"/>
        <v>#N/A</v>
      </c>
      <c r="EC63" s="401" t="e">
        <f t="shared" si="287"/>
        <v>#N/A</v>
      </c>
      <c r="ED63" s="399" t="e">
        <f t="shared" si="178"/>
        <v>#N/A</v>
      </c>
      <c r="EE63" s="47"/>
      <c r="EF63" s="47"/>
      <c r="EG63" s="396" t="e">
        <f t="shared" si="288"/>
        <v>#N/A</v>
      </c>
      <c r="EH63" s="397" t="e">
        <f t="shared" si="289"/>
        <v>#N/A</v>
      </c>
      <c r="EI63" s="400" t="e">
        <f t="shared" si="369"/>
        <v>#N/A</v>
      </c>
      <c r="EJ63" s="398" t="e">
        <f t="shared" si="179"/>
        <v>#N/A</v>
      </c>
      <c r="EK63" s="400" t="e">
        <f t="shared" si="290"/>
        <v>#N/A</v>
      </c>
      <c r="EL63" s="398" t="e">
        <f t="shared" si="291"/>
        <v>#N/A</v>
      </c>
      <c r="EM63" s="401" t="e">
        <f t="shared" si="292"/>
        <v>#N/A</v>
      </c>
      <c r="EN63" s="399" t="e">
        <f t="shared" si="181"/>
        <v>#N/A</v>
      </c>
      <c r="EO63" s="47"/>
      <c r="EP63" s="47"/>
      <c r="EQ63" s="396" t="e">
        <f t="shared" si="293"/>
        <v>#N/A</v>
      </c>
      <c r="ER63" s="397" t="e">
        <f t="shared" si="294"/>
        <v>#N/A</v>
      </c>
      <c r="ES63" s="400" t="e">
        <f t="shared" si="370"/>
        <v>#N/A</v>
      </c>
      <c r="ET63" s="398" t="e">
        <f t="shared" si="182"/>
        <v>#N/A</v>
      </c>
      <c r="EU63" s="400" t="e">
        <f t="shared" si="295"/>
        <v>#N/A</v>
      </c>
      <c r="EV63" s="398" t="e">
        <f t="shared" si="296"/>
        <v>#N/A</v>
      </c>
      <c r="EW63" s="401" t="e">
        <f t="shared" si="297"/>
        <v>#N/A</v>
      </c>
      <c r="EX63" s="399" t="e">
        <f t="shared" si="184"/>
        <v>#N/A</v>
      </c>
      <c r="EY63" s="47"/>
      <c r="EZ63" s="47"/>
      <c r="FA63" s="396" t="e">
        <f t="shared" si="298"/>
        <v>#N/A</v>
      </c>
      <c r="FB63" s="397" t="e">
        <f t="shared" si="299"/>
        <v>#N/A</v>
      </c>
      <c r="FC63" s="400" t="e">
        <f t="shared" si="371"/>
        <v>#N/A</v>
      </c>
      <c r="FD63" s="398" t="e">
        <f t="shared" si="185"/>
        <v>#N/A</v>
      </c>
      <c r="FE63" s="400" t="e">
        <f t="shared" si="300"/>
        <v>#N/A</v>
      </c>
      <c r="FF63" s="398" t="e">
        <f t="shared" si="301"/>
        <v>#N/A</v>
      </c>
      <c r="FG63" s="401" t="e">
        <f t="shared" si="302"/>
        <v>#N/A</v>
      </c>
      <c r="FH63" s="399" t="e">
        <f t="shared" si="187"/>
        <v>#N/A</v>
      </c>
      <c r="FI63" s="47"/>
      <c r="FJ63" s="49"/>
      <c r="FK63" s="396" t="e">
        <f t="shared" si="303"/>
        <v>#N/A</v>
      </c>
      <c r="FL63" s="397" t="e">
        <f t="shared" si="304"/>
        <v>#N/A</v>
      </c>
      <c r="FM63" s="400" t="e">
        <f t="shared" si="372"/>
        <v>#N/A</v>
      </c>
      <c r="FN63" s="398" t="e">
        <f t="shared" si="188"/>
        <v>#N/A</v>
      </c>
      <c r="FO63" s="400" t="e">
        <f t="shared" si="305"/>
        <v>#N/A</v>
      </c>
      <c r="FP63" s="398" t="e">
        <f t="shared" si="306"/>
        <v>#N/A</v>
      </c>
      <c r="FQ63" s="401" t="e">
        <f t="shared" si="307"/>
        <v>#N/A</v>
      </c>
      <c r="FR63" s="399" t="e">
        <f t="shared" si="190"/>
        <v>#N/A</v>
      </c>
      <c r="FS63" s="47"/>
      <c r="FT63" s="47"/>
      <c r="FU63" s="396" t="e">
        <f t="shared" si="308"/>
        <v>#N/A</v>
      </c>
      <c r="FV63" s="397" t="e">
        <f t="shared" si="309"/>
        <v>#N/A</v>
      </c>
      <c r="FW63" s="400" t="e">
        <f t="shared" si="373"/>
        <v>#N/A</v>
      </c>
      <c r="FX63" s="398" t="e">
        <f t="shared" si="191"/>
        <v>#N/A</v>
      </c>
      <c r="FY63" s="400" t="e">
        <f t="shared" si="310"/>
        <v>#N/A</v>
      </c>
      <c r="FZ63" s="398" t="e">
        <f t="shared" si="311"/>
        <v>#N/A</v>
      </c>
      <c r="GA63" s="401" t="e">
        <f t="shared" si="312"/>
        <v>#N/A</v>
      </c>
      <c r="GB63" s="399" t="e">
        <f t="shared" si="193"/>
        <v>#N/A</v>
      </c>
      <c r="GC63" s="47"/>
      <c r="GD63" s="47"/>
      <c r="GE63" s="396" t="e">
        <f t="shared" si="313"/>
        <v>#N/A</v>
      </c>
      <c r="GF63" s="397" t="e">
        <f t="shared" si="314"/>
        <v>#N/A</v>
      </c>
      <c r="GG63" s="400" t="e">
        <f t="shared" si="374"/>
        <v>#N/A</v>
      </c>
      <c r="GH63" s="398" t="e">
        <f t="shared" si="194"/>
        <v>#N/A</v>
      </c>
      <c r="GI63" s="400" t="e">
        <f t="shared" si="315"/>
        <v>#N/A</v>
      </c>
      <c r="GJ63" s="398" t="e">
        <f t="shared" si="316"/>
        <v>#N/A</v>
      </c>
      <c r="GK63" s="401" t="e">
        <f t="shared" si="317"/>
        <v>#N/A</v>
      </c>
      <c r="GL63" s="399" t="e">
        <f t="shared" si="196"/>
        <v>#N/A</v>
      </c>
      <c r="GM63" s="47"/>
      <c r="GN63" s="47"/>
      <c r="GO63" s="396" t="e">
        <f t="shared" si="318"/>
        <v>#N/A</v>
      </c>
      <c r="GP63" s="397" t="e">
        <f t="shared" si="319"/>
        <v>#N/A</v>
      </c>
      <c r="GQ63" s="400" t="e">
        <f t="shared" si="375"/>
        <v>#N/A</v>
      </c>
      <c r="GR63" s="398" t="e">
        <f t="shared" si="197"/>
        <v>#N/A</v>
      </c>
      <c r="GS63" s="400" t="e">
        <f t="shared" si="320"/>
        <v>#N/A</v>
      </c>
      <c r="GT63" s="398" t="e">
        <f t="shared" si="321"/>
        <v>#N/A</v>
      </c>
      <c r="GU63" s="401" t="e">
        <f t="shared" si="322"/>
        <v>#N/A</v>
      </c>
      <c r="GV63" s="399" t="e">
        <f t="shared" si="199"/>
        <v>#N/A</v>
      </c>
      <c r="GW63" s="47"/>
      <c r="GX63" s="47"/>
      <c r="GY63" s="396" t="e">
        <f t="shared" si="323"/>
        <v>#N/A</v>
      </c>
      <c r="GZ63" s="397" t="e">
        <f t="shared" si="324"/>
        <v>#N/A</v>
      </c>
      <c r="HA63" s="400" t="e">
        <f t="shared" si="376"/>
        <v>#N/A</v>
      </c>
      <c r="HB63" s="398" t="e">
        <f t="shared" si="200"/>
        <v>#N/A</v>
      </c>
      <c r="HC63" s="400" t="e">
        <f t="shared" si="325"/>
        <v>#N/A</v>
      </c>
      <c r="HD63" s="398" t="e">
        <f t="shared" si="326"/>
        <v>#N/A</v>
      </c>
      <c r="HE63" s="401" t="e">
        <f t="shared" si="327"/>
        <v>#N/A</v>
      </c>
      <c r="HF63" s="399" t="e">
        <f t="shared" si="202"/>
        <v>#N/A</v>
      </c>
      <c r="HH63" s="47"/>
      <c r="HI63" s="396" t="e">
        <f t="shared" si="328"/>
        <v>#N/A</v>
      </c>
      <c r="HJ63" s="397" t="e">
        <f t="shared" si="329"/>
        <v>#N/A</v>
      </c>
      <c r="HK63" s="400" t="e">
        <f t="shared" si="377"/>
        <v>#N/A</v>
      </c>
      <c r="HL63" s="398" t="e">
        <f t="shared" si="203"/>
        <v>#N/A</v>
      </c>
      <c r="HM63" s="400" t="e">
        <f t="shared" si="330"/>
        <v>#N/A</v>
      </c>
      <c r="HN63" s="398" t="e">
        <f t="shared" si="331"/>
        <v>#N/A</v>
      </c>
      <c r="HO63" s="401" t="e">
        <f t="shared" si="332"/>
        <v>#N/A</v>
      </c>
      <c r="HP63" s="399" t="e">
        <f t="shared" si="205"/>
        <v>#N/A</v>
      </c>
      <c r="HQ63" s="47"/>
      <c r="HR63" s="47"/>
      <c r="HS63" s="396" t="e">
        <f t="shared" si="333"/>
        <v>#N/A</v>
      </c>
      <c r="HT63" s="397" t="e">
        <f t="shared" si="334"/>
        <v>#N/A</v>
      </c>
      <c r="HU63" s="400" t="e">
        <f t="shared" si="378"/>
        <v>#N/A</v>
      </c>
      <c r="HV63" s="398" t="e">
        <f t="shared" si="206"/>
        <v>#N/A</v>
      </c>
      <c r="HW63" s="400" t="e">
        <f t="shared" si="335"/>
        <v>#N/A</v>
      </c>
      <c r="HX63" s="398" t="e">
        <f t="shared" si="336"/>
        <v>#N/A</v>
      </c>
      <c r="HY63" s="401" t="e">
        <f t="shared" si="337"/>
        <v>#N/A</v>
      </c>
      <c r="HZ63" s="399" t="e">
        <f t="shared" si="208"/>
        <v>#N/A</v>
      </c>
      <c r="IA63" s="47"/>
      <c r="IB63" s="49"/>
      <c r="IC63" s="396" t="e">
        <f t="shared" si="338"/>
        <v>#N/A</v>
      </c>
      <c r="ID63" s="397" t="e">
        <f t="shared" si="339"/>
        <v>#N/A</v>
      </c>
      <c r="IE63" s="400" t="e">
        <f t="shared" si="379"/>
        <v>#N/A</v>
      </c>
      <c r="IF63" s="398" t="e">
        <f t="shared" si="209"/>
        <v>#N/A</v>
      </c>
      <c r="IG63" s="400" t="e">
        <f t="shared" si="340"/>
        <v>#N/A</v>
      </c>
      <c r="IH63" s="398" t="e">
        <f t="shared" si="341"/>
        <v>#N/A</v>
      </c>
      <c r="II63" s="401" t="e">
        <f t="shared" si="342"/>
        <v>#N/A</v>
      </c>
      <c r="IJ63" s="399" t="e">
        <f t="shared" si="211"/>
        <v>#N/A</v>
      </c>
      <c r="IK63" s="47"/>
      <c r="IL63" s="47"/>
      <c r="IM63" s="396" t="e">
        <f t="shared" si="343"/>
        <v>#N/A</v>
      </c>
      <c r="IN63" s="397" t="e">
        <f t="shared" si="344"/>
        <v>#N/A</v>
      </c>
      <c r="IO63" s="400" t="e">
        <f t="shared" si="380"/>
        <v>#N/A</v>
      </c>
      <c r="IP63" s="398" t="e">
        <f t="shared" si="212"/>
        <v>#N/A</v>
      </c>
      <c r="IQ63" s="400" t="e">
        <f t="shared" si="345"/>
        <v>#N/A</v>
      </c>
      <c r="IR63" s="398" t="e">
        <f t="shared" si="346"/>
        <v>#N/A</v>
      </c>
      <c r="IS63" s="401" t="e">
        <f t="shared" si="347"/>
        <v>#N/A</v>
      </c>
      <c r="IT63" s="399" t="e">
        <f t="shared" si="214"/>
        <v>#N/A</v>
      </c>
      <c r="IU63" s="47"/>
      <c r="IV63" s="47"/>
      <c r="IW63" s="396" t="e">
        <f t="shared" si="116"/>
        <v>#N/A</v>
      </c>
      <c r="IX63" s="397" t="e">
        <f t="shared" si="117"/>
        <v>#N/A</v>
      </c>
      <c r="IY63" s="400" t="e">
        <f t="shared" si="118"/>
        <v>#N/A</v>
      </c>
      <c r="IZ63" s="398" t="e">
        <f t="shared" si="348"/>
        <v>#N/A</v>
      </c>
      <c r="JA63" s="400" t="e">
        <f t="shared" si="119"/>
        <v>#N/A</v>
      </c>
      <c r="JB63" s="398" t="e">
        <f t="shared" si="120"/>
        <v>#N/A</v>
      </c>
      <c r="JC63" s="401" t="e">
        <f t="shared" si="216"/>
        <v>#N/A</v>
      </c>
      <c r="JD63" s="399" t="e">
        <f t="shared" si="217"/>
        <v>#N/A</v>
      </c>
      <c r="JE63" s="47"/>
      <c r="JF63" s="47"/>
      <c r="JG63" s="396" t="e">
        <f t="shared" si="121"/>
        <v>#N/A</v>
      </c>
      <c r="JH63" s="397" t="e">
        <f t="shared" si="122"/>
        <v>#N/A</v>
      </c>
      <c r="JI63" s="400" t="e">
        <f t="shared" si="123"/>
        <v>#N/A</v>
      </c>
      <c r="JJ63" s="398" t="e">
        <f t="shared" si="349"/>
        <v>#N/A</v>
      </c>
      <c r="JK63" s="400" t="e">
        <f t="shared" si="124"/>
        <v>#N/A</v>
      </c>
      <c r="JL63" s="398" t="e">
        <f t="shared" si="125"/>
        <v>#N/A</v>
      </c>
      <c r="JM63" s="401" t="e">
        <f t="shared" si="219"/>
        <v>#N/A</v>
      </c>
      <c r="JN63" s="399" t="e">
        <f t="shared" si="220"/>
        <v>#N/A</v>
      </c>
      <c r="JO63" s="47"/>
      <c r="JP63" s="47"/>
      <c r="JQ63" s="396" t="e">
        <f t="shared" si="126"/>
        <v>#N/A</v>
      </c>
      <c r="JR63" s="397" t="e">
        <f t="shared" si="127"/>
        <v>#N/A</v>
      </c>
      <c r="JS63" s="400" t="e">
        <f t="shared" si="128"/>
        <v>#N/A</v>
      </c>
      <c r="JT63" s="398" t="e">
        <f t="shared" si="350"/>
        <v>#N/A</v>
      </c>
      <c r="JU63" s="400" t="e">
        <f t="shared" si="129"/>
        <v>#N/A</v>
      </c>
      <c r="JV63" s="398" t="e">
        <f t="shared" si="130"/>
        <v>#N/A</v>
      </c>
      <c r="JW63" s="401" t="e">
        <f t="shared" si="222"/>
        <v>#N/A</v>
      </c>
      <c r="JX63" s="399" t="e">
        <f t="shared" si="223"/>
        <v>#N/A</v>
      </c>
      <c r="JY63" s="47"/>
      <c r="JZ63" s="47"/>
      <c r="KA63" s="396" t="e">
        <f t="shared" si="131"/>
        <v>#N/A</v>
      </c>
      <c r="KB63" s="397" t="e">
        <f t="shared" si="132"/>
        <v>#N/A</v>
      </c>
      <c r="KC63" s="400" t="e">
        <f t="shared" si="133"/>
        <v>#N/A</v>
      </c>
      <c r="KD63" s="398" t="e">
        <f t="shared" si="351"/>
        <v>#N/A</v>
      </c>
      <c r="KE63" s="400" t="e">
        <f t="shared" si="134"/>
        <v>#N/A</v>
      </c>
      <c r="KF63" s="398" t="e">
        <f t="shared" si="135"/>
        <v>#N/A</v>
      </c>
      <c r="KG63" s="401" t="e">
        <f t="shared" si="225"/>
        <v>#N/A</v>
      </c>
      <c r="KH63" s="399" t="e">
        <f t="shared" si="226"/>
        <v>#N/A</v>
      </c>
      <c r="KI63" s="47"/>
      <c r="KJ63" s="47"/>
      <c r="KK63" s="396" t="e">
        <f t="shared" si="136"/>
        <v>#N/A</v>
      </c>
      <c r="KL63" s="397" t="e">
        <f t="shared" si="137"/>
        <v>#N/A</v>
      </c>
      <c r="KM63" s="400" t="e">
        <f t="shared" si="138"/>
        <v>#N/A</v>
      </c>
      <c r="KN63" s="398" t="e">
        <f t="shared" si="352"/>
        <v>#N/A</v>
      </c>
      <c r="KO63" s="400" t="e">
        <f t="shared" si="139"/>
        <v>#N/A</v>
      </c>
      <c r="KP63" s="398" t="e">
        <f t="shared" si="140"/>
        <v>#N/A</v>
      </c>
      <c r="KQ63" s="401" t="e">
        <f t="shared" si="228"/>
        <v>#N/A</v>
      </c>
      <c r="KR63" s="399" t="e">
        <f t="shared" si="229"/>
        <v>#N/A</v>
      </c>
      <c r="KS63" s="47"/>
      <c r="KT63" s="47"/>
      <c r="KU63" s="396" t="e">
        <f t="shared" si="353"/>
        <v>#N/A</v>
      </c>
      <c r="KV63" s="397" t="e">
        <f t="shared" si="354"/>
        <v>#N/A</v>
      </c>
      <c r="KW63" s="400" t="e">
        <f t="shared" si="381"/>
        <v>#N/A</v>
      </c>
      <c r="KX63" s="398" t="e">
        <f t="shared" si="230"/>
        <v>#N/A</v>
      </c>
      <c r="KY63" s="400" t="e">
        <f t="shared" si="355"/>
        <v>#N/A</v>
      </c>
      <c r="KZ63" s="398" t="e">
        <f t="shared" si="356"/>
        <v>#N/A</v>
      </c>
      <c r="LA63" s="401" t="e">
        <f t="shared" si="357"/>
        <v>#N/A</v>
      </c>
      <c r="LB63" s="399" t="e">
        <f t="shared" si="232"/>
        <v>#N/A</v>
      </c>
      <c r="LC63" s="47"/>
    </row>
    <row r="64" spans="1:315" x14ac:dyDescent="0.25">
      <c r="Z64" s="413"/>
      <c r="AA64" s="396" t="e">
        <f t="shared" si="233"/>
        <v>#N/A</v>
      </c>
      <c r="AB64" s="397" t="e">
        <f t="shared" si="234"/>
        <v>#N/A</v>
      </c>
      <c r="AC64" s="400" t="e">
        <f t="shared" si="358"/>
        <v>#N/A</v>
      </c>
      <c r="AD64" s="398" t="e">
        <f t="shared" si="146"/>
        <v>#N/A</v>
      </c>
      <c r="AE64" s="400" t="e">
        <f t="shared" si="235"/>
        <v>#N/A</v>
      </c>
      <c r="AF64" s="398" t="e">
        <f t="shared" si="236"/>
        <v>#N/A</v>
      </c>
      <c r="AG64" s="401" t="e">
        <f t="shared" si="237"/>
        <v>#N/A</v>
      </c>
      <c r="AH64" s="399" t="e">
        <f t="shared" si="148"/>
        <v>#N/A</v>
      </c>
      <c r="AI64" s="47"/>
      <c r="AJ64" s="47"/>
      <c r="AK64" s="396" t="e">
        <f t="shared" si="238"/>
        <v>#N/A</v>
      </c>
      <c r="AL64" s="397" t="e">
        <f t="shared" si="239"/>
        <v>#N/A</v>
      </c>
      <c r="AM64" s="400" t="e">
        <f t="shared" si="359"/>
        <v>#N/A</v>
      </c>
      <c r="AN64" s="398" t="e">
        <f t="shared" si="149"/>
        <v>#N/A</v>
      </c>
      <c r="AO64" s="400" t="e">
        <f t="shared" si="240"/>
        <v>#N/A</v>
      </c>
      <c r="AP64" s="398" t="e">
        <f t="shared" si="241"/>
        <v>#N/A</v>
      </c>
      <c r="AQ64" s="401" t="e">
        <f t="shared" si="242"/>
        <v>#N/A</v>
      </c>
      <c r="AR64" s="399" t="e">
        <f t="shared" si="151"/>
        <v>#N/A</v>
      </c>
      <c r="AS64" s="47"/>
      <c r="AT64" s="47"/>
      <c r="AU64" s="396" t="e">
        <f t="shared" si="243"/>
        <v>#N/A</v>
      </c>
      <c r="AV64" s="397" t="e">
        <f t="shared" si="244"/>
        <v>#N/A</v>
      </c>
      <c r="AW64" s="400" t="e">
        <f t="shared" si="360"/>
        <v>#N/A</v>
      </c>
      <c r="AX64" s="398" t="e">
        <f t="shared" si="152"/>
        <v>#N/A</v>
      </c>
      <c r="AY64" s="400" t="e">
        <f t="shared" si="245"/>
        <v>#N/A</v>
      </c>
      <c r="AZ64" s="398" t="e">
        <f t="shared" si="246"/>
        <v>#N/A</v>
      </c>
      <c r="BA64" s="401" t="e">
        <f t="shared" si="247"/>
        <v>#N/A</v>
      </c>
      <c r="BB64" s="399" t="e">
        <f t="shared" si="154"/>
        <v>#N/A</v>
      </c>
      <c r="BC64" s="47"/>
      <c r="BD64" s="47"/>
      <c r="BE64" s="396" t="e">
        <f t="shared" si="248"/>
        <v>#N/A</v>
      </c>
      <c r="BF64" s="397" t="e">
        <f t="shared" si="249"/>
        <v>#N/A</v>
      </c>
      <c r="BG64" s="400" t="e">
        <f t="shared" si="361"/>
        <v>#N/A</v>
      </c>
      <c r="BH64" s="398" t="e">
        <f t="shared" si="155"/>
        <v>#N/A</v>
      </c>
      <c r="BI64" s="400" t="e">
        <f t="shared" si="250"/>
        <v>#N/A</v>
      </c>
      <c r="BJ64" s="398" t="e">
        <f t="shared" si="251"/>
        <v>#N/A</v>
      </c>
      <c r="BK64" s="401" t="e">
        <f t="shared" si="252"/>
        <v>#N/A</v>
      </c>
      <c r="BL64" s="399" t="e">
        <f t="shared" si="157"/>
        <v>#N/A</v>
      </c>
      <c r="BM64" s="47"/>
      <c r="BN64" s="49"/>
      <c r="BO64" s="396" t="e">
        <f t="shared" si="253"/>
        <v>#N/A</v>
      </c>
      <c r="BP64" s="397" t="e">
        <f t="shared" si="254"/>
        <v>#N/A</v>
      </c>
      <c r="BQ64" s="400" t="e">
        <f t="shared" si="362"/>
        <v>#N/A</v>
      </c>
      <c r="BR64" s="398" t="e">
        <f t="shared" si="158"/>
        <v>#N/A</v>
      </c>
      <c r="BS64" s="400" t="e">
        <f t="shared" si="255"/>
        <v>#N/A</v>
      </c>
      <c r="BT64" s="398" t="e">
        <f t="shared" si="256"/>
        <v>#N/A</v>
      </c>
      <c r="BU64" s="401" t="e">
        <f t="shared" si="257"/>
        <v>#N/A</v>
      </c>
      <c r="BV64" s="399" t="e">
        <f t="shared" si="160"/>
        <v>#N/A</v>
      </c>
      <c r="BW64" s="47"/>
      <c r="BX64" s="47"/>
      <c r="BY64" s="396" t="e">
        <f t="shared" si="258"/>
        <v>#N/A</v>
      </c>
      <c r="BZ64" s="397" t="e">
        <f t="shared" si="259"/>
        <v>#N/A</v>
      </c>
      <c r="CA64" s="400" t="e">
        <f t="shared" si="363"/>
        <v>#N/A</v>
      </c>
      <c r="CB64" s="398" t="e">
        <f t="shared" si="161"/>
        <v>#N/A</v>
      </c>
      <c r="CC64" s="400" t="e">
        <f t="shared" si="260"/>
        <v>#N/A</v>
      </c>
      <c r="CD64" s="398" t="e">
        <f t="shared" si="261"/>
        <v>#N/A</v>
      </c>
      <c r="CE64" s="401" t="e">
        <f t="shared" si="262"/>
        <v>#N/A</v>
      </c>
      <c r="CF64" s="399" t="e">
        <f t="shared" si="163"/>
        <v>#N/A</v>
      </c>
      <c r="CG64" s="49"/>
      <c r="CH64" s="47"/>
      <c r="CI64" s="396" t="e">
        <f t="shared" si="263"/>
        <v>#N/A</v>
      </c>
      <c r="CJ64" s="397" t="e">
        <f t="shared" si="264"/>
        <v>#N/A</v>
      </c>
      <c r="CK64" s="400" t="e">
        <f t="shared" si="364"/>
        <v>#N/A</v>
      </c>
      <c r="CL64" s="398" t="e">
        <f t="shared" si="164"/>
        <v>#N/A</v>
      </c>
      <c r="CM64" s="400" t="e">
        <f t="shared" si="265"/>
        <v>#N/A</v>
      </c>
      <c r="CN64" s="398" t="e">
        <f t="shared" si="266"/>
        <v>#N/A</v>
      </c>
      <c r="CO64" s="401" t="e">
        <f t="shared" si="267"/>
        <v>#N/A</v>
      </c>
      <c r="CP64" s="399" t="e">
        <f t="shared" si="166"/>
        <v>#N/A</v>
      </c>
      <c r="CQ64" s="47"/>
      <c r="CS64" s="396" t="e">
        <f t="shared" si="268"/>
        <v>#N/A</v>
      </c>
      <c r="CT64" s="397" t="e">
        <f t="shared" si="269"/>
        <v>#N/A</v>
      </c>
      <c r="CU64" s="400" t="e">
        <f t="shared" si="365"/>
        <v>#N/A</v>
      </c>
      <c r="CV64" s="398" t="e">
        <f t="shared" si="167"/>
        <v>#N/A</v>
      </c>
      <c r="CW64" s="400" t="e">
        <f t="shared" si="270"/>
        <v>#N/A</v>
      </c>
      <c r="CX64" s="398" t="e">
        <f t="shared" si="271"/>
        <v>#N/A</v>
      </c>
      <c r="CY64" s="401" t="e">
        <f t="shared" si="272"/>
        <v>#N/A</v>
      </c>
      <c r="CZ64" s="399" t="e">
        <f t="shared" si="169"/>
        <v>#N/A</v>
      </c>
      <c r="DA64" s="47"/>
      <c r="DB64" s="47"/>
      <c r="DC64" s="396" t="e">
        <f t="shared" si="273"/>
        <v>#N/A</v>
      </c>
      <c r="DD64" s="397" t="e">
        <f t="shared" si="274"/>
        <v>#N/A</v>
      </c>
      <c r="DE64" s="400" t="e">
        <f t="shared" si="366"/>
        <v>#N/A</v>
      </c>
      <c r="DF64" s="398" t="e">
        <f t="shared" si="170"/>
        <v>#N/A</v>
      </c>
      <c r="DG64" s="400" t="e">
        <f t="shared" si="275"/>
        <v>#N/A</v>
      </c>
      <c r="DH64" s="398" t="e">
        <f t="shared" si="276"/>
        <v>#N/A</v>
      </c>
      <c r="DI64" s="401" t="e">
        <f t="shared" si="277"/>
        <v>#N/A</v>
      </c>
      <c r="DJ64" s="399" t="e">
        <f t="shared" si="172"/>
        <v>#N/A</v>
      </c>
      <c r="DK64" s="47"/>
      <c r="DM64" s="396" t="e">
        <f t="shared" si="278"/>
        <v>#N/A</v>
      </c>
      <c r="DN64" s="397" t="e">
        <f t="shared" si="279"/>
        <v>#N/A</v>
      </c>
      <c r="DO64" s="400" t="e">
        <f t="shared" si="367"/>
        <v>#N/A</v>
      </c>
      <c r="DP64" s="398" t="e">
        <f t="shared" si="173"/>
        <v>#N/A</v>
      </c>
      <c r="DQ64" s="400" t="e">
        <f t="shared" si="280"/>
        <v>#N/A</v>
      </c>
      <c r="DR64" s="398" t="e">
        <f t="shared" si="281"/>
        <v>#N/A</v>
      </c>
      <c r="DS64" s="401" t="e">
        <f t="shared" si="282"/>
        <v>#N/A</v>
      </c>
      <c r="DT64" s="399" t="e">
        <f t="shared" si="175"/>
        <v>#N/A</v>
      </c>
      <c r="DU64" s="47"/>
      <c r="DV64" s="49"/>
      <c r="DW64" s="396" t="e">
        <f t="shared" si="283"/>
        <v>#N/A</v>
      </c>
      <c r="DX64" s="397" t="e">
        <f t="shared" si="284"/>
        <v>#N/A</v>
      </c>
      <c r="DY64" s="400" t="e">
        <f t="shared" si="368"/>
        <v>#N/A</v>
      </c>
      <c r="DZ64" s="398" t="e">
        <f t="shared" si="176"/>
        <v>#N/A</v>
      </c>
      <c r="EA64" s="400" t="e">
        <f t="shared" si="285"/>
        <v>#N/A</v>
      </c>
      <c r="EB64" s="398" t="e">
        <f t="shared" si="286"/>
        <v>#N/A</v>
      </c>
      <c r="EC64" s="401" t="e">
        <f t="shared" si="287"/>
        <v>#N/A</v>
      </c>
      <c r="ED64" s="399" t="e">
        <f t="shared" si="178"/>
        <v>#N/A</v>
      </c>
      <c r="EE64" s="47"/>
      <c r="EF64" s="47"/>
      <c r="EG64" s="396" t="e">
        <f t="shared" si="288"/>
        <v>#N/A</v>
      </c>
      <c r="EH64" s="397" t="e">
        <f t="shared" si="289"/>
        <v>#N/A</v>
      </c>
      <c r="EI64" s="400" t="e">
        <f t="shared" si="369"/>
        <v>#N/A</v>
      </c>
      <c r="EJ64" s="398" t="e">
        <f t="shared" si="179"/>
        <v>#N/A</v>
      </c>
      <c r="EK64" s="400" t="e">
        <f t="shared" si="290"/>
        <v>#N/A</v>
      </c>
      <c r="EL64" s="398" t="e">
        <f t="shared" si="291"/>
        <v>#N/A</v>
      </c>
      <c r="EM64" s="401" t="e">
        <f t="shared" si="292"/>
        <v>#N/A</v>
      </c>
      <c r="EN64" s="399" t="e">
        <f t="shared" si="181"/>
        <v>#N/A</v>
      </c>
      <c r="EO64" s="47"/>
      <c r="EP64" s="47"/>
      <c r="EQ64" s="396" t="e">
        <f t="shared" si="293"/>
        <v>#N/A</v>
      </c>
      <c r="ER64" s="397" t="e">
        <f t="shared" si="294"/>
        <v>#N/A</v>
      </c>
      <c r="ES64" s="400" t="e">
        <f t="shared" si="370"/>
        <v>#N/A</v>
      </c>
      <c r="ET64" s="398" t="e">
        <f t="shared" si="182"/>
        <v>#N/A</v>
      </c>
      <c r="EU64" s="400" t="e">
        <f t="shared" si="295"/>
        <v>#N/A</v>
      </c>
      <c r="EV64" s="398" t="e">
        <f t="shared" si="296"/>
        <v>#N/A</v>
      </c>
      <c r="EW64" s="401" t="e">
        <f t="shared" si="297"/>
        <v>#N/A</v>
      </c>
      <c r="EX64" s="399" t="e">
        <f t="shared" si="184"/>
        <v>#N/A</v>
      </c>
      <c r="EY64" s="47"/>
      <c r="EZ64" s="47"/>
      <c r="FA64" s="396" t="e">
        <f t="shared" si="298"/>
        <v>#N/A</v>
      </c>
      <c r="FB64" s="397" t="e">
        <f t="shared" si="299"/>
        <v>#N/A</v>
      </c>
      <c r="FC64" s="400" t="e">
        <f t="shared" si="371"/>
        <v>#N/A</v>
      </c>
      <c r="FD64" s="398" t="e">
        <f t="shared" si="185"/>
        <v>#N/A</v>
      </c>
      <c r="FE64" s="400" t="e">
        <f t="shared" si="300"/>
        <v>#N/A</v>
      </c>
      <c r="FF64" s="398" t="e">
        <f t="shared" si="301"/>
        <v>#N/A</v>
      </c>
      <c r="FG64" s="401" t="e">
        <f t="shared" si="302"/>
        <v>#N/A</v>
      </c>
      <c r="FH64" s="399" t="e">
        <f t="shared" si="187"/>
        <v>#N/A</v>
      </c>
      <c r="FI64" s="47"/>
      <c r="FJ64" s="49"/>
      <c r="FK64" s="396" t="e">
        <f t="shared" si="303"/>
        <v>#N/A</v>
      </c>
      <c r="FL64" s="397" t="e">
        <f t="shared" si="304"/>
        <v>#N/A</v>
      </c>
      <c r="FM64" s="400" t="e">
        <f t="shared" si="372"/>
        <v>#N/A</v>
      </c>
      <c r="FN64" s="398" t="e">
        <f t="shared" si="188"/>
        <v>#N/A</v>
      </c>
      <c r="FO64" s="400" t="e">
        <f t="shared" si="305"/>
        <v>#N/A</v>
      </c>
      <c r="FP64" s="398" t="e">
        <f t="shared" si="306"/>
        <v>#N/A</v>
      </c>
      <c r="FQ64" s="401" t="e">
        <f t="shared" si="307"/>
        <v>#N/A</v>
      </c>
      <c r="FR64" s="399" t="e">
        <f t="shared" si="190"/>
        <v>#N/A</v>
      </c>
      <c r="FS64" s="47"/>
      <c r="FT64" s="47"/>
      <c r="FU64" s="396" t="e">
        <f t="shared" si="308"/>
        <v>#N/A</v>
      </c>
      <c r="FV64" s="397" t="e">
        <f t="shared" si="309"/>
        <v>#N/A</v>
      </c>
      <c r="FW64" s="400" t="e">
        <f t="shared" si="373"/>
        <v>#N/A</v>
      </c>
      <c r="FX64" s="398" t="e">
        <f t="shared" si="191"/>
        <v>#N/A</v>
      </c>
      <c r="FY64" s="400" t="e">
        <f t="shared" si="310"/>
        <v>#N/A</v>
      </c>
      <c r="FZ64" s="398" t="e">
        <f t="shared" si="311"/>
        <v>#N/A</v>
      </c>
      <c r="GA64" s="401" t="e">
        <f t="shared" si="312"/>
        <v>#N/A</v>
      </c>
      <c r="GB64" s="399" t="e">
        <f t="shared" si="193"/>
        <v>#N/A</v>
      </c>
      <c r="GC64" s="47"/>
      <c r="GD64" s="47"/>
      <c r="GE64" s="396" t="e">
        <f t="shared" si="313"/>
        <v>#N/A</v>
      </c>
      <c r="GF64" s="397" t="e">
        <f t="shared" si="314"/>
        <v>#N/A</v>
      </c>
      <c r="GG64" s="400" t="e">
        <f t="shared" si="374"/>
        <v>#N/A</v>
      </c>
      <c r="GH64" s="398" t="e">
        <f t="shared" si="194"/>
        <v>#N/A</v>
      </c>
      <c r="GI64" s="400" t="e">
        <f t="shared" si="315"/>
        <v>#N/A</v>
      </c>
      <c r="GJ64" s="398" t="e">
        <f t="shared" si="316"/>
        <v>#N/A</v>
      </c>
      <c r="GK64" s="401" t="e">
        <f t="shared" si="317"/>
        <v>#N/A</v>
      </c>
      <c r="GL64" s="399" t="e">
        <f t="shared" si="196"/>
        <v>#N/A</v>
      </c>
      <c r="GM64" s="47"/>
      <c r="GN64" s="47"/>
      <c r="GO64" s="396" t="e">
        <f t="shared" si="318"/>
        <v>#N/A</v>
      </c>
      <c r="GP64" s="397" t="e">
        <f t="shared" si="319"/>
        <v>#N/A</v>
      </c>
      <c r="GQ64" s="400" t="e">
        <f t="shared" si="375"/>
        <v>#N/A</v>
      </c>
      <c r="GR64" s="398" t="e">
        <f t="shared" si="197"/>
        <v>#N/A</v>
      </c>
      <c r="GS64" s="400" t="e">
        <f t="shared" si="320"/>
        <v>#N/A</v>
      </c>
      <c r="GT64" s="398" t="e">
        <f t="shared" si="321"/>
        <v>#N/A</v>
      </c>
      <c r="GU64" s="401" t="e">
        <f t="shared" si="322"/>
        <v>#N/A</v>
      </c>
      <c r="GV64" s="399" t="e">
        <f t="shared" si="199"/>
        <v>#N/A</v>
      </c>
      <c r="GW64" s="47"/>
      <c r="GX64" s="47"/>
      <c r="GY64" s="396" t="e">
        <f t="shared" si="323"/>
        <v>#N/A</v>
      </c>
      <c r="GZ64" s="397" t="e">
        <f t="shared" si="324"/>
        <v>#N/A</v>
      </c>
      <c r="HA64" s="400" t="e">
        <f t="shared" si="376"/>
        <v>#N/A</v>
      </c>
      <c r="HB64" s="398" t="e">
        <f t="shared" si="200"/>
        <v>#N/A</v>
      </c>
      <c r="HC64" s="400" t="e">
        <f t="shared" si="325"/>
        <v>#N/A</v>
      </c>
      <c r="HD64" s="398" t="e">
        <f t="shared" si="326"/>
        <v>#N/A</v>
      </c>
      <c r="HE64" s="401" t="e">
        <f t="shared" si="327"/>
        <v>#N/A</v>
      </c>
      <c r="HF64" s="399" t="e">
        <f t="shared" si="202"/>
        <v>#N/A</v>
      </c>
      <c r="HH64" s="47"/>
      <c r="HI64" s="396" t="e">
        <f t="shared" si="328"/>
        <v>#N/A</v>
      </c>
      <c r="HJ64" s="397" t="e">
        <f t="shared" si="329"/>
        <v>#N/A</v>
      </c>
      <c r="HK64" s="400" t="e">
        <f t="shared" si="377"/>
        <v>#N/A</v>
      </c>
      <c r="HL64" s="398" t="e">
        <f t="shared" si="203"/>
        <v>#N/A</v>
      </c>
      <c r="HM64" s="400" t="e">
        <f t="shared" si="330"/>
        <v>#N/A</v>
      </c>
      <c r="HN64" s="398" t="e">
        <f t="shared" si="331"/>
        <v>#N/A</v>
      </c>
      <c r="HO64" s="401" t="e">
        <f t="shared" si="332"/>
        <v>#N/A</v>
      </c>
      <c r="HP64" s="399" t="e">
        <f t="shared" si="205"/>
        <v>#N/A</v>
      </c>
      <c r="HQ64" s="47"/>
      <c r="HR64" s="47"/>
      <c r="HS64" s="396" t="e">
        <f t="shared" si="333"/>
        <v>#N/A</v>
      </c>
      <c r="HT64" s="397" t="e">
        <f t="shared" si="334"/>
        <v>#N/A</v>
      </c>
      <c r="HU64" s="400" t="e">
        <f t="shared" si="378"/>
        <v>#N/A</v>
      </c>
      <c r="HV64" s="398" t="e">
        <f t="shared" si="206"/>
        <v>#N/A</v>
      </c>
      <c r="HW64" s="400" t="e">
        <f t="shared" si="335"/>
        <v>#N/A</v>
      </c>
      <c r="HX64" s="398" t="e">
        <f t="shared" si="336"/>
        <v>#N/A</v>
      </c>
      <c r="HY64" s="401" t="e">
        <f t="shared" si="337"/>
        <v>#N/A</v>
      </c>
      <c r="HZ64" s="399" t="e">
        <f t="shared" si="208"/>
        <v>#N/A</v>
      </c>
      <c r="IA64" s="47"/>
      <c r="IB64" s="49"/>
      <c r="IC64" s="396" t="e">
        <f t="shared" si="338"/>
        <v>#N/A</v>
      </c>
      <c r="ID64" s="397" t="e">
        <f t="shared" si="339"/>
        <v>#N/A</v>
      </c>
      <c r="IE64" s="400" t="e">
        <f t="shared" si="379"/>
        <v>#N/A</v>
      </c>
      <c r="IF64" s="398" t="e">
        <f t="shared" si="209"/>
        <v>#N/A</v>
      </c>
      <c r="IG64" s="400" t="e">
        <f t="shared" si="340"/>
        <v>#N/A</v>
      </c>
      <c r="IH64" s="398" t="e">
        <f t="shared" si="341"/>
        <v>#N/A</v>
      </c>
      <c r="II64" s="401" t="e">
        <f t="shared" si="342"/>
        <v>#N/A</v>
      </c>
      <c r="IJ64" s="399" t="e">
        <f t="shared" si="211"/>
        <v>#N/A</v>
      </c>
      <c r="IK64" s="47"/>
      <c r="IL64" s="47"/>
      <c r="IM64" s="396" t="e">
        <f t="shared" si="343"/>
        <v>#N/A</v>
      </c>
      <c r="IN64" s="397" t="e">
        <f t="shared" si="344"/>
        <v>#N/A</v>
      </c>
      <c r="IO64" s="400" t="e">
        <f t="shared" si="380"/>
        <v>#N/A</v>
      </c>
      <c r="IP64" s="398" t="e">
        <f t="shared" si="212"/>
        <v>#N/A</v>
      </c>
      <c r="IQ64" s="400" t="e">
        <f t="shared" si="345"/>
        <v>#N/A</v>
      </c>
      <c r="IR64" s="398" t="e">
        <f t="shared" si="346"/>
        <v>#N/A</v>
      </c>
      <c r="IS64" s="401" t="e">
        <f t="shared" si="347"/>
        <v>#N/A</v>
      </c>
      <c r="IT64" s="399" t="e">
        <f t="shared" si="214"/>
        <v>#N/A</v>
      </c>
      <c r="IU64" s="47"/>
      <c r="IV64" s="47"/>
      <c r="IW64" s="396" t="e">
        <f t="shared" si="116"/>
        <v>#N/A</v>
      </c>
      <c r="IX64" s="397" t="e">
        <f t="shared" si="117"/>
        <v>#N/A</v>
      </c>
      <c r="IY64" s="400" t="e">
        <f t="shared" si="118"/>
        <v>#N/A</v>
      </c>
      <c r="IZ64" s="398" t="e">
        <f t="shared" si="348"/>
        <v>#N/A</v>
      </c>
      <c r="JA64" s="400" t="e">
        <f t="shared" si="119"/>
        <v>#N/A</v>
      </c>
      <c r="JB64" s="398" t="e">
        <f t="shared" si="120"/>
        <v>#N/A</v>
      </c>
      <c r="JC64" s="401" t="e">
        <f t="shared" si="216"/>
        <v>#N/A</v>
      </c>
      <c r="JD64" s="399" t="e">
        <f t="shared" si="217"/>
        <v>#N/A</v>
      </c>
      <c r="JE64" s="47"/>
      <c r="JF64" s="47"/>
      <c r="JG64" s="396" t="e">
        <f t="shared" si="121"/>
        <v>#N/A</v>
      </c>
      <c r="JH64" s="397" t="e">
        <f t="shared" si="122"/>
        <v>#N/A</v>
      </c>
      <c r="JI64" s="400" t="e">
        <f t="shared" si="123"/>
        <v>#N/A</v>
      </c>
      <c r="JJ64" s="398" t="e">
        <f t="shared" si="349"/>
        <v>#N/A</v>
      </c>
      <c r="JK64" s="400" t="e">
        <f t="shared" si="124"/>
        <v>#N/A</v>
      </c>
      <c r="JL64" s="398" t="e">
        <f t="shared" si="125"/>
        <v>#N/A</v>
      </c>
      <c r="JM64" s="401" t="e">
        <f t="shared" si="219"/>
        <v>#N/A</v>
      </c>
      <c r="JN64" s="399" t="e">
        <f t="shared" si="220"/>
        <v>#N/A</v>
      </c>
      <c r="JO64" s="47"/>
      <c r="JP64" s="47"/>
      <c r="JQ64" s="396" t="e">
        <f t="shared" si="126"/>
        <v>#N/A</v>
      </c>
      <c r="JR64" s="397" t="e">
        <f t="shared" si="127"/>
        <v>#N/A</v>
      </c>
      <c r="JS64" s="400" t="e">
        <f t="shared" si="128"/>
        <v>#N/A</v>
      </c>
      <c r="JT64" s="398" t="e">
        <f t="shared" si="350"/>
        <v>#N/A</v>
      </c>
      <c r="JU64" s="400" t="e">
        <f t="shared" si="129"/>
        <v>#N/A</v>
      </c>
      <c r="JV64" s="398" t="e">
        <f t="shared" si="130"/>
        <v>#N/A</v>
      </c>
      <c r="JW64" s="401" t="e">
        <f t="shared" si="222"/>
        <v>#N/A</v>
      </c>
      <c r="JX64" s="399" t="e">
        <f t="shared" si="223"/>
        <v>#N/A</v>
      </c>
      <c r="JY64" s="47"/>
      <c r="JZ64" s="47"/>
      <c r="KA64" s="396" t="e">
        <f t="shared" si="131"/>
        <v>#N/A</v>
      </c>
      <c r="KB64" s="397" t="e">
        <f t="shared" si="132"/>
        <v>#N/A</v>
      </c>
      <c r="KC64" s="400" t="e">
        <f t="shared" si="133"/>
        <v>#N/A</v>
      </c>
      <c r="KD64" s="398" t="e">
        <f t="shared" si="351"/>
        <v>#N/A</v>
      </c>
      <c r="KE64" s="400" t="e">
        <f t="shared" si="134"/>
        <v>#N/A</v>
      </c>
      <c r="KF64" s="398" t="e">
        <f t="shared" si="135"/>
        <v>#N/A</v>
      </c>
      <c r="KG64" s="401" t="e">
        <f t="shared" si="225"/>
        <v>#N/A</v>
      </c>
      <c r="KH64" s="399" t="e">
        <f t="shared" si="226"/>
        <v>#N/A</v>
      </c>
      <c r="KI64" s="47"/>
      <c r="KJ64" s="47"/>
      <c r="KK64" s="396" t="e">
        <f t="shared" si="136"/>
        <v>#N/A</v>
      </c>
      <c r="KL64" s="397" t="e">
        <f t="shared" si="137"/>
        <v>#N/A</v>
      </c>
      <c r="KM64" s="400" t="e">
        <f t="shared" si="138"/>
        <v>#N/A</v>
      </c>
      <c r="KN64" s="398" t="e">
        <f t="shared" si="352"/>
        <v>#N/A</v>
      </c>
      <c r="KO64" s="400" t="e">
        <f t="shared" si="139"/>
        <v>#N/A</v>
      </c>
      <c r="KP64" s="398" t="e">
        <f t="shared" si="140"/>
        <v>#N/A</v>
      </c>
      <c r="KQ64" s="401" t="e">
        <f t="shared" si="228"/>
        <v>#N/A</v>
      </c>
      <c r="KR64" s="399" t="e">
        <f t="shared" si="229"/>
        <v>#N/A</v>
      </c>
      <c r="KS64" s="47"/>
      <c r="KT64" s="47"/>
      <c r="KU64" s="396" t="e">
        <f t="shared" si="353"/>
        <v>#N/A</v>
      </c>
      <c r="KV64" s="397" t="e">
        <f t="shared" si="354"/>
        <v>#N/A</v>
      </c>
      <c r="KW64" s="400" t="e">
        <f t="shared" si="381"/>
        <v>#N/A</v>
      </c>
      <c r="KX64" s="398" t="e">
        <f t="shared" si="230"/>
        <v>#N/A</v>
      </c>
      <c r="KY64" s="400" t="e">
        <f t="shared" si="355"/>
        <v>#N/A</v>
      </c>
      <c r="KZ64" s="398" t="e">
        <f t="shared" si="356"/>
        <v>#N/A</v>
      </c>
      <c r="LA64" s="401" t="e">
        <f t="shared" si="357"/>
        <v>#N/A</v>
      </c>
      <c r="LB64" s="399" t="e">
        <f t="shared" si="232"/>
        <v>#N/A</v>
      </c>
      <c r="LC64" s="47"/>
    </row>
    <row r="65" spans="26:315" x14ac:dyDescent="0.25">
      <c r="Z65" s="413"/>
      <c r="AA65" s="396" t="e">
        <f t="shared" si="233"/>
        <v>#N/A</v>
      </c>
      <c r="AB65" s="397" t="e">
        <f t="shared" si="234"/>
        <v>#N/A</v>
      </c>
      <c r="AC65" s="400" t="e">
        <f t="shared" si="358"/>
        <v>#N/A</v>
      </c>
      <c r="AD65" s="398" t="e">
        <f t="shared" si="146"/>
        <v>#N/A</v>
      </c>
      <c r="AE65" s="400" t="e">
        <f t="shared" si="235"/>
        <v>#N/A</v>
      </c>
      <c r="AF65" s="398" t="e">
        <f t="shared" si="236"/>
        <v>#N/A</v>
      </c>
      <c r="AG65" s="401" t="e">
        <f t="shared" si="237"/>
        <v>#N/A</v>
      </c>
      <c r="AH65" s="399" t="e">
        <f t="shared" si="148"/>
        <v>#N/A</v>
      </c>
      <c r="AI65" s="47"/>
      <c r="AJ65" s="47"/>
      <c r="AK65" s="396" t="e">
        <f t="shared" si="238"/>
        <v>#N/A</v>
      </c>
      <c r="AL65" s="397" t="e">
        <f t="shared" si="239"/>
        <v>#N/A</v>
      </c>
      <c r="AM65" s="400" t="e">
        <f t="shared" si="359"/>
        <v>#N/A</v>
      </c>
      <c r="AN65" s="398" t="e">
        <f t="shared" si="149"/>
        <v>#N/A</v>
      </c>
      <c r="AO65" s="400" t="e">
        <f t="shared" si="240"/>
        <v>#N/A</v>
      </c>
      <c r="AP65" s="398" t="e">
        <f t="shared" si="241"/>
        <v>#N/A</v>
      </c>
      <c r="AQ65" s="401" t="e">
        <f t="shared" si="242"/>
        <v>#N/A</v>
      </c>
      <c r="AR65" s="399" t="e">
        <f t="shared" si="151"/>
        <v>#N/A</v>
      </c>
      <c r="AS65" s="47"/>
      <c r="AT65" s="47"/>
      <c r="AU65" s="396" t="e">
        <f t="shared" si="243"/>
        <v>#N/A</v>
      </c>
      <c r="AV65" s="397" t="e">
        <f t="shared" si="244"/>
        <v>#N/A</v>
      </c>
      <c r="AW65" s="400" t="e">
        <f t="shared" si="360"/>
        <v>#N/A</v>
      </c>
      <c r="AX65" s="398" t="e">
        <f t="shared" si="152"/>
        <v>#N/A</v>
      </c>
      <c r="AY65" s="400" t="e">
        <f t="shared" si="245"/>
        <v>#N/A</v>
      </c>
      <c r="AZ65" s="398" t="e">
        <f t="shared" si="246"/>
        <v>#N/A</v>
      </c>
      <c r="BA65" s="401" t="e">
        <f t="shared" si="247"/>
        <v>#N/A</v>
      </c>
      <c r="BB65" s="399" t="e">
        <f t="shared" si="154"/>
        <v>#N/A</v>
      </c>
      <c r="BC65" s="47"/>
      <c r="BD65" s="47"/>
      <c r="BE65" s="396" t="e">
        <f t="shared" si="248"/>
        <v>#N/A</v>
      </c>
      <c r="BF65" s="397" t="e">
        <f t="shared" si="249"/>
        <v>#N/A</v>
      </c>
      <c r="BG65" s="400" t="e">
        <f t="shared" si="361"/>
        <v>#N/A</v>
      </c>
      <c r="BH65" s="398" t="e">
        <f t="shared" si="155"/>
        <v>#N/A</v>
      </c>
      <c r="BI65" s="400" t="e">
        <f t="shared" si="250"/>
        <v>#N/A</v>
      </c>
      <c r="BJ65" s="398" t="e">
        <f t="shared" si="251"/>
        <v>#N/A</v>
      </c>
      <c r="BK65" s="401" t="e">
        <f t="shared" si="252"/>
        <v>#N/A</v>
      </c>
      <c r="BL65" s="399" t="e">
        <f t="shared" si="157"/>
        <v>#N/A</v>
      </c>
      <c r="BM65" s="47"/>
      <c r="BN65" s="49"/>
      <c r="BO65" s="396" t="e">
        <f t="shared" si="253"/>
        <v>#N/A</v>
      </c>
      <c r="BP65" s="397" t="e">
        <f t="shared" si="254"/>
        <v>#N/A</v>
      </c>
      <c r="BQ65" s="400" t="e">
        <f t="shared" si="362"/>
        <v>#N/A</v>
      </c>
      <c r="BR65" s="398" t="e">
        <f t="shared" si="158"/>
        <v>#N/A</v>
      </c>
      <c r="BS65" s="400" t="e">
        <f t="shared" si="255"/>
        <v>#N/A</v>
      </c>
      <c r="BT65" s="398" t="e">
        <f t="shared" si="256"/>
        <v>#N/A</v>
      </c>
      <c r="BU65" s="401" t="e">
        <f t="shared" si="257"/>
        <v>#N/A</v>
      </c>
      <c r="BV65" s="399" t="e">
        <f t="shared" si="160"/>
        <v>#N/A</v>
      </c>
      <c r="BW65" s="47"/>
      <c r="BX65" s="47"/>
      <c r="BY65" s="396" t="e">
        <f t="shared" si="258"/>
        <v>#N/A</v>
      </c>
      <c r="BZ65" s="397" t="e">
        <f t="shared" si="259"/>
        <v>#N/A</v>
      </c>
      <c r="CA65" s="400" t="e">
        <f t="shared" si="363"/>
        <v>#N/A</v>
      </c>
      <c r="CB65" s="398" t="e">
        <f t="shared" si="161"/>
        <v>#N/A</v>
      </c>
      <c r="CC65" s="400" t="e">
        <f t="shared" si="260"/>
        <v>#N/A</v>
      </c>
      <c r="CD65" s="398" t="e">
        <f t="shared" si="261"/>
        <v>#N/A</v>
      </c>
      <c r="CE65" s="401" t="e">
        <f t="shared" si="262"/>
        <v>#N/A</v>
      </c>
      <c r="CF65" s="399" t="e">
        <f t="shared" si="163"/>
        <v>#N/A</v>
      </c>
      <c r="CG65" s="49"/>
      <c r="CH65" s="47"/>
      <c r="CI65" s="396" t="e">
        <f t="shared" si="263"/>
        <v>#N/A</v>
      </c>
      <c r="CJ65" s="397" t="e">
        <f t="shared" si="264"/>
        <v>#N/A</v>
      </c>
      <c r="CK65" s="400" t="e">
        <f t="shared" si="364"/>
        <v>#N/A</v>
      </c>
      <c r="CL65" s="398" t="e">
        <f t="shared" si="164"/>
        <v>#N/A</v>
      </c>
      <c r="CM65" s="400" t="e">
        <f t="shared" si="265"/>
        <v>#N/A</v>
      </c>
      <c r="CN65" s="398" t="e">
        <f t="shared" si="266"/>
        <v>#N/A</v>
      </c>
      <c r="CO65" s="401" t="e">
        <f t="shared" si="267"/>
        <v>#N/A</v>
      </c>
      <c r="CP65" s="399" t="e">
        <f t="shared" si="166"/>
        <v>#N/A</v>
      </c>
      <c r="CQ65" s="47"/>
      <c r="CS65" s="396" t="e">
        <f t="shared" si="268"/>
        <v>#N/A</v>
      </c>
      <c r="CT65" s="397" t="e">
        <f t="shared" si="269"/>
        <v>#N/A</v>
      </c>
      <c r="CU65" s="400" t="e">
        <f t="shared" si="365"/>
        <v>#N/A</v>
      </c>
      <c r="CV65" s="398" t="e">
        <f t="shared" si="167"/>
        <v>#N/A</v>
      </c>
      <c r="CW65" s="400" t="e">
        <f t="shared" si="270"/>
        <v>#N/A</v>
      </c>
      <c r="CX65" s="398" t="e">
        <f t="shared" si="271"/>
        <v>#N/A</v>
      </c>
      <c r="CY65" s="401" t="e">
        <f t="shared" si="272"/>
        <v>#N/A</v>
      </c>
      <c r="CZ65" s="399" t="e">
        <f t="shared" si="169"/>
        <v>#N/A</v>
      </c>
      <c r="DA65" s="47"/>
      <c r="DB65" s="47"/>
      <c r="DC65" s="396" t="e">
        <f t="shared" si="273"/>
        <v>#N/A</v>
      </c>
      <c r="DD65" s="397" t="e">
        <f t="shared" si="274"/>
        <v>#N/A</v>
      </c>
      <c r="DE65" s="400" t="e">
        <f t="shared" si="366"/>
        <v>#N/A</v>
      </c>
      <c r="DF65" s="398" t="e">
        <f t="shared" si="170"/>
        <v>#N/A</v>
      </c>
      <c r="DG65" s="400" t="e">
        <f t="shared" si="275"/>
        <v>#N/A</v>
      </c>
      <c r="DH65" s="398" t="e">
        <f t="shared" si="276"/>
        <v>#N/A</v>
      </c>
      <c r="DI65" s="401" t="e">
        <f t="shared" si="277"/>
        <v>#N/A</v>
      </c>
      <c r="DJ65" s="399" t="e">
        <f t="shared" si="172"/>
        <v>#N/A</v>
      </c>
      <c r="DK65" s="47"/>
      <c r="DM65" s="396" t="e">
        <f t="shared" si="278"/>
        <v>#N/A</v>
      </c>
      <c r="DN65" s="397" t="e">
        <f t="shared" si="279"/>
        <v>#N/A</v>
      </c>
      <c r="DO65" s="400" t="e">
        <f t="shared" si="367"/>
        <v>#N/A</v>
      </c>
      <c r="DP65" s="398" t="e">
        <f t="shared" si="173"/>
        <v>#N/A</v>
      </c>
      <c r="DQ65" s="400" t="e">
        <f t="shared" si="280"/>
        <v>#N/A</v>
      </c>
      <c r="DR65" s="398" t="e">
        <f t="shared" si="281"/>
        <v>#N/A</v>
      </c>
      <c r="DS65" s="401" t="e">
        <f t="shared" si="282"/>
        <v>#N/A</v>
      </c>
      <c r="DT65" s="399" t="e">
        <f t="shared" si="175"/>
        <v>#N/A</v>
      </c>
      <c r="DU65" s="47"/>
      <c r="DV65" s="49"/>
      <c r="DW65" s="396" t="e">
        <f t="shared" si="283"/>
        <v>#N/A</v>
      </c>
      <c r="DX65" s="397" t="e">
        <f t="shared" si="284"/>
        <v>#N/A</v>
      </c>
      <c r="DY65" s="400" t="e">
        <f t="shared" si="368"/>
        <v>#N/A</v>
      </c>
      <c r="DZ65" s="398" t="e">
        <f t="shared" si="176"/>
        <v>#N/A</v>
      </c>
      <c r="EA65" s="400" t="e">
        <f t="shared" si="285"/>
        <v>#N/A</v>
      </c>
      <c r="EB65" s="398" t="e">
        <f t="shared" si="286"/>
        <v>#N/A</v>
      </c>
      <c r="EC65" s="401" t="e">
        <f t="shared" si="287"/>
        <v>#N/A</v>
      </c>
      <c r="ED65" s="399" t="e">
        <f t="shared" si="178"/>
        <v>#N/A</v>
      </c>
      <c r="EE65" s="47"/>
      <c r="EF65" s="47"/>
      <c r="EG65" s="396" t="e">
        <f t="shared" si="288"/>
        <v>#N/A</v>
      </c>
      <c r="EH65" s="397" t="e">
        <f t="shared" si="289"/>
        <v>#N/A</v>
      </c>
      <c r="EI65" s="400" t="e">
        <f t="shared" si="369"/>
        <v>#N/A</v>
      </c>
      <c r="EJ65" s="398" t="e">
        <f t="shared" si="179"/>
        <v>#N/A</v>
      </c>
      <c r="EK65" s="400" t="e">
        <f t="shared" si="290"/>
        <v>#N/A</v>
      </c>
      <c r="EL65" s="398" t="e">
        <f t="shared" si="291"/>
        <v>#N/A</v>
      </c>
      <c r="EM65" s="401" t="e">
        <f t="shared" si="292"/>
        <v>#N/A</v>
      </c>
      <c r="EN65" s="399" t="e">
        <f t="shared" si="181"/>
        <v>#N/A</v>
      </c>
      <c r="EO65" s="47"/>
      <c r="EP65" s="47"/>
      <c r="EQ65" s="396" t="e">
        <f t="shared" si="293"/>
        <v>#N/A</v>
      </c>
      <c r="ER65" s="397" t="e">
        <f t="shared" si="294"/>
        <v>#N/A</v>
      </c>
      <c r="ES65" s="400" t="e">
        <f t="shared" si="370"/>
        <v>#N/A</v>
      </c>
      <c r="ET65" s="398" t="e">
        <f t="shared" si="182"/>
        <v>#N/A</v>
      </c>
      <c r="EU65" s="400" t="e">
        <f t="shared" si="295"/>
        <v>#N/A</v>
      </c>
      <c r="EV65" s="398" t="e">
        <f t="shared" si="296"/>
        <v>#N/A</v>
      </c>
      <c r="EW65" s="401" t="e">
        <f t="shared" si="297"/>
        <v>#N/A</v>
      </c>
      <c r="EX65" s="399" t="e">
        <f t="shared" si="184"/>
        <v>#N/A</v>
      </c>
      <c r="EY65" s="47"/>
      <c r="EZ65" s="47"/>
      <c r="FA65" s="396" t="e">
        <f t="shared" si="298"/>
        <v>#N/A</v>
      </c>
      <c r="FB65" s="397" t="e">
        <f t="shared" si="299"/>
        <v>#N/A</v>
      </c>
      <c r="FC65" s="400" t="e">
        <f t="shared" si="371"/>
        <v>#N/A</v>
      </c>
      <c r="FD65" s="398" t="e">
        <f t="shared" si="185"/>
        <v>#N/A</v>
      </c>
      <c r="FE65" s="400" t="e">
        <f t="shared" si="300"/>
        <v>#N/A</v>
      </c>
      <c r="FF65" s="398" t="e">
        <f t="shared" si="301"/>
        <v>#N/A</v>
      </c>
      <c r="FG65" s="401" t="e">
        <f t="shared" si="302"/>
        <v>#N/A</v>
      </c>
      <c r="FH65" s="399" t="e">
        <f t="shared" si="187"/>
        <v>#N/A</v>
      </c>
      <c r="FI65" s="47"/>
      <c r="FJ65" s="49"/>
      <c r="FK65" s="396" t="e">
        <f t="shared" si="303"/>
        <v>#N/A</v>
      </c>
      <c r="FL65" s="397" t="e">
        <f t="shared" si="304"/>
        <v>#N/A</v>
      </c>
      <c r="FM65" s="400" t="e">
        <f t="shared" si="372"/>
        <v>#N/A</v>
      </c>
      <c r="FN65" s="398" t="e">
        <f t="shared" si="188"/>
        <v>#N/A</v>
      </c>
      <c r="FO65" s="400" t="e">
        <f t="shared" si="305"/>
        <v>#N/A</v>
      </c>
      <c r="FP65" s="398" t="e">
        <f t="shared" si="306"/>
        <v>#N/A</v>
      </c>
      <c r="FQ65" s="401" t="e">
        <f t="shared" si="307"/>
        <v>#N/A</v>
      </c>
      <c r="FR65" s="399" t="e">
        <f t="shared" si="190"/>
        <v>#N/A</v>
      </c>
      <c r="FS65" s="47"/>
      <c r="FT65" s="47"/>
      <c r="FU65" s="396" t="e">
        <f t="shared" si="308"/>
        <v>#N/A</v>
      </c>
      <c r="FV65" s="397" t="e">
        <f t="shared" si="309"/>
        <v>#N/A</v>
      </c>
      <c r="FW65" s="400" t="e">
        <f t="shared" si="373"/>
        <v>#N/A</v>
      </c>
      <c r="FX65" s="398" t="e">
        <f t="shared" si="191"/>
        <v>#N/A</v>
      </c>
      <c r="FY65" s="400" t="e">
        <f t="shared" si="310"/>
        <v>#N/A</v>
      </c>
      <c r="FZ65" s="398" t="e">
        <f t="shared" si="311"/>
        <v>#N/A</v>
      </c>
      <c r="GA65" s="401" t="e">
        <f t="shared" si="312"/>
        <v>#N/A</v>
      </c>
      <c r="GB65" s="399" t="e">
        <f t="shared" si="193"/>
        <v>#N/A</v>
      </c>
      <c r="GC65" s="47"/>
      <c r="GD65" s="47"/>
      <c r="GE65" s="396" t="e">
        <f t="shared" si="313"/>
        <v>#N/A</v>
      </c>
      <c r="GF65" s="397" t="e">
        <f t="shared" si="314"/>
        <v>#N/A</v>
      </c>
      <c r="GG65" s="400" t="e">
        <f t="shared" si="374"/>
        <v>#N/A</v>
      </c>
      <c r="GH65" s="398" t="e">
        <f t="shared" si="194"/>
        <v>#N/A</v>
      </c>
      <c r="GI65" s="400" t="e">
        <f t="shared" si="315"/>
        <v>#N/A</v>
      </c>
      <c r="GJ65" s="398" t="e">
        <f t="shared" si="316"/>
        <v>#N/A</v>
      </c>
      <c r="GK65" s="401" t="e">
        <f t="shared" si="317"/>
        <v>#N/A</v>
      </c>
      <c r="GL65" s="399" t="e">
        <f t="shared" si="196"/>
        <v>#N/A</v>
      </c>
      <c r="GM65" s="47"/>
      <c r="GN65" s="47"/>
      <c r="GO65" s="396" t="e">
        <f t="shared" si="318"/>
        <v>#N/A</v>
      </c>
      <c r="GP65" s="397" t="e">
        <f t="shared" si="319"/>
        <v>#N/A</v>
      </c>
      <c r="GQ65" s="400" t="e">
        <f t="shared" si="375"/>
        <v>#N/A</v>
      </c>
      <c r="GR65" s="398" t="e">
        <f t="shared" si="197"/>
        <v>#N/A</v>
      </c>
      <c r="GS65" s="400" t="e">
        <f t="shared" si="320"/>
        <v>#N/A</v>
      </c>
      <c r="GT65" s="398" t="e">
        <f t="shared" si="321"/>
        <v>#N/A</v>
      </c>
      <c r="GU65" s="401" t="e">
        <f t="shared" si="322"/>
        <v>#N/A</v>
      </c>
      <c r="GV65" s="399" t="e">
        <f t="shared" si="199"/>
        <v>#N/A</v>
      </c>
      <c r="GW65" s="47"/>
      <c r="GX65" s="47"/>
      <c r="GY65" s="396" t="e">
        <f t="shared" si="323"/>
        <v>#N/A</v>
      </c>
      <c r="GZ65" s="397" t="e">
        <f t="shared" si="324"/>
        <v>#N/A</v>
      </c>
      <c r="HA65" s="400" t="e">
        <f t="shared" si="376"/>
        <v>#N/A</v>
      </c>
      <c r="HB65" s="398" t="e">
        <f t="shared" si="200"/>
        <v>#N/A</v>
      </c>
      <c r="HC65" s="400" t="e">
        <f t="shared" si="325"/>
        <v>#N/A</v>
      </c>
      <c r="HD65" s="398" t="e">
        <f t="shared" si="326"/>
        <v>#N/A</v>
      </c>
      <c r="HE65" s="401" t="e">
        <f t="shared" si="327"/>
        <v>#N/A</v>
      </c>
      <c r="HF65" s="399" t="e">
        <f t="shared" si="202"/>
        <v>#N/A</v>
      </c>
      <c r="HH65" s="47"/>
      <c r="HI65" s="396" t="e">
        <f t="shared" si="328"/>
        <v>#N/A</v>
      </c>
      <c r="HJ65" s="397" t="e">
        <f t="shared" si="329"/>
        <v>#N/A</v>
      </c>
      <c r="HK65" s="400" t="e">
        <f t="shared" si="377"/>
        <v>#N/A</v>
      </c>
      <c r="HL65" s="398" t="e">
        <f t="shared" si="203"/>
        <v>#N/A</v>
      </c>
      <c r="HM65" s="400" t="e">
        <f t="shared" si="330"/>
        <v>#N/A</v>
      </c>
      <c r="HN65" s="398" t="e">
        <f t="shared" si="331"/>
        <v>#N/A</v>
      </c>
      <c r="HO65" s="401" t="e">
        <f t="shared" si="332"/>
        <v>#N/A</v>
      </c>
      <c r="HP65" s="399" t="e">
        <f t="shared" si="205"/>
        <v>#N/A</v>
      </c>
      <c r="HQ65" s="47"/>
      <c r="HR65" s="47"/>
      <c r="HS65" s="396" t="e">
        <f t="shared" si="333"/>
        <v>#N/A</v>
      </c>
      <c r="HT65" s="397" t="e">
        <f t="shared" si="334"/>
        <v>#N/A</v>
      </c>
      <c r="HU65" s="400" t="e">
        <f t="shared" si="378"/>
        <v>#N/A</v>
      </c>
      <c r="HV65" s="398" t="e">
        <f t="shared" si="206"/>
        <v>#N/A</v>
      </c>
      <c r="HW65" s="400" t="e">
        <f t="shared" si="335"/>
        <v>#N/A</v>
      </c>
      <c r="HX65" s="398" t="e">
        <f t="shared" si="336"/>
        <v>#N/A</v>
      </c>
      <c r="HY65" s="401" t="e">
        <f t="shared" si="337"/>
        <v>#N/A</v>
      </c>
      <c r="HZ65" s="399" t="e">
        <f t="shared" si="208"/>
        <v>#N/A</v>
      </c>
      <c r="IA65" s="47"/>
      <c r="IB65" s="49"/>
      <c r="IC65" s="396" t="e">
        <f t="shared" si="338"/>
        <v>#N/A</v>
      </c>
      <c r="ID65" s="397" t="e">
        <f t="shared" si="339"/>
        <v>#N/A</v>
      </c>
      <c r="IE65" s="400" t="e">
        <f t="shared" si="379"/>
        <v>#N/A</v>
      </c>
      <c r="IF65" s="398" t="e">
        <f t="shared" si="209"/>
        <v>#N/A</v>
      </c>
      <c r="IG65" s="400" t="e">
        <f t="shared" si="340"/>
        <v>#N/A</v>
      </c>
      <c r="IH65" s="398" t="e">
        <f t="shared" si="341"/>
        <v>#N/A</v>
      </c>
      <c r="II65" s="401" t="e">
        <f t="shared" si="342"/>
        <v>#N/A</v>
      </c>
      <c r="IJ65" s="399" t="e">
        <f t="shared" si="211"/>
        <v>#N/A</v>
      </c>
      <c r="IK65" s="47"/>
      <c r="IL65" s="47"/>
      <c r="IM65" s="396" t="e">
        <f t="shared" si="343"/>
        <v>#N/A</v>
      </c>
      <c r="IN65" s="397" t="e">
        <f t="shared" si="344"/>
        <v>#N/A</v>
      </c>
      <c r="IO65" s="400" t="e">
        <f t="shared" si="380"/>
        <v>#N/A</v>
      </c>
      <c r="IP65" s="398" t="e">
        <f t="shared" si="212"/>
        <v>#N/A</v>
      </c>
      <c r="IQ65" s="400" t="e">
        <f t="shared" si="345"/>
        <v>#N/A</v>
      </c>
      <c r="IR65" s="398" t="e">
        <f t="shared" si="346"/>
        <v>#N/A</v>
      </c>
      <c r="IS65" s="401" t="e">
        <f t="shared" si="347"/>
        <v>#N/A</v>
      </c>
      <c r="IT65" s="399" t="e">
        <f t="shared" si="214"/>
        <v>#N/A</v>
      </c>
      <c r="IU65" s="47"/>
      <c r="IV65" s="47"/>
      <c r="IW65" s="396" t="e">
        <f t="shared" si="116"/>
        <v>#N/A</v>
      </c>
      <c r="IX65" s="397" t="e">
        <f t="shared" si="117"/>
        <v>#N/A</v>
      </c>
      <c r="IY65" s="400" t="e">
        <f t="shared" si="118"/>
        <v>#N/A</v>
      </c>
      <c r="IZ65" s="398" t="e">
        <f t="shared" si="348"/>
        <v>#N/A</v>
      </c>
      <c r="JA65" s="400" t="e">
        <f t="shared" si="119"/>
        <v>#N/A</v>
      </c>
      <c r="JB65" s="398" t="e">
        <f t="shared" si="120"/>
        <v>#N/A</v>
      </c>
      <c r="JC65" s="401" t="e">
        <f t="shared" si="216"/>
        <v>#N/A</v>
      </c>
      <c r="JD65" s="399" t="e">
        <f t="shared" si="217"/>
        <v>#N/A</v>
      </c>
      <c r="JE65" s="47"/>
      <c r="JF65" s="47"/>
      <c r="JG65" s="396" t="e">
        <f t="shared" si="121"/>
        <v>#N/A</v>
      </c>
      <c r="JH65" s="397" t="e">
        <f t="shared" si="122"/>
        <v>#N/A</v>
      </c>
      <c r="JI65" s="400" t="e">
        <f t="shared" si="123"/>
        <v>#N/A</v>
      </c>
      <c r="JJ65" s="398" t="e">
        <f t="shared" si="349"/>
        <v>#N/A</v>
      </c>
      <c r="JK65" s="400" t="e">
        <f t="shared" si="124"/>
        <v>#N/A</v>
      </c>
      <c r="JL65" s="398" t="e">
        <f t="shared" si="125"/>
        <v>#N/A</v>
      </c>
      <c r="JM65" s="401" t="e">
        <f t="shared" si="219"/>
        <v>#N/A</v>
      </c>
      <c r="JN65" s="399" t="e">
        <f t="shared" si="220"/>
        <v>#N/A</v>
      </c>
      <c r="JO65" s="47"/>
      <c r="JP65" s="47"/>
      <c r="JQ65" s="396" t="e">
        <f t="shared" si="126"/>
        <v>#N/A</v>
      </c>
      <c r="JR65" s="397" t="e">
        <f t="shared" si="127"/>
        <v>#N/A</v>
      </c>
      <c r="JS65" s="400" t="e">
        <f t="shared" si="128"/>
        <v>#N/A</v>
      </c>
      <c r="JT65" s="398" t="e">
        <f t="shared" si="350"/>
        <v>#N/A</v>
      </c>
      <c r="JU65" s="400" t="e">
        <f t="shared" si="129"/>
        <v>#N/A</v>
      </c>
      <c r="JV65" s="398" t="e">
        <f t="shared" si="130"/>
        <v>#N/A</v>
      </c>
      <c r="JW65" s="401" t="e">
        <f t="shared" si="222"/>
        <v>#N/A</v>
      </c>
      <c r="JX65" s="399" t="e">
        <f t="shared" si="223"/>
        <v>#N/A</v>
      </c>
      <c r="JY65" s="47"/>
      <c r="JZ65" s="47"/>
      <c r="KA65" s="396" t="e">
        <f t="shared" si="131"/>
        <v>#N/A</v>
      </c>
      <c r="KB65" s="397" t="e">
        <f t="shared" si="132"/>
        <v>#N/A</v>
      </c>
      <c r="KC65" s="400" t="e">
        <f t="shared" si="133"/>
        <v>#N/A</v>
      </c>
      <c r="KD65" s="398" t="e">
        <f t="shared" si="351"/>
        <v>#N/A</v>
      </c>
      <c r="KE65" s="400" t="e">
        <f t="shared" si="134"/>
        <v>#N/A</v>
      </c>
      <c r="KF65" s="398" t="e">
        <f t="shared" si="135"/>
        <v>#N/A</v>
      </c>
      <c r="KG65" s="401" t="e">
        <f t="shared" si="225"/>
        <v>#N/A</v>
      </c>
      <c r="KH65" s="399" t="e">
        <f t="shared" si="226"/>
        <v>#N/A</v>
      </c>
      <c r="KI65" s="47"/>
      <c r="KJ65" s="47"/>
      <c r="KK65" s="396" t="e">
        <f t="shared" si="136"/>
        <v>#N/A</v>
      </c>
      <c r="KL65" s="397" t="e">
        <f t="shared" si="137"/>
        <v>#N/A</v>
      </c>
      <c r="KM65" s="400" t="e">
        <f t="shared" si="138"/>
        <v>#N/A</v>
      </c>
      <c r="KN65" s="398" t="e">
        <f t="shared" si="352"/>
        <v>#N/A</v>
      </c>
      <c r="KO65" s="400" t="e">
        <f t="shared" si="139"/>
        <v>#N/A</v>
      </c>
      <c r="KP65" s="398" t="e">
        <f t="shared" si="140"/>
        <v>#N/A</v>
      </c>
      <c r="KQ65" s="401" t="e">
        <f t="shared" si="228"/>
        <v>#N/A</v>
      </c>
      <c r="KR65" s="399" t="e">
        <f t="shared" si="229"/>
        <v>#N/A</v>
      </c>
      <c r="KS65" s="47"/>
      <c r="KT65" s="47"/>
      <c r="KU65" s="396" t="e">
        <f t="shared" si="353"/>
        <v>#N/A</v>
      </c>
      <c r="KV65" s="397" t="e">
        <f t="shared" si="354"/>
        <v>#N/A</v>
      </c>
      <c r="KW65" s="400" t="e">
        <f t="shared" si="381"/>
        <v>#N/A</v>
      </c>
      <c r="KX65" s="398" t="e">
        <f t="shared" si="230"/>
        <v>#N/A</v>
      </c>
      <c r="KY65" s="400" t="e">
        <f t="shared" si="355"/>
        <v>#N/A</v>
      </c>
      <c r="KZ65" s="398" t="e">
        <f t="shared" si="356"/>
        <v>#N/A</v>
      </c>
      <c r="LA65" s="401" t="e">
        <f t="shared" si="357"/>
        <v>#N/A</v>
      </c>
      <c r="LB65" s="399" t="e">
        <f t="shared" si="232"/>
        <v>#N/A</v>
      </c>
      <c r="LC65" s="47"/>
    </row>
    <row r="66" spans="26:315" x14ac:dyDescent="0.25">
      <c r="Z66" s="413"/>
      <c r="AA66" s="396" t="e">
        <f t="shared" si="233"/>
        <v>#N/A</v>
      </c>
      <c r="AB66" s="397" t="e">
        <f t="shared" si="234"/>
        <v>#N/A</v>
      </c>
      <c r="AC66" s="400" t="e">
        <f t="shared" si="358"/>
        <v>#N/A</v>
      </c>
      <c r="AD66" s="398" t="e">
        <f t="shared" si="146"/>
        <v>#N/A</v>
      </c>
      <c r="AE66" s="400" t="e">
        <f t="shared" si="235"/>
        <v>#N/A</v>
      </c>
      <c r="AF66" s="398" t="e">
        <f t="shared" si="236"/>
        <v>#N/A</v>
      </c>
      <c r="AG66" s="401" t="e">
        <f t="shared" si="237"/>
        <v>#N/A</v>
      </c>
      <c r="AH66" s="399" t="e">
        <f t="shared" si="148"/>
        <v>#N/A</v>
      </c>
      <c r="AI66" s="47"/>
      <c r="AJ66" s="47"/>
      <c r="AK66" s="396" t="e">
        <f t="shared" si="238"/>
        <v>#N/A</v>
      </c>
      <c r="AL66" s="397" t="e">
        <f t="shared" si="239"/>
        <v>#N/A</v>
      </c>
      <c r="AM66" s="400" t="e">
        <f t="shared" si="359"/>
        <v>#N/A</v>
      </c>
      <c r="AN66" s="398" t="e">
        <f t="shared" si="149"/>
        <v>#N/A</v>
      </c>
      <c r="AO66" s="400" t="e">
        <f t="shared" si="240"/>
        <v>#N/A</v>
      </c>
      <c r="AP66" s="398" t="e">
        <f t="shared" si="241"/>
        <v>#N/A</v>
      </c>
      <c r="AQ66" s="401" t="e">
        <f t="shared" si="242"/>
        <v>#N/A</v>
      </c>
      <c r="AR66" s="399" t="e">
        <f t="shared" si="151"/>
        <v>#N/A</v>
      </c>
      <c r="AS66" s="47"/>
      <c r="AT66" s="47"/>
      <c r="AU66" s="396" t="e">
        <f t="shared" si="243"/>
        <v>#N/A</v>
      </c>
      <c r="AV66" s="397" t="e">
        <f t="shared" si="244"/>
        <v>#N/A</v>
      </c>
      <c r="AW66" s="400" t="e">
        <f t="shared" si="360"/>
        <v>#N/A</v>
      </c>
      <c r="AX66" s="398" t="e">
        <f t="shared" si="152"/>
        <v>#N/A</v>
      </c>
      <c r="AY66" s="400" t="e">
        <f t="shared" si="245"/>
        <v>#N/A</v>
      </c>
      <c r="AZ66" s="398" t="e">
        <f t="shared" si="246"/>
        <v>#N/A</v>
      </c>
      <c r="BA66" s="401" t="e">
        <f t="shared" si="247"/>
        <v>#N/A</v>
      </c>
      <c r="BB66" s="399" t="e">
        <f t="shared" si="154"/>
        <v>#N/A</v>
      </c>
      <c r="BC66" s="47"/>
      <c r="BD66" s="47"/>
      <c r="BE66" s="396" t="e">
        <f t="shared" si="248"/>
        <v>#N/A</v>
      </c>
      <c r="BF66" s="397" t="e">
        <f t="shared" si="249"/>
        <v>#N/A</v>
      </c>
      <c r="BG66" s="400" t="e">
        <f t="shared" si="361"/>
        <v>#N/A</v>
      </c>
      <c r="BH66" s="398" t="e">
        <f t="shared" si="155"/>
        <v>#N/A</v>
      </c>
      <c r="BI66" s="400" t="e">
        <f t="shared" si="250"/>
        <v>#N/A</v>
      </c>
      <c r="BJ66" s="398" t="e">
        <f t="shared" si="251"/>
        <v>#N/A</v>
      </c>
      <c r="BK66" s="401" t="e">
        <f t="shared" si="252"/>
        <v>#N/A</v>
      </c>
      <c r="BL66" s="399" t="e">
        <f t="shared" si="157"/>
        <v>#N/A</v>
      </c>
      <c r="BM66" s="47"/>
      <c r="BN66" s="49"/>
      <c r="BO66" s="396" t="e">
        <f t="shared" si="253"/>
        <v>#N/A</v>
      </c>
      <c r="BP66" s="397" t="e">
        <f t="shared" si="254"/>
        <v>#N/A</v>
      </c>
      <c r="BQ66" s="400" t="e">
        <f t="shared" si="362"/>
        <v>#N/A</v>
      </c>
      <c r="BR66" s="398" t="e">
        <f t="shared" si="158"/>
        <v>#N/A</v>
      </c>
      <c r="BS66" s="400" t="e">
        <f t="shared" si="255"/>
        <v>#N/A</v>
      </c>
      <c r="BT66" s="398" t="e">
        <f t="shared" si="256"/>
        <v>#N/A</v>
      </c>
      <c r="BU66" s="401" t="e">
        <f t="shared" si="257"/>
        <v>#N/A</v>
      </c>
      <c r="BV66" s="399" t="e">
        <f t="shared" si="160"/>
        <v>#N/A</v>
      </c>
      <c r="BW66" s="47"/>
      <c r="BX66" s="47"/>
      <c r="BY66" s="396" t="e">
        <f t="shared" si="258"/>
        <v>#N/A</v>
      </c>
      <c r="BZ66" s="397" t="e">
        <f t="shared" si="259"/>
        <v>#N/A</v>
      </c>
      <c r="CA66" s="400" t="e">
        <f t="shared" si="363"/>
        <v>#N/A</v>
      </c>
      <c r="CB66" s="398" t="e">
        <f t="shared" si="161"/>
        <v>#N/A</v>
      </c>
      <c r="CC66" s="400" t="e">
        <f t="shared" si="260"/>
        <v>#N/A</v>
      </c>
      <c r="CD66" s="398" t="e">
        <f t="shared" si="261"/>
        <v>#N/A</v>
      </c>
      <c r="CE66" s="401" t="e">
        <f t="shared" si="262"/>
        <v>#N/A</v>
      </c>
      <c r="CF66" s="399" t="e">
        <f t="shared" si="163"/>
        <v>#N/A</v>
      </c>
      <c r="CG66" s="49"/>
      <c r="CH66" s="47"/>
      <c r="CI66" s="396" t="e">
        <f t="shared" si="263"/>
        <v>#N/A</v>
      </c>
      <c r="CJ66" s="397" t="e">
        <f t="shared" si="264"/>
        <v>#N/A</v>
      </c>
      <c r="CK66" s="400" t="e">
        <f t="shared" si="364"/>
        <v>#N/A</v>
      </c>
      <c r="CL66" s="398" t="e">
        <f t="shared" si="164"/>
        <v>#N/A</v>
      </c>
      <c r="CM66" s="400" t="e">
        <f t="shared" si="265"/>
        <v>#N/A</v>
      </c>
      <c r="CN66" s="398" t="e">
        <f t="shared" si="266"/>
        <v>#N/A</v>
      </c>
      <c r="CO66" s="401" t="e">
        <f t="shared" si="267"/>
        <v>#N/A</v>
      </c>
      <c r="CP66" s="399" t="e">
        <f t="shared" si="166"/>
        <v>#N/A</v>
      </c>
      <c r="CQ66" s="47"/>
      <c r="CS66" s="396" t="e">
        <f t="shared" si="268"/>
        <v>#N/A</v>
      </c>
      <c r="CT66" s="397" t="e">
        <f t="shared" si="269"/>
        <v>#N/A</v>
      </c>
      <c r="CU66" s="400" t="e">
        <f t="shared" si="365"/>
        <v>#N/A</v>
      </c>
      <c r="CV66" s="398" t="e">
        <f t="shared" si="167"/>
        <v>#N/A</v>
      </c>
      <c r="CW66" s="400" t="e">
        <f t="shared" si="270"/>
        <v>#N/A</v>
      </c>
      <c r="CX66" s="398" t="e">
        <f t="shared" si="271"/>
        <v>#N/A</v>
      </c>
      <c r="CY66" s="401" t="e">
        <f t="shared" si="272"/>
        <v>#N/A</v>
      </c>
      <c r="CZ66" s="399" t="e">
        <f t="shared" si="169"/>
        <v>#N/A</v>
      </c>
      <c r="DA66" s="47"/>
      <c r="DB66" s="47"/>
      <c r="DC66" s="396" t="e">
        <f t="shared" si="273"/>
        <v>#N/A</v>
      </c>
      <c r="DD66" s="397" t="e">
        <f t="shared" si="274"/>
        <v>#N/A</v>
      </c>
      <c r="DE66" s="400" t="e">
        <f t="shared" si="366"/>
        <v>#N/A</v>
      </c>
      <c r="DF66" s="398" t="e">
        <f t="shared" si="170"/>
        <v>#N/A</v>
      </c>
      <c r="DG66" s="400" t="e">
        <f t="shared" si="275"/>
        <v>#N/A</v>
      </c>
      <c r="DH66" s="398" t="e">
        <f t="shared" si="276"/>
        <v>#N/A</v>
      </c>
      <c r="DI66" s="401" t="e">
        <f t="shared" si="277"/>
        <v>#N/A</v>
      </c>
      <c r="DJ66" s="399" t="e">
        <f t="shared" si="172"/>
        <v>#N/A</v>
      </c>
      <c r="DK66" s="47"/>
      <c r="DM66" s="396" t="e">
        <f t="shared" si="278"/>
        <v>#N/A</v>
      </c>
      <c r="DN66" s="397" t="e">
        <f t="shared" si="279"/>
        <v>#N/A</v>
      </c>
      <c r="DO66" s="400" t="e">
        <f t="shared" si="367"/>
        <v>#N/A</v>
      </c>
      <c r="DP66" s="398" t="e">
        <f t="shared" si="173"/>
        <v>#N/A</v>
      </c>
      <c r="DQ66" s="400" t="e">
        <f t="shared" si="280"/>
        <v>#N/A</v>
      </c>
      <c r="DR66" s="398" t="e">
        <f t="shared" si="281"/>
        <v>#N/A</v>
      </c>
      <c r="DS66" s="401" t="e">
        <f t="shared" si="282"/>
        <v>#N/A</v>
      </c>
      <c r="DT66" s="399" t="e">
        <f t="shared" si="175"/>
        <v>#N/A</v>
      </c>
      <c r="DU66" s="47"/>
      <c r="DV66" s="49"/>
      <c r="DW66" s="396" t="e">
        <f t="shared" si="283"/>
        <v>#N/A</v>
      </c>
      <c r="DX66" s="397" t="e">
        <f t="shared" si="284"/>
        <v>#N/A</v>
      </c>
      <c r="DY66" s="400" t="e">
        <f t="shared" si="368"/>
        <v>#N/A</v>
      </c>
      <c r="DZ66" s="398" t="e">
        <f t="shared" si="176"/>
        <v>#N/A</v>
      </c>
      <c r="EA66" s="400" t="e">
        <f t="shared" si="285"/>
        <v>#N/A</v>
      </c>
      <c r="EB66" s="398" t="e">
        <f t="shared" si="286"/>
        <v>#N/A</v>
      </c>
      <c r="EC66" s="401" t="e">
        <f t="shared" si="287"/>
        <v>#N/A</v>
      </c>
      <c r="ED66" s="399" t="e">
        <f t="shared" si="178"/>
        <v>#N/A</v>
      </c>
      <c r="EE66" s="47"/>
      <c r="EF66" s="47"/>
      <c r="EG66" s="396" t="e">
        <f t="shared" si="288"/>
        <v>#N/A</v>
      </c>
      <c r="EH66" s="397" t="e">
        <f t="shared" si="289"/>
        <v>#N/A</v>
      </c>
      <c r="EI66" s="400" t="e">
        <f t="shared" si="369"/>
        <v>#N/A</v>
      </c>
      <c r="EJ66" s="398" t="e">
        <f t="shared" si="179"/>
        <v>#N/A</v>
      </c>
      <c r="EK66" s="400" t="e">
        <f t="shared" si="290"/>
        <v>#N/A</v>
      </c>
      <c r="EL66" s="398" t="e">
        <f t="shared" si="291"/>
        <v>#N/A</v>
      </c>
      <c r="EM66" s="401" t="e">
        <f t="shared" si="292"/>
        <v>#N/A</v>
      </c>
      <c r="EN66" s="399" t="e">
        <f t="shared" si="181"/>
        <v>#N/A</v>
      </c>
      <c r="EO66" s="47"/>
      <c r="EP66" s="47"/>
      <c r="EQ66" s="396" t="e">
        <f t="shared" si="293"/>
        <v>#N/A</v>
      </c>
      <c r="ER66" s="397" t="e">
        <f t="shared" si="294"/>
        <v>#N/A</v>
      </c>
      <c r="ES66" s="400" t="e">
        <f t="shared" si="370"/>
        <v>#N/A</v>
      </c>
      <c r="ET66" s="398" t="e">
        <f t="shared" si="182"/>
        <v>#N/A</v>
      </c>
      <c r="EU66" s="400" t="e">
        <f t="shared" si="295"/>
        <v>#N/A</v>
      </c>
      <c r="EV66" s="398" t="e">
        <f t="shared" si="296"/>
        <v>#N/A</v>
      </c>
      <c r="EW66" s="401" t="e">
        <f t="shared" si="297"/>
        <v>#N/A</v>
      </c>
      <c r="EX66" s="399" t="e">
        <f t="shared" si="184"/>
        <v>#N/A</v>
      </c>
      <c r="EY66" s="47"/>
      <c r="EZ66" s="47"/>
      <c r="FA66" s="396" t="e">
        <f t="shared" si="298"/>
        <v>#N/A</v>
      </c>
      <c r="FB66" s="397" t="e">
        <f t="shared" si="299"/>
        <v>#N/A</v>
      </c>
      <c r="FC66" s="400" t="e">
        <f t="shared" si="371"/>
        <v>#N/A</v>
      </c>
      <c r="FD66" s="398" t="e">
        <f t="shared" si="185"/>
        <v>#N/A</v>
      </c>
      <c r="FE66" s="400" t="e">
        <f t="shared" si="300"/>
        <v>#N/A</v>
      </c>
      <c r="FF66" s="398" t="e">
        <f t="shared" si="301"/>
        <v>#N/A</v>
      </c>
      <c r="FG66" s="401" t="e">
        <f t="shared" si="302"/>
        <v>#N/A</v>
      </c>
      <c r="FH66" s="399" t="e">
        <f t="shared" si="187"/>
        <v>#N/A</v>
      </c>
      <c r="FI66" s="47"/>
      <c r="FJ66" s="49"/>
      <c r="FK66" s="396" t="e">
        <f t="shared" si="303"/>
        <v>#N/A</v>
      </c>
      <c r="FL66" s="397" t="e">
        <f t="shared" si="304"/>
        <v>#N/A</v>
      </c>
      <c r="FM66" s="400" t="e">
        <f t="shared" si="372"/>
        <v>#N/A</v>
      </c>
      <c r="FN66" s="398" t="e">
        <f t="shared" si="188"/>
        <v>#N/A</v>
      </c>
      <c r="FO66" s="400" t="e">
        <f t="shared" si="305"/>
        <v>#N/A</v>
      </c>
      <c r="FP66" s="398" t="e">
        <f t="shared" si="306"/>
        <v>#N/A</v>
      </c>
      <c r="FQ66" s="401" t="e">
        <f t="shared" si="307"/>
        <v>#N/A</v>
      </c>
      <c r="FR66" s="399" t="e">
        <f t="shared" si="190"/>
        <v>#N/A</v>
      </c>
      <c r="FS66" s="47"/>
      <c r="FT66" s="47"/>
      <c r="FU66" s="396" t="e">
        <f t="shared" si="308"/>
        <v>#N/A</v>
      </c>
      <c r="FV66" s="397" t="e">
        <f t="shared" si="309"/>
        <v>#N/A</v>
      </c>
      <c r="FW66" s="400" t="e">
        <f t="shared" si="373"/>
        <v>#N/A</v>
      </c>
      <c r="FX66" s="398" t="e">
        <f t="shared" si="191"/>
        <v>#N/A</v>
      </c>
      <c r="FY66" s="400" t="e">
        <f t="shared" si="310"/>
        <v>#N/A</v>
      </c>
      <c r="FZ66" s="398" t="e">
        <f t="shared" si="311"/>
        <v>#N/A</v>
      </c>
      <c r="GA66" s="401" t="e">
        <f t="shared" si="312"/>
        <v>#N/A</v>
      </c>
      <c r="GB66" s="399" t="e">
        <f t="shared" si="193"/>
        <v>#N/A</v>
      </c>
      <c r="GC66" s="47"/>
      <c r="GD66" s="47"/>
      <c r="GE66" s="396" t="e">
        <f t="shared" si="313"/>
        <v>#N/A</v>
      </c>
      <c r="GF66" s="397" t="e">
        <f t="shared" si="314"/>
        <v>#N/A</v>
      </c>
      <c r="GG66" s="400" t="e">
        <f t="shared" si="374"/>
        <v>#N/A</v>
      </c>
      <c r="GH66" s="398" t="e">
        <f t="shared" si="194"/>
        <v>#N/A</v>
      </c>
      <c r="GI66" s="400" t="e">
        <f t="shared" si="315"/>
        <v>#N/A</v>
      </c>
      <c r="GJ66" s="398" t="e">
        <f t="shared" si="316"/>
        <v>#N/A</v>
      </c>
      <c r="GK66" s="401" t="e">
        <f t="shared" si="317"/>
        <v>#N/A</v>
      </c>
      <c r="GL66" s="399" t="e">
        <f t="shared" si="196"/>
        <v>#N/A</v>
      </c>
      <c r="GM66" s="47"/>
      <c r="GN66" s="47"/>
      <c r="GO66" s="396" t="e">
        <f t="shared" si="318"/>
        <v>#N/A</v>
      </c>
      <c r="GP66" s="397" t="e">
        <f t="shared" si="319"/>
        <v>#N/A</v>
      </c>
      <c r="GQ66" s="400" t="e">
        <f t="shared" si="375"/>
        <v>#N/A</v>
      </c>
      <c r="GR66" s="398" t="e">
        <f t="shared" si="197"/>
        <v>#N/A</v>
      </c>
      <c r="GS66" s="400" t="e">
        <f t="shared" si="320"/>
        <v>#N/A</v>
      </c>
      <c r="GT66" s="398" t="e">
        <f t="shared" si="321"/>
        <v>#N/A</v>
      </c>
      <c r="GU66" s="401" t="e">
        <f t="shared" si="322"/>
        <v>#N/A</v>
      </c>
      <c r="GV66" s="399" t="e">
        <f t="shared" si="199"/>
        <v>#N/A</v>
      </c>
      <c r="GW66" s="47"/>
      <c r="GX66" s="47"/>
      <c r="GY66" s="396" t="e">
        <f t="shared" si="323"/>
        <v>#N/A</v>
      </c>
      <c r="GZ66" s="397" t="e">
        <f t="shared" si="324"/>
        <v>#N/A</v>
      </c>
      <c r="HA66" s="400" t="e">
        <f t="shared" si="376"/>
        <v>#N/A</v>
      </c>
      <c r="HB66" s="398" t="e">
        <f t="shared" si="200"/>
        <v>#N/A</v>
      </c>
      <c r="HC66" s="400" t="e">
        <f t="shared" si="325"/>
        <v>#N/A</v>
      </c>
      <c r="HD66" s="398" t="e">
        <f t="shared" si="326"/>
        <v>#N/A</v>
      </c>
      <c r="HE66" s="401" t="e">
        <f t="shared" si="327"/>
        <v>#N/A</v>
      </c>
      <c r="HF66" s="399" t="e">
        <f t="shared" si="202"/>
        <v>#N/A</v>
      </c>
      <c r="HH66" s="47"/>
      <c r="HI66" s="396" t="e">
        <f t="shared" si="328"/>
        <v>#N/A</v>
      </c>
      <c r="HJ66" s="397" t="e">
        <f t="shared" si="329"/>
        <v>#N/A</v>
      </c>
      <c r="HK66" s="400" t="e">
        <f t="shared" si="377"/>
        <v>#N/A</v>
      </c>
      <c r="HL66" s="398" t="e">
        <f t="shared" si="203"/>
        <v>#N/A</v>
      </c>
      <c r="HM66" s="400" t="e">
        <f t="shared" si="330"/>
        <v>#N/A</v>
      </c>
      <c r="HN66" s="398" t="e">
        <f t="shared" si="331"/>
        <v>#N/A</v>
      </c>
      <c r="HO66" s="401" t="e">
        <f t="shared" si="332"/>
        <v>#N/A</v>
      </c>
      <c r="HP66" s="399" t="e">
        <f t="shared" si="205"/>
        <v>#N/A</v>
      </c>
      <c r="HQ66" s="47"/>
      <c r="HR66" s="47"/>
      <c r="HS66" s="396" t="e">
        <f t="shared" si="333"/>
        <v>#N/A</v>
      </c>
      <c r="HT66" s="397" t="e">
        <f t="shared" si="334"/>
        <v>#N/A</v>
      </c>
      <c r="HU66" s="400" t="e">
        <f t="shared" si="378"/>
        <v>#N/A</v>
      </c>
      <c r="HV66" s="398" t="e">
        <f t="shared" si="206"/>
        <v>#N/A</v>
      </c>
      <c r="HW66" s="400" t="e">
        <f t="shared" si="335"/>
        <v>#N/A</v>
      </c>
      <c r="HX66" s="398" t="e">
        <f t="shared" si="336"/>
        <v>#N/A</v>
      </c>
      <c r="HY66" s="401" t="e">
        <f t="shared" si="337"/>
        <v>#N/A</v>
      </c>
      <c r="HZ66" s="399" t="e">
        <f t="shared" si="208"/>
        <v>#N/A</v>
      </c>
      <c r="IA66" s="47"/>
      <c r="IB66" s="49"/>
      <c r="IC66" s="396" t="e">
        <f t="shared" si="338"/>
        <v>#N/A</v>
      </c>
      <c r="ID66" s="397" t="e">
        <f t="shared" si="339"/>
        <v>#N/A</v>
      </c>
      <c r="IE66" s="400" t="e">
        <f t="shared" si="379"/>
        <v>#N/A</v>
      </c>
      <c r="IF66" s="398" t="e">
        <f t="shared" si="209"/>
        <v>#N/A</v>
      </c>
      <c r="IG66" s="400" t="e">
        <f t="shared" si="340"/>
        <v>#N/A</v>
      </c>
      <c r="IH66" s="398" t="e">
        <f t="shared" si="341"/>
        <v>#N/A</v>
      </c>
      <c r="II66" s="401" t="e">
        <f t="shared" si="342"/>
        <v>#N/A</v>
      </c>
      <c r="IJ66" s="399" t="e">
        <f t="shared" si="211"/>
        <v>#N/A</v>
      </c>
      <c r="IK66" s="47"/>
      <c r="IL66" s="47"/>
      <c r="IM66" s="396" t="e">
        <f t="shared" si="343"/>
        <v>#N/A</v>
      </c>
      <c r="IN66" s="397" t="e">
        <f t="shared" si="344"/>
        <v>#N/A</v>
      </c>
      <c r="IO66" s="400" t="e">
        <f t="shared" si="380"/>
        <v>#N/A</v>
      </c>
      <c r="IP66" s="398" t="e">
        <f t="shared" si="212"/>
        <v>#N/A</v>
      </c>
      <c r="IQ66" s="400" t="e">
        <f t="shared" si="345"/>
        <v>#N/A</v>
      </c>
      <c r="IR66" s="398" t="e">
        <f t="shared" si="346"/>
        <v>#N/A</v>
      </c>
      <c r="IS66" s="401" t="e">
        <f t="shared" si="347"/>
        <v>#N/A</v>
      </c>
      <c r="IT66" s="399" t="e">
        <f t="shared" si="214"/>
        <v>#N/A</v>
      </c>
      <c r="IU66" s="47"/>
      <c r="IV66" s="47"/>
      <c r="IW66" s="396" t="e">
        <f t="shared" si="116"/>
        <v>#N/A</v>
      </c>
      <c r="IX66" s="397" t="e">
        <f t="shared" si="117"/>
        <v>#N/A</v>
      </c>
      <c r="IY66" s="400" t="e">
        <f t="shared" si="118"/>
        <v>#N/A</v>
      </c>
      <c r="IZ66" s="398" t="e">
        <f t="shared" si="348"/>
        <v>#N/A</v>
      </c>
      <c r="JA66" s="400" t="e">
        <f t="shared" si="119"/>
        <v>#N/A</v>
      </c>
      <c r="JB66" s="398" t="e">
        <f t="shared" si="120"/>
        <v>#N/A</v>
      </c>
      <c r="JC66" s="401" t="e">
        <f t="shared" si="216"/>
        <v>#N/A</v>
      </c>
      <c r="JD66" s="399" t="e">
        <f t="shared" si="217"/>
        <v>#N/A</v>
      </c>
      <c r="JE66" s="47"/>
      <c r="JF66" s="47"/>
      <c r="JG66" s="396" t="e">
        <f t="shared" si="121"/>
        <v>#N/A</v>
      </c>
      <c r="JH66" s="397" t="e">
        <f t="shared" si="122"/>
        <v>#N/A</v>
      </c>
      <c r="JI66" s="400" t="e">
        <f t="shared" si="123"/>
        <v>#N/A</v>
      </c>
      <c r="JJ66" s="398" t="e">
        <f t="shared" si="349"/>
        <v>#N/A</v>
      </c>
      <c r="JK66" s="400" t="e">
        <f t="shared" si="124"/>
        <v>#N/A</v>
      </c>
      <c r="JL66" s="398" t="e">
        <f t="shared" si="125"/>
        <v>#N/A</v>
      </c>
      <c r="JM66" s="401" t="e">
        <f t="shared" si="219"/>
        <v>#N/A</v>
      </c>
      <c r="JN66" s="399" t="e">
        <f t="shared" si="220"/>
        <v>#N/A</v>
      </c>
      <c r="JO66" s="47"/>
      <c r="JP66" s="47"/>
      <c r="JQ66" s="396" t="e">
        <f t="shared" si="126"/>
        <v>#N/A</v>
      </c>
      <c r="JR66" s="397" t="e">
        <f t="shared" si="127"/>
        <v>#N/A</v>
      </c>
      <c r="JS66" s="400" t="e">
        <f t="shared" si="128"/>
        <v>#N/A</v>
      </c>
      <c r="JT66" s="398" t="e">
        <f t="shared" si="350"/>
        <v>#N/A</v>
      </c>
      <c r="JU66" s="400" t="e">
        <f t="shared" si="129"/>
        <v>#N/A</v>
      </c>
      <c r="JV66" s="398" t="e">
        <f t="shared" si="130"/>
        <v>#N/A</v>
      </c>
      <c r="JW66" s="401" t="e">
        <f t="shared" si="222"/>
        <v>#N/A</v>
      </c>
      <c r="JX66" s="399" t="e">
        <f t="shared" si="223"/>
        <v>#N/A</v>
      </c>
      <c r="JY66" s="47"/>
      <c r="JZ66" s="47"/>
      <c r="KA66" s="396" t="e">
        <f t="shared" si="131"/>
        <v>#N/A</v>
      </c>
      <c r="KB66" s="397" t="e">
        <f t="shared" si="132"/>
        <v>#N/A</v>
      </c>
      <c r="KC66" s="400" t="e">
        <f t="shared" si="133"/>
        <v>#N/A</v>
      </c>
      <c r="KD66" s="398" t="e">
        <f t="shared" si="351"/>
        <v>#N/A</v>
      </c>
      <c r="KE66" s="400" t="e">
        <f t="shared" si="134"/>
        <v>#N/A</v>
      </c>
      <c r="KF66" s="398" t="e">
        <f t="shared" si="135"/>
        <v>#N/A</v>
      </c>
      <c r="KG66" s="401" t="e">
        <f t="shared" si="225"/>
        <v>#N/A</v>
      </c>
      <c r="KH66" s="399" t="e">
        <f t="shared" si="226"/>
        <v>#N/A</v>
      </c>
      <c r="KI66" s="47"/>
      <c r="KJ66" s="47"/>
      <c r="KK66" s="396" t="e">
        <f t="shared" si="136"/>
        <v>#N/A</v>
      </c>
      <c r="KL66" s="397" t="e">
        <f t="shared" si="137"/>
        <v>#N/A</v>
      </c>
      <c r="KM66" s="400" t="e">
        <f t="shared" si="138"/>
        <v>#N/A</v>
      </c>
      <c r="KN66" s="398" t="e">
        <f t="shared" si="352"/>
        <v>#N/A</v>
      </c>
      <c r="KO66" s="400" t="e">
        <f t="shared" si="139"/>
        <v>#N/A</v>
      </c>
      <c r="KP66" s="398" t="e">
        <f t="shared" si="140"/>
        <v>#N/A</v>
      </c>
      <c r="KQ66" s="401" t="e">
        <f t="shared" si="228"/>
        <v>#N/A</v>
      </c>
      <c r="KR66" s="399" t="e">
        <f t="shared" si="229"/>
        <v>#N/A</v>
      </c>
      <c r="KS66" s="47"/>
      <c r="KT66" s="47"/>
      <c r="KU66" s="396" t="e">
        <f t="shared" si="353"/>
        <v>#N/A</v>
      </c>
      <c r="KV66" s="397" t="e">
        <f t="shared" si="354"/>
        <v>#N/A</v>
      </c>
      <c r="KW66" s="400" t="e">
        <f t="shared" si="381"/>
        <v>#N/A</v>
      </c>
      <c r="KX66" s="398" t="e">
        <f t="shared" si="230"/>
        <v>#N/A</v>
      </c>
      <c r="KY66" s="400" t="e">
        <f t="shared" si="355"/>
        <v>#N/A</v>
      </c>
      <c r="KZ66" s="398" t="e">
        <f t="shared" si="356"/>
        <v>#N/A</v>
      </c>
      <c r="LA66" s="401" t="e">
        <f t="shared" si="357"/>
        <v>#N/A</v>
      </c>
      <c r="LB66" s="399" t="e">
        <f t="shared" si="232"/>
        <v>#N/A</v>
      </c>
      <c r="LC66" s="47"/>
    </row>
    <row r="67" spans="26:315" x14ac:dyDescent="0.25">
      <c r="Z67" s="413"/>
      <c r="AA67" s="396" t="e">
        <f t="shared" si="233"/>
        <v>#N/A</v>
      </c>
      <c r="AB67" s="397" t="e">
        <f t="shared" si="234"/>
        <v>#N/A</v>
      </c>
      <c r="AC67" s="400" t="e">
        <f t="shared" si="358"/>
        <v>#N/A</v>
      </c>
      <c r="AD67" s="398" t="e">
        <f t="shared" si="146"/>
        <v>#N/A</v>
      </c>
      <c r="AE67" s="400" t="e">
        <f t="shared" si="235"/>
        <v>#N/A</v>
      </c>
      <c r="AF67" s="398" t="e">
        <f t="shared" si="236"/>
        <v>#N/A</v>
      </c>
      <c r="AG67" s="401" t="e">
        <f t="shared" si="237"/>
        <v>#N/A</v>
      </c>
      <c r="AH67" s="399" t="e">
        <f t="shared" si="148"/>
        <v>#N/A</v>
      </c>
      <c r="AI67" s="47"/>
      <c r="AJ67" s="47"/>
      <c r="AK67" s="396" t="e">
        <f t="shared" si="238"/>
        <v>#N/A</v>
      </c>
      <c r="AL67" s="397" t="e">
        <f t="shared" si="239"/>
        <v>#N/A</v>
      </c>
      <c r="AM67" s="400" t="e">
        <f t="shared" si="359"/>
        <v>#N/A</v>
      </c>
      <c r="AN67" s="398" t="e">
        <f t="shared" si="149"/>
        <v>#N/A</v>
      </c>
      <c r="AO67" s="400" t="e">
        <f t="shared" si="240"/>
        <v>#N/A</v>
      </c>
      <c r="AP67" s="398" t="e">
        <f t="shared" si="241"/>
        <v>#N/A</v>
      </c>
      <c r="AQ67" s="401" t="e">
        <f t="shared" si="242"/>
        <v>#N/A</v>
      </c>
      <c r="AR67" s="399" t="e">
        <f t="shared" si="151"/>
        <v>#N/A</v>
      </c>
      <c r="AS67" s="47"/>
      <c r="AT67" s="47"/>
      <c r="AU67" s="396" t="e">
        <f t="shared" si="243"/>
        <v>#N/A</v>
      </c>
      <c r="AV67" s="397" t="e">
        <f t="shared" si="244"/>
        <v>#N/A</v>
      </c>
      <c r="AW67" s="400" t="e">
        <f t="shared" si="360"/>
        <v>#N/A</v>
      </c>
      <c r="AX67" s="398" t="e">
        <f t="shared" si="152"/>
        <v>#N/A</v>
      </c>
      <c r="AY67" s="400" t="e">
        <f t="shared" si="245"/>
        <v>#N/A</v>
      </c>
      <c r="AZ67" s="398" t="e">
        <f t="shared" si="246"/>
        <v>#N/A</v>
      </c>
      <c r="BA67" s="401" t="e">
        <f t="shared" si="247"/>
        <v>#N/A</v>
      </c>
      <c r="BB67" s="399" t="e">
        <f t="shared" si="154"/>
        <v>#N/A</v>
      </c>
      <c r="BC67" s="47"/>
      <c r="BD67" s="47"/>
      <c r="BE67" s="396" t="e">
        <f t="shared" si="248"/>
        <v>#N/A</v>
      </c>
      <c r="BF67" s="397" t="e">
        <f t="shared" si="249"/>
        <v>#N/A</v>
      </c>
      <c r="BG67" s="400" t="e">
        <f t="shared" si="361"/>
        <v>#N/A</v>
      </c>
      <c r="BH67" s="398" t="e">
        <f t="shared" si="155"/>
        <v>#N/A</v>
      </c>
      <c r="BI67" s="400" t="e">
        <f t="shared" si="250"/>
        <v>#N/A</v>
      </c>
      <c r="BJ67" s="398" t="e">
        <f t="shared" si="251"/>
        <v>#N/A</v>
      </c>
      <c r="BK67" s="401" t="e">
        <f t="shared" si="252"/>
        <v>#N/A</v>
      </c>
      <c r="BL67" s="399" t="e">
        <f t="shared" si="157"/>
        <v>#N/A</v>
      </c>
      <c r="BM67" s="47"/>
      <c r="BN67" s="49"/>
      <c r="BO67" s="396" t="e">
        <f t="shared" si="253"/>
        <v>#N/A</v>
      </c>
      <c r="BP67" s="397" t="e">
        <f t="shared" si="254"/>
        <v>#N/A</v>
      </c>
      <c r="BQ67" s="400" t="e">
        <f t="shared" si="362"/>
        <v>#N/A</v>
      </c>
      <c r="BR67" s="398" t="e">
        <f t="shared" si="158"/>
        <v>#N/A</v>
      </c>
      <c r="BS67" s="400" t="e">
        <f t="shared" si="255"/>
        <v>#N/A</v>
      </c>
      <c r="BT67" s="398" t="e">
        <f t="shared" si="256"/>
        <v>#N/A</v>
      </c>
      <c r="BU67" s="401" t="e">
        <f t="shared" si="257"/>
        <v>#N/A</v>
      </c>
      <c r="BV67" s="399" t="e">
        <f t="shared" si="160"/>
        <v>#N/A</v>
      </c>
      <c r="BW67" s="47"/>
      <c r="BX67" s="47"/>
      <c r="BY67" s="396" t="e">
        <f t="shared" si="258"/>
        <v>#N/A</v>
      </c>
      <c r="BZ67" s="397" t="e">
        <f t="shared" si="259"/>
        <v>#N/A</v>
      </c>
      <c r="CA67" s="400" t="e">
        <f t="shared" si="363"/>
        <v>#N/A</v>
      </c>
      <c r="CB67" s="398" t="e">
        <f t="shared" si="161"/>
        <v>#N/A</v>
      </c>
      <c r="CC67" s="400" t="e">
        <f t="shared" si="260"/>
        <v>#N/A</v>
      </c>
      <c r="CD67" s="398" t="e">
        <f t="shared" si="261"/>
        <v>#N/A</v>
      </c>
      <c r="CE67" s="401" t="e">
        <f t="shared" si="262"/>
        <v>#N/A</v>
      </c>
      <c r="CF67" s="399" t="e">
        <f t="shared" si="163"/>
        <v>#N/A</v>
      </c>
      <c r="CG67" s="49"/>
      <c r="CH67" s="47"/>
      <c r="CI67" s="396" t="e">
        <f t="shared" si="263"/>
        <v>#N/A</v>
      </c>
      <c r="CJ67" s="397" t="e">
        <f t="shared" si="264"/>
        <v>#N/A</v>
      </c>
      <c r="CK67" s="400" t="e">
        <f t="shared" si="364"/>
        <v>#N/A</v>
      </c>
      <c r="CL67" s="398" t="e">
        <f t="shared" si="164"/>
        <v>#N/A</v>
      </c>
      <c r="CM67" s="400" t="e">
        <f t="shared" si="265"/>
        <v>#N/A</v>
      </c>
      <c r="CN67" s="398" t="e">
        <f t="shared" si="266"/>
        <v>#N/A</v>
      </c>
      <c r="CO67" s="401" t="e">
        <f t="shared" si="267"/>
        <v>#N/A</v>
      </c>
      <c r="CP67" s="399" t="e">
        <f t="shared" si="166"/>
        <v>#N/A</v>
      </c>
      <c r="CQ67" s="47"/>
      <c r="CS67" s="396" t="e">
        <f t="shared" si="268"/>
        <v>#N/A</v>
      </c>
      <c r="CT67" s="397" t="e">
        <f t="shared" si="269"/>
        <v>#N/A</v>
      </c>
      <c r="CU67" s="400" t="e">
        <f t="shared" si="365"/>
        <v>#N/A</v>
      </c>
      <c r="CV67" s="398" t="e">
        <f t="shared" si="167"/>
        <v>#N/A</v>
      </c>
      <c r="CW67" s="400" t="e">
        <f t="shared" si="270"/>
        <v>#N/A</v>
      </c>
      <c r="CX67" s="398" t="e">
        <f t="shared" si="271"/>
        <v>#N/A</v>
      </c>
      <c r="CY67" s="401" t="e">
        <f t="shared" si="272"/>
        <v>#N/A</v>
      </c>
      <c r="CZ67" s="399" t="e">
        <f t="shared" si="169"/>
        <v>#N/A</v>
      </c>
      <c r="DA67" s="47"/>
      <c r="DB67" s="47"/>
      <c r="DC67" s="396" t="e">
        <f t="shared" si="273"/>
        <v>#N/A</v>
      </c>
      <c r="DD67" s="397" t="e">
        <f t="shared" si="274"/>
        <v>#N/A</v>
      </c>
      <c r="DE67" s="400" t="e">
        <f t="shared" si="366"/>
        <v>#N/A</v>
      </c>
      <c r="DF67" s="398" t="e">
        <f t="shared" si="170"/>
        <v>#N/A</v>
      </c>
      <c r="DG67" s="400" t="e">
        <f t="shared" si="275"/>
        <v>#N/A</v>
      </c>
      <c r="DH67" s="398" t="e">
        <f t="shared" si="276"/>
        <v>#N/A</v>
      </c>
      <c r="DI67" s="401" t="e">
        <f t="shared" si="277"/>
        <v>#N/A</v>
      </c>
      <c r="DJ67" s="399" t="e">
        <f t="shared" si="172"/>
        <v>#N/A</v>
      </c>
      <c r="DK67" s="47"/>
      <c r="DM67" s="396" t="e">
        <f t="shared" si="278"/>
        <v>#N/A</v>
      </c>
      <c r="DN67" s="397" t="e">
        <f t="shared" si="279"/>
        <v>#N/A</v>
      </c>
      <c r="DO67" s="400" t="e">
        <f t="shared" si="367"/>
        <v>#N/A</v>
      </c>
      <c r="DP67" s="398" t="e">
        <f t="shared" si="173"/>
        <v>#N/A</v>
      </c>
      <c r="DQ67" s="400" t="e">
        <f t="shared" si="280"/>
        <v>#N/A</v>
      </c>
      <c r="DR67" s="398" t="e">
        <f t="shared" si="281"/>
        <v>#N/A</v>
      </c>
      <c r="DS67" s="401" t="e">
        <f t="shared" si="282"/>
        <v>#N/A</v>
      </c>
      <c r="DT67" s="399" t="e">
        <f t="shared" si="175"/>
        <v>#N/A</v>
      </c>
      <c r="DU67" s="47"/>
      <c r="DV67" s="49"/>
      <c r="DW67" s="396" t="e">
        <f t="shared" si="283"/>
        <v>#N/A</v>
      </c>
      <c r="DX67" s="397" t="e">
        <f t="shared" si="284"/>
        <v>#N/A</v>
      </c>
      <c r="DY67" s="400" t="e">
        <f t="shared" si="368"/>
        <v>#N/A</v>
      </c>
      <c r="DZ67" s="398" t="e">
        <f t="shared" si="176"/>
        <v>#N/A</v>
      </c>
      <c r="EA67" s="400" t="e">
        <f t="shared" si="285"/>
        <v>#N/A</v>
      </c>
      <c r="EB67" s="398" t="e">
        <f t="shared" si="286"/>
        <v>#N/A</v>
      </c>
      <c r="EC67" s="401" t="e">
        <f t="shared" si="287"/>
        <v>#N/A</v>
      </c>
      <c r="ED67" s="399" t="e">
        <f t="shared" si="178"/>
        <v>#N/A</v>
      </c>
      <c r="EE67" s="47"/>
      <c r="EF67" s="47"/>
      <c r="EG67" s="396" t="e">
        <f t="shared" si="288"/>
        <v>#N/A</v>
      </c>
      <c r="EH67" s="397" t="e">
        <f t="shared" si="289"/>
        <v>#N/A</v>
      </c>
      <c r="EI67" s="400" t="e">
        <f t="shared" si="369"/>
        <v>#N/A</v>
      </c>
      <c r="EJ67" s="398" t="e">
        <f t="shared" si="179"/>
        <v>#N/A</v>
      </c>
      <c r="EK67" s="400" t="e">
        <f t="shared" si="290"/>
        <v>#N/A</v>
      </c>
      <c r="EL67" s="398" t="e">
        <f t="shared" si="291"/>
        <v>#N/A</v>
      </c>
      <c r="EM67" s="401" t="e">
        <f t="shared" si="292"/>
        <v>#N/A</v>
      </c>
      <c r="EN67" s="399" t="e">
        <f t="shared" si="181"/>
        <v>#N/A</v>
      </c>
      <c r="EO67" s="47"/>
      <c r="EP67" s="47"/>
      <c r="EQ67" s="396" t="e">
        <f t="shared" si="293"/>
        <v>#N/A</v>
      </c>
      <c r="ER67" s="397" t="e">
        <f t="shared" si="294"/>
        <v>#N/A</v>
      </c>
      <c r="ES67" s="400" t="e">
        <f t="shared" si="370"/>
        <v>#N/A</v>
      </c>
      <c r="ET67" s="398" t="e">
        <f t="shared" si="182"/>
        <v>#N/A</v>
      </c>
      <c r="EU67" s="400" t="e">
        <f t="shared" si="295"/>
        <v>#N/A</v>
      </c>
      <c r="EV67" s="398" t="e">
        <f t="shared" si="296"/>
        <v>#N/A</v>
      </c>
      <c r="EW67" s="401" t="e">
        <f t="shared" si="297"/>
        <v>#N/A</v>
      </c>
      <c r="EX67" s="399" t="e">
        <f t="shared" si="184"/>
        <v>#N/A</v>
      </c>
      <c r="EY67" s="47"/>
      <c r="EZ67" s="47"/>
      <c r="FA67" s="396" t="e">
        <f t="shared" si="298"/>
        <v>#N/A</v>
      </c>
      <c r="FB67" s="397" t="e">
        <f t="shared" si="299"/>
        <v>#N/A</v>
      </c>
      <c r="FC67" s="400" t="e">
        <f t="shared" si="371"/>
        <v>#N/A</v>
      </c>
      <c r="FD67" s="398" t="e">
        <f t="shared" si="185"/>
        <v>#N/A</v>
      </c>
      <c r="FE67" s="400" t="e">
        <f t="shared" si="300"/>
        <v>#N/A</v>
      </c>
      <c r="FF67" s="398" t="e">
        <f t="shared" si="301"/>
        <v>#N/A</v>
      </c>
      <c r="FG67" s="401" t="e">
        <f t="shared" si="302"/>
        <v>#N/A</v>
      </c>
      <c r="FH67" s="399" t="e">
        <f t="shared" si="187"/>
        <v>#N/A</v>
      </c>
      <c r="FI67" s="47"/>
      <c r="FJ67" s="49"/>
      <c r="FK67" s="396" t="e">
        <f t="shared" si="303"/>
        <v>#N/A</v>
      </c>
      <c r="FL67" s="397" t="e">
        <f t="shared" si="304"/>
        <v>#N/A</v>
      </c>
      <c r="FM67" s="400" t="e">
        <f t="shared" si="372"/>
        <v>#N/A</v>
      </c>
      <c r="FN67" s="398" t="e">
        <f t="shared" si="188"/>
        <v>#N/A</v>
      </c>
      <c r="FO67" s="400" t="e">
        <f t="shared" si="305"/>
        <v>#N/A</v>
      </c>
      <c r="FP67" s="398" t="e">
        <f t="shared" si="306"/>
        <v>#N/A</v>
      </c>
      <c r="FQ67" s="401" t="e">
        <f t="shared" si="307"/>
        <v>#N/A</v>
      </c>
      <c r="FR67" s="399" t="e">
        <f t="shared" si="190"/>
        <v>#N/A</v>
      </c>
      <c r="FS67" s="47"/>
      <c r="FT67" s="47"/>
      <c r="FU67" s="396" t="e">
        <f t="shared" si="308"/>
        <v>#N/A</v>
      </c>
      <c r="FV67" s="397" t="e">
        <f t="shared" si="309"/>
        <v>#N/A</v>
      </c>
      <c r="FW67" s="400" t="e">
        <f t="shared" si="373"/>
        <v>#N/A</v>
      </c>
      <c r="FX67" s="398" t="e">
        <f t="shared" si="191"/>
        <v>#N/A</v>
      </c>
      <c r="FY67" s="400" t="e">
        <f t="shared" si="310"/>
        <v>#N/A</v>
      </c>
      <c r="FZ67" s="398" t="e">
        <f t="shared" si="311"/>
        <v>#N/A</v>
      </c>
      <c r="GA67" s="401" t="e">
        <f t="shared" si="312"/>
        <v>#N/A</v>
      </c>
      <c r="GB67" s="399" t="e">
        <f t="shared" si="193"/>
        <v>#N/A</v>
      </c>
      <c r="GC67" s="47"/>
      <c r="GD67" s="47"/>
      <c r="GE67" s="396" t="e">
        <f t="shared" si="313"/>
        <v>#N/A</v>
      </c>
      <c r="GF67" s="397" t="e">
        <f t="shared" si="314"/>
        <v>#N/A</v>
      </c>
      <c r="GG67" s="400" t="e">
        <f t="shared" si="374"/>
        <v>#N/A</v>
      </c>
      <c r="GH67" s="398" t="e">
        <f t="shared" si="194"/>
        <v>#N/A</v>
      </c>
      <c r="GI67" s="400" t="e">
        <f t="shared" si="315"/>
        <v>#N/A</v>
      </c>
      <c r="GJ67" s="398" t="e">
        <f t="shared" si="316"/>
        <v>#N/A</v>
      </c>
      <c r="GK67" s="401" t="e">
        <f t="shared" si="317"/>
        <v>#N/A</v>
      </c>
      <c r="GL67" s="399" t="e">
        <f t="shared" si="196"/>
        <v>#N/A</v>
      </c>
      <c r="GM67" s="47"/>
      <c r="GN67" s="47"/>
      <c r="GO67" s="396" t="e">
        <f t="shared" si="318"/>
        <v>#N/A</v>
      </c>
      <c r="GP67" s="397" t="e">
        <f t="shared" si="319"/>
        <v>#N/A</v>
      </c>
      <c r="GQ67" s="400" t="e">
        <f t="shared" si="375"/>
        <v>#N/A</v>
      </c>
      <c r="GR67" s="398" t="e">
        <f t="shared" si="197"/>
        <v>#N/A</v>
      </c>
      <c r="GS67" s="400" t="e">
        <f t="shared" si="320"/>
        <v>#N/A</v>
      </c>
      <c r="GT67" s="398" t="e">
        <f t="shared" si="321"/>
        <v>#N/A</v>
      </c>
      <c r="GU67" s="401" t="e">
        <f t="shared" si="322"/>
        <v>#N/A</v>
      </c>
      <c r="GV67" s="399" t="e">
        <f t="shared" si="199"/>
        <v>#N/A</v>
      </c>
      <c r="GW67" s="47"/>
      <c r="GX67" s="47"/>
      <c r="GY67" s="396" t="e">
        <f t="shared" si="323"/>
        <v>#N/A</v>
      </c>
      <c r="GZ67" s="397" t="e">
        <f t="shared" si="324"/>
        <v>#N/A</v>
      </c>
      <c r="HA67" s="400" t="e">
        <f t="shared" si="376"/>
        <v>#N/A</v>
      </c>
      <c r="HB67" s="398" t="e">
        <f t="shared" si="200"/>
        <v>#N/A</v>
      </c>
      <c r="HC67" s="400" t="e">
        <f t="shared" si="325"/>
        <v>#N/A</v>
      </c>
      <c r="HD67" s="398" t="e">
        <f t="shared" si="326"/>
        <v>#N/A</v>
      </c>
      <c r="HE67" s="401" t="e">
        <f t="shared" si="327"/>
        <v>#N/A</v>
      </c>
      <c r="HF67" s="399" t="e">
        <f t="shared" si="202"/>
        <v>#N/A</v>
      </c>
      <c r="HH67" s="47"/>
      <c r="HI67" s="396" t="e">
        <f t="shared" si="328"/>
        <v>#N/A</v>
      </c>
      <c r="HJ67" s="397" t="e">
        <f t="shared" si="329"/>
        <v>#N/A</v>
      </c>
      <c r="HK67" s="400" t="e">
        <f t="shared" si="377"/>
        <v>#N/A</v>
      </c>
      <c r="HL67" s="398" t="e">
        <f t="shared" si="203"/>
        <v>#N/A</v>
      </c>
      <c r="HM67" s="400" t="e">
        <f t="shared" si="330"/>
        <v>#N/A</v>
      </c>
      <c r="HN67" s="398" t="e">
        <f t="shared" si="331"/>
        <v>#N/A</v>
      </c>
      <c r="HO67" s="401" t="e">
        <f t="shared" si="332"/>
        <v>#N/A</v>
      </c>
      <c r="HP67" s="399" t="e">
        <f t="shared" si="205"/>
        <v>#N/A</v>
      </c>
      <c r="HQ67" s="47"/>
      <c r="HR67" s="47"/>
      <c r="HS67" s="396" t="e">
        <f t="shared" si="333"/>
        <v>#N/A</v>
      </c>
      <c r="HT67" s="397" t="e">
        <f t="shared" si="334"/>
        <v>#N/A</v>
      </c>
      <c r="HU67" s="400" t="e">
        <f t="shared" si="378"/>
        <v>#N/A</v>
      </c>
      <c r="HV67" s="398" t="e">
        <f t="shared" si="206"/>
        <v>#N/A</v>
      </c>
      <c r="HW67" s="400" t="e">
        <f t="shared" si="335"/>
        <v>#N/A</v>
      </c>
      <c r="HX67" s="398" t="e">
        <f t="shared" si="336"/>
        <v>#N/A</v>
      </c>
      <c r="HY67" s="401" t="e">
        <f t="shared" si="337"/>
        <v>#N/A</v>
      </c>
      <c r="HZ67" s="399" t="e">
        <f t="shared" si="208"/>
        <v>#N/A</v>
      </c>
      <c r="IA67" s="47"/>
      <c r="IB67" s="49"/>
      <c r="IC67" s="396" t="e">
        <f t="shared" si="338"/>
        <v>#N/A</v>
      </c>
      <c r="ID67" s="397" t="e">
        <f t="shared" si="339"/>
        <v>#N/A</v>
      </c>
      <c r="IE67" s="400" t="e">
        <f t="shared" si="379"/>
        <v>#N/A</v>
      </c>
      <c r="IF67" s="398" t="e">
        <f t="shared" si="209"/>
        <v>#N/A</v>
      </c>
      <c r="IG67" s="400" t="e">
        <f t="shared" si="340"/>
        <v>#N/A</v>
      </c>
      <c r="IH67" s="398" t="e">
        <f t="shared" si="341"/>
        <v>#N/A</v>
      </c>
      <c r="II67" s="401" t="e">
        <f t="shared" si="342"/>
        <v>#N/A</v>
      </c>
      <c r="IJ67" s="399" t="e">
        <f t="shared" si="211"/>
        <v>#N/A</v>
      </c>
      <c r="IK67" s="47"/>
      <c r="IL67" s="47"/>
      <c r="IM67" s="396" t="e">
        <f t="shared" si="343"/>
        <v>#N/A</v>
      </c>
      <c r="IN67" s="397" t="e">
        <f t="shared" si="344"/>
        <v>#N/A</v>
      </c>
      <c r="IO67" s="400" t="e">
        <f t="shared" si="380"/>
        <v>#N/A</v>
      </c>
      <c r="IP67" s="398" t="e">
        <f t="shared" si="212"/>
        <v>#N/A</v>
      </c>
      <c r="IQ67" s="400" t="e">
        <f t="shared" si="345"/>
        <v>#N/A</v>
      </c>
      <c r="IR67" s="398" t="e">
        <f t="shared" si="346"/>
        <v>#N/A</v>
      </c>
      <c r="IS67" s="401" t="e">
        <f t="shared" si="347"/>
        <v>#N/A</v>
      </c>
      <c r="IT67" s="399" t="e">
        <f t="shared" si="214"/>
        <v>#N/A</v>
      </c>
      <c r="IU67" s="47"/>
      <c r="IV67" s="47"/>
      <c r="IW67" s="396" t="e">
        <f t="shared" si="116"/>
        <v>#N/A</v>
      </c>
      <c r="IX67" s="397" t="e">
        <f t="shared" si="117"/>
        <v>#N/A</v>
      </c>
      <c r="IY67" s="400" t="e">
        <f t="shared" si="118"/>
        <v>#N/A</v>
      </c>
      <c r="IZ67" s="398" t="e">
        <f t="shared" si="348"/>
        <v>#N/A</v>
      </c>
      <c r="JA67" s="400" t="e">
        <f t="shared" si="119"/>
        <v>#N/A</v>
      </c>
      <c r="JB67" s="398" t="e">
        <f t="shared" si="120"/>
        <v>#N/A</v>
      </c>
      <c r="JC67" s="401" t="e">
        <f t="shared" si="216"/>
        <v>#N/A</v>
      </c>
      <c r="JD67" s="399" t="e">
        <f t="shared" si="217"/>
        <v>#N/A</v>
      </c>
      <c r="JE67" s="47"/>
      <c r="JF67" s="47"/>
      <c r="JG67" s="396" t="e">
        <f t="shared" si="121"/>
        <v>#N/A</v>
      </c>
      <c r="JH67" s="397" t="e">
        <f t="shared" si="122"/>
        <v>#N/A</v>
      </c>
      <c r="JI67" s="400" t="e">
        <f t="shared" si="123"/>
        <v>#N/A</v>
      </c>
      <c r="JJ67" s="398" t="e">
        <f t="shared" si="349"/>
        <v>#N/A</v>
      </c>
      <c r="JK67" s="400" t="e">
        <f t="shared" si="124"/>
        <v>#N/A</v>
      </c>
      <c r="JL67" s="398" t="e">
        <f t="shared" si="125"/>
        <v>#N/A</v>
      </c>
      <c r="JM67" s="401" t="e">
        <f t="shared" si="219"/>
        <v>#N/A</v>
      </c>
      <c r="JN67" s="399" t="e">
        <f t="shared" si="220"/>
        <v>#N/A</v>
      </c>
      <c r="JO67" s="47"/>
      <c r="JP67" s="47"/>
      <c r="JQ67" s="396" t="e">
        <f t="shared" si="126"/>
        <v>#N/A</v>
      </c>
      <c r="JR67" s="397" t="e">
        <f t="shared" si="127"/>
        <v>#N/A</v>
      </c>
      <c r="JS67" s="400" t="e">
        <f t="shared" si="128"/>
        <v>#N/A</v>
      </c>
      <c r="JT67" s="398" t="e">
        <f t="shared" si="350"/>
        <v>#N/A</v>
      </c>
      <c r="JU67" s="400" t="e">
        <f t="shared" si="129"/>
        <v>#N/A</v>
      </c>
      <c r="JV67" s="398" t="e">
        <f t="shared" si="130"/>
        <v>#N/A</v>
      </c>
      <c r="JW67" s="401" t="e">
        <f t="shared" si="222"/>
        <v>#N/A</v>
      </c>
      <c r="JX67" s="399" t="e">
        <f t="shared" si="223"/>
        <v>#N/A</v>
      </c>
      <c r="JY67" s="47"/>
      <c r="JZ67" s="47"/>
      <c r="KA67" s="396" t="e">
        <f t="shared" si="131"/>
        <v>#N/A</v>
      </c>
      <c r="KB67" s="397" t="e">
        <f t="shared" si="132"/>
        <v>#N/A</v>
      </c>
      <c r="KC67" s="400" t="e">
        <f t="shared" si="133"/>
        <v>#N/A</v>
      </c>
      <c r="KD67" s="398" t="e">
        <f t="shared" si="351"/>
        <v>#N/A</v>
      </c>
      <c r="KE67" s="400" t="e">
        <f t="shared" si="134"/>
        <v>#N/A</v>
      </c>
      <c r="KF67" s="398" t="e">
        <f t="shared" si="135"/>
        <v>#N/A</v>
      </c>
      <c r="KG67" s="401" t="e">
        <f t="shared" si="225"/>
        <v>#N/A</v>
      </c>
      <c r="KH67" s="399" t="e">
        <f t="shared" si="226"/>
        <v>#N/A</v>
      </c>
      <c r="KI67" s="47"/>
      <c r="KJ67" s="47"/>
      <c r="KK67" s="396" t="e">
        <f t="shared" si="136"/>
        <v>#N/A</v>
      </c>
      <c r="KL67" s="397" t="e">
        <f t="shared" si="137"/>
        <v>#N/A</v>
      </c>
      <c r="KM67" s="400" t="e">
        <f t="shared" si="138"/>
        <v>#N/A</v>
      </c>
      <c r="KN67" s="398" t="e">
        <f t="shared" si="352"/>
        <v>#N/A</v>
      </c>
      <c r="KO67" s="400" t="e">
        <f t="shared" si="139"/>
        <v>#N/A</v>
      </c>
      <c r="KP67" s="398" t="e">
        <f t="shared" si="140"/>
        <v>#N/A</v>
      </c>
      <c r="KQ67" s="401" t="e">
        <f t="shared" si="228"/>
        <v>#N/A</v>
      </c>
      <c r="KR67" s="399" t="e">
        <f t="shared" si="229"/>
        <v>#N/A</v>
      </c>
      <c r="KS67" s="47"/>
      <c r="KT67" s="47"/>
      <c r="KU67" s="396" t="e">
        <f t="shared" si="353"/>
        <v>#N/A</v>
      </c>
      <c r="KV67" s="397" t="e">
        <f t="shared" si="354"/>
        <v>#N/A</v>
      </c>
      <c r="KW67" s="400" t="e">
        <f t="shared" si="381"/>
        <v>#N/A</v>
      </c>
      <c r="KX67" s="398" t="e">
        <f t="shared" si="230"/>
        <v>#N/A</v>
      </c>
      <c r="KY67" s="400" t="e">
        <f t="shared" si="355"/>
        <v>#N/A</v>
      </c>
      <c r="KZ67" s="398" t="e">
        <f t="shared" si="356"/>
        <v>#N/A</v>
      </c>
      <c r="LA67" s="401" t="e">
        <f t="shared" si="357"/>
        <v>#N/A</v>
      </c>
      <c r="LB67" s="399" t="e">
        <f t="shared" si="232"/>
        <v>#N/A</v>
      </c>
      <c r="LC67" s="47"/>
    </row>
    <row r="68" spans="26:315" x14ac:dyDescent="0.25">
      <c r="Z68" s="413"/>
      <c r="AA68" s="396" t="e">
        <f t="shared" si="233"/>
        <v>#N/A</v>
      </c>
      <c r="AB68" s="397" t="e">
        <f t="shared" si="234"/>
        <v>#N/A</v>
      </c>
      <c r="AC68" s="400" t="e">
        <f t="shared" si="358"/>
        <v>#N/A</v>
      </c>
      <c r="AD68" s="398" t="e">
        <f t="shared" si="146"/>
        <v>#N/A</v>
      </c>
      <c r="AE68" s="400" t="e">
        <f t="shared" si="235"/>
        <v>#N/A</v>
      </c>
      <c r="AF68" s="398" t="e">
        <f t="shared" si="236"/>
        <v>#N/A</v>
      </c>
      <c r="AG68" s="401" t="e">
        <f t="shared" si="237"/>
        <v>#N/A</v>
      </c>
      <c r="AH68" s="399" t="e">
        <f t="shared" si="148"/>
        <v>#N/A</v>
      </c>
      <c r="AI68" s="47"/>
      <c r="AJ68" s="47"/>
      <c r="AK68" s="396" t="e">
        <f t="shared" si="238"/>
        <v>#N/A</v>
      </c>
      <c r="AL68" s="397" t="e">
        <f t="shared" si="239"/>
        <v>#N/A</v>
      </c>
      <c r="AM68" s="400" t="e">
        <f t="shared" si="359"/>
        <v>#N/A</v>
      </c>
      <c r="AN68" s="398" t="e">
        <f t="shared" si="149"/>
        <v>#N/A</v>
      </c>
      <c r="AO68" s="400" t="e">
        <f t="shared" si="240"/>
        <v>#N/A</v>
      </c>
      <c r="AP68" s="398" t="e">
        <f t="shared" si="241"/>
        <v>#N/A</v>
      </c>
      <c r="AQ68" s="401" t="e">
        <f t="shared" si="242"/>
        <v>#N/A</v>
      </c>
      <c r="AR68" s="399" t="e">
        <f t="shared" si="151"/>
        <v>#N/A</v>
      </c>
      <c r="AS68" s="47"/>
      <c r="AT68" s="47"/>
      <c r="AU68" s="396" t="e">
        <f t="shared" si="243"/>
        <v>#N/A</v>
      </c>
      <c r="AV68" s="397" t="e">
        <f t="shared" si="244"/>
        <v>#N/A</v>
      </c>
      <c r="AW68" s="400" t="e">
        <f t="shared" si="360"/>
        <v>#N/A</v>
      </c>
      <c r="AX68" s="398" t="e">
        <f t="shared" si="152"/>
        <v>#N/A</v>
      </c>
      <c r="AY68" s="400" t="e">
        <f t="shared" si="245"/>
        <v>#N/A</v>
      </c>
      <c r="AZ68" s="398" t="e">
        <f t="shared" si="246"/>
        <v>#N/A</v>
      </c>
      <c r="BA68" s="401" t="e">
        <f t="shared" si="247"/>
        <v>#N/A</v>
      </c>
      <c r="BB68" s="399" t="e">
        <f t="shared" si="154"/>
        <v>#N/A</v>
      </c>
      <c r="BC68" s="47"/>
      <c r="BD68" s="47"/>
      <c r="BE68" s="396" t="e">
        <f t="shared" si="248"/>
        <v>#N/A</v>
      </c>
      <c r="BF68" s="397" t="e">
        <f t="shared" si="249"/>
        <v>#N/A</v>
      </c>
      <c r="BG68" s="400" t="e">
        <f t="shared" si="361"/>
        <v>#N/A</v>
      </c>
      <c r="BH68" s="398" t="e">
        <f t="shared" si="155"/>
        <v>#N/A</v>
      </c>
      <c r="BI68" s="400" t="e">
        <f t="shared" si="250"/>
        <v>#N/A</v>
      </c>
      <c r="BJ68" s="398" t="e">
        <f t="shared" si="251"/>
        <v>#N/A</v>
      </c>
      <c r="BK68" s="401" t="e">
        <f t="shared" si="252"/>
        <v>#N/A</v>
      </c>
      <c r="BL68" s="399" t="e">
        <f t="shared" si="157"/>
        <v>#N/A</v>
      </c>
      <c r="BM68" s="47"/>
      <c r="BN68" s="49"/>
      <c r="BO68" s="396" t="e">
        <f t="shared" si="253"/>
        <v>#N/A</v>
      </c>
      <c r="BP68" s="397" t="e">
        <f t="shared" si="254"/>
        <v>#N/A</v>
      </c>
      <c r="BQ68" s="400" t="e">
        <f t="shared" si="362"/>
        <v>#N/A</v>
      </c>
      <c r="BR68" s="398" t="e">
        <f t="shared" si="158"/>
        <v>#N/A</v>
      </c>
      <c r="BS68" s="400" t="e">
        <f t="shared" si="255"/>
        <v>#N/A</v>
      </c>
      <c r="BT68" s="398" t="e">
        <f t="shared" si="256"/>
        <v>#N/A</v>
      </c>
      <c r="BU68" s="401" t="e">
        <f t="shared" si="257"/>
        <v>#N/A</v>
      </c>
      <c r="BV68" s="399" t="e">
        <f t="shared" si="160"/>
        <v>#N/A</v>
      </c>
      <c r="BW68" s="47"/>
      <c r="BX68" s="47"/>
      <c r="BY68" s="396" t="e">
        <f t="shared" si="258"/>
        <v>#N/A</v>
      </c>
      <c r="BZ68" s="397" t="e">
        <f t="shared" si="259"/>
        <v>#N/A</v>
      </c>
      <c r="CA68" s="400" t="e">
        <f t="shared" si="363"/>
        <v>#N/A</v>
      </c>
      <c r="CB68" s="398" t="e">
        <f t="shared" si="161"/>
        <v>#N/A</v>
      </c>
      <c r="CC68" s="400" t="e">
        <f t="shared" si="260"/>
        <v>#N/A</v>
      </c>
      <c r="CD68" s="398" t="e">
        <f t="shared" si="261"/>
        <v>#N/A</v>
      </c>
      <c r="CE68" s="401" t="e">
        <f t="shared" si="262"/>
        <v>#N/A</v>
      </c>
      <c r="CF68" s="399" t="e">
        <f t="shared" si="163"/>
        <v>#N/A</v>
      </c>
      <c r="CG68" s="49"/>
      <c r="CH68" s="47"/>
      <c r="CI68" s="396" t="e">
        <f t="shared" si="263"/>
        <v>#N/A</v>
      </c>
      <c r="CJ68" s="397" t="e">
        <f t="shared" si="264"/>
        <v>#N/A</v>
      </c>
      <c r="CK68" s="400" t="e">
        <f t="shared" si="364"/>
        <v>#N/A</v>
      </c>
      <c r="CL68" s="398" t="e">
        <f t="shared" si="164"/>
        <v>#N/A</v>
      </c>
      <c r="CM68" s="400" t="e">
        <f t="shared" si="265"/>
        <v>#N/A</v>
      </c>
      <c r="CN68" s="398" t="e">
        <f t="shared" si="266"/>
        <v>#N/A</v>
      </c>
      <c r="CO68" s="401" t="e">
        <f t="shared" si="267"/>
        <v>#N/A</v>
      </c>
      <c r="CP68" s="399" t="e">
        <f t="shared" si="166"/>
        <v>#N/A</v>
      </c>
      <c r="CQ68" s="47"/>
      <c r="CS68" s="396" t="e">
        <f t="shared" si="268"/>
        <v>#N/A</v>
      </c>
      <c r="CT68" s="397" t="e">
        <f t="shared" si="269"/>
        <v>#N/A</v>
      </c>
      <c r="CU68" s="400" t="e">
        <f t="shared" si="365"/>
        <v>#N/A</v>
      </c>
      <c r="CV68" s="398" t="e">
        <f t="shared" si="167"/>
        <v>#N/A</v>
      </c>
      <c r="CW68" s="400" t="e">
        <f t="shared" si="270"/>
        <v>#N/A</v>
      </c>
      <c r="CX68" s="398" t="e">
        <f t="shared" si="271"/>
        <v>#N/A</v>
      </c>
      <c r="CY68" s="401" t="e">
        <f t="shared" si="272"/>
        <v>#N/A</v>
      </c>
      <c r="CZ68" s="399" t="e">
        <f t="shared" si="169"/>
        <v>#N/A</v>
      </c>
      <c r="DA68" s="47"/>
      <c r="DB68" s="47"/>
      <c r="DC68" s="396" t="e">
        <f t="shared" si="273"/>
        <v>#N/A</v>
      </c>
      <c r="DD68" s="397" t="e">
        <f t="shared" si="274"/>
        <v>#N/A</v>
      </c>
      <c r="DE68" s="400" t="e">
        <f t="shared" si="366"/>
        <v>#N/A</v>
      </c>
      <c r="DF68" s="398" t="e">
        <f t="shared" si="170"/>
        <v>#N/A</v>
      </c>
      <c r="DG68" s="400" t="e">
        <f t="shared" si="275"/>
        <v>#N/A</v>
      </c>
      <c r="DH68" s="398" t="e">
        <f t="shared" si="276"/>
        <v>#N/A</v>
      </c>
      <c r="DI68" s="401" t="e">
        <f t="shared" si="277"/>
        <v>#N/A</v>
      </c>
      <c r="DJ68" s="399" t="e">
        <f t="shared" si="172"/>
        <v>#N/A</v>
      </c>
      <c r="DK68" s="47"/>
      <c r="DM68" s="396" t="e">
        <f t="shared" si="278"/>
        <v>#N/A</v>
      </c>
      <c r="DN68" s="397" t="e">
        <f t="shared" si="279"/>
        <v>#N/A</v>
      </c>
      <c r="DO68" s="400" t="e">
        <f t="shared" si="367"/>
        <v>#N/A</v>
      </c>
      <c r="DP68" s="398" t="e">
        <f t="shared" si="173"/>
        <v>#N/A</v>
      </c>
      <c r="DQ68" s="400" t="e">
        <f t="shared" si="280"/>
        <v>#N/A</v>
      </c>
      <c r="DR68" s="398" t="e">
        <f t="shared" si="281"/>
        <v>#N/A</v>
      </c>
      <c r="DS68" s="401" t="e">
        <f t="shared" si="282"/>
        <v>#N/A</v>
      </c>
      <c r="DT68" s="399" t="e">
        <f t="shared" si="175"/>
        <v>#N/A</v>
      </c>
      <c r="DU68" s="47"/>
      <c r="DV68" s="49"/>
      <c r="DW68" s="396" t="e">
        <f t="shared" si="283"/>
        <v>#N/A</v>
      </c>
      <c r="DX68" s="397" t="e">
        <f t="shared" si="284"/>
        <v>#N/A</v>
      </c>
      <c r="DY68" s="400" t="e">
        <f t="shared" si="368"/>
        <v>#N/A</v>
      </c>
      <c r="DZ68" s="398" t="e">
        <f t="shared" si="176"/>
        <v>#N/A</v>
      </c>
      <c r="EA68" s="400" t="e">
        <f t="shared" si="285"/>
        <v>#N/A</v>
      </c>
      <c r="EB68" s="398" t="e">
        <f t="shared" si="286"/>
        <v>#N/A</v>
      </c>
      <c r="EC68" s="401" t="e">
        <f t="shared" si="287"/>
        <v>#N/A</v>
      </c>
      <c r="ED68" s="399" t="e">
        <f t="shared" si="178"/>
        <v>#N/A</v>
      </c>
      <c r="EE68" s="47"/>
      <c r="EF68" s="47"/>
      <c r="EG68" s="396" t="e">
        <f t="shared" si="288"/>
        <v>#N/A</v>
      </c>
      <c r="EH68" s="397" t="e">
        <f t="shared" si="289"/>
        <v>#N/A</v>
      </c>
      <c r="EI68" s="400" t="e">
        <f t="shared" si="369"/>
        <v>#N/A</v>
      </c>
      <c r="EJ68" s="398" t="e">
        <f t="shared" si="179"/>
        <v>#N/A</v>
      </c>
      <c r="EK68" s="400" t="e">
        <f t="shared" si="290"/>
        <v>#N/A</v>
      </c>
      <c r="EL68" s="398" t="e">
        <f t="shared" si="291"/>
        <v>#N/A</v>
      </c>
      <c r="EM68" s="401" t="e">
        <f t="shared" si="292"/>
        <v>#N/A</v>
      </c>
      <c r="EN68" s="399" t="e">
        <f t="shared" si="181"/>
        <v>#N/A</v>
      </c>
      <c r="EO68" s="47"/>
      <c r="EP68" s="47"/>
      <c r="EQ68" s="396" t="e">
        <f t="shared" si="293"/>
        <v>#N/A</v>
      </c>
      <c r="ER68" s="397" t="e">
        <f t="shared" si="294"/>
        <v>#N/A</v>
      </c>
      <c r="ES68" s="400" t="e">
        <f t="shared" si="370"/>
        <v>#N/A</v>
      </c>
      <c r="ET68" s="398" t="e">
        <f t="shared" si="182"/>
        <v>#N/A</v>
      </c>
      <c r="EU68" s="400" t="e">
        <f t="shared" si="295"/>
        <v>#N/A</v>
      </c>
      <c r="EV68" s="398" t="e">
        <f t="shared" si="296"/>
        <v>#N/A</v>
      </c>
      <c r="EW68" s="401" t="e">
        <f t="shared" si="297"/>
        <v>#N/A</v>
      </c>
      <c r="EX68" s="399" t="e">
        <f t="shared" si="184"/>
        <v>#N/A</v>
      </c>
      <c r="EY68" s="47"/>
      <c r="EZ68" s="47"/>
      <c r="FA68" s="396" t="e">
        <f t="shared" si="298"/>
        <v>#N/A</v>
      </c>
      <c r="FB68" s="397" t="e">
        <f t="shared" si="299"/>
        <v>#N/A</v>
      </c>
      <c r="FC68" s="400" t="e">
        <f t="shared" si="371"/>
        <v>#N/A</v>
      </c>
      <c r="FD68" s="398" t="e">
        <f t="shared" si="185"/>
        <v>#N/A</v>
      </c>
      <c r="FE68" s="400" t="e">
        <f t="shared" si="300"/>
        <v>#N/A</v>
      </c>
      <c r="FF68" s="398" t="e">
        <f t="shared" si="301"/>
        <v>#N/A</v>
      </c>
      <c r="FG68" s="401" t="e">
        <f t="shared" si="302"/>
        <v>#N/A</v>
      </c>
      <c r="FH68" s="399" t="e">
        <f t="shared" si="187"/>
        <v>#N/A</v>
      </c>
      <c r="FI68" s="47"/>
      <c r="FJ68" s="49"/>
      <c r="FK68" s="396" t="e">
        <f t="shared" si="303"/>
        <v>#N/A</v>
      </c>
      <c r="FL68" s="397" t="e">
        <f t="shared" si="304"/>
        <v>#N/A</v>
      </c>
      <c r="FM68" s="400" t="e">
        <f t="shared" si="372"/>
        <v>#N/A</v>
      </c>
      <c r="FN68" s="398" t="e">
        <f t="shared" si="188"/>
        <v>#N/A</v>
      </c>
      <c r="FO68" s="400" t="e">
        <f t="shared" si="305"/>
        <v>#N/A</v>
      </c>
      <c r="FP68" s="398" t="e">
        <f t="shared" si="306"/>
        <v>#N/A</v>
      </c>
      <c r="FQ68" s="401" t="e">
        <f t="shared" si="307"/>
        <v>#N/A</v>
      </c>
      <c r="FR68" s="399" t="e">
        <f t="shared" si="190"/>
        <v>#N/A</v>
      </c>
      <c r="FS68" s="47"/>
      <c r="FT68" s="47"/>
      <c r="FU68" s="396" t="e">
        <f t="shared" si="308"/>
        <v>#N/A</v>
      </c>
      <c r="FV68" s="397" t="e">
        <f t="shared" si="309"/>
        <v>#N/A</v>
      </c>
      <c r="FW68" s="400" t="e">
        <f t="shared" si="373"/>
        <v>#N/A</v>
      </c>
      <c r="FX68" s="398" t="e">
        <f t="shared" si="191"/>
        <v>#N/A</v>
      </c>
      <c r="FY68" s="400" t="e">
        <f t="shared" si="310"/>
        <v>#N/A</v>
      </c>
      <c r="FZ68" s="398" t="e">
        <f t="shared" si="311"/>
        <v>#N/A</v>
      </c>
      <c r="GA68" s="401" t="e">
        <f t="shared" si="312"/>
        <v>#N/A</v>
      </c>
      <c r="GB68" s="399" t="e">
        <f t="shared" si="193"/>
        <v>#N/A</v>
      </c>
      <c r="GC68" s="47"/>
      <c r="GD68" s="47"/>
      <c r="GE68" s="396" t="e">
        <f t="shared" si="313"/>
        <v>#N/A</v>
      </c>
      <c r="GF68" s="397" t="e">
        <f t="shared" si="314"/>
        <v>#N/A</v>
      </c>
      <c r="GG68" s="400" t="e">
        <f t="shared" si="374"/>
        <v>#N/A</v>
      </c>
      <c r="GH68" s="398" t="e">
        <f t="shared" si="194"/>
        <v>#N/A</v>
      </c>
      <c r="GI68" s="400" t="e">
        <f t="shared" si="315"/>
        <v>#N/A</v>
      </c>
      <c r="GJ68" s="398" t="e">
        <f t="shared" si="316"/>
        <v>#N/A</v>
      </c>
      <c r="GK68" s="401" t="e">
        <f t="shared" si="317"/>
        <v>#N/A</v>
      </c>
      <c r="GL68" s="399" t="e">
        <f t="shared" si="196"/>
        <v>#N/A</v>
      </c>
      <c r="GM68" s="47"/>
      <c r="GN68" s="47"/>
      <c r="GO68" s="396" t="e">
        <f t="shared" si="318"/>
        <v>#N/A</v>
      </c>
      <c r="GP68" s="397" t="e">
        <f t="shared" si="319"/>
        <v>#N/A</v>
      </c>
      <c r="GQ68" s="400" t="e">
        <f t="shared" si="375"/>
        <v>#N/A</v>
      </c>
      <c r="GR68" s="398" t="e">
        <f t="shared" si="197"/>
        <v>#N/A</v>
      </c>
      <c r="GS68" s="400" t="e">
        <f t="shared" si="320"/>
        <v>#N/A</v>
      </c>
      <c r="GT68" s="398" t="e">
        <f t="shared" si="321"/>
        <v>#N/A</v>
      </c>
      <c r="GU68" s="401" t="e">
        <f t="shared" si="322"/>
        <v>#N/A</v>
      </c>
      <c r="GV68" s="399" t="e">
        <f t="shared" si="199"/>
        <v>#N/A</v>
      </c>
      <c r="GW68" s="47"/>
      <c r="GX68" s="47"/>
      <c r="GY68" s="396" t="e">
        <f t="shared" si="323"/>
        <v>#N/A</v>
      </c>
      <c r="GZ68" s="397" t="e">
        <f t="shared" si="324"/>
        <v>#N/A</v>
      </c>
      <c r="HA68" s="400" t="e">
        <f t="shared" si="376"/>
        <v>#N/A</v>
      </c>
      <c r="HB68" s="398" t="e">
        <f t="shared" si="200"/>
        <v>#N/A</v>
      </c>
      <c r="HC68" s="400" t="e">
        <f t="shared" si="325"/>
        <v>#N/A</v>
      </c>
      <c r="HD68" s="398" t="e">
        <f t="shared" si="326"/>
        <v>#N/A</v>
      </c>
      <c r="HE68" s="401" t="e">
        <f t="shared" si="327"/>
        <v>#N/A</v>
      </c>
      <c r="HF68" s="399" t="e">
        <f t="shared" si="202"/>
        <v>#N/A</v>
      </c>
      <c r="HH68" s="47"/>
      <c r="HI68" s="396" t="e">
        <f t="shared" si="328"/>
        <v>#N/A</v>
      </c>
      <c r="HJ68" s="397" t="e">
        <f t="shared" si="329"/>
        <v>#N/A</v>
      </c>
      <c r="HK68" s="400" t="e">
        <f t="shared" si="377"/>
        <v>#N/A</v>
      </c>
      <c r="HL68" s="398" t="e">
        <f t="shared" si="203"/>
        <v>#N/A</v>
      </c>
      <c r="HM68" s="400" t="e">
        <f t="shared" si="330"/>
        <v>#N/A</v>
      </c>
      <c r="HN68" s="398" t="e">
        <f t="shared" si="331"/>
        <v>#N/A</v>
      </c>
      <c r="HO68" s="401" t="e">
        <f t="shared" si="332"/>
        <v>#N/A</v>
      </c>
      <c r="HP68" s="399" t="e">
        <f t="shared" si="205"/>
        <v>#N/A</v>
      </c>
      <c r="HQ68" s="47"/>
      <c r="HR68" s="47"/>
      <c r="HS68" s="396" t="e">
        <f t="shared" si="333"/>
        <v>#N/A</v>
      </c>
      <c r="HT68" s="397" t="e">
        <f t="shared" si="334"/>
        <v>#N/A</v>
      </c>
      <c r="HU68" s="400" t="e">
        <f t="shared" si="378"/>
        <v>#N/A</v>
      </c>
      <c r="HV68" s="398" t="e">
        <f t="shared" si="206"/>
        <v>#N/A</v>
      </c>
      <c r="HW68" s="400" t="e">
        <f t="shared" si="335"/>
        <v>#N/A</v>
      </c>
      <c r="HX68" s="398" t="e">
        <f t="shared" si="336"/>
        <v>#N/A</v>
      </c>
      <c r="HY68" s="401" t="e">
        <f t="shared" si="337"/>
        <v>#N/A</v>
      </c>
      <c r="HZ68" s="399" t="e">
        <f t="shared" si="208"/>
        <v>#N/A</v>
      </c>
      <c r="IA68" s="47"/>
      <c r="IB68" s="49"/>
      <c r="IC68" s="396" t="e">
        <f t="shared" si="338"/>
        <v>#N/A</v>
      </c>
      <c r="ID68" s="397" t="e">
        <f t="shared" si="339"/>
        <v>#N/A</v>
      </c>
      <c r="IE68" s="400" t="e">
        <f t="shared" si="379"/>
        <v>#N/A</v>
      </c>
      <c r="IF68" s="398" t="e">
        <f t="shared" si="209"/>
        <v>#N/A</v>
      </c>
      <c r="IG68" s="400" t="e">
        <f t="shared" si="340"/>
        <v>#N/A</v>
      </c>
      <c r="IH68" s="398" t="e">
        <f t="shared" si="341"/>
        <v>#N/A</v>
      </c>
      <c r="II68" s="401" t="e">
        <f t="shared" si="342"/>
        <v>#N/A</v>
      </c>
      <c r="IJ68" s="399" t="e">
        <f t="shared" si="211"/>
        <v>#N/A</v>
      </c>
      <c r="IK68" s="47"/>
      <c r="IL68" s="47"/>
      <c r="IM68" s="396" t="e">
        <f t="shared" si="343"/>
        <v>#N/A</v>
      </c>
      <c r="IN68" s="397" t="e">
        <f t="shared" si="344"/>
        <v>#N/A</v>
      </c>
      <c r="IO68" s="400" t="e">
        <f t="shared" si="380"/>
        <v>#N/A</v>
      </c>
      <c r="IP68" s="398" t="e">
        <f t="shared" si="212"/>
        <v>#N/A</v>
      </c>
      <c r="IQ68" s="400" t="e">
        <f t="shared" si="345"/>
        <v>#N/A</v>
      </c>
      <c r="IR68" s="398" t="e">
        <f t="shared" si="346"/>
        <v>#N/A</v>
      </c>
      <c r="IS68" s="401" t="e">
        <f t="shared" si="347"/>
        <v>#N/A</v>
      </c>
      <c r="IT68" s="399" t="e">
        <f t="shared" si="214"/>
        <v>#N/A</v>
      </c>
      <c r="IU68" s="47"/>
      <c r="IV68" s="47"/>
      <c r="IW68" s="396" t="e">
        <f t="shared" si="116"/>
        <v>#N/A</v>
      </c>
      <c r="IX68" s="397" t="e">
        <f t="shared" si="117"/>
        <v>#N/A</v>
      </c>
      <c r="IY68" s="400" t="e">
        <f t="shared" si="118"/>
        <v>#N/A</v>
      </c>
      <c r="IZ68" s="398" t="e">
        <f t="shared" si="348"/>
        <v>#N/A</v>
      </c>
      <c r="JA68" s="400" t="e">
        <f t="shared" si="119"/>
        <v>#N/A</v>
      </c>
      <c r="JB68" s="398" t="e">
        <f t="shared" si="120"/>
        <v>#N/A</v>
      </c>
      <c r="JC68" s="401" t="e">
        <f t="shared" si="216"/>
        <v>#N/A</v>
      </c>
      <c r="JD68" s="399" t="e">
        <f t="shared" si="217"/>
        <v>#N/A</v>
      </c>
      <c r="JE68" s="47"/>
      <c r="JF68" s="47"/>
      <c r="JG68" s="396" t="e">
        <f t="shared" si="121"/>
        <v>#N/A</v>
      </c>
      <c r="JH68" s="397" t="e">
        <f t="shared" si="122"/>
        <v>#N/A</v>
      </c>
      <c r="JI68" s="400" t="e">
        <f t="shared" si="123"/>
        <v>#N/A</v>
      </c>
      <c r="JJ68" s="398" t="e">
        <f t="shared" si="349"/>
        <v>#N/A</v>
      </c>
      <c r="JK68" s="400" t="e">
        <f t="shared" si="124"/>
        <v>#N/A</v>
      </c>
      <c r="JL68" s="398" t="e">
        <f t="shared" si="125"/>
        <v>#N/A</v>
      </c>
      <c r="JM68" s="401" t="e">
        <f t="shared" si="219"/>
        <v>#N/A</v>
      </c>
      <c r="JN68" s="399" t="e">
        <f t="shared" si="220"/>
        <v>#N/A</v>
      </c>
      <c r="JO68" s="47"/>
      <c r="JP68" s="47"/>
      <c r="JQ68" s="396" t="e">
        <f t="shared" si="126"/>
        <v>#N/A</v>
      </c>
      <c r="JR68" s="397" t="e">
        <f t="shared" si="127"/>
        <v>#N/A</v>
      </c>
      <c r="JS68" s="400" t="e">
        <f t="shared" si="128"/>
        <v>#N/A</v>
      </c>
      <c r="JT68" s="398" t="e">
        <f t="shared" si="350"/>
        <v>#N/A</v>
      </c>
      <c r="JU68" s="400" t="e">
        <f t="shared" si="129"/>
        <v>#N/A</v>
      </c>
      <c r="JV68" s="398" t="e">
        <f t="shared" si="130"/>
        <v>#N/A</v>
      </c>
      <c r="JW68" s="401" t="e">
        <f t="shared" si="222"/>
        <v>#N/A</v>
      </c>
      <c r="JX68" s="399" t="e">
        <f t="shared" si="223"/>
        <v>#N/A</v>
      </c>
      <c r="JY68" s="47"/>
      <c r="JZ68" s="47"/>
      <c r="KA68" s="396" t="e">
        <f t="shared" si="131"/>
        <v>#N/A</v>
      </c>
      <c r="KB68" s="397" t="e">
        <f t="shared" si="132"/>
        <v>#N/A</v>
      </c>
      <c r="KC68" s="400" t="e">
        <f t="shared" si="133"/>
        <v>#N/A</v>
      </c>
      <c r="KD68" s="398" t="e">
        <f t="shared" si="351"/>
        <v>#N/A</v>
      </c>
      <c r="KE68" s="400" t="e">
        <f t="shared" si="134"/>
        <v>#N/A</v>
      </c>
      <c r="KF68" s="398" t="e">
        <f t="shared" si="135"/>
        <v>#N/A</v>
      </c>
      <c r="KG68" s="401" t="e">
        <f t="shared" si="225"/>
        <v>#N/A</v>
      </c>
      <c r="KH68" s="399" t="e">
        <f t="shared" si="226"/>
        <v>#N/A</v>
      </c>
      <c r="KI68" s="47"/>
      <c r="KJ68" s="47"/>
      <c r="KK68" s="396" t="e">
        <f t="shared" si="136"/>
        <v>#N/A</v>
      </c>
      <c r="KL68" s="397" t="e">
        <f t="shared" si="137"/>
        <v>#N/A</v>
      </c>
      <c r="KM68" s="400" t="e">
        <f t="shared" si="138"/>
        <v>#N/A</v>
      </c>
      <c r="KN68" s="398" t="e">
        <f t="shared" si="352"/>
        <v>#N/A</v>
      </c>
      <c r="KO68" s="400" t="e">
        <f t="shared" si="139"/>
        <v>#N/A</v>
      </c>
      <c r="KP68" s="398" t="e">
        <f t="shared" si="140"/>
        <v>#N/A</v>
      </c>
      <c r="KQ68" s="401" t="e">
        <f t="shared" si="228"/>
        <v>#N/A</v>
      </c>
      <c r="KR68" s="399" t="e">
        <f t="shared" si="229"/>
        <v>#N/A</v>
      </c>
      <c r="KS68" s="47"/>
      <c r="KT68" s="47"/>
      <c r="KU68" s="396" t="e">
        <f t="shared" si="353"/>
        <v>#N/A</v>
      </c>
      <c r="KV68" s="397" t="e">
        <f t="shared" si="354"/>
        <v>#N/A</v>
      </c>
      <c r="KW68" s="400" t="e">
        <f t="shared" si="381"/>
        <v>#N/A</v>
      </c>
      <c r="KX68" s="398" t="e">
        <f t="shared" si="230"/>
        <v>#N/A</v>
      </c>
      <c r="KY68" s="400" t="e">
        <f t="shared" si="355"/>
        <v>#N/A</v>
      </c>
      <c r="KZ68" s="398" t="e">
        <f t="shared" si="356"/>
        <v>#N/A</v>
      </c>
      <c r="LA68" s="401" t="e">
        <f t="shared" si="357"/>
        <v>#N/A</v>
      </c>
      <c r="LB68" s="399" t="e">
        <f t="shared" si="232"/>
        <v>#N/A</v>
      </c>
      <c r="LC68" s="47"/>
    </row>
    <row r="69" spans="26:315" x14ac:dyDescent="0.25">
      <c r="Z69" s="413"/>
      <c r="AA69" s="396" t="e">
        <f t="shared" si="233"/>
        <v>#N/A</v>
      </c>
      <c r="AB69" s="397" t="e">
        <f t="shared" si="234"/>
        <v>#N/A</v>
      </c>
      <c r="AC69" s="400" t="e">
        <f t="shared" si="358"/>
        <v>#N/A</v>
      </c>
      <c r="AD69" s="398" t="e">
        <f t="shared" si="146"/>
        <v>#N/A</v>
      </c>
      <c r="AE69" s="400" t="e">
        <f t="shared" si="235"/>
        <v>#N/A</v>
      </c>
      <c r="AF69" s="398" t="e">
        <f t="shared" si="236"/>
        <v>#N/A</v>
      </c>
      <c r="AG69" s="401" t="e">
        <f t="shared" si="237"/>
        <v>#N/A</v>
      </c>
      <c r="AH69" s="399" t="e">
        <f t="shared" si="148"/>
        <v>#N/A</v>
      </c>
      <c r="AI69" s="47"/>
      <c r="AJ69" s="47"/>
      <c r="AK69" s="396" t="e">
        <f t="shared" si="238"/>
        <v>#N/A</v>
      </c>
      <c r="AL69" s="397" t="e">
        <f t="shared" si="239"/>
        <v>#N/A</v>
      </c>
      <c r="AM69" s="400" t="e">
        <f t="shared" si="359"/>
        <v>#N/A</v>
      </c>
      <c r="AN69" s="398" t="e">
        <f t="shared" si="149"/>
        <v>#N/A</v>
      </c>
      <c r="AO69" s="400" t="e">
        <f t="shared" si="240"/>
        <v>#N/A</v>
      </c>
      <c r="AP69" s="398" t="e">
        <f t="shared" si="241"/>
        <v>#N/A</v>
      </c>
      <c r="AQ69" s="401" t="e">
        <f t="shared" si="242"/>
        <v>#N/A</v>
      </c>
      <c r="AR69" s="399" t="e">
        <f t="shared" si="151"/>
        <v>#N/A</v>
      </c>
      <c r="AS69" s="47"/>
      <c r="AT69" s="47"/>
      <c r="AU69" s="396" t="e">
        <f t="shared" si="243"/>
        <v>#N/A</v>
      </c>
      <c r="AV69" s="397" t="e">
        <f t="shared" si="244"/>
        <v>#N/A</v>
      </c>
      <c r="AW69" s="400" t="e">
        <f t="shared" si="360"/>
        <v>#N/A</v>
      </c>
      <c r="AX69" s="398" t="e">
        <f t="shared" si="152"/>
        <v>#N/A</v>
      </c>
      <c r="AY69" s="400" t="e">
        <f t="shared" si="245"/>
        <v>#N/A</v>
      </c>
      <c r="AZ69" s="398" t="e">
        <f t="shared" si="246"/>
        <v>#N/A</v>
      </c>
      <c r="BA69" s="401" t="e">
        <f t="shared" si="247"/>
        <v>#N/A</v>
      </c>
      <c r="BB69" s="399" t="e">
        <f t="shared" si="154"/>
        <v>#N/A</v>
      </c>
      <c r="BC69" s="47"/>
      <c r="BD69" s="47"/>
      <c r="BE69" s="396" t="e">
        <f t="shared" si="248"/>
        <v>#N/A</v>
      </c>
      <c r="BF69" s="397" t="e">
        <f t="shared" si="249"/>
        <v>#N/A</v>
      </c>
      <c r="BG69" s="400" t="e">
        <f t="shared" si="361"/>
        <v>#N/A</v>
      </c>
      <c r="BH69" s="398" t="e">
        <f t="shared" si="155"/>
        <v>#N/A</v>
      </c>
      <c r="BI69" s="400" t="e">
        <f t="shared" si="250"/>
        <v>#N/A</v>
      </c>
      <c r="BJ69" s="398" t="e">
        <f t="shared" si="251"/>
        <v>#N/A</v>
      </c>
      <c r="BK69" s="401" t="e">
        <f t="shared" si="252"/>
        <v>#N/A</v>
      </c>
      <c r="BL69" s="399" t="e">
        <f t="shared" si="157"/>
        <v>#N/A</v>
      </c>
      <c r="BM69" s="47"/>
      <c r="BN69" s="49"/>
      <c r="BO69" s="396" t="e">
        <f t="shared" si="253"/>
        <v>#N/A</v>
      </c>
      <c r="BP69" s="397" t="e">
        <f t="shared" si="254"/>
        <v>#N/A</v>
      </c>
      <c r="BQ69" s="400" t="e">
        <f t="shared" si="362"/>
        <v>#N/A</v>
      </c>
      <c r="BR69" s="398" t="e">
        <f t="shared" si="158"/>
        <v>#N/A</v>
      </c>
      <c r="BS69" s="400" t="e">
        <f t="shared" si="255"/>
        <v>#N/A</v>
      </c>
      <c r="BT69" s="398" t="e">
        <f t="shared" si="256"/>
        <v>#N/A</v>
      </c>
      <c r="BU69" s="401" t="e">
        <f t="shared" si="257"/>
        <v>#N/A</v>
      </c>
      <c r="BV69" s="399" t="e">
        <f t="shared" si="160"/>
        <v>#N/A</v>
      </c>
      <c r="BW69" s="47"/>
      <c r="BX69" s="47"/>
      <c r="BY69" s="396" t="e">
        <f t="shared" si="258"/>
        <v>#N/A</v>
      </c>
      <c r="BZ69" s="397" t="e">
        <f t="shared" si="259"/>
        <v>#N/A</v>
      </c>
      <c r="CA69" s="400" t="e">
        <f t="shared" si="363"/>
        <v>#N/A</v>
      </c>
      <c r="CB69" s="398" t="e">
        <f t="shared" si="161"/>
        <v>#N/A</v>
      </c>
      <c r="CC69" s="400" t="e">
        <f t="shared" si="260"/>
        <v>#N/A</v>
      </c>
      <c r="CD69" s="398" t="e">
        <f t="shared" si="261"/>
        <v>#N/A</v>
      </c>
      <c r="CE69" s="401" t="e">
        <f t="shared" si="262"/>
        <v>#N/A</v>
      </c>
      <c r="CF69" s="399" t="e">
        <f t="shared" si="163"/>
        <v>#N/A</v>
      </c>
      <c r="CG69" s="49"/>
      <c r="CH69" s="47"/>
      <c r="CI69" s="396" t="e">
        <f t="shared" si="263"/>
        <v>#N/A</v>
      </c>
      <c r="CJ69" s="397" t="e">
        <f t="shared" si="264"/>
        <v>#N/A</v>
      </c>
      <c r="CK69" s="400" t="e">
        <f t="shared" si="364"/>
        <v>#N/A</v>
      </c>
      <c r="CL69" s="398" t="e">
        <f t="shared" si="164"/>
        <v>#N/A</v>
      </c>
      <c r="CM69" s="400" t="e">
        <f t="shared" si="265"/>
        <v>#N/A</v>
      </c>
      <c r="CN69" s="398" t="e">
        <f t="shared" si="266"/>
        <v>#N/A</v>
      </c>
      <c r="CO69" s="401" t="e">
        <f t="shared" si="267"/>
        <v>#N/A</v>
      </c>
      <c r="CP69" s="399" t="e">
        <f t="shared" si="166"/>
        <v>#N/A</v>
      </c>
      <c r="CQ69" s="47"/>
      <c r="CS69" s="396" t="e">
        <f t="shared" si="268"/>
        <v>#N/A</v>
      </c>
      <c r="CT69" s="397" t="e">
        <f t="shared" si="269"/>
        <v>#N/A</v>
      </c>
      <c r="CU69" s="400" t="e">
        <f t="shared" si="365"/>
        <v>#N/A</v>
      </c>
      <c r="CV69" s="398" t="e">
        <f t="shared" si="167"/>
        <v>#N/A</v>
      </c>
      <c r="CW69" s="400" t="e">
        <f t="shared" si="270"/>
        <v>#N/A</v>
      </c>
      <c r="CX69" s="398" t="e">
        <f t="shared" si="271"/>
        <v>#N/A</v>
      </c>
      <c r="CY69" s="401" t="e">
        <f t="shared" si="272"/>
        <v>#N/A</v>
      </c>
      <c r="CZ69" s="399" t="e">
        <f t="shared" si="169"/>
        <v>#N/A</v>
      </c>
      <c r="DA69" s="47"/>
      <c r="DB69" s="47"/>
      <c r="DC69" s="396" t="e">
        <f t="shared" si="273"/>
        <v>#N/A</v>
      </c>
      <c r="DD69" s="397" t="e">
        <f t="shared" si="274"/>
        <v>#N/A</v>
      </c>
      <c r="DE69" s="400" t="e">
        <f t="shared" si="366"/>
        <v>#N/A</v>
      </c>
      <c r="DF69" s="398" t="e">
        <f t="shared" si="170"/>
        <v>#N/A</v>
      </c>
      <c r="DG69" s="400" t="e">
        <f t="shared" si="275"/>
        <v>#N/A</v>
      </c>
      <c r="DH69" s="398" t="e">
        <f t="shared" si="276"/>
        <v>#N/A</v>
      </c>
      <c r="DI69" s="401" t="e">
        <f t="shared" si="277"/>
        <v>#N/A</v>
      </c>
      <c r="DJ69" s="399" t="e">
        <f t="shared" si="172"/>
        <v>#N/A</v>
      </c>
      <c r="DK69" s="47"/>
      <c r="DM69" s="396" t="e">
        <f t="shared" si="278"/>
        <v>#N/A</v>
      </c>
      <c r="DN69" s="397" t="e">
        <f t="shared" si="279"/>
        <v>#N/A</v>
      </c>
      <c r="DO69" s="400" t="e">
        <f t="shared" si="367"/>
        <v>#N/A</v>
      </c>
      <c r="DP69" s="398" t="e">
        <f t="shared" si="173"/>
        <v>#N/A</v>
      </c>
      <c r="DQ69" s="400" t="e">
        <f t="shared" si="280"/>
        <v>#N/A</v>
      </c>
      <c r="DR69" s="398" t="e">
        <f t="shared" si="281"/>
        <v>#N/A</v>
      </c>
      <c r="DS69" s="401" t="e">
        <f t="shared" si="282"/>
        <v>#N/A</v>
      </c>
      <c r="DT69" s="399" t="e">
        <f t="shared" si="175"/>
        <v>#N/A</v>
      </c>
      <c r="DU69" s="47"/>
      <c r="DV69" s="49"/>
      <c r="DW69" s="396" t="e">
        <f t="shared" si="283"/>
        <v>#N/A</v>
      </c>
      <c r="DX69" s="397" t="e">
        <f t="shared" si="284"/>
        <v>#N/A</v>
      </c>
      <c r="DY69" s="400" t="e">
        <f t="shared" si="368"/>
        <v>#N/A</v>
      </c>
      <c r="DZ69" s="398" t="e">
        <f t="shared" si="176"/>
        <v>#N/A</v>
      </c>
      <c r="EA69" s="400" t="e">
        <f t="shared" si="285"/>
        <v>#N/A</v>
      </c>
      <c r="EB69" s="398" t="e">
        <f t="shared" si="286"/>
        <v>#N/A</v>
      </c>
      <c r="EC69" s="401" t="e">
        <f t="shared" si="287"/>
        <v>#N/A</v>
      </c>
      <c r="ED69" s="399" t="e">
        <f t="shared" si="178"/>
        <v>#N/A</v>
      </c>
      <c r="EE69" s="47"/>
      <c r="EF69" s="47"/>
      <c r="EG69" s="396" t="e">
        <f t="shared" si="288"/>
        <v>#N/A</v>
      </c>
      <c r="EH69" s="397" t="e">
        <f t="shared" si="289"/>
        <v>#N/A</v>
      </c>
      <c r="EI69" s="400" t="e">
        <f t="shared" si="369"/>
        <v>#N/A</v>
      </c>
      <c r="EJ69" s="398" t="e">
        <f t="shared" si="179"/>
        <v>#N/A</v>
      </c>
      <c r="EK69" s="400" t="e">
        <f t="shared" si="290"/>
        <v>#N/A</v>
      </c>
      <c r="EL69" s="398" t="e">
        <f t="shared" si="291"/>
        <v>#N/A</v>
      </c>
      <c r="EM69" s="401" t="e">
        <f t="shared" si="292"/>
        <v>#N/A</v>
      </c>
      <c r="EN69" s="399" t="e">
        <f t="shared" si="181"/>
        <v>#N/A</v>
      </c>
      <c r="EO69" s="47"/>
      <c r="EP69" s="47"/>
      <c r="EQ69" s="396" t="e">
        <f t="shared" si="293"/>
        <v>#N/A</v>
      </c>
      <c r="ER69" s="397" t="e">
        <f t="shared" si="294"/>
        <v>#N/A</v>
      </c>
      <c r="ES69" s="400" t="e">
        <f t="shared" si="370"/>
        <v>#N/A</v>
      </c>
      <c r="ET69" s="398" t="e">
        <f t="shared" si="182"/>
        <v>#N/A</v>
      </c>
      <c r="EU69" s="400" t="e">
        <f t="shared" si="295"/>
        <v>#N/A</v>
      </c>
      <c r="EV69" s="398" t="e">
        <f t="shared" si="296"/>
        <v>#N/A</v>
      </c>
      <c r="EW69" s="401" t="e">
        <f t="shared" si="297"/>
        <v>#N/A</v>
      </c>
      <c r="EX69" s="399" t="e">
        <f t="shared" si="184"/>
        <v>#N/A</v>
      </c>
      <c r="EY69" s="47"/>
      <c r="EZ69" s="47"/>
      <c r="FA69" s="396" t="e">
        <f t="shared" si="298"/>
        <v>#N/A</v>
      </c>
      <c r="FB69" s="397" t="e">
        <f t="shared" si="299"/>
        <v>#N/A</v>
      </c>
      <c r="FC69" s="400" t="e">
        <f t="shared" si="371"/>
        <v>#N/A</v>
      </c>
      <c r="FD69" s="398" t="e">
        <f t="shared" si="185"/>
        <v>#N/A</v>
      </c>
      <c r="FE69" s="400" t="e">
        <f t="shared" si="300"/>
        <v>#N/A</v>
      </c>
      <c r="FF69" s="398" t="e">
        <f t="shared" si="301"/>
        <v>#N/A</v>
      </c>
      <c r="FG69" s="401" t="e">
        <f t="shared" si="302"/>
        <v>#N/A</v>
      </c>
      <c r="FH69" s="399" t="e">
        <f t="shared" si="187"/>
        <v>#N/A</v>
      </c>
      <c r="FI69" s="47"/>
      <c r="FJ69" s="49"/>
      <c r="FK69" s="396" t="e">
        <f t="shared" si="303"/>
        <v>#N/A</v>
      </c>
      <c r="FL69" s="397" t="e">
        <f t="shared" si="304"/>
        <v>#N/A</v>
      </c>
      <c r="FM69" s="400" t="e">
        <f t="shared" si="372"/>
        <v>#N/A</v>
      </c>
      <c r="FN69" s="398" t="e">
        <f t="shared" si="188"/>
        <v>#N/A</v>
      </c>
      <c r="FO69" s="400" t="e">
        <f t="shared" si="305"/>
        <v>#N/A</v>
      </c>
      <c r="FP69" s="398" t="e">
        <f t="shared" si="306"/>
        <v>#N/A</v>
      </c>
      <c r="FQ69" s="401" t="e">
        <f t="shared" si="307"/>
        <v>#N/A</v>
      </c>
      <c r="FR69" s="399" t="e">
        <f t="shared" si="190"/>
        <v>#N/A</v>
      </c>
      <c r="FS69" s="47"/>
      <c r="FT69" s="47"/>
      <c r="FU69" s="396" t="e">
        <f t="shared" si="308"/>
        <v>#N/A</v>
      </c>
      <c r="FV69" s="397" t="e">
        <f t="shared" si="309"/>
        <v>#N/A</v>
      </c>
      <c r="FW69" s="400" t="e">
        <f t="shared" si="373"/>
        <v>#N/A</v>
      </c>
      <c r="FX69" s="398" t="e">
        <f t="shared" si="191"/>
        <v>#N/A</v>
      </c>
      <c r="FY69" s="400" t="e">
        <f t="shared" si="310"/>
        <v>#N/A</v>
      </c>
      <c r="FZ69" s="398" t="e">
        <f t="shared" si="311"/>
        <v>#N/A</v>
      </c>
      <c r="GA69" s="401" t="e">
        <f t="shared" si="312"/>
        <v>#N/A</v>
      </c>
      <c r="GB69" s="399" t="e">
        <f t="shared" si="193"/>
        <v>#N/A</v>
      </c>
      <c r="GC69" s="47"/>
      <c r="GD69" s="47"/>
      <c r="GE69" s="396" t="e">
        <f t="shared" si="313"/>
        <v>#N/A</v>
      </c>
      <c r="GF69" s="397" t="e">
        <f t="shared" si="314"/>
        <v>#N/A</v>
      </c>
      <c r="GG69" s="400" t="e">
        <f t="shared" si="374"/>
        <v>#N/A</v>
      </c>
      <c r="GH69" s="398" t="e">
        <f t="shared" si="194"/>
        <v>#N/A</v>
      </c>
      <c r="GI69" s="400" t="e">
        <f t="shared" si="315"/>
        <v>#N/A</v>
      </c>
      <c r="GJ69" s="398" t="e">
        <f t="shared" si="316"/>
        <v>#N/A</v>
      </c>
      <c r="GK69" s="401" t="e">
        <f t="shared" si="317"/>
        <v>#N/A</v>
      </c>
      <c r="GL69" s="399" t="e">
        <f t="shared" si="196"/>
        <v>#N/A</v>
      </c>
      <c r="GM69" s="47"/>
      <c r="GN69" s="47"/>
      <c r="GO69" s="396" t="e">
        <f t="shared" si="318"/>
        <v>#N/A</v>
      </c>
      <c r="GP69" s="397" t="e">
        <f t="shared" si="319"/>
        <v>#N/A</v>
      </c>
      <c r="GQ69" s="400" t="e">
        <f t="shared" si="375"/>
        <v>#N/A</v>
      </c>
      <c r="GR69" s="398" t="e">
        <f t="shared" si="197"/>
        <v>#N/A</v>
      </c>
      <c r="GS69" s="400" t="e">
        <f t="shared" si="320"/>
        <v>#N/A</v>
      </c>
      <c r="GT69" s="398" t="e">
        <f t="shared" si="321"/>
        <v>#N/A</v>
      </c>
      <c r="GU69" s="401" t="e">
        <f t="shared" si="322"/>
        <v>#N/A</v>
      </c>
      <c r="GV69" s="399" t="e">
        <f t="shared" si="199"/>
        <v>#N/A</v>
      </c>
      <c r="GW69" s="47"/>
      <c r="GX69" s="47"/>
      <c r="GY69" s="396" t="e">
        <f t="shared" si="323"/>
        <v>#N/A</v>
      </c>
      <c r="GZ69" s="397" t="e">
        <f t="shared" si="324"/>
        <v>#N/A</v>
      </c>
      <c r="HA69" s="400" t="e">
        <f t="shared" si="376"/>
        <v>#N/A</v>
      </c>
      <c r="HB69" s="398" t="e">
        <f t="shared" si="200"/>
        <v>#N/A</v>
      </c>
      <c r="HC69" s="400" t="e">
        <f t="shared" si="325"/>
        <v>#N/A</v>
      </c>
      <c r="HD69" s="398" t="e">
        <f t="shared" si="326"/>
        <v>#N/A</v>
      </c>
      <c r="HE69" s="401" t="e">
        <f t="shared" si="327"/>
        <v>#N/A</v>
      </c>
      <c r="HF69" s="399" t="e">
        <f t="shared" si="202"/>
        <v>#N/A</v>
      </c>
      <c r="HH69" s="47"/>
      <c r="HI69" s="396" t="e">
        <f t="shared" si="328"/>
        <v>#N/A</v>
      </c>
      <c r="HJ69" s="397" t="e">
        <f t="shared" si="329"/>
        <v>#N/A</v>
      </c>
      <c r="HK69" s="400" t="e">
        <f t="shared" si="377"/>
        <v>#N/A</v>
      </c>
      <c r="HL69" s="398" t="e">
        <f t="shared" si="203"/>
        <v>#N/A</v>
      </c>
      <c r="HM69" s="400" t="e">
        <f t="shared" si="330"/>
        <v>#N/A</v>
      </c>
      <c r="HN69" s="398" t="e">
        <f t="shared" si="331"/>
        <v>#N/A</v>
      </c>
      <c r="HO69" s="401" t="e">
        <f t="shared" si="332"/>
        <v>#N/A</v>
      </c>
      <c r="HP69" s="399" t="e">
        <f t="shared" si="205"/>
        <v>#N/A</v>
      </c>
      <c r="HQ69" s="47"/>
      <c r="HR69" s="47"/>
      <c r="HS69" s="396" t="e">
        <f t="shared" si="333"/>
        <v>#N/A</v>
      </c>
      <c r="HT69" s="397" t="e">
        <f t="shared" si="334"/>
        <v>#N/A</v>
      </c>
      <c r="HU69" s="400" t="e">
        <f t="shared" si="378"/>
        <v>#N/A</v>
      </c>
      <c r="HV69" s="398" t="e">
        <f t="shared" si="206"/>
        <v>#N/A</v>
      </c>
      <c r="HW69" s="400" t="e">
        <f t="shared" si="335"/>
        <v>#N/A</v>
      </c>
      <c r="HX69" s="398" t="e">
        <f t="shared" si="336"/>
        <v>#N/A</v>
      </c>
      <c r="HY69" s="401" t="e">
        <f t="shared" si="337"/>
        <v>#N/A</v>
      </c>
      <c r="HZ69" s="399" t="e">
        <f t="shared" si="208"/>
        <v>#N/A</v>
      </c>
      <c r="IA69" s="47"/>
      <c r="IB69" s="49"/>
      <c r="IC69" s="396" t="e">
        <f t="shared" si="338"/>
        <v>#N/A</v>
      </c>
      <c r="ID69" s="397" t="e">
        <f t="shared" si="339"/>
        <v>#N/A</v>
      </c>
      <c r="IE69" s="400" t="e">
        <f t="shared" si="379"/>
        <v>#N/A</v>
      </c>
      <c r="IF69" s="398" t="e">
        <f t="shared" si="209"/>
        <v>#N/A</v>
      </c>
      <c r="IG69" s="400" t="e">
        <f t="shared" si="340"/>
        <v>#N/A</v>
      </c>
      <c r="IH69" s="398" t="e">
        <f t="shared" si="341"/>
        <v>#N/A</v>
      </c>
      <c r="II69" s="401" t="e">
        <f t="shared" si="342"/>
        <v>#N/A</v>
      </c>
      <c r="IJ69" s="399" t="e">
        <f t="shared" si="211"/>
        <v>#N/A</v>
      </c>
      <c r="IK69" s="47"/>
      <c r="IL69" s="47"/>
      <c r="IM69" s="396" t="e">
        <f t="shared" si="343"/>
        <v>#N/A</v>
      </c>
      <c r="IN69" s="397" t="e">
        <f t="shared" si="344"/>
        <v>#N/A</v>
      </c>
      <c r="IO69" s="400" t="e">
        <f t="shared" si="380"/>
        <v>#N/A</v>
      </c>
      <c r="IP69" s="398" t="e">
        <f t="shared" si="212"/>
        <v>#N/A</v>
      </c>
      <c r="IQ69" s="400" t="e">
        <f t="shared" si="345"/>
        <v>#N/A</v>
      </c>
      <c r="IR69" s="398" t="e">
        <f t="shared" si="346"/>
        <v>#N/A</v>
      </c>
      <c r="IS69" s="401" t="e">
        <f t="shared" si="347"/>
        <v>#N/A</v>
      </c>
      <c r="IT69" s="399" t="e">
        <f t="shared" si="214"/>
        <v>#N/A</v>
      </c>
      <c r="IU69" s="47"/>
      <c r="IV69" s="47"/>
      <c r="IW69" s="396" t="e">
        <f t="shared" si="116"/>
        <v>#N/A</v>
      </c>
      <c r="IX69" s="397" t="e">
        <f t="shared" si="117"/>
        <v>#N/A</v>
      </c>
      <c r="IY69" s="400" t="e">
        <f t="shared" si="118"/>
        <v>#N/A</v>
      </c>
      <c r="IZ69" s="398" t="e">
        <f t="shared" si="348"/>
        <v>#N/A</v>
      </c>
      <c r="JA69" s="400" t="e">
        <f t="shared" si="119"/>
        <v>#N/A</v>
      </c>
      <c r="JB69" s="398" t="e">
        <f t="shared" si="120"/>
        <v>#N/A</v>
      </c>
      <c r="JC69" s="401" t="e">
        <f t="shared" si="216"/>
        <v>#N/A</v>
      </c>
      <c r="JD69" s="399" t="e">
        <f t="shared" si="217"/>
        <v>#N/A</v>
      </c>
      <c r="JE69" s="47"/>
      <c r="JF69" s="47"/>
      <c r="JG69" s="396" t="e">
        <f t="shared" si="121"/>
        <v>#N/A</v>
      </c>
      <c r="JH69" s="397" t="e">
        <f t="shared" si="122"/>
        <v>#N/A</v>
      </c>
      <c r="JI69" s="400" t="e">
        <f t="shared" si="123"/>
        <v>#N/A</v>
      </c>
      <c r="JJ69" s="398" t="e">
        <f t="shared" si="349"/>
        <v>#N/A</v>
      </c>
      <c r="JK69" s="400" t="e">
        <f t="shared" si="124"/>
        <v>#N/A</v>
      </c>
      <c r="JL69" s="398" t="e">
        <f t="shared" si="125"/>
        <v>#N/A</v>
      </c>
      <c r="JM69" s="401" t="e">
        <f t="shared" si="219"/>
        <v>#N/A</v>
      </c>
      <c r="JN69" s="399" t="e">
        <f t="shared" si="220"/>
        <v>#N/A</v>
      </c>
      <c r="JO69" s="47"/>
      <c r="JP69" s="47"/>
      <c r="JQ69" s="396" t="e">
        <f t="shared" si="126"/>
        <v>#N/A</v>
      </c>
      <c r="JR69" s="397" t="e">
        <f t="shared" si="127"/>
        <v>#N/A</v>
      </c>
      <c r="JS69" s="400" t="e">
        <f t="shared" si="128"/>
        <v>#N/A</v>
      </c>
      <c r="JT69" s="398" t="e">
        <f t="shared" si="350"/>
        <v>#N/A</v>
      </c>
      <c r="JU69" s="400" t="e">
        <f t="shared" si="129"/>
        <v>#N/A</v>
      </c>
      <c r="JV69" s="398" t="e">
        <f t="shared" si="130"/>
        <v>#N/A</v>
      </c>
      <c r="JW69" s="401" t="e">
        <f t="shared" si="222"/>
        <v>#N/A</v>
      </c>
      <c r="JX69" s="399" t="e">
        <f t="shared" si="223"/>
        <v>#N/A</v>
      </c>
      <c r="JY69" s="47"/>
      <c r="JZ69" s="47"/>
      <c r="KA69" s="396" t="e">
        <f t="shared" si="131"/>
        <v>#N/A</v>
      </c>
      <c r="KB69" s="397" t="e">
        <f t="shared" si="132"/>
        <v>#N/A</v>
      </c>
      <c r="KC69" s="400" t="e">
        <f t="shared" si="133"/>
        <v>#N/A</v>
      </c>
      <c r="KD69" s="398" t="e">
        <f t="shared" si="351"/>
        <v>#N/A</v>
      </c>
      <c r="KE69" s="400" t="e">
        <f t="shared" si="134"/>
        <v>#N/A</v>
      </c>
      <c r="KF69" s="398" t="e">
        <f t="shared" si="135"/>
        <v>#N/A</v>
      </c>
      <c r="KG69" s="401" t="e">
        <f t="shared" si="225"/>
        <v>#N/A</v>
      </c>
      <c r="KH69" s="399" t="e">
        <f t="shared" si="226"/>
        <v>#N/A</v>
      </c>
      <c r="KI69" s="47"/>
      <c r="KJ69" s="47"/>
      <c r="KK69" s="396" t="e">
        <f t="shared" si="136"/>
        <v>#N/A</v>
      </c>
      <c r="KL69" s="397" t="e">
        <f t="shared" si="137"/>
        <v>#N/A</v>
      </c>
      <c r="KM69" s="400" t="e">
        <f t="shared" si="138"/>
        <v>#N/A</v>
      </c>
      <c r="KN69" s="398" t="e">
        <f t="shared" si="352"/>
        <v>#N/A</v>
      </c>
      <c r="KO69" s="400" t="e">
        <f t="shared" si="139"/>
        <v>#N/A</v>
      </c>
      <c r="KP69" s="398" t="e">
        <f t="shared" si="140"/>
        <v>#N/A</v>
      </c>
      <c r="KQ69" s="401" t="e">
        <f t="shared" si="228"/>
        <v>#N/A</v>
      </c>
      <c r="KR69" s="399" t="e">
        <f t="shared" si="229"/>
        <v>#N/A</v>
      </c>
      <c r="KS69" s="47"/>
      <c r="KT69" s="47"/>
      <c r="KU69" s="396" t="e">
        <f t="shared" si="353"/>
        <v>#N/A</v>
      </c>
      <c r="KV69" s="397" t="e">
        <f t="shared" si="354"/>
        <v>#N/A</v>
      </c>
      <c r="KW69" s="400" t="e">
        <f t="shared" si="381"/>
        <v>#N/A</v>
      </c>
      <c r="KX69" s="398" t="e">
        <f t="shared" si="230"/>
        <v>#N/A</v>
      </c>
      <c r="KY69" s="400" t="e">
        <f t="shared" si="355"/>
        <v>#N/A</v>
      </c>
      <c r="KZ69" s="398" t="e">
        <f t="shared" si="356"/>
        <v>#N/A</v>
      </c>
      <c r="LA69" s="401" t="e">
        <f t="shared" si="357"/>
        <v>#N/A</v>
      </c>
      <c r="LB69" s="399" t="e">
        <f t="shared" si="232"/>
        <v>#N/A</v>
      </c>
      <c r="LC69" s="47"/>
    </row>
    <row r="70" spans="26:315" x14ac:dyDescent="0.25">
      <c r="Z70" s="413"/>
      <c r="AA70" s="396" t="e">
        <f t="shared" si="233"/>
        <v>#N/A</v>
      </c>
      <c r="AB70" s="397" t="e">
        <f t="shared" si="234"/>
        <v>#N/A</v>
      </c>
      <c r="AC70" s="400" t="e">
        <f t="shared" si="358"/>
        <v>#N/A</v>
      </c>
      <c r="AD70" s="398" t="e">
        <f t="shared" si="146"/>
        <v>#N/A</v>
      </c>
      <c r="AE70" s="400" t="e">
        <f t="shared" si="235"/>
        <v>#N/A</v>
      </c>
      <c r="AF70" s="398" t="e">
        <f t="shared" si="236"/>
        <v>#N/A</v>
      </c>
      <c r="AG70" s="401" t="e">
        <f t="shared" si="237"/>
        <v>#N/A</v>
      </c>
      <c r="AH70" s="399" t="e">
        <f t="shared" si="148"/>
        <v>#N/A</v>
      </c>
      <c r="AI70" s="47"/>
      <c r="AJ70" s="47"/>
      <c r="AK70" s="396" t="e">
        <f t="shared" si="238"/>
        <v>#N/A</v>
      </c>
      <c r="AL70" s="397" t="e">
        <f t="shared" si="239"/>
        <v>#N/A</v>
      </c>
      <c r="AM70" s="400" t="e">
        <f t="shared" si="359"/>
        <v>#N/A</v>
      </c>
      <c r="AN70" s="398" t="e">
        <f t="shared" si="149"/>
        <v>#N/A</v>
      </c>
      <c r="AO70" s="400" t="e">
        <f t="shared" si="240"/>
        <v>#N/A</v>
      </c>
      <c r="AP70" s="398" t="e">
        <f t="shared" si="241"/>
        <v>#N/A</v>
      </c>
      <c r="AQ70" s="401" t="e">
        <f t="shared" si="242"/>
        <v>#N/A</v>
      </c>
      <c r="AR70" s="399" t="e">
        <f t="shared" si="151"/>
        <v>#N/A</v>
      </c>
      <c r="AS70" s="47"/>
      <c r="AT70" s="47"/>
      <c r="AU70" s="396" t="e">
        <f t="shared" si="243"/>
        <v>#N/A</v>
      </c>
      <c r="AV70" s="397" t="e">
        <f t="shared" si="244"/>
        <v>#N/A</v>
      </c>
      <c r="AW70" s="400" t="e">
        <f t="shared" si="360"/>
        <v>#N/A</v>
      </c>
      <c r="AX70" s="398" t="e">
        <f t="shared" si="152"/>
        <v>#N/A</v>
      </c>
      <c r="AY70" s="400" t="e">
        <f t="shared" si="245"/>
        <v>#N/A</v>
      </c>
      <c r="AZ70" s="398" t="e">
        <f t="shared" si="246"/>
        <v>#N/A</v>
      </c>
      <c r="BA70" s="401" t="e">
        <f t="shared" si="247"/>
        <v>#N/A</v>
      </c>
      <c r="BB70" s="399" t="e">
        <f t="shared" si="154"/>
        <v>#N/A</v>
      </c>
      <c r="BC70" s="47"/>
      <c r="BD70" s="47"/>
      <c r="BE70" s="396" t="e">
        <f t="shared" si="248"/>
        <v>#N/A</v>
      </c>
      <c r="BF70" s="397" t="e">
        <f t="shared" si="249"/>
        <v>#N/A</v>
      </c>
      <c r="BG70" s="400" t="e">
        <f t="shared" si="361"/>
        <v>#N/A</v>
      </c>
      <c r="BH70" s="398" t="e">
        <f t="shared" si="155"/>
        <v>#N/A</v>
      </c>
      <c r="BI70" s="400" t="e">
        <f t="shared" si="250"/>
        <v>#N/A</v>
      </c>
      <c r="BJ70" s="398" t="e">
        <f t="shared" si="251"/>
        <v>#N/A</v>
      </c>
      <c r="BK70" s="401" t="e">
        <f t="shared" si="252"/>
        <v>#N/A</v>
      </c>
      <c r="BL70" s="399" t="e">
        <f t="shared" si="157"/>
        <v>#N/A</v>
      </c>
      <c r="BM70" s="47"/>
      <c r="BN70" s="49"/>
      <c r="BO70" s="396" t="e">
        <f t="shared" si="253"/>
        <v>#N/A</v>
      </c>
      <c r="BP70" s="397" t="e">
        <f t="shared" si="254"/>
        <v>#N/A</v>
      </c>
      <c r="BQ70" s="400" t="e">
        <f t="shared" si="362"/>
        <v>#N/A</v>
      </c>
      <c r="BR70" s="398" t="e">
        <f t="shared" si="158"/>
        <v>#N/A</v>
      </c>
      <c r="BS70" s="400" t="e">
        <f t="shared" si="255"/>
        <v>#N/A</v>
      </c>
      <c r="BT70" s="398" t="e">
        <f t="shared" si="256"/>
        <v>#N/A</v>
      </c>
      <c r="BU70" s="401" t="e">
        <f t="shared" si="257"/>
        <v>#N/A</v>
      </c>
      <c r="BV70" s="399" t="e">
        <f t="shared" si="160"/>
        <v>#N/A</v>
      </c>
      <c r="BW70" s="47"/>
      <c r="BX70" s="47"/>
      <c r="BY70" s="396" t="e">
        <f t="shared" si="258"/>
        <v>#N/A</v>
      </c>
      <c r="BZ70" s="397" t="e">
        <f t="shared" si="259"/>
        <v>#N/A</v>
      </c>
      <c r="CA70" s="400" t="e">
        <f t="shared" si="363"/>
        <v>#N/A</v>
      </c>
      <c r="CB70" s="398" t="e">
        <f t="shared" si="161"/>
        <v>#N/A</v>
      </c>
      <c r="CC70" s="400" t="e">
        <f t="shared" si="260"/>
        <v>#N/A</v>
      </c>
      <c r="CD70" s="398" t="e">
        <f t="shared" si="261"/>
        <v>#N/A</v>
      </c>
      <c r="CE70" s="401" t="e">
        <f t="shared" si="262"/>
        <v>#N/A</v>
      </c>
      <c r="CF70" s="399" t="e">
        <f t="shared" si="163"/>
        <v>#N/A</v>
      </c>
      <c r="CG70" s="49"/>
      <c r="CH70" s="47"/>
      <c r="CI70" s="396" t="e">
        <f t="shared" si="263"/>
        <v>#N/A</v>
      </c>
      <c r="CJ70" s="397" t="e">
        <f t="shared" si="264"/>
        <v>#N/A</v>
      </c>
      <c r="CK70" s="400" t="e">
        <f t="shared" si="364"/>
        <v>#N/A</v>
      </c>
      <c r="CL70" s="398" t="e">
        <f t="shared" si="164"/>
        <v>#N/A</v>
      </c>
      <c r="CM70" s="400" t="e">
        <f t="shared" si="265"/>
        <v>#N/A</v>
      </c>
      <c r="CN70" s="398" t="e">
        <f t="shared" si="266"/>
        <v>#N/A</v>
      </c>
      <c r="CO70" s="401" t="e">
        <f t="shared" si="267"/>
        <v>#N/A</v>
      </c>
      <c r="CP70" s="399" t="e">
        <f t="shared" si="166"/>
        <v>#N/A</v>
      </c>
      <c r="CQ70" s="47"/>
      <c r="CS70" s="396" t="e">
        <f t="shared" si="268"/>
        <v>#N/A</v>
      </c>
      <c r="CT70" s="397" t="e">
        <f t="shared" si="269"/>
        <v>#N/A</v>
      </c>
      <c r="CU70" s="400" t="e">
        <f t="shared" si="365"/>
        <v>#N/A</v>
      </c>
      <c r="CV70" s="398" t="e">
        <f t="shared" si="167"/>
        <v>#N/A</v>
      </c>
      <c r="CW70" s="400" t="e">
        <f t="shared" si="270"/>
        <v>#N/A</v>
      </c>
      <c r="CX70" s="398" t="e">
        <f t="shared" si="271"/>
        <v>#N/A</v>
      </c>
      <c r="CY70" s="401" t="e">
        <f t="shared" si="272"/>
        <v>#N/A</v>
      </c>
      <c r="CZ70" s="399" t="e">
        <f t="shared" si="169"/>
        <v>#N/A</v>
      </c>
      <c r="DA70" s="47"/>
      <c r="DB70" s="47"/>
      <c r="DC70" s="396" t="e">
        <f t="shared" si="273"/>
        <v>#N/A</v>
      </c>
      <c r="DD70" s="397" t="e">
        <f t="shared" si="274"/>
        <v>#N/A</v>
      </c>
      <c r="DE70" s="400" t="e">
        <f t="shared" si="366"/>
        <v>#N/A</v>
      </c>
      <c r="DF70" s="398" t="e">
        <f t="shared" si="170"/>
        <v>#N/A</v>
      </c>
      <c r="DG70" s="400" t="e">
        <f t="shared" si="275"/>
        <v>#N/A</v>
      </c>
      <c r="DH70" s="398" t="e">
        <f t="shared" si="276"/>
        <v>#N/A</v>
      </c>
      <c r="DI70" s="401" t="e">
        <f t="shared" si="277"/>
        <v>#N/A</v>
      </c>
      <c r="DJ70" s="399" t="e">
        <f t="shared" si="172"/>
        <v>#N/A</v>
      </c>
      <c r="DK70" s="47"/>
      <c r="DM70" s="396" t="e">
        <f t="shared" si="278"/>
        <v>#N/A</v>
      </c>
      <c r="DN70" s="397" t="e">
        <f t="shared" si="279"/>
        <v>#N/A</v>
      </c>
      <c r="DO70" s="400" t="e">
        <f t="shared" si="367"/>
        <v>#N/A</v>
      </c>
      <c r="DP70" s="398" t="e">
        <f t="shared" si="173"/>
        <v>#N/A</v>
      </c>
      <c r="DQ70" s="400" t="e">
        <f t="shared" si="280"/>
        <v>#N/A</v>
      </c>
      <c r="DR70" s="398" t="e">
        <f t="shared" si="281"/>
        <v>#N/A</v>
      </c>
      <c r="DS70" s="401" t="e">
        <f t="shared" si="282"/>
        <v>#N/A</v>
      </c>
      <c r="DT70" s="399" t="e">
        <f t="shared" si="175"/>
        <v>#N/A</v>
      </c>
      <c r="DU70" s="47"/>
      <c r="DV70" s="49"/>
      <c r="DW70" s="396" t="e">
        <f t="shared" si="283"/>
        <v>#N/A</v>
      </c>
      <c r="DX70" s="397" t="e">
        <f t="shared" si="284"/>
        <v>#N/A</v>
      </c>
      <c r="DY70" s="400" t="e">
        <f t="shared" si="368"/>
        <v>#N/A</v>
      </c>
      <c r="DZ70" s="398" t="e">
        <f t="shared" si="176"/>
        <v>#N/A</v>
      </c>
      <c r="EA70" s="400" t="e">
        <f t="shared" si="285"/>
        <v>#N/A</v>
      </c>
      <c r="EB70" s="398" t="e">
        <f t="shared" si="286"/>
        <v>#N/A</v>
      </c>
      <c r="EC70" s="401" t="e">
        <f t="shared" si="287"/>
        <v>#N/A</v>
      </c>
      <c r="ED70" s="399" t="e">
        <f t="shared" si="178"/>
        <v>#N/A</v>
      </c>
      <c r="EE70" s="47"/>
      <c r="EF70" s="47"/>
      <c r="EG70" s="396" t="e">
        <f t="shared" si="288"/>
        <v>#N/A</v>
      </c>
      <c r="EH70" s="397" t="e">
        <f t="shared" si="289"/>
        <v>#N/A</v>
      </c>
      <c r="EI70" s="400" t="e">
        <f t="shared" si="369"/>
        <v>#N/A</v>
      </c>
      <c r="EJ70" s="398" t="e">
        <f t="shared" si="179"/>
        <v>#N/A</v>
      </c>
      <c r="EK70" s="400" t="e">
        <f t="shared" si="290"/>
        <v>#N/A</v>
      </c>
      <c r="EL70" s="398" t="e">
        <f t="shared" si="291"/>
        <v>#N/A</v>
      </c>
      <c r="EM70" s="401" t="e">
        <f t="shared" si="292"/>
        <v>#N/A</v>
      </c>
      <c r="EN70" s="399" t="e">
        <f t="shared" si="181"/>
        <v>#N/A</v>
      </c>
      <c r="EO70" s="47"/>
      <c r="EP70" s="47"/>
      <c r="EQ70" s="396" t="e">
        <f t="shared" si="293"/>
        <v>#N/A</v>
      </c>
      <c r="ER70" s="397" t="e">
        <f t="shared" si="294"/>
        <v>#N/A</v>
      </c>
      <c r="ES70" s="400" t="e">
        <f t="shared" si="370"/>
        <v>#N/A</v>
      </c>
      <c r="ET70" s="398" t="e">
        <f t="shared" si="182"/>
        <v>#N/A</v>
      </c>
      <c r="EU70" s="400" t="e">
        <f t="shared" si="295"/>
        <v>#N/A</v>
      </c>
      <c r="EV70" s="398" t="e">
        <f t="shared" si="296"/>
        <v>#N/A</v>
      </c>
      <c r="EW70" s="401" t="e">
        <f t="shared" si="297"/>
        <v>#N/A</v>
      </c>
      <c r="EX70" s="399" t="e">
        <f t="shared" si="184"/>
        <v>#N/A</v>
      </c>
      <c r="EY70" s="47"/>
      <c r="EZ70" s="47"/>
      <c r="FA70" s="396" t="e">
        <f t="shared" si="298"/>
        <v>#N/A</v>
      </c>
      <c r="FB70" s="397" t="e">
        <f t="shared" si="299"/>
        <v>#N/A</v>
      </c>
      <c r="FC70" s="400" t="e">
        <f t="shared" si="371"/>
        <v>#N/A</v>
      </c>
      <c r="FD70" s="398" t="e">
        <f t="shared" si="185"/>
        <v>#N/A</v>
      </c>
      <c r="FE70" s="400" t="e">
        <f t="shared" si="300"/>
        <v>#N/A</v>
      </c>
      <c r="FF70" s="398" t="e">
        <f t="shared" si="301"/>
        <v>#N/A</v>
      </c>
      <c r="FG70" s="401" t="e">
        <f t="shared" si="302"/>
        <v>#N/A</v>
      </c>
      <c r="FH70" s="399" t="e">
        <f t="shared" si="187"/>
        <v>#N/A</v>
      </c>
      <c r="FI70" s="47"/>
      <c r="FJ70" s="49"/>
      <c r="FK70" s="396" t="e">
        <f t="shared" si="303"/>
        <v>#N/A</v>
      </c>
      <c r="FL70" s="397" t="e">
        <f t="shared" si="304"/>
        <v>#N/A</v>
      </c>
      <c r="FM70" s="400" t="e">
        <f t="shared" si="372"/>
        <v>#N/A</v>
      </c>
      <c r="FN70" s="398" t="e">
        <f t="shared" si="188"/>
        <v>#N/A</v>
      </c>
      <c r="FO70" s="400" t="e">
        <f t="shared" si="305"/>
        <v>#N/A</v>
      </c>
      <c r="FP70" s="398" t="e">
        <f t="shared" si="306"/>
        <v>#N/A</v>
      </c>
      <c r="FQ70" s="401" t="e">
        <f t="shared" si="307"/>
        <v>#N/A</v>
      </c>
      <c r="FR70" s="399" t="e">
        <f t="shared" si="190"/>
        <v>#N/A</v>
      </c>
      <c r="FS70" s="47"/>
      <c r="FT70" s="47"/>
      <c r="FU70" s="396" t="e">
        <f t="shared" si="308"/>
        <v>#N/A</v>
      </c>
      <c r="FV70" s="397" t="e">
        <f t="shared" si="309"/>
        <v>#N/A</v>
      </c>
      <c r="FW70" s="400" t="e">
        <f t="shared" si="373"/>
        <v>#N/A</v>
      </c>
      <c r="FX70" s="398" t="e">
        <f t="shared" si="191"/>
        <v>#N/A</v>
      </c>
      <c r="FY70" s="400" t="e">
        <f t="shared" si="310"/>
        <v>#N/A</v>
      </c>
      <c r="FZ70" s="398" t="e">
        <f t="shared" si="311"/>
        <v>#N/A</v>
      </c>
      <c r="GA70" s="401" t="e">
        <f t="shared" si="312"/>
        <v>#N/A</v>
      </c>
      <c r="GB70" s="399" t="e">
        <f t="shared" si="193"/>
        <v>#N/A</v>
      </c>
      <c r="GC70" s="47"/>
      <c r="GD70" s="47"/>
      <c r="GE70" s="396" t="e">
        <f t="shared" si="313"/>
        <v>#N/A</v>
      </c>
      <c r="GF70" s="397" t="e">
        <f t="shared" si="314"/>
        <v>#N/A</v>
      </c>
      <c r="GG70" s="400" t="e">
        <f t="shared" si="374"/>
        <v>#N/A</v>
      </c>
      <c r="GH70" s="398" t="e">
        <f t="shared" si="194"/>
        <v>#N/A</v>
      </c>
      <c r="GI70" s="400" t="e">
        <f t="shared" si="315"/>
        <v>#N/A</v>
      </c>
      <c r="GJ70" s="398" t="e">
        <f t="shared" si="316"/>
        <v>#N/A</v>
      </c>
      <c r="GK70" s="401" t="e">
        <f t="shared" si="317"/>
        <v>#N/A</v>
      </c>
      <c r="GL70" s="399" t="e">
        <f t="shared" si="196"/>
        <v>#N/A</v>
      </c>
      <c r="GM70" s="47"/>
      <c r="GN70" s="47"/>
      <c r="GO70" s="396" t="e">
        <f t="shared" si="318"/>
        <v>#N/A</v>
      </c>
      <c r="GP70" s="397" t="e">
        <f t="shared" si="319"/>
        <v>#N/A</v>
      </c>
      <c r="GQ70" s="400" t="e">
        <f t="shared" si="375"/>
        <v>#N/A</v>
      </c>
      <c r="GR70" s="398" t="e">
        <f t="shared" si="197"/>
        <v>#N/A</v>
      </c>
      <c r="GS70" s="400" t="e">
        <f t="shared" si="320"/>
        <v>#N/A</v>
      </c>
      <c r="GT70" s="398" t="e">
        <f t="shared" si="321"/>
        <v>#N/A</v>
      </c>
      <c r="GU70" s="401" t="e">
        <f t="shared" si="322"/>
        <v>#N/A</v>
      </c>
      <c r="GV70" s="399" t="e">
        <f t="shared" si="199"/>
        <v>#N/A</v>
      </c>
      <c r="GW70" s="47"/>
      <c r="GX70" s="47"/>
      <c r="GY70" s="396" t="e">
        <f t="shared" si="323"/>
        <v>#N/A</v>
      </c>
      <c r="GZ70" s="397" t="e">
        <f t="shared" si="324"/>
        <v>#N/A</v>
      </c>
      <c r="HA70" s="400" t="e">
        <f t="shared" si="376"/>
        <v>#N/A</v>
      </c>
      <c r="HB70" s="398" t="e">
        <f t="shared" si="200"/>
        <v>#N/A</v>
      </c>
      <c r="HC70" s="400" t="e">
        <f t="shared" si="325"/>
        <v>#N/A</v>
      </c>
      <c r="HD70" s="398" t="e">
        <f t="shared" si="326"/>
        <v>#N/A</v>
      </c>
      <c r="HE70" s="401" t="e">
        <f t="shared" si="327"/>
        <v>#N/A</v>
      </c>
      <c r="HF70" s="399" t="e">
        <f t="shared" si="202"/>
        <v>#N/A</v>
      </c>
      <c r="HH70" s="47"/>
      <c r="HI70" s="396" t="e">
        <f t="shared" si="328"/>
        <v>#N/A</v>
      </c>
      <c r="HJ70" s="397" t="e">
        <f t="shared" si="329"/>
        <v>#N/A</v>
      </c>
      <c r="HK70" s="400" t="e">
        <f t="shared" si="377"/>
        <v>#N/A</v>
      </c>
      <c r="HL70" s="398" t="e">
        <f t="shared" si="203"/>
        <v>#N/A</v>
      </c>
      <c r="HM70" s="400" t="e">
        <f t="shared" si="330"/>
        <v>#N/A</v>
      </c>
      <c r="HN70" s="398" t="e">
        <f t="shared" si="331"/>
        <v>#N/A</v>
      </c>
      <c r="HO70" s="401" t="e">
        <f t="shared" si="332"/>
        <v>#N/A</v>
      </c>
      <c r="HP70" s="399" t="e">
        <f t="shared" si="205"/>
        <v>#N/A</v>
      </c>
      <c r="HQ70" s="47"/>
      <c r="HR70" s="47"/>
      <c r="HS70" s="396" t="e">
        <f t="shared" si="333"/>
        <v>#N/A</v>
      </c>
      <c r="HT70" s="397" t="e">
        <f t="shared" si="334"/>
        <v>#N/A</v>
      </c>
      <c r="HU70" s="400" t="e">
        <f t="shared" si="378"/>
        <v>#N/A</v>
      </c>
      <c r="HV70" s="398" t="e">
        <f t="shared" si="206"/>
        <v>#N/A</v>
      </c>
      <c r="HW70" s="400" t="e">
        <f t="shared" si="335"/>
        <v>#N/A</v>
      </c>
      <c r="HX70" s="398" t="e">
        <f t="shared" si="336"/>
        <v>#N/A</v>
      </c>
      <c r="HY70" s="401" t="e">
        <f t="shared" si="337"/>
        <v>#N/A</v>
      </c>
      <c r="HZ70" s="399" t="e">
        <f t="shared" si="208"/>
        <v>#N/A</v>
      </c>
      <c r="IA70" s="47"/>
      <c r="IB70" s="49"/>
      <c r="IC70" s="396" t="e">
        <f t="shared" si="338"/>
        <v>#N/A</v>
      </c>
      <c r="ID70" s="397" t="e">
        <f t="shared" si="339"/>
        <v>#N/A</v>
      </c>
      <c r="IE70" s="400" t="e">
        <f t="shared" si="379"/>
        <v>#N/A</v>
      </c>
      <c r="IF70" s="398" t="e">
        <f t="shared" si="209"/>
        <v>#N/A</v>
      </c>
      <c r="IG70" s="400" t="e">
        <f t="shared" si="340"/>
        <v>#N/A</v>
      </c>
      <c r="IH70" s="398" t="e">
        <f t="shared" si="341"/>
        <v>#N/A</v>
      </c>
      <c r="II70" s="401" t="e">
        <f t="shared" si="342"/>
        <v>#N/A</v>
      </c>
      <c r="IJ70" s="399" t="e">
        <f t="shared" si="211"/>
        <v>#N/A</v>
      </c>
      <c r="IK70" s="47"/>
      <c r="IL70" s="47"/>
      <c r="IM70" s="396" t="e">
        <f t="shared" si="343"/>
        <v>#N/A</v>
      </c>
      <c r="IN70" s="397" t="e">
        <f t="shared" si="344"/>
        <v>#N/A</v>
      </c>
      <c r="IO70" s="400" t="e">
        <f t="shared" si="380"/>
        <v>#N/A</v>
      </c>
      <c r="IP70" s="398" t="e">
        <f t="shared" si="212"/>
        <v>#N/A</v>
      </c>
      <c r="IQ70" s="400" t="e">
        <f t="shared" si="345"/>
        <v>#N/A</v>
      </c>
      <c r="IR70" s="398" t="e">
        <f t="shared" si="346"/>
        <v>#N/A</v>
      </c>
      <c r="IS70" s="401" t="e">
        <f t="shared" si="347"/>
        <v>#N/A</v>
      </c>
      <c r="IT70" s="399" t="e">
        <f t="shared" si="214"/>
        <v>#N/A</v>
      </c>
      <c r="IU70" s="47"/>
      <c r="IV70" s="47"/>
      <c r="IW70" s="396" t="e">
        <f t="shared" si="116"/>
        <v>#N/A</v>
      </c>
      <c r="IX70" s="397" t="e">
        <f t="shared" si="117"/>
        <v>#N/A</v>
      </c>
      <c r="IY70" s="400" t="e">
        <f t="shared" si="118"/>
        <v>#N/A</v>
      </c>
      <c r="IZ70" s="398" t="e">
        <f t="shared" si="348"/>
        <v>#N/A</v>
      </c>
      <c r="JA70" s="400" t="e">
        <f t="shared" si="119"/>
        <v>#N/A</v>
      </c>
      <c r="JB70" s="398" t="e">
        <f t="shared" si="120"/>
        <v>#N/A</v>
      </c>
      <c r="JC70" s="401" t="e">
        <f t="shared" si="216"/>
        <v>#N/A</v>
      </c>
      <c r="JD70" s="399" t="e">
        <f t="shared" si="217"/>
        <v>#N/A</v>
      </c>
      <c r="JE70" s="47"/>
      <c r="JF70" s="47"/>
      <c r="JG70" s="396" t="e">
        <f t="shared" si="121"/>
        <v>#N/A</v>
      </c>
      <c r="JH70" s="397" t="e">
        <f t="shared" si="122"/>
        <v>#N/A</v>
      </c>
      <c r="JI70" s="400" t="e">
        <f t="shared" si="123"/>
        <v>#N/A</v>
      </c>
      <c r="JJ70" s="398" t="e">
        <f t="shared" si="349"/>
        <v>#N/A</v>
      </c>
      <c r="JK70" s="400" t="e">
        <f t="shared" si="124"/>
        <v>#N/A</v>
      </c>
      <c r="JL70" s="398" t="e">
        <f t="shared" si="125"/>
        <v>#N/A</v>
      </c>
      <c r="JM70" s="401" t="e">
        <f t="shared" si="219"/>
        <v>#N/A</v>
      </c>
      <c r="JN70" s="399" t="e">
        <f t="shared" si="220"/>
        <v>#N/A</v>
      </c>
      <c r="JO70" s="47"/>
      <c r="JP70" s="47"/>
      <c r="JQ70" s="396" t="e">
        <f t="shared" si="126"/>
        <v>#N/A</v>
      </c>
      <c r="JR70" s="397" t="e">
        <f t="shared" si="127"/>
        <v>#N/A</v>
      </c>
      <c r="JS70" s="400" t="e">
        <f t="shared" si="128"/>
        <v>#N/A</v>
      </c>
      <c r="JT70" s="398" t="e">
        <f t="shared" si="350"/>
        <v>#N/A</v>
      </c>
      <c r="JU70" s="400" t="e">
        <f t="shared" si="129"/>
        <v>#N/A</v>
      </c>
      <c r="JV70" s="398" t="e">
        <f t="shared" si="130"/>
        <v>#N/A</v>
      </c>
      <c r="JW70" s="401" t="e">
        <f t="shared" si="222"/>
        <v>#N/A</v>
      </c>
      <c r="JX70" s="399" t="e">
        <f t="shared" si="223"/>
        <v>#N/A</v>
      </c>
      <c r="JY70" s="47"/>
      <c r="JZ70" s="47"/>
      <c r="KA70" s="396" t="e">
        <f t="shared" si="131"/>
        <v>#N/A</v>
      </c>
      <c r="KB70" s="397" t="e">
        <f t="shared" si="132"/>
        <v>#N/A</v>
      </c>
      <c r="KC70" s="400" t="e">
        <f t="shared" si="133"/>
        <v>#N/A</v>
      </c>
      <c r="KD70" s="398" t="e">
        <f t="shared" si="351"/>
        <v>#N/A</v>
      </c>
      <c r="KE70" s="400" t="e">
        <f t="shared" si="134"/>
        <v>#N/A</v>
      </c>
      <c r="KF70" s="398" t="e">
        <f t="shared" si="135"/>
        <v>#N/A</v>
      </c>
      <c r="KG70" s="401" t="e">
        <f t="shared" si="225"/>
        <v>#N/A</v>
      </c>
      <c r="KH70" s="399" t="e">
        <f t="shared" si="226"/>
        <v>#N/A</v>
      </c>
      <c r="KI70" s="47"/>
      <c r="KJ70" s="47"/>
      <c r="KK70" s="396" t="e">
        <f t="shared" si="136"/>
        <v>#N/A</v>
      </c>
      <c r="KL70" s="397" t="e">
        <f t="shared" si="137"/>
        <v>#N/A</v>
      </c>
      <c r="KM70" s="400" t="e">
        <f t="shared" si="138"/>
        <v>#N/A</v>
      </c>
      <c r="KN70" s="398" t="e">
        <f t="shared" si="352"/>
        <v>#N/A</v>
      </c>
      <c r="KO70" s="400" t="e">
        <f t="shared" si="139"/>
        <v>#N/A</v>
      </c>
      <c r="KP70" s="398" t="e">
        <f t="shared" si="140"/>
        <v>#N/A</v>
      </c>
      <c r="KQ70" s="401" t="e">
        <f t="shared" si="228"/>
        <v>#N/A</v>
      </c>
      <c r="KR70" s="399" t="e">
        <f t="shared" si="229"/>
        <v>#N/A</v>
      </c>
      <c r="KS70" s="47"/>
      <c r="KT70" s="47"/>
      <c r="KU70" s="396" t="e">
        <f t="shared" si="353"/>
        <v>#N/A</v>
      </c>
      <c r="KV70" s="397" t="e">
        <f t="shared" si="354"/>
        <v>#N/A</v>
      </c>
      <c r="KW70" s="400" t="e">
        <f t="shared" si="381"/>
        <v>#N/A</v>
      </c>
      <c r="KX70" s="398" t="e">
        <f t="shared" si="230"/>
        <v>#N/A</v>
      </c>
      <c r="KY70" s="400" t="e">
        <f t="shared" si="355"/>
        <v>#N/A</v>
      </c>
      <c r="KZ70" s="398" t="e">
        <f t="shared" si="356"/>
        <v>#N/A</v>
      </c>
      <c r="LA70" s="401" t="e">
        <f t="shared" si="357"/>
        <v>#N/A</v>
      </c>
      <c r="LB70" s="399" t="e">
        <f t="shared" si="232"/>
        <v>#N/A</v>
      </c>
      <c r="LC70" s="47"/>
    </row>
    <row r="71" spans="26:315" x14ac:dyDescent="0.25">
      <c r="Z71" s="413"/>
      <c r="AA71" s="396" t="e">
        <f t="shared" si="233"/>
        <v>#N/A</v>
      </c>
      <c r="AB71" s="397" t="e">
        <f t="shared" si="234"/>
        <v>#N/A</v>
      </c>
      <c r="AC71" s="400" t="e">
        <f t="shared" si="358"/>
        <v>#N/A</v>
      </c>
      <c r="AD71" s="398" t="e">
        <f t="shared" si="146"/>
        <v>#N/A</v>
      </c>
      <c r="AE71" s="400" t="e">
        <f t="shared" si="235"/>
        <v>#N/A</v>
      </c>
      <c r="AF71" s="398" t="e">
        <f t="shared" si="236"/>
        <v>#N/A</v>
      </c>
      <c r="AG71" s="401" t="e">
        <f t="shared" si="237"/>
        <v>#N/A</v>
      </c>
      <c r="AH71" s="399" t="e">
        <f t="shared" si="148"/>
        <v>#N/A</v>
      </c>
      <c r="AI71" s="47"/>
      <c r="AJ71" s="47"/>
      <c r="AK71" s="396" t="e">
        <f t="shared" si="238"/>
        <v>#N/A</v>
      </c>
      <c r="AL71" s="397" t="e">
        <f t="shared" si="239"/>
        <v>#N/A</v>
      </c>
      <c r="AM71" s="400" t="e">
        <f t="shared" si="359"/>
        <v>#N/A</v>
      </c>
      <c r="AN71" s="398" t="e">
        <f t="shared" si="149"/>
        <v>#N/A</v>
      </c>
      <c r="AO71" s="400" t="e">
        <f t="shared" si="240"/>
        <v>#N/A</v>
      </c>
      <c r="AP71" s="398" t="e">
        <f t="shared" si="241"/>
        <v>#N/A</v>
      </c>
      <c r="AQ71" s="401" t="e">
        <f t="shared" si="242"/>
        <v>#N/A</v>
      </c>
      <c r="AR71" s="399" t="e">
        <f t="shared" si="151"/>
        <v>#N/A</v>
      </c>
      <c r="AS71" s="47"/>
      <c r="AT71" s="47"/>
      <c r="AU71" s="396" t="e">
        <f t="shared" si="243"/>
        <v>#N/A</v>
      </c>
      <c r="AV71" s="397" t="e">
        <f t="shared" si="244"/>
        <v>#N/A</v>
      </c>
      <c r="AW71" s="400" t="e">
        <f t="shared" si="360"/>
        <v>#N/A</v>
      </c>
      <c r="AX71" s="398" t="e">
        <f t="shared" si="152"/>
        <v>#N/A</v>
      </c>
      <c r="AY71" s="400" t="e">
        <f t="shared" si="245"/>
        <v>#N/A</v>
      </c>
      <c r="AZ71" s="398" t="e">
        <f t="shared" si="246"/>
        <v>#N/A</v>
      </c>
      <c r="BA71" s="401" t="e">
        <f t="shared" si="247"/>
        <v>#N/A</v>
      </c>
      <c r="BB71" s="399" t="e">
        <f t="shared" si="154"/>
        <v>#N/A</v>
      </c>
      <c r="BC71" s="47"/>
      <c r="BD71" s="47"/>
      <c r="BE71" s="396" t="e">
        <f t="shared" si="248"/>
        <v>#N/A</v>
      </c>
      <c r="BF71" s="397" t="e">
        <f t="shared" si="249"/>
        <v>#N/A</v>
      </c>
      <c r="BG71" s="400" t="e">
        <f t="shared" si="361"/>
        <v>#N/A</v>
      </c>
      <c r="BH71" s="398" t="e">
        <f t="shared" si="155"/>
        <v>#N/A</v>
      </c>
      <c r="BI71" s="400" t="e">
        <f t="shared" si="250"/>
        <v>#N/A</v>
      </c>
      <c r="BJ71" s="398" t="e">
        <f t="shared" si="251"/>
        <v>#N/A</v>
      </c>
      <c r="BK71" s="401" t="e">
        <f t="shared" si="252"/>
        <v>#N/A</v>
      </c>
      <c r="BL71" s="399" t="e">
        <f t="shared" si="157"/>
        <v>#N/A</v>
      </c>
      <c r="BM71" s="47"/>
      <c r="BN71" s="49"/>
      <c r="BO71" s="396" t="e">
        <f t="shared" si="253"/>
        <v>#N/A</v>
      </c>
      <c r="BP71" s="397" t="e">
        <f t="shared" si="254"/>
        <v>#N/A</v>
      </c>
      <c r="BQ71" s="400" t="e">
        <f t="shared" si="362"/>
        <v>#N/A</v>
      </c>
      <c r="BR71" s="398" t="e">
        <f t="shared" si="158"/>
        <v>#N/A</v>
      </c>
      <c r="BS71" s="400" t="e">
        <f t="shared" si="255"/>
        <v>#N/A</v>
      </c>
      <c r="BT71" s="398" t="e">
        <f t="shared" si="256"/>
        <v>#N/A</v>
      </c>
      <c r="BU71" s="401" t="e">
        <f t="shared" si="257"/>
        <v>#N/A</v>
      </c>
      <c r="BV71" s="399" t="e">
        <f t="shared" si="160"/>
        <v>#N/A</v>
      </c>
      <c r="BW71" s="47"/>
      <c r="BX71" s="47"/>
      <c r="BY71" s="396" t="e">
        <f t="shared" si="258"/>
        <v>#N/A</v>
      </c>
      <c r="BZ71" s="397" t="e">
        <f t="shared" si="259"/>
        <v>#N/A</v>
      </c>
      <c r="CA71" s="400" t="e">
        <f t="shared" si="363"/>
        <v>#N/A</v>
      </c>
      <c r="CB71" s="398" t="e">
        <f t="shared" si="161"/>
        <v>#N/A</v>
      </c>
      <c r="CC71" s="400" t="e">
        <f t="shared" si="260"/>
        <v>#N/A</v>
      </c>
      <c r="CD71" s="398" t="e">
        <f t="shared" si="261"/>
        <v>#N/A</v>
      </c>
      <c r="CE71" s="401" t="e">
        <f t="shared" si="262"/>
        <v>#N/A</v>
      </c>
      <c r="CF71" s="399" t="e">
        <f t="shared" si="163"/>
        <v>#N/A</v>
      </c>
      <c r="CG71" s="49"/>
      <c r="CH71" s="47"/>
      <c r="CI71" s="396" t="e">
        <f t="shared" si="263"/>
        <v>#N/A</v>
      </c>
      <c r="CJ71" s="397" t="e">
        <f t="shared" si="264"/>
        <v>#N/A</v>
      </c>
      <c r="CK71" s="400" t="e">
        <f t="shared" si="364"/>
        <v>#N/A</v>
      </c>
      <c r="CL71" s="398" t="e">
        <f t="shared" si="164"/>
        <v>#N/A</v>
      </c>
      <c r="CM71" s="400" t="e">
        <f t="shared" si="265"/>
        <v>#N/A</v>
      </c>
      <c r="CN71" s="398" t="e">
        <f t="shared" si="266"/>
        <v>#N/A</v>
      </c>
      <c r="CO71" s="401" t="e">
        <f t="shared" si="267"/>
        <v>#N/A</v>
      </c>
      <c r="CP71" s="399" t="e">
        <f t="shared" si="166"/>
        <v>#N/A</v>
      </c>
      <c r="CQ71" s="47"/>
      <c r="CS71" s="396" t="e">
        <f t="shared" si="268"/>
        <v>#N/A</v>
      </c>
      <c r="CT71" s="397" t="e">
        <f t="shared" si="269"/>
        <v>#N/A</v>
      </c>
      <c r="CU71" s="400" t="e">
        <f t="shared" si="365"/>
        <v>#N/A</v>
      </c>
      <c r="CV71" s="398" t="e">
        <f t="shared" si="167"/>
        <v>#N/A</v>
      </c>
      <c r="CW71" s="400" t="e">
        <f t="shared" si="270"/>
        <v>#N/A</v>
      </c>
      <c r="CX71" s="398" t="e">
        <f t="shared" si="271"/>
        <v>#N/A</v>
      </c>
      <c r="CY71" s="401" t="e">
        <f t="shared" si="272"/>
        <v>#N/A</v>
      </c>
      <c r="CZ71" s="399" t="e">
        <f t="shared" si="169"/>
        <v>#N/A</v>
      </c>
      <c r="DA71" s="47"/>
      <c r="DB71" s="47"/>
      <c r="DC71" s="396" t="e">
        <f t="shared" si="273"/>
        <v>#N/A</v>
      </c>
      <c r="DD71" s="397" t="e">
        <f t="shared" si="274"/>
        <v>#N/A</v>
      </c>
      <c r="DE71" s="400" t="e">
        <f t="shared" si="366"/>
        <v>#N/A</v>
      </c>
      <c r="DF71" s="398" t="e">
        <f t="shared" si="170"/>
        <v>#N/A</v>
      </c>
      <c r="DG71" s="400" t="e">
        <f t="shared" si="275"/>
        <v>#N/A</v>
      </c>
      <c r="DH71" s="398" t="e">
        <f t="shared" si="276"/>
        <v>#N/A</v>
      </c>
      <c r="DI71" s="401" t="e">
        <f t="shared" si="277"/>
        <v>#N/A</v>
      </c>
      <c r="DJ71" s="399" t="e">
        <f t="shared" si="172"/>
        <v>#N/A</v>
      </c>
      <c r="DK71" s="47"/>
      <c r="DM71" s="396" t="e">
        <f t="shared" si="278"/>
        <v>#N/A</v>
      </c>
      <c r="DN71" s="397" t="e">
        <f t="shared" si="279"/>
        <v>#N/A</v>
      </c>
      <c r="DO71" s="400" t="e">
        <f t="shared" si="367"/>
        <v>#N/A</v>
      </c>
      <c r="DP71" s="398" t="e">
        <f t="shared" si="173"/>
        <v>#N/A</v>
      </c>
      <c r="DQ71" s="400" t="e">
        <f t="shared" si="280"/>
        <v>#N/A</v>
      </c>
      <c r="DR71" s="398" t="e">
        <f t="shared" si="281"/>
        <v>#N/A</v>
      </c>
      <c r="DS71" s="401" t="e">
        <f t="shared" si="282"/>
        <v>#N/A</v>
      </c>
      <c r="DT71" s="399" t="e">
        <f t="shared" si="175"/>
        <v>#N/A</v>
      </c>
      <c r="DU71" s="47"/>
      <c r="DV71" s="49"/>
      <c r="DW71" s="396" t="e">
        <f t="shared" si="283"/>
        <v>#N/A</v>
      </c>
      <c r="DX71" s="397" t="e">
        <f t="shared" si="284"/>
        <v>#N/A</v>
      </c>
      <c r="DY71" s="400" t="e">
        <f t="shared" si="368"/>
        <v>#N/A</v>
      </c>
      <c r="DZ71" s="398" t="e">
        <f t="shared" si="176"/>
        <v>#N/A</v>
      </c>
      <c r="EA71" s="400" t="e">
        <f t="shared" si="285"/>
        <v>#N/A</v>
      </c>
      <c r="EB71" s="398" t="e">
        <f t="shared" si="286"/>
        <v>#N/A</v>
      </c>
      <c r="EC71" s="401" t="e">
        <f t="shared" si="287"/>
        <v>#N/A</v>
      </c>
      <c r="ED71" s="399" t="e">
        <f t="shared" si="178"/>
        <v>#N/A</v>
      </c>
      <c r="EE71" s="47"/>
      <c r="EF71" s="47"/>
      <c r="EG71" s="396" t="e">
        <f t="shared" si="288"/>
        <v>#N/A</v>
      </c>
      <c r="EH71" s="397" t="e">
        <f t="shared" si="289"/>
        <v>#N/A</v>
      </c>
      <c r="EI71" s="400" t="e">
        <f t="shared" si="369"/>
        <v>#N/A</v>
      </c>
      <c r="EJ71" s="398" t="e">
        <f t="shared" si="179"/>
        <v>#N/A</v>
      </c>
      <c r="EK71" s="400" t="e">
        <f t="shared" si="290"/>
        <v>#N/A</v>
      </c>
      <c r="EL71" s="398" t="e">
        <f t="shared" si="291"/>
        <v>#N/A</v>
      </c>
      <c r="EM71" s="401" t="e">
        <f t="shared" si="292"/>
        <v>#N/A</v>
      </c>
      <c r="EN71" s="399" t="e">
        <f t="shared" si="181"/>
        <v>#N/A</v>
      </c>
      <c r="EO71" s="47"/>
      <c r="EP71" s="47"/>
      <c r="EQ71" s="396" t="e">
        <f t="shared" si="293"/>
        <v>#N/A</v>
      </c>
      <c r="ER71" s="397" t="e">
        <f t="shared" si="294"/>
        <v>#N/A</v>
      </c>
      <c r="ES71" s="400" t="e">
        <f t="shared" si="370"/>
        <v>#N/A</v>
      </c>
      <c r="ET71" s="398" t="e">
        <f t="shared" si="182"/>
        <v>#N/A</v>
      </c>
      <c r="EU71" s="400" t="e">
        <f t="shared" si="295"/>
        <v>#N/A</v>
      </c>
      <c r="EV71" s="398" t="e">
        <f t="shared" si="296"/>
        <v>#N/A</v>
      </c>
      <c r="EW71" s="401" t="e">
        <f t="shared" si="297"/>
        <v>#N/A</v>
      </c>
      <c r="EX71" s="399" t="e">
        <f t="shared" si="184"/>
        <v>#N/A</v>
      </c>
      <c r="EY71" s="47"/>
      <c r="EZ71" s="47"/>
      <c r="FA71" s="396" t="e">
        <f t="shared" si="298"/>
        <v>#N/A</v>
      </c>
      <c r="FB71" s="397" t="e">
        <f t="shared" si="299"/>
        <v>#N/A</v>
      </c>
      <c r="FC71" s="400" t="e">
        <f t="shared" si="371"/>
        <v>#N/A</v>
      </c>
      <c r="FD71" s="398" t="e">
        <f t="shared" si="185"/>
        <v>#N/A</v>
      </c>
      <c r="FE71" s="400" t="e">
        <f t="shared" si="300"/>
        <v>#N/A</v>
      </c>
      <c r="FF71" s="398" t="e">
        <f t="shared" si="301"/>
        <v>#N/A</v>
      </c>
      <c r="FG71" s="401" t="e">
        <f t="shared" si="302"/>
        <v>#N/A</v>
      </c>
      <c r="FH71" s="399" t="e">
        <f t="shared" si="187"/>
        <v>#N/A</v>
      </c>
      <c r="FI71" s="47"/>
      <c r="FJ71" s="49"/>
      <c r="FK71" s="396" t="e">
        <f t="shared" si="303"/>
        <v>#N/A</v>
      </c>
      <c r="FL71" s="397" t="e">
        <f t="shared" si="304"/>
        <v>#N/A</v>
      </c>
      <c r="FM71" s="400" t="e">
        <f t="shared" si="372"/>
        <v>#N/A</v>
      </c>
      <c r="FN71" s="398" t="e">
        <f t="shared" si="188"/>
        <v>#N/A</v>
      </c>
      <c r="FO71" s="400" t="e">
        <f t="shared" si="305"/>
        <v>#N/A</v>
      </c>
      <c r="FP71" s="398" t="e">
        <f t="shared" si="306"/>
        <v>#N/A</v>
      </c>
      <c r="FQ71" s="401" t="e">
        <f t="shared" si="307"/>
        <v>#N/A</v>
      </c>
      <c r="FR71" s="399" t="e">
        <f t="shared" si="190"/>
        <v>#N/A</v>
      </c>
      <c r="FS71" s="47"/>
      <c r="FT71" s="47"/>
      <c r="FU71" s="396" t="e">
        <f t="shared" si="308"/>
        <v>#N/A</v>
      </c>
      <c r="FV71" s="397" t="e">
        <f t="shared" si="309"/>
        <v>#N/A</v>
      </c>
      <c r="FW71" s="400" t="e">
        <f t="shared" si="373"/>
        <v>#N/A</v>
      </c>
      <c r="FX71" s="398" t="e">
        <f t="shared" si="191"/>
        <v>#N/A</v>
      </c>
      <c r="FY71" s="400" t="e">
        <f t="shared" si="310"/>
        <v>#N/A</v>
      </c>
      <c r="FZ71" s="398" t="e">
        <f t="shared" si="311"/>
        <v>#N/A</v>
      </c>
      <c r="GA71" s="401" t="e">
        <f t="shared" si="312"/>
        <v>#N/A</v>
      </c>
      <c r="GB71" s="399" t="e">
        <f t="shared" si="193"/>
        <v>#N/A</v>
      </c>
      <c r="GC71" s="47"/>
      <c r="GD71" s="47"/>
      <c r="GE71" s="396" t="e">
        <f t="shared" si="313"/>
        <v>#N/A</v>
      </c>
      <c r="GF71" s="397" t="e">
        <f t="shared" si="314"/>
        <v>#N/A</v>
      </c>
      <c r="GG71" s="400" t="e">
        <f t="shared" si="374"/>
        <v>#N/A</v>
      </c>
      <c r="GH71" s="398" t="e">
        <f t="shared" si="194"/>
        <v>#N/A</v>
      </c>
      <c r="GI71" s="400" t="e">
        <f t="shared" si="315"/>
        <v>#N/A</v>
      </c>
      <c r="GJ71" s="398" t="e">
        <f t="shared" si="316"/>
        <v>#N/A</v>
      </c>
      <c r="GK71" s="401" t="e">
        <f t="shared" si="317"/>
        <v>#N/A</v>
      </c>
      <c r="GL71" s="399" t="e">
        <f t="shared" si="196"/>
        <v>#N/A</v>
      </c>
      <c r="GM71" s="47"/>
      <c r="GN71" s="47"/>
      <c r="GO71" s="396" t="e">
        <f t="shared" si="318"/>
        <v>#N/A</v>
      </c>
      <c r="GP71" s="397" t="e">
        <f t="shared" si="319"/>
        <v>#N/A</v>
      </c>
      <c r="GQ71" s="400" t="e">
        <f t="shared" si="375"/>
        <v>#N/A</v>
      </c>
      <c r="GR71" s="398" t="e">
        <f t="shared" si="197"/>
        <v>#N/A</v>
      </c>
      <c r="GS71" s="400" t="e">
        <f t="shared" si="320"/>
        <v>#N/A</v>
      </c>
      <c r="GT71" s="398" t="e">
        <f t="shared" si="321"/>
        <v>#N/A</v>
      </c>
      <c r="GU71" s="401" t="e">
        <f t="shared" si="322"/>
        <v>#N/A</v>
      </c>
      <c r="GV71" s="399" t="e">
        <f t="shared" si="199"/>
        <v>#N/A</v>
      </c>
      <c r="GW71" s="47"/>
      <c r="GX71" s="47"/>
      <c r="GY71" s="396" t="e">
        <f t="shared" si="323"/>
        <v>#N/A</v>
      </c>
      <c r="GZ71" s="397" t="e">
        <f t="shared" si="324"/>
        <v>#N/A</v>
      </c>
      <c r="HA71" s="400" t="e">
        <f t="shared" si="376"/>
        <v>#N/A</v>
      </c>
      <c r="HB71" s="398" t="e">
        <f t="shared" si="200"/>
        <v>#N/A</v>
      </c>
      <c r="HC71" s="400" t="e">
        <f t="shared" si="325"/>
        <v>#N/A</v>
      </c>
      <c r="HD71" s="398" t="e">
        <f t="shared" si="326"/>
        <v>#N/A</v>
      </c>
      <c r="HE71" s="401" t="e">
        <f t="shared" si="327"/>
        <v>#N/A</v>
      </c>
      <c r="HF71" s="399" t="e">
        <f t="shared" si="202"/>
        <v>#N/A</v>
      </c>
      <c r="HH71" s="47"/>
      <c r="HI71" s="396" t="e">
        <f t="shared" si="328"/>
        <v>#N/A</v>
      </c>
      <c r="HJ71" s="397" t="e">
        <f t="shared" si="329"/>
        <v>#N/A</v>
      </c>
      <c r="HK71" s="400" t="e">
        <f t="shared" si="377"/>
        <v>#N/A</v>
      </c>
      <c r="HL71" s="398" t="e">
        <f t="shared" si="203"/>
        <v>#N/A</v>
      </c>
      <c r="HM71" s="400" t="e">
        <f t="shared" si="330"/>
        <v>#N/A</v>
      </c>
      <c r="HN71" s="398" t="e">
        <f t="shared" si="331"/>
        <v>#N/A</v>
      </c>
      <c r="HO71" s="401" t="e">
        <f t="shared" si="332"/>
        <v>#N/A</v>
      </c>
      <c r="HP71" s="399" t="e">
        <f t="shared" si="205"/>
        <v>#N/A</v>
      </c>
      <c r="HQ71" s="47"/>
      <c r="HR71" s="47"/>
      <c r="HS71" s="396" t="e">
        <f t="shared" si="333"/>
        <v>#N/A</v>
      </c>
      <c r="HT71" s="397" t="e">
        <f t="shared" si="334"/>
        <v>#N/A</v>
      </c>
      <c r="HU71" s="400" t="e">
        <f t="shared" si="378"/>
        <v>#N/A</v>
      </c>
      <c r="HV71" s="398" t="e">
        <f t="shared" si="206"/>
        <v>#N/A</v>
      </c>
      <c r="HW71" s="400" t="e">
        <f t="shared" si="335"/>
        <v>#N/A</v>
      </c>
      <c r="HX71" s="398" t="e">
        <f t="shared" si="336"/>
        <v>#N/A</v>
      </c>
      <c r="HY71" s="401" t="e">
        <f t="shared" si="337"/>
        <v>#N/A</v>
      </c>
      <c r="HZ71" s="399" t="e">
        <f t="shared" si="208"/>
        <v>#N/A</v>
      </c>
      <c r="IA71" s="47"/>
      <c r="IB71" s="49"/>
      <c r="IC71" s="396" t="e">
        <f t="shared" si="338"/>
        <v>#N/A</v>
      </c>
      <c r="ID71" s="397" t="e">
        <f t="shared" si="339"/>
        <v>#N/A</v>
      </c>
      <c r="IE71" s="400" t="e">
        <f t="shared" si="379"/>
        <v>#N/A</v>
      </c>
      <c r="IF71" s="398" t="e">
        <f t="shared" si="209"/>
        <v>#N/A</v>
      </c>
      <c r="IG71" s="400" t="e">
        <f t="shared" si="340"/>
        <v>#N/A</v>
      </c>
      <c r="IH71" s="398" t="e">
        <f t="shared" si="341"/>
        <v>#N/A</v>
      </c>
      <c r="II71" s="401" t="e">
        <f t="shared" si="342"/>
        <v>#N/A</v>
      </c>
      <c r="IJ71" s="399" t="e">
        <f t="shared" si="211"/>
        <v>#N/A</v>
      </c>
      <c r="IK71" s="47"/>
      <c r="IL71" s="47"/>
      <c r="IM71" s="396" t="e">
        <f t="shared" si="343"/>
        <v>#N/A</v>
      </c>
      <c r="IN71" s="397" t="e">
        <f t="shared" si="344"/>
        <v>#N/A</v>
      </c>
      <c r="IO71" s="400" t="e">
        <f t="shared" si="380"/>
        <v>#N/A</v>
      </c>
      <c r="IP71" s="398" t="e">
        <f t="shared" si="212"/>
        <v>#N/A</v>
      </c>
      <c r="IQ71" s="400" t="e">
        <f t="shared" si="345"/>
        <v>#N/A</v>
      </c>
      <c r="IR71" s="398" t="e">
        <f t="shared" si="346"/>
        <v>#N/A</v>
      </c>
      <c r="IS71" s="401" t="e">
        <f t="shared" si="347"/>
        <v>#N/A</v>
      </c>
      <c r="IT71" s="399" t="e">
        <f t="shared" si="214"/>
        <v>#N/A</v>
      </c>
      <c r="IU71" s="47"/>
      <c r="IV71" s="47"/>
      <c r="IW71" s="396" t="e">
        <f t="shared" si="116"/>
        <v>#N/A</v>
      </c>
      <c r="IX71" s="397" t="e">
        <f t="shared" si="117"/>
        <v>#N/A</v>
      </c>
      <c r="IY71" s="400" t="e">
        <f t="shared" si="118"/>
        <v>#N/A</v>
      </c>
      <c r="IZ71" s="398" t="e">
        <f t="shared" si="348"/>
        <v>#N/A</v>
      </c>
      <c r="JA71" s="400" t="e">
        <f t="shared" si="119"/>
        <v>#N/A</v>
      </c>
      <c r="JB71" s="398" t="e">
        <f t="shared" si="120"/>
        <v>#N/A</v>
      </c>
      <c r="JC71" s="401" t="e">
        <f t="shared" si="216"/>
        <v>#N/A</v>
      </c>
      <c r="JD71" s="399" t="e">
        <f t="shared" si="217"/>
        <v>#N/A</v>
      </c>
      <c r="JE71" s="47"/>
      <c r="JF71" s="47"/>
      <c r="JG71" s="396" t="e">
        <f t="shared" si="121"/>
        <v>#N/A</v>
      </c>
      <c r="JH71" s="397" t="e">
        <f t="shared" si="122"/>
        <v>#N/A</v>
      </c>
      <c r="JI71" s="400" t="e">
        <f t="shared" si="123"/>
        <v>#N/A</v>
      </c>
      <c r="JJ71" s="398" t="e">
        <f t="shared" si="349"/>
        <v>#N/A</v>
      </c>
      <c r="JK71" s="400" t="e">
        <f t="shared" si="124"/>
        <v>#N/A</v>
      </c>
      <c r="JL71" s="398" t="e">
        <f t="shared" si="125"/>
        <v>#N/A</v>
      </c>
      <c r="JM71" s="401" t="e">
        <f t="shared" si="219"/>
        <v>#N/A</v>
      </c>
      <c r="JN71" s="399" t="e">
        <f t="shared" si="220"/>
        <v>#N/A</v>
      </c>
      <c r="JO71" s="47"/>
      <c r="JP71" s="47"/>
      <c r="JQ71" s="396" t="e">
        <f t="shared" si="126"/>
        <v>#N/A</v>
      </c>
      <c r="JR71" s="397" t="e">
        <f t="shared" si="127"/>
        <v>#N/A</v>
      </c>
      <c r="JS71" s="400" t="e">
        <f t="shared" si="128"/>
        <v>#N/A</v>
      </c>
      <c r="JT71" s="398" t="e">
        <f t="shared" si="350"/>
        <v>#N/A</v>
      </c>
      <c r="JU71" s="400" t="e">
        <f t="shared" si="129"/>
        <v>#N/A</v>
      </c>
      <c r="JV71" s="398" t="e">
        <f t="shared" si="130"/>
        <v>#N/A</v>
      </c>
      <c r="JW71" s="401" t="e">
        <f t="shared" si="222"/>
        <v>#N/A</v>
      </c>
      <c r="JX71" s="399" t="e">
        <f t="shared" si="223"/>
        <v>#N/A</v>
      </c>
      <c r="JY71" s="47"/>
      <c r="JZ71" s="47"/>
      <c r="KA71" s="396" t="e">
        <f t="shared" si="131"/>
        <v>#N/A</v>
      </c>
      <c r="KB71" s="397" t="e">
        <f t="shared" si="132"/>
        <v>#N/A</v>
      </c>
      <c r="KC71" s="400" t="e">
        <f t="shared" si="133"/>
        <v>#N/A</v>
      </c>
      <c r="KD71" s="398" t="e">
        <f t="shared" si="351"/>
        <v>#N/A</v>
      </c>
      <c r="KE71" s="400" t="e">
        <f t="shared" si="134"/>
        <v>#N/A</v>
      </c>
      <c r="KF71" s="398" t="e">
        <f t="shared" si="135"/>
        <v>#N/A</v>
      </c>
      <c r="KG71" s="401" t="e">
        <f t="shared" si="225"/>
        <v>#N/A</v>
      </c>
      <c r="KH71" s="399" t="e">
        <f t="shared" si="226"/>
        <v>#N/A</v>
      </c>
      <c r="KI71" s="47"/>
      <c r="KJ71" s="47"/>
      <c r="KK71" s="396" t="e">
        <f t="shared" si="136"/>
        <v>#N/A</v>
      </c>
      <c r="KL71" s="397" t="e">
        <f t="shared" si="137"/>
        <v>#N/A</v>
      </c>
      <c r="KM71" s="400" t="e">
        <f t="shared" si="138"/>
        <v>#N/A</v>
      </c>
      <c r="KN71" s="398" t="e">
        <f t="shared" si="352"/>
        <v>#N/A</v>
      </c>
      <c r="KO71" s="400" t="e">
        <f t="shared" si="139"/>
        <v>#N/A</v>
      </c>
      <c r="KP71" s="398" t="e">
        <f t="shared" si="140"/>
        <v>#N/A</v>
      </c>
      <c r="KQ71" s="401" t="e">
        <f t="shared" si="228"/>
        <v>#N/A</v>
      </c>
      <c r="KR71" s="399" t="e">
        <f t="shared" si="229"/>
        <v>#N/A</v>
      </c>
      <c r="KS71" s="47"/>
      <c r="KT71" s="47"/>
      <c r="KU71" s="396" t="e">
        <f t="shared" si="353"/>
        <v>#N/A</v>
      </c>
      <c r="KV71" s="397" t="e">
        <f t="shared" si="354"/>
        <v>#N/A</v>
      </c>
      <c r="KW71" s="400" t="e">
        <f t="shared" si="381"/>
        <v>#N/A</v>
      </c>
      <c r="KX71" s="398" t="e">
        <f t="shared" si="230"/>
        <v>#N/A</v>
      </c>
      <c r="KY71" s="400" t="e">
        <f t="shared" si="355"/>
        <v>#N/A</v>
      </c>
      <c r="KZ71" s="398" t="e">
        <f t="shared" si="356"/>
        <v>#N/A</v>
      </c>
      <c r="LA71" s="401" t="e">
        <f t="shared" si="357"/>
        <v>#N/A</v>
      </c>
      <c r="LB71" s="399" t="e">
        <f t="shared" si="232"/>
        <v>#N/A</v>
      </c>
      <c r="LC71" s="47"/>
    </row>
    <row r="72" spans="26:315" x14ac:dyDescent="0.25">
      <c r="Z72" s="413"/>
      <c r="AA72" s="396" t="e">
        <f t="shared" si="233"/>
        <v>#N/A</v>
      </c>
      <c r="AB72" s="397" t="e">
        <f t="shared" si="234"/>
        <v>#N/A</v>
      </c>
      <c r="AC72" s="400" t="e">
        <f t="shared" si="358"/>
        <v>#N/A</v>
      </c>
      <c r="AD72" s="398" t="e">
        <f t="shared" si="146"/>
        <v>#N/A</v>
      </c>
      <c r="AE72" s="400" t="e">
        <f t="shared" si="235"/>
        <v>#N/A</v>
      </c>
      <c r="AF72" s="398" t="e">
        <f t="shared" si="236"/>
        <v>#N/A</v>
      </c>
      <c r="AG72" s="401" t="e">
        <f t="shared" si="237"/>
        <v>#N/A</v>
      </c>
      <c r="AH72" s="399" t="e">
        <f t="shared" si="148"/>
        <v>#N/A</v>
      </c>
      <c r="AI72" s="47"/>
      <c r="AJ72" s="47"/>
      <c r="AK72" s="396" t="e">
        <f t="shared" si="238"/>
        <v>#N/A</v>
      </c>
      <c r="AL72" s="397" t="e">
        <f t="shared" si="239"/>
        <v>#N/A</v>
      </c>
      <c r="AM72" s="400" t="e">
        <f t="shared" si="359"/>
        <v>#N/A</v>
      </c>
      <c r="AN72" s="398" t="e">
        <f t="shared" si="149"/>
        <v>#N/A</v>
      </c>
      <c r="AO72" s="400" t="e">
        <f t="shared" si="240"/>
        <v>#N/A</v>
      </c>
      <c r="AP72" s="398" t="e">
        <f t="shared" si="241"/>
        <v>#N/A</v>
      </c>
      <c r="AQ72" s="401" t="e">
        <f t="shared" si="242"/>
        <v>#N/A</v>
      </c>
      <c r="AR72" s="399" t="e">
        <f t="shared" si="151"/>
        <v>#N/A</v>
      </c>
      <c r="AS72" s="47"/>
      <c r="AT72" s="47"/>
      <c r="AU72" s="396" t="e">
        <f t="shared" si="243"/>
        <v>#N/A</v>
      </c>
      <c r="AV72" s="397" t="e">
        <f t="shared" si="244"/>
        <v>#N/A</v>
      </c>
      <c r="AW72" s="400" t="e">
        <f t="shared" si="360"/>
        <v>#N/A</v>
      </c>
      <c r="AX72" s="398" t="e">
        <f t="shared" si="152"/>
        <v>#N/A</v>
      </c>
      <c r="AY72" s="400" t="e">
        <f t="shared" si="245"/>
        <v>#N/A</v>
      </c>
      <c r="AZ72" s="398" t="e">
        <f t="shared" si="246"/>
        <v>#N/A</v>
      </c>
      <c r="BA72" s="401" t="e">
        <f t="shared" si="247"/>
        <v>#N/A</v>
      </c>
      <c r="BB72" s="399" t="e">
        <f t="shared" si="154"/>
        <v>#N/A</v>
      </c>
      <c r="BC72" s="47"/>
      <c r="BD72" s="47"/>
      <c r="BE72" s="396" t="e">
        <f t="shared" si="248"/>
        <v>#N/A</v>
      </c>
      <c r="BF72" s="397" t="e">
        <f t="shared" si="249"/>
        <v>#N/A</v>
      </c>
      <c r="BG72" s="400" t="e">
        <f t="shared" si="361"/>
        <v>#N/A</v>
      </c>
      <c r="BH72" s="398" t="e">
        <f t="shared" si="155"/>
        <v>#N/A</v>
      </c>
      <c r="BI72" s="400" t="e">
        <f t="shared" si="250"/>
        <v>#N/A</v>
      </c>
      <c r="BJ72" s="398" t="e">
        <f t="shared" si="251"/>
        <v>#N/A</v>
      </c>
      <c r="BK72" s="401" t="e">
        <f t="shared" si="252"/>
        <v>#N/A</v>
      </c>
      <c r="BL72" s="399" t="e">
        <f t="shared" si="157"/>
        <v>#N/A</v>
      </c>
      <c r="BM72" s="47"/>
      <c r="BN72" s="49"/>
      <c r="BO72" s="396" t="e">
        <f t="shared" si="253"/>
        <v>#N/A</v>
      </c>
      <c r="BP72" s="397" t="e">
        <f t="shared" si="254"/>
        <v>#N/A</v>
      </c>
      <c r="BQ72" s="400" t="e">
        <f t="shared" si="362"/>
        <v>#N/A</v>
      </c>
      <c r="BR72" s="398" t="e">
        <f t="shared" si="158"/>
        <v>#N/A</v>
      </c>
      <c r="BS72" s="400" t="e">
        <f t="shared" si="255"/>
        <v>#N/A</v>
      </c>
      <c r="BT72" s="398" t="e">
        <f t="shared" si="256"/>
        <v>#N/A</v>
      </c>
      <c r="BU72" s="401" t="e">
        <f t="shared" si="257"/>
        <v>#N/A</v>
      </c>
      <c r="BV72" s="399" t="e">
        <f t="shared" si="160"/>
        <v>#N/A</v>
      </c>
      <c r="BW72" s="47"/>
      <c r="BX72" s="47"/>
      <c r="BY72" s="396" t="e">
        <f t="shared" si="258"/>
        <v>#N/A</v>
      </c>
      <c r="BZ72" s="397" t="e">
        <f t="shared" si="259"/>
        <v>#N/A</v>
      </c>
      <c r="CA72" s="400" t="e">
        <f t="shared" si="363"/>
        <v>#N/A</v>
      </c>
      <c r="CB72" s="398" t="e">
        <f t="shared" si="161"/>
        <v>#N/A</v>
      </c>
      <c r="CC72" s="400" t="e">
        <f t="shared" si="260"/>
        <v>#N/A</v>
      </c>
      <c r="CD72" s="398" t="e">
        <f t="shared" si="261"/>
        <v>#N/A</v>
      </c>
      <c r="CE72" s="401" t="e">
        <f t="shared" si="262"/>
        <v>#N/A</v>
      </c>
      <c r="CF72" s="399" t="e">
        <f t="shared" si="163"/>
        <v>#N/A</v>
      </c>
      <c r="CG72" s="49"/>
      <c r="CH72" s="47"/>
      <c r="CI72" s="396" t="e">
        <f t="shared" si="263"/>
        <v>#N/A</v>
      </c>
      <c r="CJ72" s="397" t="e">
        <f t="shared" si="264"/>
        <v>#N/A</v>
      </c>
      <c r="CK72" s="400" t="e">
        <f t="shared" si="364"/>
        <v>#N/A</v>
      </c>
      <c r="CL72" s="398" t="e">
        <f t="shared" si="164"/>
        <v>#N/A</v>
      </c>
      <c r="CM72" s="400" t="e">
        <f t="shared" si="265"/>
        <v>#N/A</v>
      </c>
      <c r="CN72" s="398" t="e">
        <f t="shared" si="266"/>
        <v>#N/A</v>
      </c>
      <c r="CO72" s="401" t="e">
        <f t="shared" si="267"/>
        <v>#N/A</v>
      </c>
      <c r="CP72" s="399" t="e">
        <f t="shared" si="166"/>
        <v>#N/A</v>
      </c>
      <c r="CQ72" s="47"/>
      <c r="CS72" s="396" t="e">
        <f t="shared" si="268"/>
        <v>#N/A</v>
      </c>
      <c r="CT72" s="397" t="e">
        <f t="shared" si="269"/>
        <v>#N/A</v>
      </c>
      <c r="CU72" s="400" t="e">
        <f t="shared" si="365"/>
        <v>#N/A</v>
      </c>
      <c r="CV72" s="398" t="e">
        <f t="shared" si="167"/>
        <v>#N/A</v>
      </c>
      <c r="CW72" s="400" t="e">
        <f t="shared" si="270"/>
        <v>#N/A</v>
      </c>
      <c r="CX72" s="398" t="e">
        <f t="shared" si="271"/>
        <v>#N/A</v>
      </c>
      <c r="CY72" s="401" t="e">
        <f t="shared" si="272"/>
        <v>#N/A</v>
      </c>
      <c r="CZ72" s="399" t="e">
        <f t="shared" si="169"/>
        <v>#N/A</v>
      </c>
      <c r="DA72" s="47"/>
      <c r="DB72" s="47"/>
      <c r="DC72" s="396" t="e">
        <f t="shared" si="273"/>
        <v>#N/A</v>
      </c>
      <c r="DD72" s="397" t="e">
        <f t="shared" si="274"/>
        <v>#N/A</v>
      </c>
      <c r="DE72" s="400" t="e">
        <f t="shared" si="366"/>
        <v>#N/A</v>
      </c>
      <c r="DF72" s="398" t="e">
        <f t="shared" si="170"/>
        <v>#N/A</v>
      </c>
      <c r="DG72" s="400" t="e">
        <f t="shared" si="275"/>
        <v>#N/A</v>
      </c>
      <c r="DH72" s="398" t="e">
        <f t="shared" si="276"/>
        <v>#N/A</v>
      </c>
      <c r="DI72" s="401" t="e">
        <f t="shared" si="277"/>
        <v>#N/A</v>
      </c>
      <c r="DJ72" s="399" t="e">
        <f t="shared" si="172"/>
        <v>#N/A</v>
      </c>
      <c r="DK72" s="47"/>
      <c r="DM72" s="396" t="e">
        <f t="shared" si="278"/>
        <v>#N/A</v>
      </c>
      <c r="DN72" s="397" t="e">
        <f t="shared" si="279"/>
        <v>#N/A</v>
      </c>
      <c r="DO72" s="400" t="e">
        <f t="shared" si="367"/>
        <v>#N/A</v>
      </c>
      <c r="DP72" s="398" t="e">
        <f t="shared" si="173"/>
        <v>#N/A</v>
      </c>
      <c r="DQ72" s="400" t="e">
        <f t="shared" si="280"/>
        <v>#N/A</v>
      </c>
      <c r="DR72" s="398" t="e">
        <f t="shared" si="281"/>
        <v>#N/A</v>
      </c>
      <c r="DS72" s="401" t="e">
        <f t="shared" si="282"/>
        <v>#N/A</v>
      </c>
      <c r="DT72" s="399" t="e">
        <f t="shared" si="175"/>
        <v>#N/A</v>
      </c>
      <c r="DU72" s="47"/>
      <c r="DV72" s="49"/>
      <c r="DW72" s="396" t="e">
        <f t="shared" si="283"/>
        <v>#N/A</v>
      </c>
      <c r="DX72" s="397" t="e">
        <f t="shared" si="284"/>
        <v>#N/A</v>
      </c>
      <c r="DY72" s="400" t="e">
        <f t="shared" si="368"/>
        <v>#N/A</v>
      </c>
      <c r="DZ72" s="398" t="e">
        <f t="shared" si="176"/>
        <v>#N/A</v>
      </c>
      <c r="EA72" s="400" t="e">
        <f t="shared" si="285"/>
        <v>#N/A</v>
      </c>
      <c r="EB72" s="398" t="e">
        <f t="shared" si="286"/>
        <v>#N/A</v>
      </c>
      <c r="EC72" s="401" t="e">
        <f t="shared" si="287"/>
        <v>#N/A</v>
      </c>
      <c r="ED72" s="399" t="e">
        <f t="shared" si="178"/>
        <v>#N/A</v>
      </c>
      <c r="EE72" s="47"/>
      <c r="EF72" s="47"/>
      <c r="EG72" s="396" t="e">
        <f t="shared" si="288"/>
        <v>#N/A</v>
      </c>
      <c r="EH72" s="397" t="e">
        <f t="shared" si="289"/>
        <v>#N/A</v>
      </c>
      <c r="EI72" s="400" t="e">
        <f t="shared" si="369"/>
        <v>#N/A</v>
      </c>
      <c r="EJ72" s="398" t="e">
        <f t="shared" si="179"/>
        <v>#N/A</v>
      </c>
      <c r="EK72" s="400" t="e">
        <f t="shared" si="290"/>
        <v>#N/A</v>
      </c>
      <c r="EL72" s="398" t="e">
        <f t="shared" si="291"/>
        <v>#N/A</v>
      </c>
      <c r="EM72" s="401" t="e">
        <f t="shared" si="292"/>
        <v>#N/A</v>
      </c>
      <c r="EN72" s="399" t="e">
        <f t="shared" si="181"/>
        <v>#N/A</v>
      </c>
      <c r="EO72" s="47"/>
      <c r="EP72" s="47"/>
      <c r="EQ72" s="396" t="e">
        <f t="shared" si="293"/>
        <v>#N/A</v>
      </c>
      <c r="ER72" s="397" t="e">
        <f t="shared" si="294"/>
        <v>#N/A</v>
      </c>
      <c r="ES72" s="400" t="e">
        <f t="shared" si="370"/>
        <v>#N/A</v>
      </c>
      <c r="ET72" s="398" t="e">
        <f t="shared" si="182"/>
        <v>#N/A</v>
      </c>
      <c r="EU72" s="400" t="e">
        <f t="shared" si="295"/>
        <v>#N/A</v>
      </c>
      <c r="EV72" s="398" t="e">
        <f t="shared" si="296"/>
        <v>#N/A</v>
      </c>
      <c r="EW72" s="401" t="e">
        <f t="shared" si="297"/>
        <v>#N/A</v>
      </c>
      <c r="EX72" s="399" t="e">
        <f t="shared" si="184"/>
        <v>#N/A</v>
      </c>
      <c r="EY72" s="47"/>
      <c r="EZ72" s="47"/>
      <c r="FA72" s="396" t="e">
        <f t="shared" si="298"/>
        <v>#N/A</v>
      </c>
      <c r="FB72" s="397" t="e">
        <f t="shared" si="299"/>
        <v>#N/A</v>
      </c>
      <c r="FC72" s="400" t="e">
        <f t="shared" si="371"/>
        <v>#N/A</v>
      </c>
      <c r="FD72" s="398" t="e">
        <f t="shared" si="185"/>
        <v>#N/A</v>
      </c>
      <c r="FE72" s="400" t="e">
        <f t="shared" si="300"/>
        <v>#N/A</v>
      </c>
      <c r="FF72" s="398" t="e">
        <f t="shared" si="301"/>
        <v>#N/A</v>
      </c>
      <c r="FG72" s="401" t="e">
        <f t="shared" si="302"/>
        <v>#N/A</v>
      </c>
      <c r="FH72" s="399" t="e">
        <f t="shared" si="187"/>
        <v>#N/A</v>
      </c>
      <c r="FI72" s="47"/>
      <c r="FJ72" s="49"/>
      <c r="FK72" s="396" t="e">
        <f t="shared" si="303"/>
        <v>#N/A</v>
      </c>
      <c r="FL72" s="397" t="e">
        <f t="shared" si="304"/>
        <v>#N/A</v>
      </c>
      <c r="FM72" s="400" t="e">
        <f t="shared" si="372"/>
        <v>#N/A</v>
      </c>
      <c r="FN72" s="398" t="e">
        <f t="shared" si="188"/>
        <v>#N/A</v>
      </c>
      <c r="FO72" s="400" t="e">
        <f t="shared" si="305"/>
        <v>#N/A</v>
      </c>
      <c r="FP72" s="398" t="e">
        <f t="shared" si="306"/>
        <v>#N/A</v>
      </c>
      <c r="FQ72" s="401" t="e">
        <f t="shared" si="307"/>
        <v>#N/A</v>
      </c>
      <c r="FR72" s="399" t="e">
        <f t="shared" si="190"/>
        <v>#N/A</v>
      </c>
      <c r="FS72" s="47"/>
      <c r="FT72" s="47"/>
      <c r="FU72" s="396" t="e">
        <f t="shared" si="308"/>
        <v>#N/A</v>
      </c>
      <c r="FV72" s="397" t="e">
        <f t="shared" si="309"/>
        <v>#N/A</v>
      </c>
      <c r="FW72" s="400" t="e">
        <f t="shared" si="373"/>
        <v>#N/A</v>
      </c>
      <c r="FX72" s="398" t="e">
        <f t="shared" si="191"/>
        <v>#N/A</v>
      </c>
      <c r="FY72" s="400" t="e">
        <f t="shared" si="310"/>
        <v>#N/A</v>
      </c>
      <c r="FZ72" s="398" t="e">
        <f t="shared" si="311"/>
        <v>#N/A</v>
      </c>
      <c r="GA72" s="401" t="e">
        <f t="shared" si="312"/>
        <v>#N/A</v>
      </c>
      <c r="GB72" s="399" t="e">
        <f t="shared" si="193"/>
        <v>#N/A</v>
      </c>
      <c r="GC72" s="47"/>
      <c r="GD72" s="47"/>
      <c r="GE72" s="396" t="e">
        <f t="shared" si="313"/>
        <v>#N/A</v>
      </c>
      <c r="GF72" s="397" t="e">
        <f t="shared" si="314"/>
        <v>#N/A</v>
      </c>
      <c r="GG72" s="400" t="e">
        <f t="shared" si="374"/>
        <v>#N/A</v>
      </c>
      <c r="GH72" s="398" t="e">
        <f t="shared" si="194"/>
        <v>#N/A</v>
      </c>
      <c r="GI72" s="400" t="e">
        <f t="shared" si="315"/>
        <v>#N/A</v>
      </c>
      <c r="GJ72" s="398" t="e">
        <f t="shared" si="316"/>
        <v>#N/A</v>
      </c>
      <c r="GK72" s="401" t="e">
        <f t="shared" si="317"/>
        <v>#N/A</v>
      </c>
      <c r="GL72" s="399" t="e">
        <f t="shared" si="196"/>
        <v>#N/A</v>
      </c>
      <c r="GM72" s="47"/>
      <c r="GN72" s="47"/>
      <c r="GO72" s="396" t="e">
        <f t="shared" si="318"/>
        <v>#N/A</v>
      </c>
      <c r="GP72" s="397" t="e">
        <f t="shared" si="319"/>
        <v>#N/A</v>
      </c>
      <c r="GQ72" s="400" t="e">
        <f t="shared" si="375"/>
        <v>#N/A</v>
      </c>
      <c r="GR72" s="398" t="e">
        <f t="shared" si="197"/>
        <v>#N/A</v>
      </c>
      <c r="GS72" s="400" t="e">
        <f t="shared" si="320"/>
        <v>#N/A</v>
      </c>
      <c r="GT72" s="398" t="e">
        <f t="shared" si="321"/>
        <v>#N/A</v>
      </c>
      <c r="GU72" s="401" t="e">
        <f t="shared" si="322"/>
        <v>#N/A</v>
      </c>
      <c r="GV72" s="399" t="e">
        <f t="shared" si="199"/>
        <v>#N/A</v>
      </c>
      <c r="GW72" s="47"/>
      <c r="GX72" s="47"/>
      <c r="GY72" s="396" t="e">
        <f t="shared" si="323"/>
        <v>#N/A</v>
      </c>
      <c r="GZ72" s="397" t="e">
        <f t="shared" si="324"/>
        <v>#N/A</v>
      </c>
      <c r="HA72" s="400" t="e">
        <f t="shared" si="376"/>
        <v>#N/A</v>
      </c>
      <c r="HB72" s="398" t="e">
        <f t="shared" si="200"/>
        <v>#N/A</v>
      </c>
      <c r="HC72" s="400" t="e">
        <f t="shared" si="325"/>
        <v>#N/A</v>
      </c>
      <c r="HD72" s="398" t="e">
        <f t="shared" si="326"/>
        <v>#N/A</v>
      </c>
      <c r="HE72" s="401" t="e">
        <f t="shared" si="327"/>
        <v>#N/A</v>
      </c>
      <c r="HF72" s="399" t="e">
        <f t="shared" si="202"/>
        <v>#N/A</v>
      </c>
      <c r="HH72" s="47"/>
      <c r="HI72" s="396" t="e">
        <f t="shared" si="328"/>
        <v>#N/A</v>
      </c>
      <c r="HJ72" s="397" t="e">
        <f t="shared" si="329"/>
        <v>#N/A</v>
      </c>
      <c r="HK72" s="400" t="e">
        <f t="shared" si="377"/>
        <v>#N/A</v>
      </c>
      <c r="HL72" s="398" t="e">
        <f t="shared" si="203"/>
        <v>#N/A</v>
      </c>
      <c r="HM72" s="400" t="e">
        <f t="shared" si="330"/>
        <v>#N/A</v>
      </c>
      <c r="HN72" s="398" t="e">
        <f t="shared" si="331"/>
        <v>#N/A</v>
      </c>
      <c r="HO72" s="401" t="e">
        <f t="shared" si="332"/>
        <v>#N/A</v>
      </c>
      <c r="HP72" s="399" t="e">
        <f t="shared" si="205"/>
        <v>#N/A</v>
      </c>
      <c r="HQ72" s="47"/>
      <c r="HR72" s="47"/>
      <c r="HS72" s="396" t="e">
        <f t="shared" si="333"/>
        <v>#N/A</v>
      </c>
      <c r="HT72" s="397" t="e">
        <f t="shared" si="334"/>
        <v>#N/A</v>
      </c>
      <c r="HU72" s="400" t="e">
        <f t="shared" si="378"/>
        <v>#N/A</v>
      </c>
      <c r="HV72" s="398" t="e">
        <f t="shared" si="206"/>
        <v>#N/A</v>
      </c>
      <c r="HW72" s="400" t="e">
        <f t="shared" si="335"/>
        <v>#N/A</v>
      </c>
      <c r="HX72" s="398" t="e">
        <f t="shared" si="336"/>
        <v>#N/A</v>
      </c>
      <c r="HY72" s="401" t="e">
        <f t="shared" si="337"/>
        <v>#N/A</v>
      </c>
      <c r="HZ72" s="399" t="e">
        <f t="shared" si="208"/>
        <v>#N/A</v>
      </c>
      <c r="IA72" s="47"/>
      <c r="IB72" s="49"/>
      <c r="IC72" s="396" t="e">
        <f t="shared" si="338"/>
        <v>#N/A</v>
      </c>
      <c r="ID72" s="397" t="e">
        <f t="shared" si="339"/>
        <v>#N/A</v>
      </c>
      <c r="IE72" s="400" t="e">
        <f t="shared" si="379"/>
        <v>#N/A</v>
      </c>
      <c r="IF72" s="398" t="e">
        <f t="shared" si="209"/>
        <v>#N/A</v>
      </c>
      <c r="IG72" s="400" t="e">
        <f t="shared" si="340"/>
        <v>#N/A</v>
      </c>
      <c r="IH72" s="398" t="e">
        <f t="shared" si="341"/>
        <v>#N/A</v>
      </c>
      <c r="II72" s="401" t="e">
        <f t="shared" si="342"/>
        <v>#N/A</v>
      </c>
      <c r="IJ72" s="399" t="e">
        <f t="shared" si="211"/>
        <v>#N/A</v>
      </c>
      <c r="IK72" s="47"/>
      <c r="IL72" s="47"/>
      <c r="IM72" s="396" t="e">
        <f t="shared" si="343"/>
        <v>#N/A</v>
      </c>
      <c r="IN72" s="397" t="e">
        <f t="shared" si="344"/>
        <v>#N/A</v>
      </c>
      <c r="IO72" s="400" t="e">
        <f t="shared" si="380"/>
        <v>#N/A</v>
      </c>
      <c r="IP72" s="398" t="e">
        <f t="shared" si="212"/>
        <v>#N/A</v>
      </c>
      <c r="IQ72" s="400" t="e">
        <f t="shared" si="345"/>
        <v>#N/A</v>
      </c>
      <c r="IR72" s="398" t="e">
        <f t="shared" si="346"/>
        <v>#N/A</v>
      </c>
      <c r="IS72" s="401" t="e">
        <f t="shared" si="347"/>
        <v>#N/A</v>
      </c>
      <c r="IT72" s="399" t="e">
        <f t="shared" si="214"/>
        <v>#N/A</v>
      </c>
      <c r="IU72" s="47"/>
      <c r="IV72" s="47"/>
      <c r="IW72" s="396" t="e">
        <f t="shared" si="116"/>
        <v>#N/A</v>
      </c>
      <c r="IX72" s="397" t="e">
        <f t="shared" si="117"/>
        <v>#N/A</v>
      </c>
      <c r="IY72" s="400" t="e">
        <f t="shared" si="118"/>
        <v>#N/A</v>
      </c>
      <c r="IZ72" s="398" t="e">
        <f t="shared" si="348"/>
        <v>#N/A</v>
      </c>
      <c r="JA72" s="400" t="e">
        <f t="shared" si="119"/>
        <v>#N/A</v>
      </c>
      <c r="JB72" s="398" t="e">
        <f t="shared" si="120"/>
        <v>#N/A</v>
      </c>
      <c r="JC72" s="401" t="e">
        <f t="shared" si="216"/>
        <v>#N/A</v>
      </c>
      <c r="JD72" s="399" t="e">
        <f t="shared" si="217"/>
        <v>#N/A</v>
      </c>
      <c r="JE72" s="47"/>
      <c r="JF72" s="47"/>
      <c r="JG72" s="396" t="e">
        <f t="shared" si="121"/>
        <v>#N/A</v>
      </c>
      <c r="JH72" s="397" t="e">
        <f t="shared" si="122"/>
        <v>#N/A</v>
      </c>
      <c r="JI72" s="400" t="e">
        <f t="shared" si="123"/>
        <v>#N/A</v>
      </c>
      <c r="JJ72" s="398" t="e">
        <f t="shared" si="349"/>
        <v>#N/A</v>
      </c>
      <c r="JK72" s="400" t="e">
        <f t="shared" si="124"/>
        <v>#N/A</v>
      </c>
      <c r="JL72" s="398" t="e">
        <f t="shared" si="125"/>
        <v>#N/A</v>
      </c>
      <c r="JM72" s="401" t="e">
        <f t="shared" si="219"/>
        <v>#N/A</v>
      </c>
      <c r="JN72" s="399" t="e">
        <f t="shared" si="220"/>
        <v>#N/A</v>
      </c>
      <c r="JO72" s="47"/>
      <c r="JP72" s="47"/>
      <c r="JQ72" s="396" t="e">
        <f t="shared" si="126"/>
        <v>#N/A</v>
      </c>
      <c r="JR72" s="397" t="e">
        <f t="shared" si="127"/>
        <v>#N/A</v>
      </c>
      <c r="JS72" s="400" t="e">
        <f t="shared" si="128"/>
        <v>#N/A</v>
      </c>
      <c r="JT72" s="398" t="e">
        <f t="shared" si="350"/>
        <v>#N/A</v>
      </c>
      <c r="JU72" s="400" t="e">
        <f t="shared" si="129"/>
        <v>#N/A</v>
      </c>
      <c r="JV72" s="398" t="e">
        <f t="shared" si="130"/>
        <v>#N/A</v>
      </c>
      <c r="JW72" s="401" t="e">
        <f t="shared" si="222"/>
        <v>#N/A</v>
      </c>
      <c r="JX72" s="399" t="e">
        <f t="shared" si="223"/>
        <v>#N/A</v>
      </c>
      <c r="JY72" s="47"/>
      <c r="JZ72" s="47"/>
      <c r="KA72" s="396" t="e">
        <f t="shared" si="131"/>
        <v>#N/A</v>
      </c>
      <c r="KB72" s="397" t="e">
        <f t="shared" si="132"/>
        <v>#N/A</v>
      </c>
      <c r="KC72" s="400" t="e">
        <f t="shared" si="133"/>
        <v>#N/A</v>
      </c>
      <c r="KD72" s="398" t="e">
        <f t="shared" si="351"/>
        <v>#N/A</v>
      </c>
      <c r="KE72" s="400" t="e">
        <f t="shared" si="134"/>
        <v>#N/A</v>
      </c>
      <c r="KF72" s="398" t="e">
        <f t="shared" si="135"/>
        <v>#N/A</v>
      </c>
      <c r="KG72" s="401" t="e">
        <f t="shared" si="225"/>
        <v>#N/A</v>
      </c>
      <c r="KH72" s="399" t="e">
        <f t="shared" si="226"/>
        <v>#N/A</v>
      </c>
      <c r="KI72" s="47"/>
      <c r="KJ72" s="47"/>
      <c r="KK72" s="396" t="e">
        <f t="shared" si="136"/>
        <v>#N/A</v>
      </c>
      <c r="KL72" s="397" t="e">
        <f t="shared" si="137"/>
        <v>#N/A</v>
      </c>
      <c r="KM72" s="400" t="e">
        <f t="shared" si="138"/>
        <v>#N/A</v>
      </c>
      <c r="KN72" s="398" t="e">
        <f t="shared" si="352"/>
        <v>#N/A</v>
      </c>
      <c r="KO72" s="400" t="e">
        <f t="shared" si="139"/>
        <v>#N/A</v>
      </c>
      <c r="KP72" s="398" t="e">
        <f t="shared" si="140"/>
        <v>#N/A</v>
      </c>
      <c r="KQ72" s="401" t="e">
        <f t="shared" si="228"/>
        <v>#N/A</v>
      </c>
      <c r="KR72" s="399" t="e">
        <f t="shared" si="229"/>
        <v>#N/A</v>
      </c>
      <c r="KS72" s="47"/>
      <c r="KT72" s="47"/>
      <c r="KU72" s="396" t="e">
        <f t="shared" si="353"/>
        <v>#N/A</v>
      </c>
      <c r="KV72" s="397" t="e">
        <f t="shared" si="354"/>
        <v>#N/A</v>
      </c>
      <c r="KW72" s="400" t="e">
        <f t="shared" si="381"/>
        <v>#N/A</v>
      </c>
      <c r="KX72" s="398" t="e">
        <f t="shared" si="230"/>
        <v>#N/A</v>
      </c>
      <c r="KY72" s="400" t="e">
        <f t="shared" si="355"/>
        <v>#N/A</v>
      </c>
      <c r="KZ72" s="398" t="e">
        <f t="shared" si="356"/>
        <v>#N/A</v>
      </c>
      <c r="LA72" s="401" t="e">
        <f t="shared" si="357"/>
        <v>#N/A</v>
      </c>
      <c r="LB72" s="399" t="e">
        <f t="shared" si="232"/>
        <v>#N/A</v>
      </c>
      <c r="LC72" s="47"/>
    </row>
    <row r="73" spans="26:315" x14ac:dyDescent="0.25">
      <c r="Z73" s="413"/>
      <c r="AA73" s="396" t="e">
        <f t="shared" si="233"/>
        <v>#N/A</v>
      </c>
      <c r="AB73" s="397" t="e">
        <f t="shared" si="234"/>
        <v>#N/A</v>
      </c>
      <c r="AC73" s="400" t="e">
        <f t="shared" si="358"/>
        <v>#N/A</v>
      </c>
      <c r="AD73" s="398" t="e">
        <f t="shared" si="146"/>
        <v>#N/A</v>
      </c>
      <c r="AE73" s="400" t="e">
        <f t="shared" si="235"/>
        <v>#N/A</v>
      </c>
      <c r="AF73" s="398" t="e">
        <f t="shared" si="236"/>
        <v>#N/A</v>
      </c>
      <c r="AG73" s="401" t="e">
        <f t="shared" si="237"/>
        <v>#N/A</v>
      </c>
      <c r="AH73" s="399" t="e">
        <f t="shared" si="148"/>
        <v>#N/A</v>
      </c>
      <c r="AI73" s="47"/>
      <c r="AJ73" s="47"/>
      <c r="AK73" s="396" t="e">
        <f t="shared" si="238"/>
        <v>#N/A</v>
      </c>
      <c r="AL73" s="397" t="e">
        <f t="shared" si="239"/>
        <v>#N/A</v>
      </c>
      <c r="AM73" s="400" t="e">
        <f t="shared" si="359"/>
        <v>#N/A</v>
      </c>
      <c r="AN73" s="398" t="e">
        <f t="shared" si="149"/>
        <v>#N/A</v>
      </c>
      <c r="AO73" s="400" t="e">
        <f t="shared" si="240"/>
        <v>#N/A</v>
      </c>
      <c r="AP73" s="398" t="e">
        <f t="shared" si="241"/>
        <v>#N/A</v>
      </c>
      <c r="AQ73" s="401" t="e">
        <f t="shared" si="242"/>
        <v>#N/A</v>
      </c>
      <c r="AR73" s="399" t="e">
        <f t="shared" si="151"/>
        <v>#N/A</v>
      </c>
      <c r="AS73" s="47"/>
      <c r="AT73" s="47"/>
      <c r="AU73" s="396" t="e">
        <f t="shared" si="243"/>
        <v>#N/A</v>
      </c>
      <c r="AV73" s="397" t="e">
        <f t="shared" si="244"/>
        <v>#N/A</v>
      </c>
      <c r="AW73" s="400" t="e">
        <f t="shared" si="360"/>
        <v>#N/A</v>
      </c>
      <c r="AX73" s="398" t="e">
        <f t="shared" si="152"/>
        <v>#N/A</v>
      </c>
      <c r="AY73" s="400" t="e">
        <f t="shared" si="245"/>
        <v>#N/A</v>
      </c>
      <c r="AZ73" s="398" t="e">
        <f t="shared" si="246"/>
        <v>#N/A</v>
      </c>
      <c r="BA73" s="401" t="e">
        <f t="shared" si="247"/>
        <v>#N/A</v>
      </c>
      <c r="BB73" s="399" t="e">
        <f t="shared" si="154"/>
        <v>#N/A</v>
      </c>
      <c r="BC73" s="47"/>
      <c r="BD73" s="47"/>
      <c r="BE73" s="396" t="e">
        <f t="shared" si="248"/>
        <v>#N/A</v>
      </c>
      <c r="BF73" s="397" t="e">
        <f t="shared" si="249"/>
        <v>#N/A</v>
      </c>
      <c r="BG73" s="400" t="e">
        <f t="shared" si="361"/>
        <v>#N/A</v>
      </c>
      <c r="BH73" s="398" t="e">
        <f t="shared" si="155"/>
        <v>#N/A</v>
      </c>
      <c r="BI73" s="400" t="e">
        <f t="shared" si="250"/>
        <v>#N/A</v>
      </c>
      <c r="BJ73" s="398" t="e">
        <f t="shared" si="251"/>
        <v>#N/A</v>
      </c>
      <c r="BK73" s="401" t="e">
        <f t="shared" si="252"/>
        <v>#N/A</v>
      </c>
      <c r="BL73" s="399" t="e">
        <f t="shared" si="157"/>
        <v>#N/A</v>
      </c>
      <c r="BM73" s="47"/>
      <c r="BN73" s="49"/>
      <c r="BO73" s="396" t="e">
        <f t="shared" si="253"/>
        <v>#N/A</v>
      </c>
      <c r="BP73" s="397" t="e">
        <f t="shared" si="254"/>
        <v>#N/A</v>
      </c>
      <c r="BQ73" s="400" t="e">
        <f t="shared" si="362"/>
        <v>#N/A</v>
      </c>
      <c r="BR73" s="398" t="e">
        <f t="shared" si="158"/>
        <v>#N/A</v>
      </c>
      <c r="BS73" s="400" t="e">
        <f t="shared" si="255"/>
        <v>#N/A</v>
      </c>
      <c r="BT73" s="398" t="e">
        <f t="shared" si="256"/>
        <v>#N/A</v>
      </c>
      <c r="BU73" s="401" t="e">
        <f t="shared" si="257"/>
        <v>#N/A</v>
      </c>
      <c r="BV73" s="399" t="e">
        <f t="shared" si="160"/>
        <v>#N/A</v>
      </c>
      <c r="BW73" s="47"/>
      <c r="BX73" s="47"/>
      <c r="BY73" s="396" t="e">
        <f t="shared" si="258"/>
        <v>#N/A</v>
      </c>
      <c r="BZ73" s="397" t="e">
        <f t="shared" si="259"/>
        <v>#N/A</v>
      </c>
      <c r="CA73" s="400" t="e">
        <f t="shared" si="363"/>
        <v>#N/A</v>
      </c>
      <c r="CB73" s="398" t="e">
        <f t="shared" si="161"/>
        <v>#N/A</v>
      </c>
      <c r="CC73" s="400" t="e">
        <f t="shared" si="260"/>
        <v>#N/A</v>
      </c>
      <c r="CD73" s="398" t="e">
        <f t="shared" si="261"/>
        <v>#N/A</v>
      </c>
      <c r="CE73" s="401" t="e">
        <f t="shared" si="262"/>
        <v>#N/A</v>
      </c>
      <c r="CF73" s="399" t="e">
        <f t="shared" si="163"/>
        <v>#N/A</v>
      </c>
      <c r="CG73" s="49"/>
      <c r="CH73" s="47"/>
      <c r="CI73" s="396" t="e">
        <f t="shared" si="263"/>
        <v>#N/A</v>
      </c>
      <c r="CJ73" s="397" t="e">
        <f t="shared" si="264"/>
        <v>#N/A</v>
      </c>
      <c r="CK73" s="400" t="e">
        <f t="shared" si="364"/>
        <v>#N/A</v>
      </c>
      <c r="CL73" s="398" t="e">
        <f t="shared" si="164"/>
        <v>#N/A</v>
      </c>
      <c r="CM73" s="400" t="e">
        <f t="shared" si="265"/>
        <v>#N/A</v>
      </c>
      <c r="CN73" s="398" t="e">
        <f t="shared" si="266"/>
        <v>#N/A</v>
      </c>
      <c r="CO73" s="401" t="e">
        <f t="shared" si="267"/>
        <v>#N/A</v>
      </c>
      <c r="CP73" s="399" t="e">
        <f t="shared" si="166"/>
        <v>#N/A</v>
      </c>
      <c r="CQ73" s="47"/>
      <c r="CS73" s="396" t="e">
        <f t="shared" si="268"/>
        <v>#N/A</v>
      </c>
      <c r="CT73" s="397" t="e">
        <f t="shared" si="269"/>
        <v>#N/A</v>
      </c>
      <c r="CU73" s="400" t="e">
        <f t="shared" si="365"/>
        <v>#N/A</v>
      </c>
      <c r="CV73" s="398" t="e">
        <f t="shared" si="167"/>
        <v>#N/A</v>
      </c>
      <c r="CW73" s="400" t="e">
        <f t="shared" si="270"/>
        <v>#N/A</v>
      </c>
      <c r="CX73" s="398" t="e">
        <f t="shared" si="271"/>
        <v>#N/A</v>
      </c>
      <c r="CY73" s="401" t="e">
        <f t="shared" si="272"/>
        <v>#N/A</v>
      </c>
      <c r="CZ73" s="399" t="e">
        <f t="shared" si="169"/>
        <v>#N/A</v>
      </c>
      <c r="DA73" s="47"/>
      <c r="DB73" s="47"/>
      <c r="DC73" s="396" t="e">
        <f t="shared" si="273"/>
        <v>#N/A</v>
      </c>
      <c r="DD73" s="397" t="e">
        <f t="shared" si="274"/>
        <v>#N/A</v>
      </c>
      <c r="DE73" s="400" t="e">
        <f t="shared" si="366"/>
        <v>#N/A</v>
      </c>
      <c r="DF73" s="398" t="e">
        <f t="shared" si="170"/>
        <v>#N/A</v>
      </c>
      <c r="DG73" s="400" t="e">
        <f t="shared" si="275"/>
        <v>#N/A</v>
      </c>
      <c r="DH73" s="398" t="e">
        <f t="shared" si="276"/>
        <v>#N/A</v>
      </c>
      <c r="DI73" s="401" t="e">
        <f t="shared" si="277"/>
        <v>#N/A</v>
      </c>
      <c r="DJ73" s="399" t="e">
        <f t="shared" si="172"/>
        <v>#N/A</v>
      </c>
      <c r="DK73" s="47"/>
      <c r="DM73" s="396" t="e">
        <f t="shared" si="278"/>
        <v>#N/A</v>
      </c>
      <c r="DN73" s="397" t="e">
        <f t="shared" si="279"/>
        <v>#N/A</v>
      </c>
      <c r="DO73" s="400" t="e">
        <f t="shared" si="367"/>
        <v>#N/A</v>
      </c>
      <c r="DP73" s="398" t="e">
        <f t="shared" si="173"/>
        <v>#N/A</v>
      </c>
      <c r="DQ73" s="400" t="e">
        <f t="shared" si="280"/>
        <v>#N/A</v>
      </c>
      <c r="DR73" s="398" t="e">
        <f t="shared" si="281"/>
        <v>#N/A</v>
      </c>
      <c r="DS73" s="401" t="e">
        <f t="shared" si="282"/>
        <v>#N/A</v>
      </c>
      <c r="DT73" s="399" t="e">
        <f t="shared" si="175"/>
        <v>#N/A</v>
      </c>
      <c r="DU73" s="47"/>
      <c r="DV73" s="49"/>
      <c r="DW73" s="396" t="e">
        <f t="shared" si="283"/>
        <v>#N/A</v>
      </c>
      <c r="DX73" s="397" t="e">
        <f t="shared" si="284"/>
        <v>#N/A</v>
      </c>
      <c r="DY73" s="400" t="e">
        <f t="shared" si="368"/>
        <v>#N/A</v>
      </c>
      <c r="DZ73" s="398" t="e">
        <f t="shared" si="176"/>
        <v>#N/A</v>
      </c>
      <c r="EA73" s="400" t="e">
        <f t="shared" si="285"/>
        <v>#N/A</v>
      </c>
      <c r="EB73" s="398" t="e">
        <f t="shared" si="286"/>
        <v>#N/A</v>
      </c>
      <c r="EC73" s="401" t="e">
        <f t="shared" si="287"/>
        <v>#N/A</v>
      </c>
      <c r="ED73" s="399" t="e">
        <f t="shared" si="178"/>
        <v>#N/A</v>
      </c>
      <c r="EE73" s="47"/>
      <c r="EF73" s="47"/>
      <c r="EG73" s="396" t="e">
        <f t="shared" si="288"/>
        <v>#N/A</v>
      </c>
      <c r="EH73" s="397" t="e">
        <f t="shared" si="289"/>
        <v>#N/A</v>
      </c>
      <c r="EI73" s="400" t="e">
        <f t="shared" si="369"/>
        <v>#N/A</v>
      </c>
      <c r="EJ73" s="398" t="e">
        <f t="shared" si="179"/>
        <v>#N/A</v>
      </c>
      <c r="EK73" s="400" t="e">
        <f t="shared" si="290"/>
        <v>#N/A</v>
      </c>
      <c r="EL73" s="398" t="e">
        <f t="shared" si="291"/>
        <v>#N/A</v>
      </c>
      <c r="EM73" s="401" t="e">
        <f t="shared" si="292"/>
        <v>#N/A</v>
      </c>
      <c r="EN73" s="399" t="e">
        <f t="shared" si="181"/>
        <v>#N/A</v>
      </c>
      <c r="EO73" s="47"/>
      <c r="EP73" s="47"/>
      <c r="EQ73" s="396" t="e">
        <f t="shared" si="293"/>
        <v>#N/A</v>
      </c>
      <c r="ER73" s="397" t="e">
        <f t="shared" si="294"/>
        <v>#N/A</v>
      </c>
      <c r="ES73" s="400" t="e">
        <f t="shared" si="370"/>
        <v>#N/A</v>
      </c>
      <c r="ET73" s="398" t="e">
        <f t="shared" si="182"/>
        <v>#N/A</v>
      </c>
      <c r="EU73" s="400" t="e">
        <f t="shared" si="295"/>
        <v>#N/A</v>
      </c>
      <c r="EV73" s="398" t="e">
        <f t="shared" si="296"/>
        <v>#N/A</v>
      </c>
      <c r="EW73" s="401" t="e">
        <f t="shared" si="297"/>
        <v>#N/A</v>
      </c>
      <c r="EX73" s="399" t="e">
        <f t="shared" si="184"/>
        <v>#N/A</v>
      </c>
      <c r="EY73" s="47"/>
      <c r="EZ73" s="47"/>
      <c r="FA73" s="396" t="e">
        <f t="shared" si="298"/>
        <v>#N/A</v>
      </c>
      <c r="FB73" s="397" t="e">
        <f t="shared" si="299"/>
        <v>#N/A</v>
      </c>
      <c r="FC73" s="400" t="e">
        <f t="shared" si="371"/>
        <v>#N/A</v>
      </c>
      <c r="FD73" s="398" t="e">
        <f t="shared" si="185"/>
        <v>#N/A</v>
      </c>
      <c r="FE73" s="400" t="e">
        <f t="shared" si="300"/>
        <v>#N/A</v>
      </c>
      <c r="FF73" s="398" t="e">
        <f t="shared" si="301"/>
        <v>#N/A</v>
      </c>
      <c r="FG73" s="401" t="e">
        <f t="shared" si="302"/>
        <v>#N/A</v>
      </c>
      <c r="FH73" s="399" t="e">
        <f t="shared" si="187"/>
        <v>#N/A</v>
      </c>
      <c r="FI73" s="47"/>
      <c r="FJ73" s="49"/>
      <c r="FK73" s="396" t="e">
        <f t="shared" si="303"/>
        <v>#N/A</v>
      </c>
      <c r="FL73" s="397" t="e">
        <f t="shared" si="304"/>
        <v>#N/A</v>
      </c>
      <c r="FM73" s="400" t="e">
        <f t="shared" si="372"/>
        <v>#N/A</v>
      </c>
      <c r="FN73" s="398" t="e">
        <f t="shared" si="188"/>
        <v>#N/A</v>
      </c>
      <c r="FO73" s="400" t="e">
        <f t="shared" si="305"/>
        <v>#N/A</v>
      </c>
      <c r="FP73" s="398" t="e">
        <f t="shared" si="306"/>
        <v>#N/A</v>
      </c>
      <c r="FQ73" s="401" t="e">
        <f t="shared" si="307"/>
        <v>#N/A</v>
      </c>
      <c r="FR73" s="399" t="e">
        <f t="shared" si="190"/>
        <v>#N/A</v>
      </c>
      <c r="FS73" s="47"/>
      <c r="FT73" s="47"/>
      <c r="FU73" s="396" t="e">
        <f t="shared" si="308"/>
        <v>#N/A</v>
      </c>
      <c r="FV73" s="397" t="e">
        <f t="shared" si="309"/>
        <v>#N/A</v>
      </c>
      <c r="FW73" s="400" t="e">
        <f t="shared" si="373"/>
        <v>#N/A</v>
      </c>
      <c r="FX73" s="398" t="e">
        <f t="shared" si="191"/>
        <v>#N/A</v>
      </c>
      <c r="FY73" s="400" t="e">
        <f t="shared" si="310"/>
        <v>#N/A</v>
      </c>
      <c r="FZ73" s="398" t="e">
        <f t="shared" si="311"/>
        <v>#N/A</v>
      </c>
      <c r="GA73" s="401" t="e">
        <f t="shared" si="312"/>
        <v>#N/A</v>
      </c>
      <c r="GB73" s="399" t="e">
        <f t="shared" si="193"/>
        <v>#N/A</v>
      </c>
      <c r="GC73" s="47"/>
      <c r="GD73" s="47"/>
      <c r="GE73" s="396" t="e">
        <f t="shared" si="313"/>
        <v>#N/A</v>
      </c>
      <c r="GF73" s="397" t="e">
        <f t="shared" si="314"/>
        <v>#N/A</v>
      </c>
      <c r="GG73" s="400" t="e">
        <f t="shared" si="374"/>
        <v>#N/A</v>
      </c>
      <c r="GH73" s="398" t="e">
        <f t="shared" si="194"/>
        <v>#N/A</v>
      </c>
      <c r="GI73" s="400" t="e">
        <f t="shared" si="315"/>
        <v>#N/A</v>
      </c>
      <c r="GJ73" s="398" t="e">
        <f t="shared" si="316"/>
        <v>#N/A</v>
      </c>
      <c r="GK73" s="401" t="e">
        <f t="shared" si="317"/>
        <v>#N/A</v>
      </c>
      <c r="GL73" s="399" t="e">
        <f t="shared" si="196"/>
        <v>#N/A</v>
      </c>
      <c r="GM73" s="47"/>
      <c r="GN73" s="47"/>
      <c r="GO73" s="396" t="e">
        <f t="shared" si="318"/>
        <v>#N/A</v>
      </c>
      <c r="GP73" s="397" t="e">
        <f t="shared" si="319"/>
        <v>#N/A</v>
      </c>
      <c r="GQ73" s="400" t="e">
        <f t="shared" si="375"/>
        <v>#N/A</v>
      </c>
      <c r="GR73" s="398" t="e">
        <f t="shared" si="197"/>
        <v>#N/A</v>
      </c>
      <c r="GS73" s="400" t="e">
        <f t="shared" si="320"/>
        <v>#N/A</v>
      </c>
      <c r="GT73" s="398" t="e">
        <f t="shared" si="321"/>
        <v>#N/A</v>
      </c>
      <c r="GU73" s="401" t="e">
        <f t="shared" si="322"/>
        <v>#N/A</v>
      </c>
      <c r="GV73" s="399" t="e">
        <f t="shared" si="199"/>
        <v>#N/A</v>
      </c>
      <c r="GW73" s="47"/>
      <c r="GX73" s="47"/>
      <c r="GY73" s="396" t="e">
        <f t="shared" si="323"/>
        <v>#N/A</v>
      </c>
      <c r="GZ73" s="397" t="e">
        <f t="shared" si="324"/>
        <v>#N/A</v>
      </c>
      <c r="HA73" s="400" t="e">
        <f t="shared" si="376"/>
        <v>#N/A</v>
      </c>
      <c r="HB73" s="398" t="e">
        <f t="shared" si="200"/>
        <v>#N/A</v>
      </c>
      <c r="HC73" s="400" t="e">
        <f t="shared" si="325"/>
        <v>#N/A</v>
      </c>
      <c r="HD73" s="398" t="e">
        <f t="shared" si="326"/>
        <v>#N/A</v>
      </c>
      <c r="HE73" s="401" t="e">
        <f t="shared" si="327"/>
        <v>#N/A</v>
      </c>
      <c r="HF73" s="399" t="e">
        <f t="shared" si="202"/>
        <v>#N/A</v>
      </c>
      <c r="HH73" s="47"/>
      <c r="HI73" s="396" t="e">
        <f t="shared" si="328"/>
        <v>#N/A</v>
      </c>
      <c r="HJ73" s="397" t="e">
        <f t="shared" si="329"/>
        <v>#N/A</v>
      </c>
      <c r="HK73" s="400" t="e">
        <f t="shared" si="377"/>
        <v>#N/A</v>
      </c>
      <c r="HL73" s="398" t="e">
        <f t="shared" si="203"/>
        <v>#N/A</v>
      </c>
      <c r="HM73" s="400" t="e">
        <f t="shared" si="330"/>
        <v>#N/A</v>
      </c>
      <c r="HN73" s="398" t="e">
        <f t="shared" si="331"/>
        <v>#N/A</v>
      </c>
      <c r="HO73" s="401" t="e">
        <f t="shared" si="332"/>
        <v>#N/A</v>
      </c>
      <c r="HP73" s="399" t="e">
        <f t="shared" si="205"/>
        <v>#N/A</v>
      </c>
      <c r="HQ73" s="47"/>
      <c r="HR73" s="47"/>
      <c r="HS73" s="396" t="e">
        <f t="shared" si="333"/>
        <v>#N/A</v>
      </c>
      <c r="HT73" s="397" t="e">
        <f t="shared" si="334"/>
        <v>#N/A</v>
      </c>
      <c r="HU73" s="400" t="e">
        <f t="shared" si="378"/>
        <v>#N/A</v>
      </c>
      <c r="HV73" s="398" t="e">
        <f t="shared" si="206"/>
        <v>#N/A</v>
      </c>
      <c r="HW73" s="400" t="e">
        <f t="shared" si="335"/>
        <v>#N/A</v>
      </c>
      <c r="HX73" s="398" t="e">
        <f t="shared" si="336"/>
        <v>#N/A</v>
      </c>
      <c r="HY73" s="401" t="e">
        <f t="shared" si="337"/>
        <v>#N/A</v>
      </c>
      <c r="HZ73" s="399" t="e">
        <f t="shared" si="208"/>
        <v>#N/A</v>
      </c>
      <c r="IA73" s="47"/>
      <c r="IB73" s="49"/>
      <c r="IC73" s="396" t="e">
        <f t="shared" si="338"/>
        <v>#N/A</v>
      </c>
      <c r="ID73" s="397" t="e">
        <f t="shared" si="339"/>
        <v>#N/A</v>
      </c>
      <c r="IE73" s="400" t="e">
        <f t="shared" si="379"/>
        <v>#N/A</v>
      </c>
      <c r="IF73" s="398" t="e">
        <f t="shared" si="209"/>
        <v>#N/A</v>
      </c>
      <c r="IG73" s="400" t="e">
        <f t="shared" si="340"/>
        <v>#N/A</v>
      </c>
      <c r="IH73" s="398" t="e">
        <f t="shared" si="341"/>
        <v>#N/A</v>
      </c>
      <c r="II73" s="401" t="e">
        <f t="shared" si="342"/>
        <v>#N/A</v>
      </c>
      <c r="IJ73" s="399" t="e">
        <f t="shared" si="211"/>
        <v>#N/A</v>
      </c>
      <c r="IK73" s="47"/>
      <c r="IL73" s="47"/>
      <c r="IM73" s="396" t="e">
        <f t="shared" si="343"/>
        <v>#N/A</v>
      </c>
      <c r="IN73" s="397" t="e">
        <f t="shared" si="344"/>
        <v>#N/A</v>
      </c>
      <c r="IO73" s="400" t="e">
        <f t="shared" si="380"/>
        <v>#N/A</v>
      </c>
      <c r="IP73" s="398" t="e">
        <f t="shared" si="212"/>
        <v>#N/A</v>
      </c>
      <c r="IQ73" s="400" t="e">
        <f t="shared" si="345"/>
        <v>#N/A</v>
      </c>
      <c r="IR73" s="398" t="e">
        <f t="shared" si="346"/>
        <v>#N/A</v>
      </c>
      <c r="IS73" s="401" t="e">
        <f t="shared" si="347"/>
        <v>#N/A</v>
      </c>
      <c r="IT73" s="399" t="e">
        <f t="shared" si="214"/>
        <v>#N/A</v>
      </c>
      <c r="IU73" s="47"/>
      <c r="IV73" s="47"/>
      <c r="IW73" s="396" t="e">
        <f t="shared" si="116"/>
        <v>#N/A</v>
      </c>
      <c r="IX73" s="397" t="e">
        <f t="shared" si="117"/>
        <v>#N/A</v>
      </c>
      <c r="IY73" s="400" t="e">
        <f t="shared" si="118"/>
        <v>#N/A</v>
      </c>
      <c r="IZ73" s="398" t="e">
        <f t="shared" si="348"/>
        <v>#N/A</v>
      </c>
      <c r="JA73" s="400" t="e">
        <f t="shared" si="119"/>
        <v>#N/A</v>
      </c>
      <c r="JB73" s="398" t="e">
        <f t="shared" si="120"/>
        <v>#N/A</v>
      </c>
      <c r="JC73" s="401" t="e">
        <f t="shared" si="216"/>
        <v>#N/A</v>
      </c>
      <c r="JD73" s="399" t="e">
        <f t="shared" si="217"/>
        <v>#N/A</v>
      </c>
      <c r="JE73" s="47"/>
      <c r="JF73" s="47"/>
      <c r="JG73" s="396" t="e">
        <f t="shared" si="121"/>
        <v>#N/A</v>
      </c>
      <c r="JH73" s="397" t="e">
        <f t="shared" si="122"/>
        <v>#N/A</v>
      </c>
      <c r="JI73" s="400" t="e">
        <f t="shared" si="123"/>
        <v>#N/A</v>
      </c>
      <c r="JJ73" s="398" t="e">
        <f t="shared" si="349"/>
        <v>#N/A</v>
      </c>
      <c r="JK73" s="400" t="e">
        <f t="shared" si="124"/>
        <v>#N/A</v>
      </c>
      <c r="JL73" s="398" t="e">
        <f t="shared" si="125"/>
        <v>#N/A</v>
      </c>
      <c r="JM73" s="401" t="e">
        <f t="shared" si="219"/>
        <v>#N/A</v>
      </c>
      <c r="JN73" s="399" t="e">
        <f t="shared" si="220"/>
        <v>#N/A</v>
      </c>
      <c r="JO73" s="47"/>
      <c r="JP73" s="47"/>
      <c r="JQ73" s="396" t="e">
        <f t="shared" si="126"/>
        <v>#N/A</v>
      </c>
      <c r="JR73" s="397" t="e">
        <f t="shared" si="127"/>
        <v>#N/A</v>
      </c>
      <c r="JS73" s="400" t="e">
        <f t="shared" si="128"/>
        <v>#N/A</v>
      </c>
      <c r="JT73" s="398" t="e">
        <f t="shared" si="350"/>
        <v>#N/A</v>
      </c>
      <c r="JU73" s="400" t="e">
        <f t="shared" si="129"/>
        <v>#N/A</v>
      </c>
      <c r="JV73" s="398" t="e">
        <f t="shared" si="130"/>
        <v>#N/A</v>
      </c>
      <c r="JW73" s="401" t="e">
        <f t="shared" si="222"/>
        <v>#N/A</v>
      </c>
      <c r="JX73" s="399" t="e">
        <f t="shared" si="223"/>
        <v>#N/A</v>
      </c>
      <c r="JY73" s="47"/>
      <c r="JZ73" s="47"/>
      <c r="KA73" s="396" t="e">
        <f t="shared" si="131"/>
        <v>#N/A</v>
      </c>
      <c r="KB73" s="397" t="e">
        <f t="shared" si="132"/>
        <v>#N/A</v>
      </c>
      <c r="KC73" s="400" t="e">
        <f t="shared" si="133"/>
        <v>#N/A</v>
      </c>
      <c r="KD73" s="398" t="e">
        <f t="shared" si="351"/>
        <v>#N/A</v>
      </c>
      <c r="KE73" s="400" t="e">
        <f t="shared" si="134"/>
        <v>#N/A</v>
      </c>
      <c r="KF73" s="398" t="e">
        <f t="shared" si="135"/>
        <v>#N/A</v>
      </c>
      <c r="KG73" s="401" t="e">
        <f t="shared" si="225"/>
        <v>#N/A</v>
      </c>
      <c r="KH73" s="399" t="e">
        <f t="shared" si="226"/>
        <v>#N/A</v>
      </c>
      <c r="KI73" s="47"/>
      <c r="KJ73" s="47"/>
      <c r="KK73" s="396" t="e">
        <f t="shared" si="136"/>
        <v>#N/A</v>
      </c>
      <c r="KL73" s="397" t="e">
        <f t="shared" si="137"/>
        <v>#N/A</v>
      </c>
      <c r="KM73" s="400" t="e">
        <f t="shared" si="138"/>
        <v>#N/A</v>
      </c>
      <c r="KN73" s="398" t="e">
        <f t="shared" si="352"/>
        <v>#N/A</v>
      </c>
      <c r="KO73" s="400" t="e">
        <f t="shared" si="139"/>
        <v>#N/A</v>
      </c>
      <c r="KP73" s="398" t="e">
        <f t="shared" si="140"/>
        <v>#N/A</v>
      </c>
      <c r="KQ73" s="401" t="e">
        <f t="shared" si="228"/>
        <v>#N/A</v>
      </c>
      <c r="KR73" s="399" t="e">
        <f t="shared" si="229"/>
        <v>#N/A</v>
      </c>
      <c r="KS73" s="47"/>
      <c r="KT73" s="47"/>
      <c r="KU73" s="396" t="e">
        <f t="shared" si="353"/>
        <v>#N/A</v>
      </c>
      <c r="KV73" s="397" t="e">
        <f t="shared" si="354"/>
        <v>#N/A</v>
      </c>
      <c r="KW73" s="400" t="e">
        <f t="shared" si="381"/>
        <v>#N/A</v>
      </c>
      <c r="KX73" s="398" t="e">
        <f t="shared" si="230"/>
        <v>#N/A</v>
      </c>
      <c r="KY73" s="400" t="e">
        <f t="shared" si="355"/>
        <v>#N/A</v>
      </c>
      <c r="KZ73" s="398" t="e">
        <f t="shared" si="356"/>
        <v>#N/A</v>
      </c>
      <c r="LA73" s="401" t="e">
        <f t="shared" si="357"/>
        <v>#N/A</v>
      </c>
      <c r="LB73" s="399" t="e">
        <f t="shared" si="232"/>
        <v>#N/A</v>
      </c>
      <c r="LC73" s="47"/>
    </row>
    <row r="74" spans="26:315" x14ac:dyDescent="0.25">
      <c r="Z74" s="413"/>
      <c r="AA74" s="396" t="e">
        <f t="shared" si="233"/>
        <v>#N/A</v>
      </c>
      <c r="AB74" s="397" t="e">
        <f t="shared" si="234"/>
        <v>#N/A</v>
      </c>
      <c r="AC74" s="400" t="e">
        <f t="shared" ref="AC74:AC100" si="382">IF(ISTEXT(AC73),0,IF(AC73+Δ_hba&gt;AD$3,NA(),AC73+Δ_hba))</f>
        <v>#N/A</v>
      </c>
      <c r="AD74" s="398" t="e">
        <f t="shared" si="146"/>
        <v>#N/A</v>
      </c>
      <c r="AE74" s="400" t="e">
        <f t="shared" si="235"/>
        <v>#N/A</v>
      </c>
      <c r="AF74" s="398" t="e">
        <f t="shared" si="236"/>
        <v>#N/A</v>
      </c>
      <c r="AG74" s="401" t="e">
        <f t="shared" si="237"/>
        <v>#N/A</v>
      </c>
      <c r="AH74" s="399" t="e">
        <f t="shared" si="148"/>
        <v>#N/A</v>
      </c>
      <c r="AI74" s="47"/>
      <c r="AJ74" s="47"/>
      <c r="AK74" s="396" t="e">
        <f t="shared" si="238"/>
        <v>#N/A</v>
      </c>
      <c r="AL74" s="397" t="e">
        <f t="shared" si="239"/>
        <v>#N/A</v>
      </c>
      <c r="AM74" s="400" t="e">
        <f t="shared" ref="AM74:AM100" si="383">IF(ISTEXT(AM73),0,IF(AM73+Δ_hba&gt;AN$3,NA(),AM73+Δ_hba))</f>
        <v>#N/A</v>
      </c>
      <c r="AN74" s="398" t="e">
        <f t="shared" si="149"/>
        <v>#N/A</v>
      </c>
      <c r="AO74" s="400" t="e">
        <f t="shared" si="240"/>
        <v>#N/A</v>
      </c>
      <c r="AP74" s="398" t="e">
        <f t="shared" si="241"/>
        <v>#N/A</v>
      </c>
      <c r="AQ74" s="401" t="e">
        <f t="shared" si="242"/>
        <v>#N/A</v>
      </c>
      <c r="AR74" s="399" t="e">
        <f t="shared" si="151"/>
        <v>#N/A</v>
      </c>
      <c r="AS74" s="47"/>
      <c r="AT74" s="47"/>
      <c r="AU74" s="396" t="e">
        <f t="shared" si="243"/>
        <v>#N/A</v>
      </c>
      <c r="AV74" s="397" t="e">
        <f t="shared" si="244"/>
        <v>#N/A</v>
      </c>
      <c r="AW74" s="400" t="e">
        <f t="shared" ref="AW74:AW100" si="384">IF(ISTEXT(AW73),0,IF(AW73+Δ_hba&gt;AX$3,NA(),AW73+Δ_hba))</f>
        <v>#N/A</v>
      </c>
      <c r="AX74" s="398" t="e">
        <f t="shared" si="152"/>
        <v>#N/A</v>
      </c>
      <c r="AY74" s="400" t="e">
        <f t="shared" si="245"/>
        <v>#N/A</v>
      </c>
      <c r="AZ74" s="398" t="e">
        <f t="shared" si="246"/>
        <v>#N/A</v>
      </c>
      <c r="BA74" s="401" t="e">
        <f t="shared" si="247"/>
        <v>#N/A</v>
      </c>
      <c r="BB74" s="399" t="e">
        <f t="shared" si="154"/>
        <v>#N/A</v>
      </c>
      <c r="BC74" s="47"/>
      <c r="BD74" s="47"/>
      <c r="BE74" s="396" t="e">
        <f t="shared" si="248"/>
        <v>#N/A</v>
      </c>
      <c r="BF74" s="397" t="e">
        <f t="shared" si="249"/>
        <v>#N/A</v>
      </c>
      <c r="BG74" s="400" t="e">
        <f t="shared" ref="BG74:BG100" si="385">IF(ISTEXT(BG73),0,IF(BG73+Δ_hba&gt;BH$3,NA(),BG73+Δ_hba))</f>
        <v>#N/A</v>
      </c>
      <c r="BH74" s="398" t="e">
        <f t="shared" si="155"/>
        <v>#N/A</v>
      </c>
      <c r="BI74" s="400" t="e">
        <f t="shared" si="250"/>
        <v>#N/A</v>
      </c>
      <c r="BJ74" s="398" t="e">
        <f t="shared" si="251"/>
        <v>#N/A</v>
      </c>
      <c r="BK74" s="401" t="e">
        <f t="shared" si="252"/>
        <v>#N/A</v>
      </c>
      <c r="BL74" s="399" t="e">
        <f t="shared" si="157"/>
        <v>#N/A</v>
      </c>
      <c r="BM74" s="47"/>
      <c r="BN74" s="49"/>
      <c r="BO74" s="396" t="e">
        <f t="shared" si="253"/>
        <v>#N/A</v>
      </c>
      <c r="BP74" s="397" t="e">
        <f t="shared" si="254"/>
        <v>#N/A</v>
      </c>
      <c r="BQ74" s="400" t="e">
        <f t="shared" ref="BQ74:BQ100" si="386">IF(ISTEXT(BQ73),0,IF(BQ73+Δ_hba&gt;BR$3,NA(),BQ73+Δ_hba))</f>
        <v>#N/A</v>
      </c>
      <c r="BR74" s="398" t="e">
        <f t="shared" si="158"/>
        <v>#N/A</v>
      </c>
      <c r="BS74" s="400" t="e">
        <f t="shared" si="255"/>
        <v>#N/A</v>
      </c>
      <c r="BT74" s="398" t="e">
        <f t="shared" si="256"/>
        <v>#N/A</v>
      </c>
      <c r="BU74" s="401" t="e">
        <f t="shared" si="257"/>
        <v>#N/A</v>
      </c>
      <c r="BV74" s="399" t="e">
        <f t="shared" si="160"/>
        <v>#N/A</v>
      </c>
      <c r="BW74" s="47"/>
      <c r="BX74" s="47"/>
      <c r="BY74" s="396" t="e">
        <f t="shared" si="258"/>
        <v>#N/A</v>
      </c>
      <c r="BZ74" s="397" t="e">
        <f t="shared" si="259"/>
        <v>#N/A</v>
      </c>
      <c r="CA74" s="400" t="e">
        <f t="shared" ref="CA74:CA100" si="387">IF(ISTEXT(CA73),0,IF(CA73+Δ_hba&gt;CB$3,NA(),CA73+Δ_hba))</f>
        <v>#N/A</v>
      </c>
      <c r="CB74" s="398" t="e">
        <f t="shared" si="161"/>
        <v>#N/A</v>
      </c>
      <c r="CC74" s="400" t="e">
        <f t="shared" si="260"/>
        <v>#N/A</v>
      </c>
      <c r="CD74" s="398" t="e">
        <f t="shared" si="261"/>
        <v>#N/A</v>
      </c>
      <c r="CE74" s="401" t="e">
        <f t="shared" si="262"/>
        <v>#N/A</v>
      </c>
      <c r="CF74" s="399" t="e">
        <f t="shared" si="163"/>
        <v>#N/A</v>
      </c>
      <c r="CG74" s="49"/>
      <c r="CH74" s="47"/>
      <c r="CI74" s="396" t="e">
        <f t="shared" si="263"/>
        <v>#N/A</v>
      </c>
      <c r="CJ74" s="397" t="e">
        <f t="shared" si="264"/>
        <v>#N/A</v>
      </c>
      <c r="CK74" s="400" t="e">
        <f t="shared" ref="CK74:CK100" si="388">IF(ISTEXT(CK73),0,IF(CK73+Δ_hba&gt;CL$3,NA(),CK73+Δ_hba))</f>
        <v>#N/A</v>
      </c>
      <c r="CL74" s="398" t="e">
        <f t="shared" si="164"/>
        <v>#N/A</v>
      </c>
      <c r="CM74" s="400" t="e">
        <f t="shared" si="265"/>
        <v>#N/A</v>
      </c>
      <c r="CN74" s="398" t="e">
        <f t="shared" si="266"/>
        <v>#N/A</v>
      </c>
      <c r="CO74" s="401" t="e">
        <f t="shared" si="267"/>
        <v>#N/A</v>
      </c>
      <c r="CP74" s="399" t="e">
        <f t="shared" si="166"/>
        <v>#N/A</v>
      </c>
      <c r="CQ74" s="47"/>
      <c r="CS74" s="396" t="e">
        <f t="shared" si="268"/>
        <v>#N/A</v>
      </c>
      <c r="CT74" s="397" t="e">
        <f t="shared" si="269"/>
        <v>#N/A</v>
      </c>
      <c r="CU74" s="400" t="e">
        <f t="shared" ref="CU74:CU100" si="389">IF(ISTEXT(CU73),0,IF(CU73+Δ_hba&gt;CV$3,NA(),CU73+Δ_hba))</f>
        <v>#N/A</v>
      </c>
      <c r="CV74" s="398" t="e">
        <f t="shared" si="167"/>
        <v>#N/A</v>
      </c>
      <c r="CW74" s="400" t="e">
        <f t="shared" si="270"/>
        <v>#N/A</v>
      </c>
      <c r="CX74" s="398" t="e">
        <f t="shared" si="271"/>
        <v>#N/A</v>
      </c>
      <c r="CY74" s="401" t="e">
        <f t="shared" si="272"/>
        <v>#N/A</v>
      </c>
      <c r="CZ74" s="399" t="e">
        <f t="shared" si="169"/>
        <v>#N/A</v>
      </c>
      <c r="DA74" s="47"/>
      <c r="DB74" s="47"/>
      <c r="DC74" s="396" t="e">
        <f t="shared" si="273"/>
        <v>#N/A</v>
      </c>
      <c r="DD74" s="397" t="e">
        <f t="shared" si="274"/>
        <v>#N/A</v>
      </c>
      <c r="DE74" s="400" t="e">
        <f t="shared" ref="DE74:DE100" si="390">IF(ISTEXT(DE73),0,IF(DE73+Δ_hba&gt;DF$3,NA(),DE73+Δ_hba))</f>
        <v>#N/A</v>
      </c>
      <c r="DF74" s="398" t="e">
        <f t="shared" si="170"/>
        <v>#N/A</v>
      </c>
      <c r="DG74" s="400" t="e">
        <f t="shared" si="275"/>
        <v>#N/A</v>
      </c>
      <c r="DH74" s="398" t="e">
        <f t="shared" si="276"/>
        <v>#N/A</v>
      </c>
      <c r="DI74" s="401" t="e">
        <f t="shared" si="277"/>
        <v>#N/A</v>
      </c>
      <c r="DJ74" s="399" t="e">
        <f t="shared" si="172"/>
        <v>#N/A</v>
      </c>
      <c r="DK74" s="47"/>
      <c r="DM74" s="396" t="e">
        <f t="shared" si="278"/>
        <v>#N/A</v>
      </c>
      <c r="DN74" s="397" t="e">
        <f t="shared" si="279"/>
        <v>#N/A</v>
      </c>
      <c r="DO74" s="400" t="e">
        <f t="shared" ref="DO74:DO100" si="391">IF(ISTEXT(DO73),0,IF(DO73+Δ_hba&gt;DP$3,NA(),DO73+Δ_hba))</f>
        <v>#N/A</v>
      </c>
      <c r="DP74" s="398" t="e">
        <f t="shared" si="173"/>
        <v>#N/A</v>
      </c>
      <c r="DQ74" s="400" t="e">
        <f t="shared" si="280"/>
        <v>#N/A</v>
      </c>
      <c r="DR74" s="398" t="e">
        <f t="shared" si="281"/>
        <v>#N/A</v>
      </c>
      <c r="DS74" s="401" t="e">
        <f t="shared" si="282"/>
        <v>#N/A</v>
      </c>
      <c r="DT74" s="399" t="e">
        <f t="shared" si="175"/>
        <v>#N/A</v>
      </c>
      <c r="DU74" s="47"/>
      <c r="DV74" s="49"/>
      <c r="DW74" s="396" t="e">
        <f t="shared" si="283"/>
        <v>#N/A</v>
      </c>
      <c r="DX74" s="397" t="e">
        <f t="shared" si="284"/>
        <v>#N/A</v>
      </c>
      <c r="DY74" s="400" t="e">
        <f t="shared" ref="DY74:DY100" si="392">IF(ISTEXT(DY73),0,IF(DY73+Δ_hba&gt;DZ$3,NA(),DY73+Δ_hba))</f>
        <v>#N/A</v>
      </c>
      <c r="DZ74" s="398" t="e">
        <f t="shared" si="176"/>
        <v>#N/A</v>
      </c>
      <c r="EA74" s="400" t="e">
        <f t="shared" si="285"/>
        <v>#N/A</v>
      </c>
      <c r="EB74" s="398" t="e">
        <f t="shared" si="286"/>
        <v>#N/A</v>
      </c>
      <c r="EC74" s="401" t="e">
        <f t="shared" si="287"/>
        <v>#N/A</v>
      </c>
      <c r="ED74" s="399" t="e">
        <f t="shared" si="178"/>
        <v>#N/A</v>
      </c>
      <c r="EE74" s="47"/>
      <c r="EF74" s="47"/>
      <c r="EG74" s="396" t="e">
        <f t="shared" si="288"/>
        <v>#N/A</v>
      </c>
      <c r="EH74" s="397" t="e">
        <f t="shared" si="289"/>
        <v>#N/A</v>
      </c>
      <c r="EI74" s="400" t="e">
        <f t="shared" ref="EI74:EI100" si="393">IF(ISTEXT(EI73),0,IF(EI73+Δ_hba&gt;EJ$3,NA(),EI73+Δ_hba))</f>
        <v>#N/A</v>
      </c>
      <c r="EJ74" s="398" t="e">
        <f t="shared" si="179"/>
        <v>#N/A</v>
      </c>
      <c r="EK74" s="400" t="e">
        <f t="shared" si="290"/>
        <v>#N/A</v>
      </c>
      <c r="EL74" s="398" t="e">
        <f t="shared" si="291"/>
        <v>#N/A</v>
      </c>
      <c r="EM74" s="401" t="e">
        <f t="shared" si="292"/>
        <v>#N/A</v>
      </c>
      <c r="EN74" s="399" t="e">
        <f t="shared" si="181"/>
        <v>#N/A</v>
      </c>
      <c r="EO74" s="47"/>
      <c r="EP74" s="47"/>
      <c r="EQ74" s="396" t="e">
        <f t="shared" si="293"/>
        <v>#N/A</v>
      </c>
      <c r="ER74" s="397" t="e">
        <f t="shared" si="294"/>
        <v>#N/A</v>
      </c>
      <c r="ES74" s="400" t="e">
        <f t="shared" ref="ES74:ES100" si="394">IF(ISTEXT(ES73),0,IF(ES73+Δ_hba&gt;ET$3,NA(),ES73+Δ_hba))</f>
        <v>#N/A</v>
      </c>
      <c r="ET74" s="398" t="e">
        <f t="shared" si="182"/>
        <v>#N/A</v>
      </c>
      <c r="EU74" s="400" t="e">
        <f t="shared" si="295"/>
        <v>#N/A</v>
      </c>
      <c r="EV74" s="398" t="e">
        <f t="shared" si="296"/>
        <v>#N/A</v>
      </c>
      <c r="EW74" s="401" t="e">
        <f t="shared" si="297"/>
        <v>#N/A</v>
      </c>
      <c r="EX74" s="399" t="e">
        <f t="shared" si="184"/>
        <v>#N/A</v>
      </c>
      <c r="EY74" s="47"/>
      <c r="EZ74" s="47"/>
      <c r="FA74" s="396" t="e">
        <f t="shared" si="298"/>
        <v>#N/A</v>
      </c>
      <c r="FB74" s="397" t="e">
        <f t="shared" si="299"/>
        <v>#N/A</v>
      </c>
      <c r="FC74" s="400" t="e">
        <f t="shared" ref="FC74:FC100" si="395">IF(ISTEXT(FC73),0,IF(FC73+Δ_hba&gt;FD$3,NA(),FC73+Δ_hba))</f>
        <v>#N/A</v>
      </c>
      <c r="FD74" s="398" t="e">
        <f t="shared" si="185"/>
        <v>#N/A</v>
      </c>
      <c r="FE74" s="400" t="e">
        <f t="shared" si="300"/>
        <v>#N/A</v>
      </c>
      <c r="FF74" s="398" t="e">
        <f t="shared" si="301"/>
        <v>#N/A</v>
      </c>
      <c r="FG74" s="401" t="e">
        <f t="shared" si="302"/>
        <v>#N/A</v>
      </c>
      <c r="FH74" s="399" t="e">
        <f t="shared" si="187"/>
        <v>#N/A</v>
      </c>
      <c r="FI74" s="47"/>
      <c r="FJ74" s="49"/>
      <c r="FK74" s="396" t="e">
        <f t="shared" si="303"/>
        <v>#N/A</v>
      </c>
      <c r="FL74" s="397" t="e">
        <f t="shared" si="304"/>
        <v>#N/A</v>
      </c>
      <c r="FM74" s="400" t="e">
        <f t="shared" ref="FM74:FM100" si="396">IF(ISTEXT(FM73),0,IF(FM73+Δ_hba&gt;FN$3,NA(),FM73+Δ_hba))</f>
        <v>#N/A</v>
      </c>
      <c r="FN74" s="398" t="e">
        <f t="shared" si="188"/>
        <v>#N/A</v>
      </c>
      <c r="FO74" s="400" t="e">
        <f t="shared" si="305"/>
        <v>#N/A</v>
      </c>
      <c r="FP74" s="398" t="e">
        <f t="shared" si="306"/>
        <v>#N/A</v>
      </c>
      <c r="FQ74" s="401" t="e">
        <f t="shared" si="307"/>
        <v>#N/A</v>
      </c>
      <c r="FR74" s="399" t="e">
        <f t="shared" si="190"/>
        <v>#N/A</v>
      </c>
      <c r="FS74" s="47"/>
      <c r="FT74" s="47"/>
      <c r="FU74" s="396" t="e">
        <f t="shared" si="308"/>
        <v>#N/A</v>
      </c>
      <c r="FV74" s="397" t="e">
        <f t="shared" si="309"/>
        <v>#N/A</v>
      </c>
      <c r="FW74" s="400" t="e">
        <f t="shared" ref="FW74:FW100" si="397">IF(ISTEXT(FW73),0,IF(FW73+Δ_hba&gt;FX$3,NA(),FW73+Δ_hba))</f>
        <v>#N/A</v>
      </c>
      <c r="FX74" s="398" t="e">
        <f t="shared" si="191"/>
        <v>#N/A</v>
      </c>
      <c r="FY74" s="400" t="e">
        <f t="shared" si="310"/>
        <v>#N/A</v>
      </c>
      <c r="FZ74" s="398" t="e">
        <f t="shared" si="311"/>
        <v>#N/A</v>
      </c>
      <c r="GA74" s="401" t="e">
        <f t="shared" si="312"/>
        <v>#N/A</v>
      </c>
      <c r="GB74" s="399" t="e">
        <f t="shared" si="193"/>
        <v>#N/A</v>
      </c>
      <c r="GC74" s="47"/>
      <c r="GD74" s="47"/>
      <c r="GE74" s="396" t="e">
        <f t="shared" si="313"/>
        <v>#N/A</v>
      </c>
      <c r="GF74" s="397" t="e">
        <f t="shared" si="314"/>
        <v>#N/A</v>
      </c>
      <c r="GG74" s="400" t="e">
        <f t="shared" ref="GG74:GG100" si="398">IF(ISTEXT(GG73),0,IF(GG73+Δ_hba&gt;GH$3,NA(),GG73+Δ_hba))</f>
        <v>#N/A</v>
      </c>
      <c r="GH74" s="398" t="e">
        <f t="shared" si="194"/>
        <v>#N/A</v>
      </c>
      <c r="GI74" s="400" t="e">
        <f t="shared" si="315"/>
        <v>#N/A</v>
      </c>
      <c r="GJ74" s="398" t="e">
        <f t="shared" si="316"/>
        <v>#N/A</v>
      </c>
      <c r="GK74" s="401" t="e">
        <f t="shared" si="317"/>
        <v>#N/A</v>
      </c>
      <c r="GL74" s="399" t="e">
        <f t="shared" si="196"/>
        <v>#N/A</v>
      </c>
      <c r="GM74" s="47"/>
      <c r="GN74" s="47"/>
      <c r="GO74" s="396" t="e">
        <f t="shared" si="318"/>
        <v>#N/A</v>
      </c>
      <c r="GP74" s="397" t="e">
        <f t="shared" si="319"/>
        <v>#N/A</v>
      </c>
      <c r="GQ74" s="400" t="e">
        <f t="shared" ref="GQ74:GQ100" si="399">IF(ISTEXT(GQ73),0,IF(GQ73+Δ_hba&gt;GR$3,NA(),GQ73+Δ_hba))</f>
        <v>#N/A</v>
      </c>
      <c r="GR74" s="398" t="e">
        <f t="shared" si="197"/>
        <v>#N/A</v>
      </c>
      <c r="GS74" s="400" t="e">
        <f t="shared" si="320"/>
        <v>#N/A</v>
      </c>
      <c r="GT74" s="398" t="e">
        <f t="shared" si="321"/>
        <v>#N/A</v>
      </c>
      <c r="GU74" s="401" t="e">
        <f t="shared" si="322"/>
        <v>#N/A</v>
      </c>
      <c r="GV74" s="399" t="e">
        <f t="shared" si="199"/>
        <v>#N/A</v>
      </c>
      <c r="GW74" s="47"/>
      <c r="GX74" s="47"/>
      <c r="GY74" s="396" t="e">
        <f t="shared" si="323"/>
        <v>#N/A</v>
      </c>
      <c r="GZ74" s="397" t="e">
        <f t="shared" si="324"/>
        <v>#N/A</v>
      </c>
      <c r="HA74" s="400" t="e">
        <f t="shared" ref="HA74:HA100" si="400">IF(ISTEXT(HA73),0,IF(HA73+Δ_hba&gt;HB$3,NA(),HA73+Δ_hba))</f>
        <v>#N/A</v>
      </c>
      <c r="HB74" s="398" t="e">
        <f t="shared" si="200"/>
        <v>#N/A</v>
      </c>
      <c r="HC74" s="400" t="e">
        <f t="shared" si="325"/>
        <v>#N/A</v>
      </c>
      <c r="HD74" s="398" t="e">
        <f t="shared" si="326"/>
        <v>#N/A</v>
      </c>
      <c r="HE74" s="401" t="e">
        <f t="shared" si="327"/>
        <v>#N/A</v>
      </c>
      <c r="HF74" s="399" t="e">
        <f t="shared" si="202"/>
        <v>#N/A</v>
      </c>
      <c r="HH74" s="47"/>
      <c r="HI74" s="396" t="e">
        <f t="shared" si="328"/>
        <v>#N/A</v>
      </c>
      <c r="HJ74" s="397" t="e">
        <f t="shared" si="329"/>
        <v>#N/A</v>
      </c>
      <c r="HK74" s="400" t="e">
        <f t="shared" ref="HK74:HK100" si="401">IF(ISTEXT(HK73),0,IF(HK73+Δ_hba&gt;HL$3,NA(),HK73+Δ_hba))</f>
        <v>#N/A</v>
      </c>
      <c r="HL74" s="398" t="e">
        <f t="shared" si="203"/>
        <v>#N/A</v>
      </c>
      <c r="HM74" s="400" t="e">
        <f t="shared" si="330"/>
        <v>#N/A</v>
      </c>
      <c r="HN74" s="398" t="e">
        <f t="shared" si="331"/>
        <v>#N/A</v>
      </c>
      <c r="HO74" s="401" t="e">
        <f t="shared" si="332"/>
        <v>#N/A</v>
      </c>
      <c r="HP74" s="399" t="e">
        <f t="shared" si="205"/>
        <v>#N/A</v>
      </c>
      <c r="HQ74" s="47"/>
      <c r="HR74" s="47"/>
      <c r="HS74" s="396" t="e">
        <f t="shared" si="333"/>
        <v>#N/A</v>
      </c>
      <c r="HT74" s="397" t="e">
        <f t="shared" si="334"/>
        <v>#N/A</v>
      </c>
      <c r="HU74" s="400" t="e">
        <f t="shared" ref="HU74:HU100" si="402">IF(ISTEXT(HU73),0,IF(HU73+Δ_hba&gt;HV$3,NA(),HU73+Δ_hba))</f>
        <v>#N/A</v>
      </c>
      <c r="HV74" s="398" t="e">
        <f t="shared" si="206"/>
        <v>#N/A</v>
      </c>
      <c r="HW74" s="400" t="e">
        <f t="shared" si="335"/>
        <v>#N/A</v>
      </c>
      <c r="HX74" s="398" t="e">
        <f t="shared" si="336"/>
        <v>#N/A</v>
      </c>
      <c r="HY74" s="401" t="e">
        <f t="shared" si="337"/>
        <v>#N/A</v>
      </c>
      <c r="HZ74" s="399" t="e">
        <f t="shared" si="208"/>
        <v>#N/A</v>
      </c>
      <c r="IA74" s="47"/>
      <c r="IB74" s="49"/>
      <c r="IC74" s="396" t="e">
        <f t="shared" si="338"/>
        <v>#N/A</v>
      </c>
      <c r="ID74" s="397" t="e">
        <f t="shared" si="339"/>
        <v>#N/A</v>
      </c>
      <c r="IE74" s="400" t="e">
        <f t="shared" ref="IE74:IE100" si="403">IF(ISTEXT(IE73),0,IF(IE73+Δ_hba&gt;IF$3,NA(),IE73+Δ_hba))</f>
        <v>#N/A</v>
      </c>
      <c r="IF74" s="398" t="e">
        <f t="shared" si="209"/>
        <v>#N/A</v>
      </c>
      <c r="IG74" s="400" t="e">
        <f t="shared" si="340"/>
        <v>#N/A</v>
      </c>
      <c r="IH74" s="398" t="e">
        <f t="shared" si="341"/>
        <v>#N/A</v>
      </c>
      <c r="II74" s="401" t="e">
        <f t="shared" si="342"/>
        <v>#N/A</v>
      </c>
      <c r="IJ74" s="399" t="e">
        <f t="shared" si="211"/>
        <v>#N/A</v>
      </c>
      <c r="IK74" s="47"/>
      <c r="IL74" s="47"/>
      <c r="IM74" s="396" t="e">
        <f t="shared" si="343"/>
        <v>#N/A</v>
      </c>
      <c r="IN74" s="397" t="e">
        <f t="shared" si="344"/>
        <v>#N/A</v>
      </c>
      <c r="IO74" s="400" t="e">
        <f t="shared" ref="IO74:IO100" si="404">IF(ISTEXT(IO73),0,IF(IO73+Δ_hba&gt;IP$3,NA(),IO73+Δ_hba))</f>
        <v>#N/A</v>
      </c>
      <c r="IP74" s="398" t="e">
        <f t="shared" si="212"/>
        <v>#N/A</v>
      </c>
      <c r="IQ74" s="400" t="e">
        <f t="shared" si="345"/>
        <v>#N/A</v>
      </c>
      <c r="IR74" s="398" t="e">
        <f t="shared" si="346"/>
        <v>#N/A</v>
      </c>
      <c r="IS74" s="401" t="e">
        <f t="shared" si="347"/>
        <v>#N/A</v>
      </c>
      <c r="IT74" s="399" t="e">
        <f t="shared" si="214"/>
        <v>#N/A</v>
      </c>
      <c r="IU74" s="47"/>
      <c r="IV74" s="47"/>
      <c r="IW74" s="396" t="e">
        <f t="shared" ref="IW74:IW100" si="405">IF(ISTEXT(IW73),JC$2,IF(IW73+IW$8*(IY74-IY73)&gt;JC$3,JC$3,IW73+IW$8*(IY74-IY73)))</f>
        <v>#N/A</v>
      </c>
      <c r="IX74" s="397" t="e">
        <f t="shared" ref="IX74:IX100" si="406">IF(ISTEXT(IX73),JD$2,IF(IX73+IX$8*(IY74-IY73)&gt;JD$3,JD$3,IX73+IX$8*(IY74-IY73)))</f>
        <v>#N/A</v>
      </c>
      <c r="IY74" s="400" t="e">
        <f t="shared" ref="IY74:IY100" si="407">IF(ISTEXT(IY73),0,IF(IY73+Δ_hba&gt;IZ$3,NA(),IY73+Δ_hba))</f>
        <v>#N/A</v>
      </c>
      <c r="IZ74" s="398" t="e">
        <f t="shared" si="348"/>
        <v>#N/A</v>
      </c>
      <c r="JA74" s="400" t="e">
        <f t="shared" ref="JA74:JA100" si="408">IF(ISTEXT(JA73),JA$2,(IZ73*JA73+(IZ74-IZ73)*IF(JA$2=JA$3,JA$2,IF(JA$2&gt;JA$3,JA$2-(IW74+IW73)/4,JA$2+(IW74+IW73)/4)))/IZ74)</f>
        <v>#N/A</v>
      </c>
      <c r="JB74" s="398" t="e">
        <f t="shared" ref="JB74:JB100" si="409">IF(ISTEXT(JB73),JB$2,(IZ73*JB73+(IZ74-IZ73)*IF(JB$2&gt;0,JB$2-JD$2/2+(IX74+IX73)/4,JB$2+JD$2/2-(IX74+IX73)/4))/IZ74)</f>
        <v>#N/A</v>
      </c>
      <c r="JC74" s="401" t="e">
        <f t="shared" si="216"/>
        <v>#N/A</v>
      </c>
      <c r="JD74" s="399" t="e">
        <f t="shared" si="217"/>
        <v>#N/A</v>
      </c>
      <c r="JE74" s="47"/>
      <c r="JF74" s="47"/>
      <c r="JG74" s="396" t="e">
        <f t="shared" ref="JG74:JG100" si="410">IF(ISTEXT(JG73),JM$2,IF(JG73+JG$8*(JI74-JI73)&gt;JM$3,JM$3,JG73+JG$8*(JI74-JI73)))</f>
        <v>#N/A</v>
      </c>
      <c r="JH74" s="397" t="e">
        <f t="shared" ref="JH74:JH100" si="411">IF(ISTEXT(JH73),JN$2,IF(JH73+JH$8*(JI74-JI73)&gt;JN$3,JN$3,JH73+JH$8*(JI74-JI73)))</f>
        <v>#N/A</v>
      </c>
      <c r="JI74" s="400" t="e">
        <f t="shared" ref="JI74:JI100" si="412">IF(ISTEXT(JI73),0,IF(JI73+Δ_hba&gt;JJ$3,NA(),JI73+Δ_hba))</f>
        <v>#N/A</v>
      </c>
      <c r="JJ74" s="398" t="e">
        <f t="shared" si="349"/>
        <v>#N/A</v>
      </c>
      <c r="JK74" s="400" t="e">
        <f t="shared" ref="JK74:JK100" si="413">IF(ISTEXT(JK73),JK$2,(JJ73*JK73+(JJ74-JJ73)*IF(JK$2=JK$3,JK$2,IF(JK$2&gt;JK$3,JK$2-(JG74+JG73)/4,JK$2+(JG74+JG73)/4)))/JJ74)</f>
        <v>#N/A</v>
      </c>
      <c r="JL74" s="398" t="e">
        <f t="shared" ref="JL74:JL100" si="414">IF(ISTEXT(JL73),JL$2,(JJ73*JL73+(JJ74-JJ73)*IF(JL$2&gt;0,JL$2-JN$2/2+(JH74+JH73)/4,JL$2+JN$2/2-(JH74+JH73)/4))/JJ74)</f>
        <v>#N/A</v>
      </c>
      <c r="JM74" s="401" t="e">
        <f t="shared" si="219"/>
        <v>#N/A</v>
      </c>
      <c r="JN74" s="399" t="e">
        <f t="shared" si="220"/>
        <v>#N/A</v>
      </c>
      <c r="JO74" s="47"/>
      <c r="JP74" s="47"/>
      <c r="JQ74" s="396" t="e">
        <f t="shared" ref="JQ74:JQ100" si="415">IF(ISTEXT(JQ73),JW$2,IF(JQ73+JQ$8*(JS74-JS73)&gt;JW$3,JW$3,JQ73+JQ$8*(JS74-JS73)))</f>
        <v>#N/A</v>
      </c>
      <c r="JR74" s="397" t="e">
        <f t="shared" ref="JR74:JR100" si="416">IF(ISTEXT(JR73),JX$2,IF(JR73+JR$8*(JS74-JS73)&gt;JX$3,JX$3,JR73+JR$8*(JS74-JS73)))</f>
        <v>#N/A</v>
      </c>
      <c r="JS74" s="400" t="e">
        <f t="shared" ref="JS74:JS100" si="417">IF(ISTEXT(JS73),0,IF(JS73+Δ_hba&gt;JT$3,NA(),JS73+Δ_hba))</f>
        <v>#N/A</v>
      </c>
      <c r="JT74" s="398" t="e">
        <f t="shared" si="350"/>
        <v>#N/A</v>
      </c>
      <c r="JU74" s="400" t="e">
        <f t="shared" ref="JU74:JU100" si="418">IF(ISTEXT(JU73),JU$2,(JT73*JU73+(JT74-JT73)*IF(JU$2=JU$3,JU$2,IF(JU$2&gt;JU$3,JU$2-(JQ74+JQ73)/4,JU$2+(JQ74+JQ73)/4)))/JT74)</f>
        <v>#N/A</v>
      </c>
      <c r="JV74" s="398" t="e">
        <f t="shared" ref="JV74:JV100" si="419">IF(ISTEXT(JV73),JV$2,(JT73*JV73+(JT74-JT73)*IF(JV$2&gt;0,JV$2-JX$2/2+(JR74+JR73)/4,JV$2+JX$2/2-(JR74+JR73)/4))/JT74)</f>
        <v>#N/A</v>
      </c>
      <c r="JW74" s="401" t="e">
        <f t="shared" si="222"/>
        <v>#N/A</v>
      </c>
      <c r="JX74" s="399" t="e">
        <f t="shared" si="223"/>
        <v>#N/A</v>
      </c>
      <c r="JY74" s="47"/>
      <c r="JZ74" s="47"/>
      <c r="KA74" s="396" t="e">
        <f t="shared" ref="KA74:KA100" si="420">IF(ISTEXT(KA73),KG$2,IF(KA73+KA$8*(KC74-KC73)&gt;KG$3,KG$3,KA73+KA$8*(KC74-KC73)))</f>
        <v>#N/A</v>
      </c>
      <c r="KB74" s="397" t="e">
        <f t="shared" ref="KB74:KB100" si="421">IF(ISTEXT(KB73),KH$2,IF(KB73+KB$8*(KC74-KC73)&gt;KH$3,KH$3,KB73+KB$8*(KC74-KC73)))</f>
        <v>#N/A</v>
      </c>
      <c r="KC74" s="400" t="e">
        <f t="shared" ref="KC74:KC100" si="422">IF(ISTEXT(KC73),0,IF(KC73+Δ_hba&gt;KD$3,NA(),KC73+Δ_hba))</f>
        <v>#N/A</v>
      </c>
      <c r="KD74" s="398" t="e">
        <f t="shared" si="351"/>
        <v>#N/A</v>
      </c>
      <c r="KE74" s="400" t="e">
        <f t="shared" ref="KE74:KE100" si="423">IF(ISTEXT(KE73),KE$2,(KD73*KE73+(KD74-KD73)*IF(KE$2=KE$3,KE$2,IF(KE$2&gt;KE$3,KE$2-(KA74+KA73)/4,KE$2+(KA74+KA73)/4)))/KD74)</f>
        <v>#N/A</v>
      </c>
      <c r="KF74" s="398" t="e">
        <f t="shared" ref="KF74:KF100" si="424">IF(ISTEXT(KF73),KF$2,(KD73*KF73+(KD74-KD73)*IF(KF$2&gt;0,KF$2-KH$2/2+(KB74+KB73)/4,KF$2+KH$2/2-(KB74+KB73)/4))/KD74)</f>
        <v>#N/A</v>
      </c>
      <c r="KG74" s="401" t="e">
        <f t="shared" si="225"/>
        <v>#N/A</v>
      </c>
      <c r="KH74" s="399" t="e">
        <f t="shared" si="226"/>
        <v>#N/A</v>
      </c>
      <c r="KI74" s="47"/>
      <c r="KJ74" s="47"/>
      <c r="KK74" s="396" t="e">
        <f t="shared" ref="KK74:KK100" si="425">IF(ISTEXT(KK73),KQ$2,IF(KK73+KK$8*(KM74-KM73)&gt;KQ$3,KQ$3,KK73+KK$8*(KM74-KM73)))</f>
        <v>#N/A</v>
      </c>
      <c r="KL74" s="397" t="e">
        <f t="shared" ref="KL74:KL100" si="426">IF(ISTEXT(KL73),KR$2,IF(KL73+KL$8*(KM74-KM73)&gt;KR$3,KR$3,KL73+KL$8*(KM74-KM73)))</f>
        <v>#N/A</v>
      </c>
      <c r="KM74" s="400" t="e">
        <f t="shared" ref="KM74:KM100" si="427">IF(ISTEXT(KM73),0,IF(KM73+Δ_hba&gt;KN$3,NA(),KM73+Δ_hba))</f>
        <v>#N/A</v>
      </c>
      <c r="KN74" s="398" t="e">
        <f t="shared" si="352"/>
        <v>#N/A</v>
      </c>
      <c r="KO74" s="400" t="e">
        <f t="shared" ref="KO74:KO100" si="428">IF(ISTEXT(KO73),KO$2,(KN73*KO73+(KN74-KN73)*IF(KO$2=KO$3,KO$2,IF(KO$2&gt;KO$3,KO$2-(KK74+KK73)/4,KO$2+(KK74+KK73)/4)))/KN74)</f>
        <v>#N/A</v>
      </c>
      <c r="KP74" s="398" t="e">
        <f t="shared" ref="KP74:KP100" si="429">IF(ISTEXT(KP73),KP$2,(KN73*KP73+(KN74-KN73)*IF(KP$2&gt;0,KP$2-KR$2/2+(KL74+KL73)/4,KP$2+KR$2/2-(KL74+KL73)/4))/KN74)</f>
        <v>#N/A</v>
      </c>
      <c r="KQ74" s="401" t="e">
        <f t="shared" si="228"/>
        <v>#N/A</v>
      </c>
      <c r="KR74" s="399" t="e">
        <f t="shared" si="229"/>
        <v>#N/A</v>
      </c>
      <c r="KS74" s="47"/>
      <c r="KT74" s="47"/>
      <c r="KU74" s="396" t="e">
        <f t="shared" si="353"/>
        <v>#N/A</v>
      </c>
      <c r="KV74" s="397" t="e">
        <f t="shared" si="354"/>
        <v>#N/A</v>
      </c>
      <c r="KW74" s="400" t="e">
        <f t="shared" ref="KW74:KW100" si="430">IF(ISTEXT(KW73),0,IF(KW73+Δ_hba&gt;KX$3,NA(),KW73+Δ_hba))</f>
        <v>#N/A</v>
      </c>
      <c r="KX74" s="398" t="e">
        <f t="shared" si="230"/>
        <v>#N/A</v>
      </c>
      <c r="KY74" s="400" t="e">
        <f t="shared" si="355"/>
        <v>#N/A</v>
      </c>
      <c r="KZ74" s="398" t="e">
        <f t="shared" si="356"/>
        <v>#N/A</v>
      </c>
      <c r="LA74" s="401" t="e">
        <f t="shared" si="357"/>
        <v>#N/A</v>
      </c>
      <c r="LB74" s="399" t="e">
        <f t="shared" si="232"/>
        <v>#N/A</v>
      </c>
      <c r="LC74" s="47"/>
    </row>
    <row r="75" spans="26:315" x14ac:dyDescent="0.25">
      <c r="Z75" s="413"/>
      <c r="AA75" s="396" t="e">
        <f t="shared" ref="AA75:AA100" si="431">IF(ISTEXT(AA74),AG$2,IF(AA74+AA$8*(AC75-AC74)&gt;AG$3,AG$3,AA74+AA$8*(AC75-AC74)))</f>
        <v>#N/A</v>
      </c>
      <c r="AB75" s="397" t="e">
        <f t="shared" ref="AB75:AB100" si="432">IF(ISTEXT(AB74),AH$2,IF(AB74+AB$8*(AC75-AC74)&gt;AH$3,AH$3,AB74+AB$8*(AC75-AC74)))</f>
        <v>#N/A</v>
      </c>
      <c r="AC75" s="400" t="e">
        <f t="shared" si="382"/>
        <v>#N/A</v>
      </c>
      <c r="AD75" s="398" t="e">
        <f t="shared" ref="AD75:AD100" si="433">IF(ISTEXT(AC74),0,AD74+(AC75-AC74)/3*(AA74*AB74+AA75*AB75+SQRT(AA74*AB74*AA75*AB75)))</f>
        <v>#N/A</v>
      </c>
      <c r="AE75" s="400" t="e">
        <f t="shared" ref="AE75:AE90" si="434">IF(ISTEXT(AE74),AE$2,(AD74*AE74+(AD75-AD74)*IF(AE$2=AE$3,AE$2,IF(AE$2&gt;AE$3,AE$2-(AA75+AA74)/4,AE$2+(AA75+AA74)/4)))/AD75)</f>
        <v>#N/A</v>
      </c>
      <c r="AF75" s="398" t="e">
        <f t="shared" si="236"/>
        <v>#N/A</v>
      </c>
      <c r="AG75" s="401" t="e">
        <f t="shared" si="237"/>
        <v>#N/A</v>
      </c>
      <c r="AH75" s="399" t="e">
        <f t="shared" ref="AH75:AH100" si="435">IF(ISNA(AA76),IF(AH74=0,NA(),0),IF(ISNUMBER(AH74),AA75*AB75^3/12/AG$7,0))</f>
        <v>#N/A</v>
      </c>
      <c r="AI75" s="47"/>
      <c r="AJ75" s="47"/>
      <c r="AK75" s="396" t="e">
        <f t="shared" ref="AK75:AK100" si="436">IF(ISTEXT(AK74),AQ$2,IF(AK74+AK$8*(AM75-AM74)&gt;AQ$3,AQ$3,AK74+AK$8*(AM75-AM74)))</f>
        <v>#N/A</v>
      </c>
      <c r="AL75" s="397" t="e">
        <f t="shared" ref="AL75:AL100" si="437">IF(ISTEXT(AL74),AR$2,IF(AL74+AL$8*(AM75-AM74)&gt;AR$3,AR$3,AL74+AL$8*(AM75-AM74)))</f>
        <v>#N/A</v>
      </c>
      <c r="AM75" s="400" t="e">
        <f t="shared" si="383"/>
        <v>#N/A</v>
      </c>
      <c r="AN75" s="398" t="e">
        <f t="shared" ref="AN75:AN100" si="438">IF(ISTEXT(AM74),0,AN74+(AM75-AM74)/3*(AK74*AL74+AK75*AL75+SQRT(AK74*AL74*AK75*AL75)))</f>
        <v>#N/A</v>
      </c>
      <c r="AO75" s="400" t="e">
        <f t="shared" ref="AO75:AO100" si="439">IF(ISTEXT(AO74),AO$2,(AN74*AO74+(AN75-AN74)*IF(AO$2=AO$3,AO$2,IF(AO$2&gt;AO$3,AO$2-(AK75+AK74)/4,AO$2+(AK75+AK74)/4)))/AN75)</f>
        <v>#N/A</v>
      </c>
      <c r="AP75" s="398" t="e">
        <f t="shared" si="241"/>
        <v>#N/A</v>
      </c>
      <c r="AQ75" s="401" t="e">
        <f t="shared" si="242"/>
        <v>#N/A</v>
      </c>
      <c r="AR75" s="399" t="e">
        <f t="shared" ref="AR75:AR100" si="440">IF(ISNA(AK76),IF(AR74=0,NA(),0),IF(ISNUMBER(AR74),AK75*AL75^3/12/AQ$7,0))</f>
        <v>#N/A</v>
      </c>
      <c r="AS75" s="47"/>
      <c r="AT75" s="47"/>
      <c r="AU75" s="396" t="e">
        <f t="shared" ref="AU75:AU100" si="441">IF(ISTEXT(AU74),BA$2,IF(AU74+AU$8*(AW75-AW74)&gt;BA$3,BA$3,AU74+AU$8*(AW75-AW74)))</f>
        <v>#N/A</v>
      </c>
      <c r="AV75" s="397" t="e">
        <f t="shared" ref="AV75:AV100" si="442">IF(ISTEXT(AV74),BB$2,IF(AV74+AV$8*(AW75-AW74)&gt;BB$3,BB$3,AV74+AV$8*(AW75-AW74)))</f>
        <v>#N/A</v>
      </c>
      <c r="AW75" s="400" t="e">
        <f t="shared" si="384"/>
        <v>#N/A</v>
      </c>
      <c r="AX75" s="398" t="e">
        <f t="shared" ref="AX75:AX100" si="443">IF(ISTEXT(AW74),0,AX74+(AW75-AW74)/3*(AU74*AV74+AU75*AV75+SQRT(AU74*AV74*AU75*AV75)))</f>
        <v>#N/A</v>
      </c>
      <c r="AY75" s="400" t="e">
        <f t="shared" ref="AY75:AY100" si="444">IF(ISTEXT(AY74),AY$2,(AX74*AY74+(AX75-AX74)*IF(AY$2=AY$3,AY$2,IF(AY$2&gt;AY$3,AY$2-(AU75+AU74)/4,AY$2+(AU75+AU74)/4)))/AX75)</f>
        <v>#N/A</v>
      </c>
      <c r="AZ75" s="398" t="e">
        <f t="shared" si="246"/>
        <v>#N/A</v>
      </c>
      <c r="BA75" s="401" t="e">
        <f t="shared" si="247"/>
        <v>#N/A</v>
      </c>
      <c r="BB75" s="399" t="e">
        <f t="shared" ref="BB75:BB100" si="445">IF(ISNA(AU76),IF(BB74=0,NA(),0),IF(ISNUMBER(BB74),AU75*AV75^3/12/BA$7,0))</f>
        <v>#N/A</v>
      </c>
      <c r="BC75" s="47"/>
      <c r="BD75" s="47"/>
      <c r="BE75" s="396" t="e">
        <f t="shared" ref="BE75:BE100" si="446">IF(ISTEXT(BE74),BK$2,IF(BE74+BE$8*(BG75-BG74)&gt;BK$3,BK$3,BE74+BE$8*(BG75-BG74)))</f>
        <v>#N/A</v>
      </c>
      <c r="BF75" s="397" t="e">
        <f t="shared" ref="BF75:BF100" si="447">IF(ISTEXT(BF74),BL$2,IF(BF74+BF$8*(BG75-BG74)&gt;BL$3,BL$3,BF74+BF$8*(BG75-BG74)))</f>
        <v>#N/A</v>
      </c>
      <c r="BG75" s="400" t="e">
        <f t="shared" si="385"/>
        <v>#N/A</v>
      </c>
      <c r="BH75" s="398" t="e">
        <f t="shared" ref="BH75:BH100" si="448">IF(ISTEXT(BG74),0,BH74+(BG75-BG74)/3*(BE74*BF74+BE75*BF75+SQRT(BE74*BF74*BE75*BF75)))</f>
        <v>#N/A</v>
      </c>
      <c r="BI75" s="400" t="e">
        <f t="shared" ref="BI75:BI100" si="449">IF(ISTEXT(BI74),BI$2,(BH74*BI74+(BH75-BH74)*IF(BI$2=BI$3,BI$2,IF(BI$2&gt;BI$3,BI$2-(BE75+BE74)/4,BI$2+(BE75+BE74)/4)))/BH75)</f>
        <v>#N/A</v>
      </c>
      <c r="BJ75" s="398" t="e">
        <f t="shared" si="251"/>
        <v>#N/A</v>
      </c>
      <c r="BK75" s="401" t="e">
        <f t="shared" si="252"/>
        <v>#N/A</v>
      </c>
      <c r="BL75" s="399" t="e">
        <f t="shared" ref="BL75:BL100" si="450">IF(ISNA(BE76),IF(BL74=0,NA(),0),IF(ISNUMBER(BL74),BE75*BF75^3/12/BK$7,0))</f>
        <v>#N/A</v>
      </c>
      <c r="BM75" s="47"/>
      <c r="BN75" s="49"/>
      <c r="BO75" s="396" t="e">
        <f t="shared" ref="BO75:BO100" si="451">IF(ISTEXT(BO74),BU$2,IF(BO74+BO$8*(BQ75-BQ74)&gt;BU$3,BU$3,BO74+BO$8*(BQ75-BQ74)))</f>
        <v>#N/A</v>
      </c>
      <c r="BP75" s="397" t="e">
        <f t="shared" ref="BP75:BP100" si="452">IF(ISTEXT(BP74),BV$2,IF(BP74+BP$8*(BQ75-BQ74)&gt;BV$3,BV$3,BP74+BP$8*(BQ75-BQ74)))</f>
        <v>#N/A</v>
      </c>
      <c r="BQ75" s="400" t="e">
        <f t="shared" si="386"/>
        <v>#N/A</v>
      </c>
      <c r="BR75" s="398" t="e">
        <f t="shared" ref="BR75:BR100" si="453">IF(ISTEXT(BQ74),0,BR74+(BQ75-BQ74)/3*(BO74*BP74+BO75*BP75+SQRT(BO74*BP74*BO75*BP75)))</f>
        <v>#N/A</v>
      </c>
      <c r="BS75" s="400" t="e">
        <f t="shared" ref="BS75:BS100" si="454">IF(ISTEXT(BS74),BS$2,(BR74*BS74+(BR75-BR74)*IF(BS$2=BS$3,BS$2,IF(BS$2&gt;BS$3,BS$2-(BO75+BO74)/4,BS$2+(BO75+BO74)/4)))/BR75)</f>
        <v>#N/A</v>
      </c>
      <c r="BT75" s="398" t="e">
        <f t="shared" si="256"/>
        <v>#N/A</v>
      </c>
      <c r="BU75" s="401" t="e">
        <f t="shared" si="257"/>
        <v>#N/A</v>
      </c>
      <c r="BV75" s="399" t="e">
        <f t="shared" ref="BV75:BV100" si="455">IF(ISNA(BO76),IF(BV74=0,NA(),0),IF(ISNUMBER(BV74),BO75*BP75^3/12/BU$7,0))</f>
        <v>#N/A</v>
      </c>
      <c r="BW75" s="47"/>
      <c r="BX75" s="47"/>
      <c r="BY75" s="396" t="e">
        <f t="shared" ref="BY75:BY100" si="456">IF(ISTEXT(BY74),CE$2,IF(BY74+BY$8*(CA75-CA74)&gt;CE$3,CE$3,BY74+BY$8*(CA75-CA74)))</f>
        <v>#N/A</v>
      </c>
      <c r="BZ75" s="397" t="e">
        <f t="shared" ref="BZ75:BZ100" si="457">IF(ISTEXT(BZ74),CF$2,IF(BZ74+BZ$8*(CA75-CA74)&gt;CF$3,CF$3,BZ74+BZ$8*(CA75-CA74)))</f>
        <v>#N/A</v>
      </c>
      <c r="CA75" s="400" t="e">
        <f t="shared" si="387"/>
        <v>#N/A</v>
      </c>
      <c r="CB75" s="398" t="e">
        <f t="shared" ref="CB75:CB100" si="458">IF(ISTEXT(CA74),0,CB74+(CA75-CA74)/3*(BY74*BZ74+BY75*BZ75+SQRT(BY74*BZ74*BY75*BZ75)))</f>
        <v>#N/A</v>
      </c>
      <c r="CC75" s="400" t="e">
        <f t="shared" ref="CC75:CC100" si="459">IF(ISTEXT(CC74),CC$2,(CB74*CC74+(CB75-CB74)*IF(CC$2=CC$3,CC$2,IF(CC$2&gt;CC$3,CC$2-(BY75+BY74)/4,CC$2+(BY75+BY74)/4)))/CB75)</f>
        <v>#N/A</v>
      </c>
      <c r="CD75" s="398" t="e">
        <f t="shared" si="261"/>
        <v>#N/A</v>
      </c>
      <c r="CE75" s="401" t="e">
        <f t="shared" si="262"/>
        <v>#N/A</v>
      </c>
      <c r="CF75" s="399" t="e">
        <f t="shared" ref="CF75:CF100" si="460">IF(ISNA(BY76),IF(CF74=0,NA(),0),IF(ISNUMBER(CF74),BY75*BZ75^3/12/CE$7,0))</f>
        <v>#N/A</v>
      </c>
      <c r="CG75" s="49"/>
      <c r="CH75" s="47"/>
      <c r="CI75" s="396" t="e">
        <f t="shared" ref="CI75:CI100" si="461">IF(ISTEXT(CI74),CO$2,IF(CI74+CI$8*(CK75-CK74)&gt;CO$3,CO$3,CI74+CI$8*(CK75-CK74)))</f>
        <v>#N/A</v>
      </c>
      <c r="CJ75" s="397" t="e">
        <f t="shared" ref="CJ75:CJ100" si="462">IF(ISTEXT(CJ74),CP$2,IF(CJ74+CJ$8*(CK75-CK74)&gt;CP$3,CP$3,CJ74+CJ$8*(CK75-CK74)))</f>
        <v>#N/A</v>
      </c>
      <c r="CK75" s="400" t="e">
        <f t="shared" si="388"/>
        <v>#N/A</v>
      </c>
      <c r="CL75" s="398" t="e">
        <f t="shared" ref="CL75:CL100" si="463">IF(ISTEXT(CK74),0,CL74+(CK75-CK74)/3*(CI74*CJ74+CI75*CJ75+SQRT(CI74*CJ74*CI75*CJ75)))</f>
        <v>#N/A</v>
      </c>
      <c r="CM75" s="400" t="e">
        <f t="shared" ref="CM75:CM100" si="464">IF(ISTEXT(CM74),CM$2,(CL74*CM74+(CL75-CL74)*IF(CM$2=CM$3,CM$2,IF(CM$2&gt;CM$3,CM$2-(CI75+CI74)/4,CM$2+(CI75+CI74)/4)))/CL75)</f>
        <v>#N/A</v>
      </c>
      <c r="CN75" s="398" t="e">
        <f t="shared" si="266"/>
        <v>#N/A</v>
      </c>
      <c r="CO75" s="401" t="e">
        <f t="shared" si="267"/>
        <v>#N/A</v>
      </c>
      <c r="CP75" s="399" t="e">
        <f t="shared" ref="CP75:CP100" si="465">IF(ISNA(CI76),IF(CP74=0,NA(),0),IF(ISNUMBER(CP74),CI75*CJ75^3/12/CO$7,0))</f>
        <v>#N/A</v>
      </c>
      <c r="CQ75" s="47"/>
      <c r="CS75" s="396" t="e">
        <f t="shared" ref="CS75:CS100" si="466">IF(ISTEXT(CS74),CY$2,IF(CS74+CS$8*(CU75-CU74)&gt;CY$3,CY$3,CS74+CS$8*(CU75-CU74)))</f>
        <v>#N/A</v>
      </c>
      <c r="CT75" s="397" t="e">
        <f t="shared" ref="CT75:CT100" si="467">IF(ISTEXT(CT74),CZ$2,IF(CT74+CT$8*(CU75-CU74)&gt;CZ$3,CZ$3,CT74+CT$8*(CU75-CU74)))</f>
        <v>#N/A</v>
      </c>
      <c r="CU75" s="400" t="e">
        <f t="shared" si="389"/>
        <v>#N/A</v>
      </c>
      <c r="CV75" s="398" t="e">
        <f t="shared" ref="CV75:CV100" si="468">IF(ISTEXT(CU74),0,CV74+(CU75-CU74)/3*(CS74*CT74+CS75*CT75+SQRT(CS74*CT74*CS75*CT75)))</f>
        <v>#N/A</v>
      </c>
      <c r="CW75" s="400" t="e">
        <f t="shared" ref="CW75:CW100" si="469">IF(ISTEXT(CW74),CW$2,(CV74*CW74+(CV75-CV74)*IF(CW$2=CW$3,CW$2,IF(CW$2&gt;CW$3,CW$2-(CS75+CS74)/4,CW$2+(CS75+CS74)/4)))/CV75)</f>
        <v>#N/A</v>
      </c>
      <c r="CX75" s="398" t="e">
        <f t="shared" si="271"/>
        <v>#N/A</v>
      </c>
      <c r="CY75" s="401" t="e">
        <f t="shared" si="272"/>
        <v>#N/A</v>
      </c>
      <c r="CZ75" s="399" t="e">
        <f t="shared" ref="CZ75:CZ100" si="470">IF(ISNA(CS76),IF(CZ74=0,NA(),0),IF(ISNUMBER(CZ74),CS75*CT75^3/12/CY$7,0))</f>
        <v>#N/A</v>
      </c>
      <c r="DA75" s="47"/>
      <c r="DB75" s="47"/>
      <c r="DC75" s="396" t="e">
        <f t="shared" ref="DC75:DC100" si="471">IF(ISTEXT(DC74),DI$2,IF(DC74+DC$8*(DE75-DE74)&gt;DI$3,DI$3,DC74+DC$8*(DE75-DE74)))</f>
        <v>#N/A</v>
      </c>
      <c r="DD75" s="397" t="e">
        <f t="shared" ref="DD75:DD100" si="472">IF(ISTEXT(DD74),DJ$2,IF(DD74+DD$8*(DE75-DE74)&gt;DJ$3,DJ$3,DD74+DD$8*(DE75-DE74)))</f>
        <v>#N/A</v>
      </c>
      <c r="DE75" s="400" t="e">
        <f t="shared" si="390"/>
        <v>#N/A</v>
      </c>
      <c r="DF75" s="398" t="e">
        <f t="shared" ref="DF75:DF100" si="473">IF(ISTEXT(DE74),0,DF74+(DE75-DE74)/3*(DC74*DD74+DC75*DD75+SQRT(DC74*DD74*DC75*DD75)))</f>
        <v>#N/A</v>
      </c>
      <c r="DG75" s="400" t="e">
        <f t="shared" ref="DG75:DG100" si="474">IF(ISTEXT(DG74),DG$2,(DF74*DG74+(DF75-DF74)*IF(DG$2=DG$3,DG$2,IF(DG$2&gt;DG$3,DG$2-(DC75+DC74)/4,DG$2+(DC75+DC74)/4)))/DF75)</f>
        <v>#N/A</v>
      </c>
      <c r="DH75" s="398" t="e">
        <f t="shared" si="276"/>
        <v>#N/A</v>
      </c>
      <c r="DI75" s="401" t="e">
        <f t="shared" si="277"/>
        <v>#N/A</v>
      </c>
      <c r="DJ75" s="399" t="e">
        <f t="shared" ref="DJ75:DJ100" si="475">IF(ISNA(DC76),IF(DJ74=0,NA(),0),IF(ISNUMBER(DJ74),DC75*DD75^3/12/DI$7,0))</f>
        <v>#N/A</v>
      </c>
      <c r="DK75" s="47"/>
      <c r="DM75" s="396" t="e">
        <f t="shared" ref="DM75:DM100" si="476">IF(ISTEXT(DM74),DS$2,IF(DM74+DM$8*(DO75-DO74)&gt;DS$3,DS$3,DM74+DM$8*(DO75-DO74)))</f>
        <v>#N/A</v>
      </c>
      <c r="DN75" s="397" t="e">
        <f t="shared" ref="DN75:DN100" si="477">IF(ISTEXT(DN74),DT$2,IF(DN74+DN$8*(DO75-DO74)&gt;DT$3,DT$3,DN74+DN$8*(DO75-DO74)))</f>
        <v>#N/A</v>
      </c>
      <c r="DO75" s="400" t="e">
        <f t="shared" si="391"/>
        <v>#N/A</v>
      </c>
      <c r="DP75" s="398" t="e">
        <f t="shared" ref="DP75:DP100" si="478">IF(ISTEXT(DO74),0,DP74+(DO75-DO74)/3*(DM74*DN74+DM75*DN75+SQRT(DM74*DN74*DM75*DN75)))</f>
        <v>#N/A</v>
      </c>
      <c r="DQ75" s="400" t="e">
        <f t="shared" ref="DQ75:DQ100" si="479">IF(ISTEXT(DQ74),DQ$2,(DP74*DQ74+(DP75-DP74)*IF(DQ$2=DQ$3,DQ$2,IF(DQ$2&gt;DQ$3,DQ$2-(DM75+DM74)/4,DQ$2+(DM75+DM74)/4)))/DP75)</f>
        <v>#N/A</v>
      </c>
      <c r="DR75" s="398" t="e">
        <f t="shared" si="281"/>
        <v>#N/A</v>
      </c>
      <c r="DS75" s="401" t="e">
        <f t="shared" si="282"/>
        <v>#N/A</v>
      </c>
      <c r="DT75" s="399" t="e">
        <f t="shared" ref="DT75:DT100" si="480">IF(ISNA(DM76),IF(DT74=0,NA(),0),IF(ISNUMBER(DT74),DM75*DN75^3/12/DS$7,0))</f>
        <v>#N/A</v>
      </c>
      <c r="DU75" s="47"/>
      <c r="DV75" s="49"/>
      <c r="DW75" s="396" t="e">
        <f t="shared" ref="DW75:DW100" si="481">IF(ISTEXT(DW74),EC$2,IF(DW74+DW$8*(DY75-DY74)&gt;EC$3,EC$3,DW74+DW$8*(DY75-DY74)))</f>
        <v>#N/A</v>
      </c>
      <c r="DX75" s="397" t="e">
        <f t="shared" ref="DX75:DX100" si="482">IF(ISTEXT(DX74),ED$2,IF(DX74+DX$8*(DY75-DY74)&gt;ED$3,ED$3,DX74+DX$8*(DY75-DY74)))</f>
        <v>#N/A</v>
      </c>
      <c r="DY75" s="400" t="e">
        <f t="shared" si="392"/>
        <v>#N/A</v>
      </c>
      <c r="DZ75" s="398" t="e">
        <f t="shared" ref="DZ75:DZ100" si="483">IF(ISTEXT(DY74),0,DZ74+(DY75-DY74)/3*(DW74*DX74+DW75*DX75+SQRT(DW74*DX74*DW75*DX75)))</f>
        <v>#N/A</v>
      </c>
      <c r="EA75" s="400" t="e">
        <f t="shared" ref="EA75:EA100" si="484">IF(ISTEXT(EA74),EA$2,(DZ74*EA74+(DZ75-DZ74)*IF(EA$2=EA$3,EA$2,IF(EA$2&gt;EA$3,EA$2-(DW75+DW74)/4,EA$2+(DW75+DW74)/4)))/DZ75)</f>
        <v>#N/A</v>
      </c>
      <c r="EB75" s="398" t="e">
        <f t="shared" si="286"/>
        <v>#N/A</v>
      </c>
      <c r="EC75" s="401" t="e">
        <f t="shared" si="287"/>
        <v>#N/A</v>
      </c>
      <c r="ED75" s="399" t="e">
        <f t="shared" ref="ED75:ED100" si="485">IF(ISNA(DW76),IF(ED74=0,NA(),0),IF(ISNUMBER(ED74),DW75*DX75^3/12/EC$7,0))</f>
        <v>#N/A</v>
      </c>
      <c r="EE75" s="47"/>
      <c r="EF75" s="47"/>
      <c r="EG75" s="396" t="e">
        <f t="shared" ref="EG75:EG100" si="486">IF(ISTEXT(EG74),EM$2,IF(EG74+EG$8*(EI75-EI74)&gt;EM$3,EM$3,EG74+EG$8*(EI75-EI74)))</f>
        <v>#N/A</v>
      </c>
      <c r="EH75" s="397" t="e">
        <f t="shared" ref="EH75:EH100" si="487">IF(ISTEXT(EH74),EN$2,IF(EH74+EH$8*(EI75-EI74)&gt;EN$3,EN$3,EH74+EH$8*(EI75-EI74)))</f>
        <v>#N/A</v>
      </c>
      <c r="EI75" s="400" t="e">
        <f t="shared" si="393"/>
        <v>#N/A</v>
      </c>
      <c r="EJ75" s="398" t="e">
        <f t="shared" ref="EJ75:EJ100" si="488">IF(ISTEXT(EI74),0,EJ74+(EI75-EI74)/3*(EG74*EH74+EG75*EH75+SQRT(EG74*EH74*EG75*EH75)))</f>
        <v>#N/A</v>
      </c>
      <c r="EK75" s="400" t="e">
        <f t="shared" ref="EK75:EK100" si="489">IF(ISTEXT(EK74),EK$2,(EJ74*EK74+(EJ75-EJ74)*IF(EK$2=EK$3,EK$2,IF(EK$2&gt;EK$3,EK$2-(EG75+EG74)/4,EK$2+(EG75+EG74)/4)))/EJ75)</f>
        <v>#N/A</v>
      </c>
      <c r="EL75" s="398" t="e">
        <f t="shared" si="291"/>
        <v>#N/A</v>
      </c>
      <c r="EM75" s="401" t="e">
        <f t="shared" si="292"/>
        <v>#N/A</v>
      </c>
      <c r="EN75" s="399" t="e">
        <f t="shared" ref="EN75:EN100" si="490">IF(ISNA(EG76),IF(EN74=0,NA(),0),IF(ISNUMBER(EN74),EG75*EH75^3/12/EM$7,0))</f>
        <v>#N/A</v>
      </c>
      <c r="EO75" s="47"/>
      <c r="EP75" s="47"/>
      <c r="EQ75" s="396" t="e">
        <f t="shared" ref="EQ75:EQ100" si="491">IF(ISTEXT(EQ74),EW$2,IF(EQ74+EQ$8*(ES75-ES74)&gt;EW$3,EW$3,EQ74+EQ$8*(ES75-ES74)))</f>
        <v>#N/A</v>
      </c>
      <c r="ER75" s="397" t="e">
        <f t="shared" ref="ER75:ER100" si="492">IF(ISTEXT(ER74),EX$2,IF(ER74+ER$8*(ES75-ES74)&gt;EX$3,EX$3,ER74+ER$8*(ES75-ES74)))</f>
        <v>#N/A</v>
      </c>
      <c r="ES75" s="400" t="e">
        <f t="shared" si="394"/>
        <v>#N/A</v>
      </c>
      <c r="ET75" s="398" t="e">
        <f t="shared" ref="ET75:ET100" si="493">IF(ISTEXT(ES74),0,ET74+(ES75-ES74)/3*(EQ74*ER74+EQ75*ER75+SQRT(EQ74*ER74*EQ75*ER75)))</f>
        <v>#N/A</v>
      </c>
      <c r="EU75" s="400" t="e">
        <f t="shared" ref="EU75:EU100" si="494">IF(ISTEXT(EU74),EU$2,(ET74*EU74+(ET75-ET74)*IF(EU$2=EU$3,EU$2,IF(EU$2&gt;EU$3,EU$2-(EQ75+EQ74)/4,EU$2+(EQ75+EQ74)/4)))/ET75)</f>
        <v>#N/A</v>
      </c>
      <c r="EV75" s="398" t="e">
        <f t="shared" si="296"/>
        <v>#N/A</v>
      </c>
      <c r="EW75" s="401" t="e">
        <f t="shared" si="297"/>
        <v>#N/A</v>
      </c>
      <c r="EX75" s="399" t="e">
        <f t="shared" ref="EX75:EX100" si="495">IF(ISNA(EQ76),IF(EX74=0,NA(),0),IF(ISNUMBER(EX74),EQ75*ER75^3/12/EW$7,0))</f>
        <v>#N/A</v>
      </c>
      <c r="EY75" s="47"/>
      <c r="EZ75" s="47"/>
      <c r="FA75" s="396" t="e">
        <f t="shared" ref="FA75:FA100" si="496">IF(ISTEXT(FA74),FG$2,IF(FA74+FA$8*(FC75-FC74)&gt;FG$3,FG$3,FA74+FA$8*(FC75-FC74)))</f>
        <v>#N/A</v>
      </c>
      <c r="FB75" s="397" t="e">
        <f t="shared" ref="FB75:FB100" si="497">IF(ISTEXT(FB74),FH$2,IF(FB74+FB$8*(FC75-FC74)&gt;FH$3,FH$3,FB74+FB$8*(FC75-FC74)))</f>
        <v>#N/A</v>
      </c>
      <c r="FC75" s="400" t="e">
        <f t="shared" si="395"/>
        <v>#N/A</v>
      </c>
      <c r="FD75" s="398" t="e">
        <f t="shared" ref="FD75:FD100" si="498">IF(ISTEXT(FC74),0,FD74+(FC75-FC74)/3*(FA74*FB74+FA75*FB75+SQRT(FA74*FB74*FA75*FB75)))</f>
        <v>#N/A</v>
      </c>
      <c r="FE75" s="400" t="e">
        <f t="shared" ref="FE75:FE100" si="499">IF(ISTEXT(FE74),FE$2,(FD74*FE74+(FD75-FD74)*IF(FE$2=FE$3,FE$2,IF(FE$2&gt;FE$3,FE$2-(FA75+FA74)/4,FE$2+(FA75+FA74)/4)))/FD75)</f>
        <v>#N/A</v>
      </c>
      <c r="FF75" s="398" t="e">
        <f t="shared" si="301"/>
        <v>#N/A</v>
      </c>
      <c r="FG75" s="401" t="e">
        <f t="shared" si="302"/>
        <v>#N/A</v>
      </c>
      <c r="FH75" s="399" t="e">
        <f t="shared" ref="FH75:FH100" si="500">IF(ISNA(FA76),IF(FH74=0,NA(),0),IF(ISNUMBER(FH74),FA75*FB75^3/12/FG$7,0))</f>
        <v>#N/A</v>
      </c>
      <c r="FI75" s="47"/>
      <c r="FJ75" s="49"/>
      <c r="FK75" s="396" t="e">
        <f t="shared" ref="FK75:FK100" si="501">IF(ISTEXT(FK74),FQ$2,IF(FK74+FK$8*(FM75-FM74)&gt;FQ$3,FQ$3,FK74+FK$8*(FM75-FM74)))</f>
        <v>#N/A</v>
      </c>
      <c r="FL75" s="397" t="e">
        <f t="shared" ref="FL75:FL100" si="502">IF(ISTEXT(FL74),FR$2,IF(FL74+FL$8*(FM75-FM74)&gt;FR$3,FR$3,FL74+FL$8*(FM75-FM74)))</f>
        <v>#N/A</v>
      </c>
      <c r="FM75" s="400" t="e">
        <f t="shared" si="396"/>
        <v>#N/A</v>
      </c>
      <c r="FN75" s="398" t="e">
        <f t="shared" ref="FN75:FN100" si="503">IF(ISTEXT(FM74),0,FN74+(FM75-FM74)/3*(FK74*FL74+FK75*FL75+SQRT(FK74*FL74*FK75*FL75)))</f>
        <v>#N/A</v>
      </c>
      <c r="FO75" s="400" t="e">
        <f t="shared" ref="FO75:FO100" si="504">IF(ISTEXT(FO74),FO$2,(FN74*FO74+(FN75-FN74)*IF(FO$2=FO$3,FO$2,IF(FO$2&gt;FO$3,FO$2-(FK75+FK74)/4,FO$2+(FK75+FK74)/4)))/FN75)</f>
        <v>#N/A</v>
      </c>
      <c r="FP75" s="398" t="e">
        <f t="shared" si="306"/>
        <v>#N/A</v>
      </c>
      <c r="FQ75" s="401" t="e">
        <f t="shared" si="307"/>
        <v>#N/A</v>
      </c>
      <c r="FR75" s="399" t="e">
        <f t="shared" ref="FR75:FR100" si="505">IF(ISNA(FK76),IF(FR74=0,NA(),0),IF(ISNUMBER(FR74),FK75*FL75^3/12/FQ$7,0))</f>
        <v>#N/A</v>
      </c>
      <c r="FS75" s="47"/>
      <c r="FT75" s="47"/>
      <c r="FU75" s="396" t="e">
        <f t="shared" ref="FU75:FU100" si="506">IF(ISTEXT(FU74),GA$2,IF(FU74+FU$8*(FW75-FW74)&gt;GA$3,GA$3,FU74+FU$8*(FW75-FW74)))</f>
        <v>#N/A</v>
      </c>
      <c r="FV75" s="397" t="e">
        <f t="shared" ref="FV75:FV100" si="507">IF(ISTEXT(FV74),GB$2,IF(FV74+FV$8*(FW75-FW74)&gt;GB$3,GB$3,FV74+FV$8*(FW75-FW74)))</f>
        <v>#N/A</v>
      </c>
      <c r="FW75" s="400" t="e">
        <f t="shared" si="397"/>
        <v>#N/A</v>
      </c>
      <c r="FX75" s="398" t="e">
        <f t="shared" ref="FX75:FX100" si="508">IF(ISTEXT(FW74),0,FX74+(FW75-FW74)/3*(FU74*FV74+FU75*FV75+SQRT(FU74*FV74*FU75*FV75)))</f>
        <v>#N/A</v>
      </c>
      <c r="FY75" s="400" t="e">
        <f t="shared" ref="FY75:FY100" si="509">IF(ISTEXT(FY74),FY$2,(FX74*FY74+(FX75-FX74)*IF(FY$2=FY$3,FY$2,IF(FY$2&gt;FY$3,FY$2-(FU75+FU74)/4,FY$2+(FU75+FU74)/4)))/FX75)</f>
        <v>#N/A</v>
      </c>
      <c r="FZ75" s="398" t="e">
        <f t="shared" si="311"/>
        <v>#N/A</v>
      </c>
      <c r="GA75" s="401" t="e">
        <f t="shared" si="312"/>
        <v>#N/A</v>
      </c>
      <c r="GB75" s="399" t="e">
        <f t="shared" ref="GB75:GB100" si="510">IF(ISNA(FU76),IF(GB74=0,NA(),0),IF(ISNUMBER(GB74),FU75*FV75^3/12/GA$7,0))</f>
        <v>#N/A</v>
      </c>
      <c r="GC75" s="47"/>
      <c r="GD75" s="47"/>
      <c r="GE75" s="396" t="e">
        <f t="shared" ref="GE75:GE100" si="511">IF(ISTEXT(GE74),GK$2,IF(GE74+GE$8*(GG75-GG74)&gt;GK$3,GK$3,GE74+GE$8*(GG75-GG74)))</f>
        <v>#N/A</v>
      </c>
      <c r="GF75" s="397" t="e">
        <f t="shared" ref="GF75:GF100" si="512">IF(ISTEXT(GF74),GL$2,IF(GF74+GF$8*(GG75-GG74)&gt;GL$3,GL$3,GF74+GF$8*(GG75-GG74)))</f>
        <v>#N/A</v>
      </c>
      <c r="GG75" s="400" t="e">
        <f t="shared" si="398"/>
        <v>#N/A</v>
      </c>
      <c r="GH75" s="398" t="e">
        <f t="shared" ref="GH75:GH100" si="513">IF(ISTEXT(GG74),0,GH74+(GG75-GG74)/3*(GE74*GF74+GE75*GF75+SQRT(GE74*GF74*GE75*GF75)))</f>
        <v>#N/A</v>
      </c>
      <c r="GI75" s="400" t="e">
        <f t="shared" ref="GI75:GI100" si="514">IF(ISTEXT(GI74),GI$2,(GH74*GI74+(GH75-GH74)*IF(GI$2=GI$3,GI$2,IF(GI$2&gt;GI$3,GI$2-(GE75+GE74)/4,GI$2+(GE75+GE74)/4)))/GH75)</f>
        <v>#N/A</v>
      </c>
      <c r="GJ75" s="398" t="e">
        <f t="shared" si="316"/>
        <v>#N/A</v>
      </c>
      <c r="GK75" s="401" t="e">
        <f t="shared" si="317"/>
        <v>#N/A</v>
      </c>
      <c r="GL75" s="399" t="e">
        <f t="shared" ref="GL75:GL100" si="515">IF(ISNA(GE76),IF(GL74=0,NA(),0),IF(ISNUMBER(GL74),GE75*GF75^3/12/GK$7,0))</f>
        <v>#N/A</v>
      </c>
      <c r="GM75" s="47"/>
      <c r="GN75" s="47"/>
      <c r="GO75" s="396" t="e">
        <f t="shared" ref="GO75:GO100" si="516">IF(ISTEXT(GO74),GU$2,IF(GO74+GO$8*(GQ75-GQ74)&gt;GU$3,GU$3,GO74+GO$8*(GQ75-GQ74)))</f>
        <v>#N/A</v>
      </c>
      <c r="GP75" s="397" t="e">
        <f t="shared" ref="GP75:GP100" si="517">IF(ISTEXT(GP74),GV$2,IF(GP74+GP$8*(GQ75-GQ74)&gt;GV$3,GV$3,GP74+GP$8*(GQ75-GQ74)))</f>
        <v>#N/A</v>
      </c>
      <c r="GQ75" s="400" t="e">
        <f t="shared" si="399"/>
        <v>#N/A</v>
      </c>
      <c r="GR75" s="398" t="e">
        <f t="shared" ref="GR75:GR100" si="518">IF(ISTEXT(GQ74),0,GR74+(GQ75-GQ74)/3*(GO74*GP74+GO75*GP75+SQRT(GO74*GP74*GO75*GP75)))</f>
        <v>#N/A</v>
      </c>
      <c r="GS75" s="400" t="e">
        <f t="shared" ref="GS75:GS100" si="519">IF(ISTEXT(GS74),GS$2,(GR74*GS74+(GR75-GR74)*IF(GS$2=GS$3,GS$2,IF(GS$2&gt;GS$3,GS$2-(GO75+GO74)/4,GS$2+(GO75+GO74)/4)))/GR75)</f>
        <v>#N/A</v>
      </c>
      <c r="GT75" s="398" t="e">
        <f t="shared" si="321"/>
        <v>#N/A</v>
      </c>
      <c r="GU75" s="401" t="e">
        <f t="shared" si="322"/>
        <v>#N/A</v>
      </c>
      <c r="GV75" s="399" t="e">
        <f t="shared" ref="GV75:GV100" si="520">IF(ISNA(GO76),IF(GV74=0,NA(),0),IF(ISNUMBER(GV74),GO75*GP75^3/12/GU$7,0))</f>
        <v>#N/A</v>
      </c>
      <c r="GW75" s="47"/>
      <c r="GX75" s="47"/>
      <c r="GY75" s="396" t="e">
        <f t="shared" ref="GY75:GY100" si="521">IF(ISTEXT(GY74),HE$2,IF(GY74+GY$8*(HA75-HA74)&gt;HE$3,HE$3,GY74+GY$8*(HA75-HA74)))</f>
        <v>#N/A</v>
      </c>
      <c r="GZ75" s="397" t="e">
        <f t="shared" ref="GZ75:GZ100" si="522">IF(ISTEXT(GZ74),HF$2,IF(GZ74+GZ$8*(HA75-HA74)&gt;HF$3,HF$3,GZ74+GZ$8*(HA75-HA74)))</f>
        <v>#N/A</v>
      </c>
      <c r="HA75" s="400" t="e">
        <f t="shared" si="400"/>
        <v>#N/A</v>
      </c>
      <c r="HB75" s="398" t="e">
        <f t="shared" ref="HB75:HB100" si="523">IF(ISTEXT(HA74),0,HB74+(HA75-HA74)/3*(GY74*GZ74+GY75*GZ75+SQRT(GY74*GZ74*GY75*GZ75)))</f>
        <v>#N/A</v>
      </c>
      <c r="HC75" s="400" t="e">
        <f t="shared" ref="HC75:HC100" si="524">IF(ISTEXT(HC74),HC$2,(HB74*HC74+(HB75-HB74)*IF(HC$2=HC$3,HC$2,IF(HC$2&gt;HC$3,HC$2-(GY75+GY74)/4,HC$2+(GY75+GY74)/4)))/HB75)</f>
        <v>#N/A</v>
      </c>
      <c r="HD75" s="398" t="e">
        <f t="shared" si="326"/>
        <v>#N/A</v>
      </c>
      <c r="HE75" s="401" t="e">
        <f t="shared" si="327"/>
        <v>#N/A</v>
      </c>
      <c r="HF75" s="399" t="e">
        <f t="shared" ref="HF75:HF100" si="525">IF(ISNA(GY76),IF(HF74=0,NA(),0),IF(ISNUMBER(HF74),GY75*GZ75^3/12/HE$7,0))</f>
        <v>#N/A</v>
      </c>
      <c r="HH75" s="47"/>
      <c r="HI75" s="396" t="e">
        <f t="shared" ref="HI75:HI100" si="526">IF(ISTEXT(HI74),HO$2,IF(HI74+HI$8*(HK75-HK74)&gt;HO$3,HO$3,HI74+HI$8*(HK75-HK74)))</f>
        <v>#N/A</v>
      </c>
      <c r="HJ75" s="397" t="e">
        <f t="shared" ref="HJ75:HJ100" si="527">IF(ISTEXT(HJ74),HP$2,IF(HJ74+HJ$8*(HK75-HK74)&gt;HP$3,HP$3,HJ74+HJ$8*(HK75-HK74)))</f>
        <v>#N/A</v>
      </c>
      <c r="HK75" s="400" t="e">
        <f t="shared" si="401"/>
        <v>#N/A</v>
      </c>
      <c r="HL75" s="398" t="e">
        <f t="shared" ref="HL75:HL100" si="528">IF(ISTEXT(HK74),0,HL74+(HK75-HK74)/3*(HI74*HJ74+HI75*HJ75+SQRT(HI74*HJ74*HI75*HJ75)))</f>
        <v>#N/A</v>
      </c>
      <c r="HM75" s="400" t="e">
        <f t="shared" ref="HM75:HM100" si="529">IF(ISTEXT(HM74),HM$2,(HL74*HM74+(HL75-HL74)*IF(HM$2=HM$3,HM$2,IF(HM$2&gt;HM$3,HM$2-(HI75+HI74)/4,HM$2+(HI75+HI74)/4)))/HL75)</f>
        <v>#N/A</v>
      </c>
      <c r="HN75" s="398" t="e">
        <f t="shared" si="331"/>
        <v>#N/A</v>
      </c>
      <c r="HO75" s="401" t="e">
        <f t="shared" si="332"/>
        <v>#N/A</v>
      </c>
      <c r="HP75" s="399" t="e">
        <f t="shared" ref="HP75:HP100" si="530">IF(ISNA(HI76),IF(HP74=0,NA(),0),IF(ISNUMBER(HP74),HI75*HJ75^3/12/HO$7,0))</f>
        <v>#N/A</v>
      </c>
      <c r="HQ75" s="47"/>
      <c r="HR75" s="47"/>
      <c r="HS75" s="396" t="e">
        <f t="shared" ref="HS75:HS100" si="531">IF(ISTEXT(HS74),HY$2,IF(HS74+HS$8*(HU75-HU74)&gt;HY$3,HY$3,HS74+HS$8*(HU75-HU74)))</f>
        <v>#N/A</v>
      </c>
      <c r="HT75" s="397" t="e">
        <f t="shared" ref="HT75:HT100" si="532">IF(ISTEXT(HT74),HZ$2,IF(HT74+HT$8*(HU75-HU74)&gt;HZ$3,HZ$3,HT74+HT$8*(HU75-HU74)))</f>
        <v>#N/A</v>
      </c>
      <c r="HU75" s="400" t="e">
        <f t="shared" si="402"/>
        <v>#N/A</v>
      </c>
      <c r="HV75" s="398" t="e">
        <f t="shared" ref="HV75:HV100" si="533">IF(ISTEXT(HU74),0,HV74+(HU75-HU74)/3*(HS74*HT74+HS75*HT75+SQRT(HS74*HT74*HS75*HT75)))</f>
        <v>#N/A</v>
      </c>
      <c r="HW75" s="400" t="e">
        <f t="shared" ref="HW75:HW100" si="534">IF(ISTEXT(HW74),HW$2,(HV74*HW74+(HV75-HV74)*IF(HW$2=HW$3,HW$2,IF(HW$2&gt;HW$3,HW$2-(HS75+HS74)/4,HW$2+(HS75+HS74)/4)))/HV75)</f>
        <v>#N/A</v>
      </c>
      <c r="HX75" s="398" t="e">
        <f t="shared" si="336"/>
        <v>#N/A</v>
      </c>
      <c r="HY75" s="401" t="e">
        <f t="shared" si="337"/>
        <v>#N/A</v>
      </c>
      <c r="HZ75" s="399" t="e">
        <f t="shared" ref="HZ75:HZ100" si="535">IF(ISNA(HS76),IF(HZ74=0,NA(),0),IF(ISNUMBER(HZ74),HS75*HT75^3/12/HY$7,0))</f>
        <v>#N/A</v>
      </c>
      <c r="IA75" s="47"/>
      <c r="IB75" s="49"/>
      <c r="IC75" s="396" t="e">
        <f t="shared" ref="IC75:IC100" si="536">IF(ISTEXT(IC74),II$2,IF(IC74+IC$8*(IE75-IE74)&gt;II$3,II$3,IC74+IC$8*(IE75-IE74)))</f>
        <v>#N/A</v>
      </c>
      <c r="ID75" s="397" t="e">
        <f t="shared" ref="ID75:ID100" si="537">IF(ISTEXT(ID74),IJ$2,IF(ID74+ID$8*(IE75-IE74)&gt;IJ$3,IJ$3,ID74+ID$8*(IE75-IE74)))</f>
        <v>#N/A</v>
      </c>
      <c r="IE75" s="400" t="e">
        <f t="shared" si="403"/>
        <v>#N/A</v>
      </c>
      <c r="IF75" s="398" t="e">
        <f t="shared" ref="IF75:IF100" si="538">IF(ISTEXT(IE74),0,IF74+(IE75-IE74)/3*(IC74*ID74+IC75*ID75+SQRT(IC74*ID74*IC75*ID75)))</f>
        <v>#N/A</v>
      </c>
      <c r="IG75" s="400" t="e">
        <f t="shared" ref="IG75:IG100" si="539">IF(ISTEXT(IG74),IG$2,(IF74*IG74+(IF75-IF74)*IF(IG$2=IG$3,IG$2,IF(IG$2&gt;IG$3,IG$2-(IC75+IC74)/4,IG$2+(IC75+IC74)/4)))/IF75)</f>
        <v>#N/A</v>
      </c>
      <c r="IH75" s="398" t="e">
        <f t="shared" si="341"/>
        <v>#N/A</v>
      </c>
      <c r="II75" s="401" t="e">
        <f t="shared" si="342"/>
        <v>#N/A</v>
      </c>
      <c r="IJ75" s="399" t="e">
        <f t="shared" ref="IJ75:IJ100" si="540">IF(ISNA(IC76),IF(IJ74=0,NA(),0),IF(ISNUMBER(IJ74),IC75*ID75^3/12/II$7,0))</f>
        <v>#N/A</v>
      </c>
      <c r="IK75" s="47"/>
      <c r="IL75" s="47"/>
      <c r="IM75" s="396" t="e">
        <f t="shared" ref="IM75:IM100" si="541">IF(ISTEXT(IM74),IS$2,IF(IM74+IM$8*(IO75-IO74)&gt;IS$3,IS$3,IM74+IM$8*(IO75-IO74)))</f>
        <v>#N/A</v>
      </c>
      <c r="IN75" s="397" t="e">
        <f t="shared" ref="IN75:IN100" si="542">IF(ISTEXT(IN74),IT$2,IF(IN74+IN$8*(IO75-IO74)&gt;IT$3,IT$3,IN74+IN$8*(IO75-IO74)))</f>
        <v>#N/A</v>
      </c>
      <c r="IO75" s="400" t="e">
        <f t="shared" si="404"/>
        <v>#N/A</v>
      </c>
      <c r="IP75" s="398" t="e">
        <f t="shared" ref="IP75:IP100" si="543">IF(ISTEXT(IO74),0,IP74+(IO75-IO74)/3*(IM74*IN74+IM75*IN75+SQRT(IM74*IN74*IM75*IN75)))</f>
        <v>#N/A</v>
      </c>
      <c r="IQ75" s="400" t="e">
        <f t="shared" ref="IQ75:IQ100" si="544">IF(ISTEXT(IQ74),IQ$2,(IP74*IQ74+(IP75-IP74)*IF(IQ$2=IQ$3,IQ$2,IF(IQ$2&gt;IQ$3,IQ$2-(IM75+IM74)/4,IQ$2+(IM75+IM74)/4)))/IP75)</f>
        <v>#N/A</v>
      </c>
      <c r="IR75" s="398" t="e">
        <f t="shared" si="346"/>
        <v>#N/A</v>
      </c>
      <c r="IS75" s="401" t="e">
        <f t="shared" si="347"/>
        <v>#N/A</v>
      </c>
      <c r="IT75" s="399" t="e">
        <f t="shared" ref="IT75:IT100" si="545">IF(ISNA(IM76),IF(IT74=0,NA(),0),IF(ISNUMBER(IT74),IM75*IN75^3/12/IS$7,0))</f>
        <v>#N/A</v>
      </c>
      <c r="IU75" s="47"/>
      <c r="IV75" s="47"/>
      <c r="IW75" s="396" t="e">
        <f t="shared" si="405"/>
        <v>#N/A</v>
      </c>
      <c r="IX75" s="397" t="e">
        <f t="shared" si="406"/>
        <v>#N/A</v>
      </c>
      <c r="IY75" s="400" t="e">
        <f t="shared" si="407"/>
        <v>#N/A</v>
      </c>
      <c r="IZ75" s="398" t="e">
        <f t="shared" si="348"/>
        <v>#N/A</v>
      </c>
      <c r="JA75" s="400" t="e">
        <f t="shared" si="408"/>
        <v>#N/A</v>
      </c>
      <c r="JB75" s="398" t="e">
        <f t="shared" si="409"/>
        <v>#N/A</v>
      </c>
      <c r="JC75" s="401" t="e">
        <f t="shared" ref="JC75:JC100" si="546">IF(ISTEXT(JC74),IZ$2,(IZ74*JC74+(IZ75-IZ74)*(IZ$2+(IY75+IY74)/2))/IZ75)</f>
        <v>#N/A</v>
      </c>
      <c r="JD75" s="399" t="e">
        <f t="shared" ref="JD75:JD100" si="547">IF(ISNA(IW76),IF(JD74=0,NA(),0),IF(ISNUMBER(JD74),IW75*IX75^3/12/JC$7,0))</f>
        <v>#N/A</v>
      </c>
      <c r="JE75" s="47"/>
      <c r="JF75" s="47"/>
      <c r="JG75" s="396" t="e">
        <f t="shared" si="410"/>
        <v>#N/A</v>
      </c>
      <c r="JH75" s="397" t="e">
        <f t="shared" si="411"/>
        <v>#N/A</v>
      </c>
      <c r="JI75" s="400" t="e">
        <f t="shared" si="412"/>
        <v>#N/A</v>
      </c>
      <c r="JJ75" s="398" t="e">
        <f t="shared" si="349"/>
        <v>#N/A</v>
      </c>
      <c r="JK75" s="400" t="e">
        <f t="shared" si="413"/>
        <v>#N/A</v>
      </c>
      <c r="JL75" s="398" t="e">
        <f t="shared" si="414"/>
        <v>#N/A</v>
      </c>
      <c r="JM75" s="401" t="e">
        <f t="shared" ref="JM75:JM100" si="548">IF(ISTEXT(JM74),JJ$2,(JJ74*JM74+(JJ75-JJ74)*(JJ$2+(JI75+JI74)/2))/JJ75)</f>
        <v>#N/A</v>
      </c>
      <c r="JN75" s="399" t="e">
        <f t="shared" ref="JN75:JN100" si="549">IF(ISNA(JG76),IF(JN74=0,NA(),0),IF(ISNUMBER(JN74),JG75*JH75^3/12/JM$7,0))</f>
        <v>#N/A</v>
      </c>
      <c r="JO75" s="47"/>
      <c r="JP75" s="47"/>
      <c r="JQ75" s="396" t="e">
        <f t="shared" si="415"/>
        <v>#N/A</v>
      </c>
      <c r="JR75" s="397" t="e">
        <f t="shared" si="416"/>
        <v>#N/A</v>
      </c>
      <c r="JS75" s="400" t="e">
        <f t="shared" si="417"/>
        <v>#N/A</v>
      </c>
      <c r="JT75" s="398" t="e">
        <f t="shared" si="350"/>
        <v>#N/A</v>
      </c>
      <c r="JU75" s="400" t="e">
        <f t="shared" si="418"/>
        <v>#N/A</v>
      </c>
      <c r="JV75" s="398" t="e">
        <f t="shared" si="419"/>
        <v>#N/A</v>
      </c>
      <c r="JW75" s="401" t="e">
        <f t="shared" ref="JW75:JW100" si="550">IF(ISTEXT(JW74),JT$2,(JT74*JW74+(JT75-JT74)*(JT$2+(JS75+JS74)/2))/JT75)</f>
        <v>#N/A</v>
      </c>
      <c r="JX75" s="399" t="e">
        <f t="shared" ref="JX75:JX100" si="551">IF(ISNA(JQ76),IF(JX74=0,NA(),0),IF(ISNUMBER(JX74),JQ75*JR75^3/12/JW$7,0))</f>
        <v>#N/A</v>
      </c>
      <c r="JY75" s="47"/>
      <c r="JZ75" s="47"/>
      <c r="KA75" s="396" t="e">
        <f t="shared" si="420"/>
        <v>#N/A</v>
      </c>
      <c r="KB75" s="397" t="e">
        <f t="shared" si="421"/>
        <v>#N/A</v>
      </c>
      <c r="KC75" s="400" t="e">
        <f t="shared" si="422"/>
        <v>#N/A</v>
      </c>
      <c r="KD75" s="398" t="e">
        <f t="shared" si="351"/>
        <v>#N/A</v>
      </c>
      <c r="KE75" s="400" t="e">
        <f t="shared" si="423"/>
        <v>#N/A</v>
      </c>
      <c r="KF75" s="398" t="e">
        <f t="shared" si="424"/>
        <v>#N/A</v>
      </c>
      <c r="KG75" s="401" t="e">
        <f t="shared" ref="KG75:KG100" si="552">IF(ISTEXT(KG74),KD$2,(KD74*KG74+(KD75-KD74)*(KD$2+(KC75+KC74)/2))/KD75)</f>
        <v>#N/A</v>
      </c>
      <c r="KH75" s="399" t="e">
        <f t="shared" ref="KH75:KH100" si="553">IF(ISNA(KA76),IF(KH74=0,NA(),0),IF(ISNUMBER(KH74),KA75*KB75^3/12/KG$7,0))</f>
        <v>#N/A</v>
      </c>
      <c r="KI75" s="47"/>
      <c r="KJ75" s="47"/>
      <c r="KK75" s="396" t="e">
        <f t="shared" si="425"/>
        <v>#N/A</v>
      </c>
      <c r="KL75" s="397" t="e">
        <f t="shared" si="426"/>
        <v>#N/A</v>
      </c>
      <c r="KM75" s="400" t="e">
        <f t="shared" si="427"/>
        <v>#N/A</v>
      </c>
      <c r="KN75" s="398" t="e">
        <f t="shared" si="352"/>
        <v>#N/A</v>
      </c>
      <c r="KO75" s="400" t="e">
        <f t="shared" si="428"/>
        <v>#N/A</v>
      </c>
      <c r="KP75" s="398" t="e">
        <f t="shared" si="429"/>
        <v>#N/A</v>
      </c>
      <c r="KQ75" s="401" t="e">
        <f t="shared" ref="KQ75:KQ100" si="554">IF(ISTEXT(KQ74),KN$2,(KN74*KQ74+(KN75-KN74)*(KN$2+(KM75+KM74)/2))/KN75)</f>
        <v>#N/A</v>
      </c>
      <c r="KR75" s="399" t="e">
        <f t="shared" ref="KR75:KR100" si="555">IF(ISNA(KK76),IF(KR74=0,NA(),0),IF(ISNUMBER(KR74),KK75*KL75^3/12/KQ$7,0))</f>
        <v>#N/A</v>
      </c>
      <c r="KS75" s="47"/>
      <c r="KT75" s="47"/>
      <c r="KU75" s="396" t="e">
        <f t="shared" ref="KU75:KU100" si="556">IF(ISTEXT(KU74),LA$2,IF(KU74+KU$8*(KW75-KW74)&gt;LA$3,LA$3,KU74+KU$8*(KW75-KW74)))</f>
        <v>#N/A</v>
      </c>
      <c r="KV75" s="397" t="e">
        <f t="shared" ref="KV75:KV100" si="557">IF(ISTEXT(KV74),LB$2,IF(KV74+KV$8*(KW75-KW74)&gt;LB$3,LB$3,KV74+KV$8*(KW75-KW74)))</f>
        <v>#N/A</v>
      </c>
      <c r="KW75" s="400" t="e">
        <f t="shared" si="430"/>
        <v>#N/A</v>
      </c>
      <c r="KX75" s="398" t="e">
        <f t="shared" ref="KX75:KX100" si="558">IF(ISTEXT(KW74),0,KX74+(KW75-KW74)/3*(KU74*KV74+KU75*KV75+SQRT(KU74*KV74*KU75*KV75)))</f>
        <v>#N/A</v>
      </c>
      <c r="KY75" s="400" t="e">
        <f t="shared" ref="KY75:KY100" si="559">IF(ISTEXT(KY74),KY$2,(KX74*KY74+(KX75-KX74)*IF(KY$2=KY$3,KY$2,IF(KY$2&gt;KY$3,KY$2-(KU75+KU74)/4,KY$2+(KU75+KU74)/4)))/KX75)</f>
        <v>#N/A</v>
      </c>
      <c r="KZ75" s="398" t="e">
        <f t="shared" si="356"/>
        <v>#N/A</v>
      </c>
      <c r="LA75" s="401" t="e">
        <f t="shared" si="357"/>
        <v>#N/A</v>
      </c>
      <c r="LB75" s="399" t="e">
        <f t="shared" ref="LB75:LB100" si="560">IF(ISNA(KU76),IF(LB74=0,NA(),0),IF(ISNUMBER(LB74),KU75*KV75^3/12/LA$7,0))</f>
        <v>#N/A</v>
      </c>
      <c r="LC75" s="47"/>
    </row>
    <row r="76" spans="26:315" x14ac:dyDescent="0.25">
      <c r="Z76" s="413"/>
      <c r="AA76" s="396" t="e">
        <f t="shared" si="431"/>
        <v>#N/A</v>
      </c>
      <c r="AB76" s="397" t="e">
        <f t="shared" si="432"/>
        <v>#N/A</v>
      </c>
      <c r="AC76" s="400" t="e">
        <f t="shared" si="382"/>
        <v>#N/A</v>
      </c>
      <c r="AD76" s="398" t="e">
        <f t="shared" si="433"/>
        <v>#N/A</v>
      </c>
      <c r="AE76" s="400" t="e">
        <f t="shared" si="434"/>
        <v>#N/A</v>
      </c>
      <c r="AF76" s="398" t="e">
        <f t="shared" ref="AF76:AF100" si="561">IF(ISTEXT(AF75),AF$2,(AD75*AF75+(AD76-AD75)*IF(AF$2&gt;0,AF$2-AH$2/2+(AB76+AB75)/4,AF$2+AH$2/2-(AB76+AB75)/4))/AD76)</f>
        <v>#N/A</v>
      </c>
      <c r="AG76" s="401" t="e">
        <f t="shared" ref="AG76:AG100" si="562">IF(ISTEXT(AG75),AD$2,(AD75*AG75+(AD76-AD75)*(AD$2+(AC76+AC75)/2))/AD76)</f>
        <v>#N/A</v>
      </c>
      <c r="AH76" s="399" t="e">
        <f t="shared" si="435"/>
        <v>#N/A</v>
      </c>
      <c r="AI76" s="47"/>
      <c r="AJ76" s="47"/>
      <c r="AK76" s="396" t="e">
        <f t="shared" si="436"/>
        <v>#N/A</v>
      </c>
      <c r="AL76" s="397" t="e">
        <f t="shared" si="437"/>
        <v>#N/A</v>
      </c>
      <c r="AM76" s="400" t="e">
        <f t="shared" si="383"/>
        <v>#N/A</v>
      </c>
      <c r="AN76" s="398" t="e">
        <f t="shared" si="438"/>
        <v>#N/A</v>
      </c>
      <c r="AO76" s="400" t="e">
        <f t="shared" si="439"/>
        <v>#N/A</v>
      </c>
      <c r="AP76" s="398" t="e">
        <f t="shared" ref="AP76:AP100" si="563">IF(ISTEXT(AP75),AP$2,(AN75*AP75+(AN76-AN75)*IF(AP$2&gt;0,AP$2-AR$2/2+(AL76+AL75)/4,AP$2+AR$2/2-(AL76+AL75)/4))/AN76)</f>
        <v>#N/A</v>
      </c>
      <c r="AQ76" s="401" t="e">
        <f t="shared" ref="AQ76:AQ100" si="564">IF(ISTEXT(AQ75),AN$2,(AN75*AQ75+(AN76-AN75)*(AN$2+(AM76+AM75)/2))/AN76)</f>
        <v>#N/A</v>
      </c>
      <c r="AR76" s="399" t="e">
        <f t="shared" si="440"/>
        <v>#N/A</v>
      </c>
      <c r="AS76" s="47"/>
      <c r="AT76" s="47"/>
      <c r="AU76" s="396" t="e">
        <f t="shared" si="441"/>
        <v>#N/A</v>
      </c>
      <c r="AV76" s="397" t="e">
        <f t="shared" si="442"/>
        <v>#N/A</v>
      </c>
      <c r="AW76" s="400" t="e">
        <f t="shared" si="384"/>
        <v>#N/A</v>
      </c>
      <c r="AX76" s="398" t="e">
        <f t="shared" si="443"/>
        <v>#N/A</v>
      </c>
      <c r="AY76" s="400" t="e">
        <f t="shared" si="444"/>
        <v>#N/A</v>
      </c>
      <c r="AZ76" s="398" t="e">
        <f t="shared" ref="AZ76:AZ100" si="565">IF(ISTEXT(AZ75),AZ$2,(AX75*AZ75+(AX76-AX75)*IF(AZ$2&gt;0,AZ$2-BB$2/2+(AV76+AV75)/4,AZ$2+BB$2/2-(AV76+AV75)/4))/AX76)</f>
        <v>#N/A</v>
      </c>
      <c r="BA76" s="401" t="e">
        <f t="shared" ref="BA76:BA100" si="566">IF(ISTEXT(BA75),AX$2,(AX75*BA75+(AX76-AX75)*(AX$2+(AW76+AW75)/2))/AX76)</f>
        <v>#N/A</v>
      </c>
      <c r="BB76" s="399" t="e">
        <f t="shared" si="445"/>
        <v>#N/A</v>
      </c>
      <c r="BC76" s="47"/>
      <c r="BD76" s="47"/>
      <c r="BE76" s="396" t="e">
        <f t="shared" si="446"/>
        <v>#N/A</v>
      </c>
      <c r="BF76" s="397" t="e">
        <f t="shared" si="447"/>
        <v>#N/A</v>
      </c>
      <c r="BG76" s="400" t="e">
        <f t="shared" si="385"/>
        <v>#N/A</v>
      </c>
      <c r="BH76" s="398" t="e">
        <f t="shared" si="448"/>
        <v>#N/A</v>
      </c>
      <c r="BI76" s="400" t="e">
        <f t="shared" si="449"/>
        <v>#N/A</v>
      </c>
      <c r="BJ76" s="398" t="e">
        <f t="shared" ref="BJ76:BJ100" si="567">IF(ISTEXT(BJ75),BJ$2,(BH75*BJ75+(BH76-BH75)*IF(BJ$2&gt;0,BJ$2-BL$2/2+(BF76+BF75)/4,BJ$2+BL$2/2-(BF76+BF75)/4))/BH76)</f>
        <v>#N/A</v>
      </c>
      <c r="BK76" s="401" t="e">
        <f t="shared" ref="BK76:BK100" si="568">IF(ISTEXT(BK75),BH$2,(BH75*BK75+(BH76-BH75)*(BH$2+(BG76+BG75)/2))/BH76)</f>
        <v>#N/A</v>
      </c>
      <c r="BL76" s="399" t="e">
        <f t="shared" si="450"/>
        <v>#N/A</v>
      </c>
      <c r="BM76" s="47"/>
      <c r="BN76" s="49"/>
      <c r="BO76" s="396" t="e">
        <f t="shared" si="451"/>
        <v>#N/A</v>
      </c>
      <c r="BP76" s="397" t="e">
        <f t="shared" si="452"/>
        <v>#N/A</v>
      </c>
      <c r="BQ76" s="400" t="e">
        <f t="shared" si="386"/>
        <v>#N/A</v>
      </c>
      <c r="BR76" s="398" t="e">
        <f t="shared" si="453"/>
        <v>#N/A</v>
      </c>
      <c r="BS76" s="400" t="e">
        <f t="shared" si="454"/>
        <v>#N/A</v>
      </c>
      <c r="BT76" s="398" t="e">
        <f t="shared" ref="BT76:BT100" si="569">IF(ISTEXT(BT75),BT$2,(BR75*BT75+(BR76-BR75)*IF(BT$2&gt;0,BT$2-BV$2/2+(BP76+BP75)/4,BT$2+BV$2/2-(BP76+BP75)/4))/BR76)</f>
        <v>#N/A</v>
      </c>
      <c r="BU76" s="401" t="e">
        <f t="shared" ref="BU76:BU100" si="570">IF(ISTEXT(BU75),BR$2,(BR75*BU75+(BR76-BR75)*(BR$2+(BQ76+BQ75)/2))/BR76)</f>
        <v>#N/A</v>
      </c>
      <c r="BV76" s="399" t="e">
        <f t="shared" si="455"/>
        <v>#N/A</v>
      </c>
      <c r="BW76" s="47"/>
      <c r="BX76" s="47"/>
      <c r="BY76" s="396" t="e">
        <f t="shared" si="456"/>
        <v>#N/A</v>
      </c>
      <c r="BZ76" s="397" t="e">
        <f t="shared" si="457"/>
        <v>#N/A</v>
      </c>
      <c r="CA76" s="400" t="e">
        <f t="shared" si="387"/>
        <v>#N/A</v>
      </c>
      <c r="CB76" s="398" t="e">
        <f t="shared" si="458"/>
        <v>#N/A</v>
      </c>
      <c r="CC76" s="400" t="e">
        <f t="shared" si="459"/>
        <v>#N/A</v>
      </c>
      <c r="CD76" s="398" t="e">
        <f t="shared" ref="CD76:CD100" si="571">IF(ISTEXT(CD75),CD$2,(CB75*CD75+(CB76-CB75)*IF(CD$2&gt;0,CD$2-CF$2/2+(BZ76+BZ75)/4,CD$2+CF$2/2-(BZ76+BZ75)/4))/CB76)</f>
        <v>#N/A</v>
      </c>
      <c r="CE76" s="401" t="e">
        <f t="shared" ref="CE76:CE100" si="572">IF(ISTEXT(CE75),CB$2,(CB75*CE75+(CB76-CB75)*(CB$2+(CA76+CA75)/2))/CB76)</f>
        <v>#N/A</v>
      </c>
      <c r="CF76" s="399" t="e">
        <f t="shared" si="460"/>
        <v>#N/A</v>
      </c>
      <c r="CG76" s="49"/>
      <c r="CH76" s="47"/>
      <c r="CI76" s="396" t="e">
        <f t="shared" si="461"/>
        <v>#N/A</v>
      </c>
      <c r="CJ76" s="397" t="e">
        <f t="shared" si="462"/>
        <v>#N/A</v>
      </c>
      <c r="CK76" s="400" t="e">
        <f t="shared" si="388"/>
        <v>#N/A</v>
      </c>
      <c r="CL76" s="398" t="e">
        <f t="shared" si="463"/>
        <v>#N/A</v>
      </c>
      <c r="CM76" s="400" t="e">
        <f t="shared" si="464"/>
        <v>#N/A</v>
      </c>
      <c r="CN76" s="398" t="e">
        <f t="shared" ref="CN76:CN100" si="573">IF(ISTEXT(CN75),CN$2,(CL75*CN75+(CL76-CL75)*IF(CN$2&gt;0,CN$2-CP$2/2+(CJ76+CJ75)/4,CN$2+CP$2/2-(CJ76+CJ75)/4))/CL76)</f>
        <v>#N/A</v>
      </c>
      <c r="CO76" s="401" t="e">
        <f t="shared" ref="CO76:CO100" si="574">IF(ISTEXT(CO75),CL$2,(CL75*CO75+(CL76-CL75)*(CL$2+(CK76+CK75)/2))/CL76)</f>
        <v>#N/A</v>
      </c>
      <c r="CP76" s="399" t="e">
        <f t="shared" si="465"/>
        <v>#N/A</v>
      </c>
      <c r="CQ76" s="47"/>
      <c r="CS76" s="396" t="e">
        <f t="shared" si="466"/>
        <v>#N/A</v>
      </c>
      <c r="CT76" s="397" t="e">
        <f t="shared" si="467"/>
        <v>#N/A</v>
      </c>
      <c r="CU76" s="400" t="e">
        <f t="shared" si="389"/>
        <v>#N/A</v>
      </c>
      <c r="CV76" s="398" t="e">
        <f t="shared" si="468"/>
        <v>#N/A</v>
      </c>
      <c r="CW76" s="400" t="e">
        <f t="shared" si="469"/>
        <v>#N/A</v>
      </c>
      <c r="CX76" s="398" t="e">
        <f t="shared" ref="CX76:CX100" si="575">IF(ISTEXT(CX75),CX$2,(CV75*CX75+(CV76-CV75)*IF(CX$2&gt;0,CX$2-CZ$2/2+(CT76+CT75)/4,CX$2+CZ$2/2-(CT76+CT75)/4))/CV76)</f>
        <v>#N/A</v>
      </c>
      <c r="CY76" s="401" t="e">
        <f t="shared" ref="CY76:CY100" si="576">IF(ISTEXT(CY75),CV$2,(CV75*CY75+(CV76-CV75)*(CV$2+(CU76+CU75)/2))/CV76)</f>
        <v>#N/A</v>
      </c>
      <c r="CZ76" s="399" t="e">
        <f t="shared" si="470"/>
        <v>#N/A</v>
      </c>
      <c r="DA76" s="47"/>
      <c r="DB76" s="47"/>
      <c r="DC76" s="396" t="e">
        <f t="shared" si="471"/>
        <v>#N/A</v>
      </c>
      <c r="DD76" s="397" t="e">
        <f t="shared" si="472"/>
        <v>#N/A</v>
      </c>
      <c r="DE76" s="400" t="e">
        <f t="shared" si="390"/>
        <v>#N/A</v>
      </c>
      <c r="DF76" s="398" t="e">
        <f t="shared" si="473"/>
        <v>#N/A</v>
      </c>
      <c r="DG76" s="400" t="e">
        <f t="shared" si="474"/>
        <v>#N/A</v>
      </c>
      <c r="DH76" s="398" t="e">
        <f t="shared" ref="DH76:DH100" si="577">IF(ISTEXT(DH75),DH$2,(DF75*DH75+(DF76-DF75)*IF(DH$2&gt;0,DH$2-DJ$2/2+(DD76+DD75)/4,DH$2+DJ$2/2-(DD76+DD75)/4))/DF76)</f>
        <v>#N/A</v>
      </c>
      <c r="DI76" s="401" t="e">
        <f t="shared" ref="DI76:DI100" si="578">IF(ISTEXT(DI75),DF$2,(DF75*DI75+(DF76-DF75)*(DF$2+(DE76+DE75)/2))/DF76)</f>
        <v>#N/A</v>
      </c>
      <c r="DJ76" s="399" t="e">
        <f t="shared" si="475"/>
        <v>#N/A</v>
      </c>
      <c r="DK76" s="47"/>
      <c r="DM76" s="396" t="e">
        <f t="shared" si="476"/>
        <v>#N/A</v>
      </c>
      <c r="DN76" s="397" t="e">
        <f t="shared" si="477"/>
        <v>#N/A</v>
      </c>
      <c r="DO76" s="400" t="e">
        <f t="shared" si="391"/>
        <v>#N/A</v>
      </c>
      <c r="DP76" s="398" t="e">
        <f t="shared" si="478"/>
        <v>#N/A</v>
      </c>
      <c r="DQ76" s="400" t="e">
        <f t="shared" si="479"/>
        <v>#N/A</v>
      </c>
      <c r="DR76" s="398" t="e">
        <f t="shared" ref="DR76:DR100" si="579">IF(ISTEXT(DR75),DR$2,(DP75*DR75+(DP76-DP75)*IF(DR$2&gt;0,DR$2-DT$2/2+(DN76+DN75)/4,DR$2+DT$2/2-(DN76+DN75)/4))/DP76)</f>
        <v>#N/A</v>
      </c>
      <c r="DS76" s="401" t="e">
        <f t="shared" ref="DS76:DS100" si="580">IF(ISTEXT(DS75),DP$2,(DP75*DS75+(DP76-DP75)*(DP$2+(DO76+DO75)/2))/DP76)</f>
        <v>#N/A</v>
      </c>
      <c r="DT76" s="399" t="e">
        <f t="shared" si="480"/>
        <v>#N/A</v>
      </c>
      <c r="DU76" s="47"/>
      <c r="DV76" s="49"/>
      <c r="DW76" s="396" t="e">
        <f t="shared" si="481"/>
        <v>#N/A</v>
      </c>
      <c r="DX76" s="397" t="e">
        <f t="shared" si="482"/>
        <v>#N/A</v>
      </c>
      <c r="DY76" s="400" t="e">
        <f t="shared" si="392"/>
        <v>#N/A</v>
      </c>
      <c r="DZ76" s="398" t="e">
        <f t="shared" si="483"/>
        <v>#N/A</v>
      </c>
      <c r="EA76" s="400" t="e">
        <f t="shared" si="484"/>
        <v>#N/A</v>
      </c>
      <c r="EB76" s="398" t="e">
        <f t="shared" ref="EB76:EB100" si="581">IF(ISTEXT(EB75),EB$2,(DZ75*EB75+(DZ76-DZ75)*IF(EB$2&gt;0,EB$2-ED$2/2+(DX76+DX75)/4,EB$2+ED$2/2-(DX76+DX75)/4))/DZ76)</f>
        <v>#N/A</v>
      </c>
      <c r="EC76" s="401" t="e">
        <f t="shared" ref="EC76:EC100" si="582">IF(ISTEXT(EC75),DZ$2,(DZ75*EC75+(DZ76-DZ75)*(DZ$2+(DY76+DY75)/2))/DZ76)</f>
        <v>#N/A</v>
      </c>
      <c r="ED76" s="399" t="e">
        <f t="shared" si="485"/>
        <v>#N/A</v>
      </c>
      <c r="EE76" s="47"/>
      <c r="EF76" s="47"/>
      <c r="EG76" s="396" t="e">
        <f t="shared" si="486"/>
        <v>#N/A</v>
      </c>
      <c r="EH76" s="397" t="e">
        <f t="shared" si="487"/>
        <v>#N/A</v>
      </c>
      <c r="EI76" s="400" t="e">
        <f t="shared" si="393"/>
        <v>#N/A</v>
      </c>
      <c r="EJ76" s="398" t="e">
        <f t="shared" si="488"/>
        <v>#N/A</v>
      </c>
      <c r="EK76" s="400" t="e">
        <f t="shared" si="489"/>
        <v>#N/A</v>
      </c>
      <c r="EL76" s="398" t="e">
        <f t="shared" ref="EL76:EL100" si="583">IF(ISTEXT(EL75),EL$2,(EJ75*EL75+(EJ76-EJ75)*IF(EL$2&gt;0,EL$2-EN$2/2+(EH76+EH75)/4,EL$2+EN$2/2-(EH76+EH75)/4))/EJ76)</f>
        <v>#N/A</v>
      </c>
      <c r="EM76" s="401" t="e">
        <f t="shared" ref="EM76:EM100" si="584">IF(ISTEXT(EM75),EJ$2,(EJ75*EM75+(EJ76-EJ75)*(EJ$2+(EI76+EI75)/2))/EJ76)</f>
        <v>#N/A</v>
      </c>
      <c r="EN76" s="399" t="e">
        <f t="shared" si="490"/>
        <v>#N/A</v>
      </c>
      <c r="EO76" s="47"/>
      <c r="EP76" s="47"/>
      <c r="EQ76" s="396" t="e">
        <f t="shared" si="491"/>
        <v>#N/A</v>
      </c>
      <c r="ER76" s="397" t="e">
        <f t="shared" si="492"/>
        <v>#N/A</v>
      </c>
      <c r="ES76" s="400" t="e">
        <f t="shared" si="394"/>
        <v>#N/A</v>
      </c>
      <c r="ET76" s="398" t="e">
        <f t="shared" si="493"/>
        <v>#N/A</v>
      </c>
      <c r="EU76" s="400" t="e">
        <f t="shared" si="494"/>
        <v>#N/A</v>
      </c>
      <c r="EV76" s="398" t="e">
        <f t="shared" ref="EV76:EV100" si="585">IF(ISTEXT(EV75),EV$2,(ET75*EV75+(ET76-ET75)*IF(EV$2&gt;0,EV$2-EX$2/2+(ER76+ER75)/4,EV$2+EX$2/2-(ER76+ER75)/4))/ET76)</f>
        <v>#N/A</v>
      </c>
      <c r="EW76" s="401" t="e">
        <f t="shared" ref="EW76:EW100" si="586">IF(ISTEXT(EW75),ET$2,(ET75*EW75+(ET76-ET75)*(ET$2+(ES76+ES75)/2))/ET76)</f>
        <v>#N/A</v>
      </c>
      <c r="EX76" s="399" t="e">
        <f t="shared" si="495"/>
        <v>#N/A</v>
      </c>
      <c r="EY76" s="47"/>
      <c r="EZ76" s="47"/>
      <c r="FA76" s="396" t="e">
        <f t="shared" si="496"/>
        <v>#N/A</v>
      </c>
      <c r="FB76" s="397" t="e">
        <f t="shared" si="497"/>
        <v>#N/A</v>
      </c>
      <c r="FC76" s="400" t="e">
        <f t="shared" si="395"/>
        <v>#N/A</v>
      </c>
      <c r="FD76" s="398" t="e">
        <f t="shared" si="498"/>
        <v>#N/A</v>
      </c>
      <c r="FE76" s="400" t="e">
        <f t="shared" si="499"/>
        <v>#N/A</v>
      </c>
      <c r="FF76" s="398" t="e">
        <f t="shared" ref="FF76:FF100" si="587">IF(ISTEXT(FF75),FF$2,(FD75*FF75+(FD76-FD75)*IF(FF$2&gt;0,FF$2-FH$2/2+(FB76+FB75)/4,FF$2+FH$2/2-(FB76+FB75)/4))/FD76)</f>
        <v>#N/A</v>
      </c>
      <c r="FG76" s="401" t="e">
        <f t="shared" ref="FG76:FG100" si="588">IF(ISTEXT(FG75),FD$2,(FD75*FG75+(FD76-FD75)*(FD$2+(FC76+FC75)/2))/FD76)</f>
        <v>#N/A</v>
      </c>
      <c r="FH76" s="399" t="e">
        <f t="shared" si="500"/>
        <v>#N/A</v>
      </c>
      <c r="FI76" s="47"/>
      <c r="FJ76" s="49"/>
      <c r="FK76" s="396" t="e">
        <f t="shared" si="501"/>
        <v>#N/A</v>
      </c>
      <c r="FL76" s="397" t="e">
        <f t="shared" si="502"/>
        <v>#N/A</v>
      </c>
      <c r="FM76" s="400" t="e">
        <f t="shared" si="396"/>
        <v>#N/A</v>
      </c>
      <c r="FN76" s="398" t="e">
        <f t="shared" si="503"/>
        <v>#N/A</v>
      </c>
      <c r="FO76" s="400" t="e">
        <f t="shared" si="504"/>
        <v>#N/A</v>
      </c>
      <c r="FP76" s="398" t="e">
        <f t="shared" ref="FP76:FP100" si="589">IF(ISTEXT(FP75),FP$2,(FN75*FP75+(FN76-FN75)*IF(FP$2&gt;0,FP$2-FR$2/2+(FL76+FL75)/4,FP$2+FR$2/2-(FL76+FL75)/4))/FN76)</f>
        <v>#N/A</v>
      </c>
      <c r="FQ76" s="401" t="e">
        <f t="shared" ref="FQ76:FQ100" si="590">IF(ISTEXT(FQ75),FN$2,(FN75*FQ75+(FN76-FN75)*(FN$2+(FM76+FM75)/2))/FN76)</f>
        <v>#N/A</v>
      </c>
      <c r="FR76" s="399" t="e">
        <f t="shared" si="505"/>
        <v>#N/A</v>
      </c>
      <c r="FS76" s="47"/>
      <c r="FT76" s="47"/>
      <c r="FU76" s="396" t="e">
        <f t="shared" si="506"/>
        <v>#N/A</v>
      </c>
      <c r="FV76" s="397" t="e">
        <f t="shared" si="507"/>
        <v>#N/A</v>
      </c>
      <c r="FW76" s="400" t="e">
        <f t="shared" si="397"/>
        <v>#N/A</v>
      </c>
      <c r="FX76" s="398" t="e">
        <f t="shared" si="508"/>
        <v>#N/A</v>
      </c>
      <c r="FY76" s="400" t="e">
        <f t="shared" si="509"/>
        <v>#N/A</v>
      </c>
      <c r="FZ76" s="398" t="e">
        <f t="shared" ref="FZ76:FZ100" si="591">IF(ISTEXT(FZ75),FZ$2,(FX75*FZ75+(FX76-FX75)*IF(FZ$2&gt;0,FZ$2-GB$2/2+(FV76+FV75)/4,FZ$2+GB$2/2-(FV76+FV75)/4))/FX76)</f>
        <v>#N/A</v>
      </c>
      <c r="GA76" s="401" t="e">
        <f t="shared" ref="GA76:GA100" si="592">IF(ISTEXT(GA75),FX$2,(FX75*GA75+(FX76-FX75)*(FX$2+(FW76+FW75)/2))/FX76)</f>
        <v>#N/A</v>
      </c>
      <c r="GB76" s="399" t="e">
        <f t="shared" si="510"/>
        <v>#N/A</v>
      </c>
      <c r="GC76" s="47"/>
      <c r="GD76" s="47"/>
      <c r="GE76" s="396" t="e">
        <f t="shared" si="511"/>
        <v>#N/A</v>
      </c>
      <c r="GF76" s="397" t="e">
        <f t="shared" si="512"/>
        <v>#N/A</v>
      </c>
      <c r="GG76" s="400" t="e">
        <f t="shared" si="398"/>
        <v>#N/A</v>
      </c>
      <c r="GH76" s="398" t="e">
        <f t="shared" si="513"/>
        <v>#N/A</v>
      </c>
      <c r="GI76" s="400" t="e">
        <f t="shared" si="514"/>
        <v>#N/A</v>
      </c>
      <c r="GJ76" s="398" t="e">
        <f t="shared" ref="GJ76:GJ100" si="593">IF(ISTEXT(GJ75),GJ$2,(GH75*GJ75+(GH76-GH75)*IF(GJ$2&gt;0,GJ$2-GL$2/2+(GF76+GF75)/4,GJ$2+GL$2/2-(GF76+GF75)/4))/GH76)</f>
        <v>#N/A</v>
      </c>
      <c r="GK76" s="401" t="e">
        <f t="shared" ref="GK76:GK100" si="594">IF(ISTEXT(GK75),GH$2,(GH75*GK75+(GH76-GH75)*(GH$2+(GG76+GG75)/2))/GH76)</f>
        <v>#N/A</v>
      </c>
      <c r="GL76" s="399" t="e">
        <f t="shared" si="515"/>
        <v>#N/A</v>
      </c>
      <c r="GM76" s="47"/>
      <c r="GN76" s="47"/>
      <c r="GO76" s="396" t="e">
        <f t="shared" si="516"/>
        <v>#N/A</v>
      </c>
      <c r="GP76" s="397" t="e">
        <f t="shared" si="517"/>
        <v>#N/A</v>
      </c>
      <c r="GQ76" s="400" t="e">
        <f t="shared" si="399"/>
        <v>#N/A</v>
      </c>
      <c r="GR76" s="398" t="e">
        <f t="shared" si="518"/>
        <v>#N/A</v>
      </c>
      <c r="GS76" s="400" t="e">
        <f t="shared" si="519"/>
        <v>#N/A</v>
      </c>
      <c r="GT76" s="398" t="e">
        <f t="shared" ref="GT76:GT100" si="595">IF(ISTEXT(GT75),GT$2,(GR75*GT75+(GR76-GR75)*IF(GT$2&gt;0,GT$2-GV$2/2+(GP76+GP75)/4,GT$2+GV$2/2-(GP76+GP75)/4))/GR76)</f>
        <v>#N/A</v>
      </c>
      <c r="GU76" s="401" t="e">
        <f t="shared" ref="GU76:GU100" si="596">IF(ISTEXT(GU75),GR$2,(GR75*GU75+(GR76-GR75)*(GR$2+(GQ76+GQ75)/2))/GR76)</f>
        <v>#N/A</v>
      </c>
      <c r="GV76" s="399" t="e">
        <f t="shared" si="520"/>
        <v>#N/A</v>
      </c>
      <c r="GW76" s="47"/>
      <c r="GX76" s="47"/>
      <c r="GY76" s="396" t="e">
        <f t="shared" si="521"/>
        <v>#N/A</v>
      </c>
      <c r="GZ76" s="397" t="e">
        <f t="shared" si="522"/>
        <v>#N/A</v>
      </c>
      <c r="HA76" s="400" t="e">
        <f t="shared" si="400"/>
        <v>#N/A</v>
      </c>
      <c r="HB76" s="398" t="e">
        <f t="shared" si="523"/>
        <v>#N/A</v>
      </c>
      <c r="HC76" s="400" t="e">
        <f t="shared" si="524"/>
        <v>#N/A</v>
      </c>
      <c r="HD76" s="398" t="e">
        <f t="shared" ref="HD76:HD100" si="597">IF(ISTEXT(HD75),HD$2,(HB75*HD75+(HB76-HB75)*IF(HD$2&gt;0,HD$2-HF$2/2+(GZ76+GZ75)/4,HD$2+HF$2/2-(GZ76+GZ75)/4))/HB76)</f>
        <v>#N/A</v>
      </c>
      <c r="HE76" s="401" t="e">
        <f t="shared" ref="HE76:HE100" si="598">IF(ISTEXT(HE75),HB$2,(HB75*HE75+(HB76-HB75)*(HB$2+(HA76+HA75)/2))/HB76)</f>
        <v>#N/A</v>
      </c>
      <c r="HF76" s="399" t="e">
        <f t="shared" si="525"/>
        <v>#N/A</v>
      </c>
      <c r="HH76" s="47"/>
      <c r="HI76" s="396" t="e">
        <f t="shared" si="526"/>
        <v>#N/A</v>
      </c>
      <c r="HJ76" s="397" t="e">
        <f t="shared" si="527"/>
        <v>#N/A</v>
      </c>
      <c r="HK76" s="400" t="e">
        <f t="shared" si="401"/>
        <v>#N/A</v>
      </c>
      <c r="HL76" s="398" t="e">
        <f t="shared" si="528"/>
        <v>#N/A</v>
      </c>
      <c r="HM76" s="400" t="e">
        <f t="shared" si="529"/>
        <v>#N/A</v>
      </c>
      <c r="HN76" s="398" t="e">
        <f t="shared" ref="HN76:HN100" si="599">IF(ISTEXT(HN75),HN$2,(HL75*HN75+(HL76-HL75)*IF(HN$2&gt;0,HN$2-HP$2/2+(HJ76+HJ75)/4,HN$2+HP$2/2-(HJ76+HJ75)/4))/HL76)</f>
        <v>#N/A</v>
      </c>
      <c r="HO76" s="401" t="e">
        <f t="shared" ref="HO76:HO100" si="600">IF(ISTEXT(HO75),HL$2,(HL75*HO75+(HL76-HL75)*(HL$2+(HK76+HK75)/2))/HL76)</f>
        <v>#N/A</v>
      </c>
      <c r="HP76" s="399" t="e">
        <f t="shared" si="530"/>
        <v>#N/A</v>
      </c>
      <c r="HQ76" s="47"/>
      <c r="HR76" s="47"/>
      <c r="HS76" s="396" t="e">
        <f t="shared" si="531"/>
        <v>#N/A</v>
      </c>
      <c r="HT76" s="397" t="e">
        <f t="shared" si="532"/>
        <v>#N/A</v>
      </c>
      <c r="HU76" s="400" t="e">
        <f t="shared" si="402"/>
        <v>#N/A</v>
      </c>
      <c r="HV76" s="398" t="e">
        <f t="shared" si="533"/>
        <v>#N/A</v>
      </c>
      <c r="HW76" s="400" t="e">
        <f t="shared" si="534"/>
        <v>#N/A</v>
      </c>
      <c r="HX76" s="398" t="e">
        <f t="shared" ref="HX76:HX100" si="601">IF(ISTEXT(HX75),HX$2,(HV75*HX75+(HV76-HV75)*IF(HX$2&gt;0,HX$2-HZ$2/2+(HT76+HT75)/4,HX$2+HZ$2/2-(HT76+HT75)/4))/HV76)</f>
        <v>#N/A</v>
      </c>
      <c r="HY76" s="401" t="e">
        <f t="shared" ref="HY76:HY100" si="602">IF(ISTEXT(HY75),HV$2,(HV75*HY75+(HV76-HV75)*(HV$2+(HU76+HU75)/2))/HV76)</f>
        <v>#N/A</v>
      </c>
      <c r="HZ76" s="399" t="e">
        <f t="shared" si="535"/>
        <v>#N/A</v>
      </c>
      <c r="IA76" s="47"/>
      <c r="IB76" s="49"/>
      <c r="IC76" s="396" t="e">
        <f t="shared" si="536"/>
        <v>#N/A</v>
      </c>
      <c r="ID76" s="397" t="e">
        <f t="shared" si="537"/>
        <v>#N/A</v>
      </c>
      <c r="IE76" s="400" t="e">
        <f t="shared" si="403"/>
        <v>#N/A</v>
      </c>
      <c r="IF76" s="398" t="e">
        <f t="shared" si="538"/>
        <v>#N/A</v>
      </c>
      <c r="IG76" s="400" t="e">
        <f t="shared" si="539"/>
        <v>#N/A</v>
      </c>
      <c r="IH76" s="398" t="e">
        <f t="shared" ref="IH76:IH100" si="603">IF(ISTEXT(IH75),IH$2,(IF75*IH75+(IF76-IF75)*IF(IH$2&gt;0,IH$2-IJ$2/2+(ID76+ID75)/4,IH$2+IJ$2/2-(ID76+ID75)/4))/IF76)</f>
        <v>#N/A</v>
      </c>
      <c r="II76" s="401" t="e">
        <f t="shared" ref="II76:II100" si="604">IF(ISTEXT(II75),IF$2,(IF75*II75+(IF76-IF75)*(IF$2+(IE76+IE75)/2))/IF76)</f>
        <v>#N/A</v>
      </c>
      <c r="IJ76" s="399" t="e">
        <f t="shared" si="540"/>
        <v>#N/A</v>
      </c>
      <c r="IK76" s="47"/>
      <c r="IL76" s="47"/>
      <c r="IM76" s="396" t="e">
        <f t="shared" si="541"/>
        <v>#N/A</v>
      </c>
      <c r="IN76" s="397" t="e">
        <f t="shared" si="542"/>
        <v>#N/A</v>
      </c>
      <c r="IO76" s="400" t="e">
        <f t="shared" si="404"/>
        <v>#N/A</v>
      </c>
      <c r="IP76" s="398" t="e">
        <f t="shared" si="543"/>
        <v>#N/A</v>
      </c>
      <c r="IQ76" s="400" t="e">
        <f t="shared" si="544"/>
        <v>#N/A</v>
      </c>
      <c r="IR76" s="398" t="e">
        <f t="shared" ref="IR76:IR100" si="605">IF(ISTEXT(IR75),IR$2,(IP75*IR75+(IP76-IP75)*IF(IR$2&gt;0,IR$2-IT$2/2+(IN76+IN75)/4,IR$2+IT$2/2-(IN76+IN75)/4))/IP76)</f>
        <v>#N/A</v>
      </c>
      <c r="IS76" s="401" t="e">
        <f t="shared" ref="IS76:IS100" si="606">IF(ISTEXT(IS75),IP$2,(IP75*IS75+(IP76-IP75)*(IP$2+(IO76+IO75)/2))/IP76)</f>
        <v>#N/A</v>
      </c>
      <c r="IT76" s="399" t="e">
        <f t="shared" si="545"/>
        <v>#N/A</v>
      </c>
      <c r="IU76" s="47"/>
      <c r="IV76" s="47"/>
      <c r="IW76" s="396" t="e">
        <f t="shared" si="405"/>
        <v>#N/A</v>
      </c>
      <c r="IX76" s="397" t="e">
        <f t="shared" si="406"/>
        <v>#N/A</v>
      </c>
      <c r="IY76" s="400" t="e">
        <f t="shared" si="407"/>
        <v>#N/A</v>
      </c>
      <c r="IZ76" s="398" t="e">
        <f t="shared" si="348"/>
        <v>#N/A</v>
      </c>
      <c r="JA76" s="400" t="e">
        <f t="shared" si="408"/>
        <v>#N/A</v>
      </c>
      <c r="JB76" s="398" t="e">
        <f t="shared" si="409"/>
        <v>#N/A</v>
      </c>
      <c r="JC76" s="401" t="e">
        <f t="shared" si="546"/>
        <v>#N/A</v>
      </c>
      <c r="JD76" s="399" t="e">
        <f t="shared" si="547"/>
        <v>#N/A</v>
      </c>
      <c r="JE76" s="47"/>
      <c r="JF76" s="47"/>
      <c r="JG76" s="396" t="e">
        <f t="shared" si="410"/>
        <v>#N/A</v>
      </c>
      <c r="JH76" s="397" t="e">
        <f t="shared" si="411"/>
        <v>#N/A</v>
      </c>
      <c r="JI76" s="400" t="e">
        <f t="shared" si="412"/>
        <v>#N/A</v>
      </c>
      <c r="JJ76" s="398" t="e">
        <f t="shared" si="349"/>
        <v>#N/A</v>
      </c>
      <c r="JK76" s="400" t="e">
        <f t="shared" si="413"/>
        <v>#N/A</v>
      </c>
      <c r="JL76" s="398" t="e">
        <f t="shared" si="414"/>
        <v>#N/A</v>
      </c>
      <c r="JM76" s="401" t="e">
        <f t="shared" si="548"/>
        <v>#N/A</v>
      </c>
      <c r="JN76" s="399" t="e">
        <f t="shared" si="549"/>
        <v>#N/A</v>
      </c>
      <c r="JO76" s="47"/>
      <c r="JP76" s="47"/>
      <c r="JQ76" s="396" t="e">
        <f t="shared" si="415"/>
        <v>#N/A</v>
      </c>
      <c r="JR76" s="397" t="e">
        <f t="shared" si="416"/>
        <v>#N/A</v>
      </c>
      <c r="JS76" s="400" t="e">
        <f t="shared" si="417"/>
        <v>#N/A</v>
      </c>
      <c r="JT76" s="398" t="e">
        <f t="shared" si="350"/>
        <v>#N/A</v>
      </c>
      <c r="JU76" s="400" t="e">
        <f t="shared" si="418"/>
        <v>#N/A</v>
      </c>
      <c r="JV76" s="398" t="e">
        <f t="shared" si="419"/>
        <v>#N/A</v>
      </c>
      <c r="JW76" s="401" t="e">
        <f t="shared" si="550"/>
        <v>#N/A</v>
      </c>
      <c r="JX76" s="399" t="e">
        <f t="shared" si="551"/>
        <v>#N/A</v>
      </c>
      <c r="JY76" s="47"/>
      <c r="JZ76" s="47"/>
      <c r="KA76" s="396" t="e">
        <f t="shared" si="420"/>
        <v>#N/A</v>
      </c>
      <c r="KB76" s="397" t="e">
        <f t="shared" si="421"/>
        <v>#N/A</v>
      </c>
      <c r="KC76" s="400" t="e">
        <f t="shared" si="422"/>
        <v>#N/A</v>
      </c>
      <c r="KD76" s="398" t="e">
        <f t="shared" si="351"/>
        <v>#N/A</v>
      </c>
      <c r="KE76" s="400" t="e">
        <f t="shared" si="423"/>
        <v>#N/A</v>
      </c>
      <c r="KF76" s="398" t="e">
        <f t="shared" si="424"/>
        <v>#N/A</v>
      </c>
      <c r="KG76" s="401" t="e">
        <f t="shared" si="552"/>
        <v>#N/A</v>
      </c>
      <c r="KH76" s="399" t="e">
        <f t="shared" si="553"/>
        <v>#N/A</v>
      </c>
      <c r="KI76" s="47"/>
      <c r="KJ76" s="47"/>
      <c r="KK76" s="396" t="e">
        <f t="shared" si="425"/>
        <v>#N/A</v>
      </c>
      <c r="KL76" s="397" t="e">
        <f t="shared" si="426"/>
        <v>#N/A</v>
      </c>
      <c r="KM76" s="400" t="e">
        <f t="shared" si="427"/>
        <v>#N/A</v>
      </c>
      <c r="KN76" s="398" t="e">
        <f t="shared" si="352"/>
        <v>#N/A</v>
      </c>
      <c r="KO76" s="400" t="e">
        <f t="shared" si="428"/>
        <v>#N/A</v>
      </c>
      <c r="KP76" s="398" t="e">
        <f t="shared" si="429"/>
        <v>#N/A</v>
      </c>
      <c r="KQ76" s="401" t="e">
        <f t="shared" si="554"/>
        <v>#N/A</v>
      </c>
      <c r="KR76" s="399" t="e">
        <f t="shared" si="555"/>
        <v>#N/A</v>
      </c>
      <c r="KS76" s="47"/>
      <c r="KT76" s="47"/>
      <c r="KU76" s="396" t="e">
        <f t="shared" si="556"/>
        <v>#N/A</v>
      </c>
      <c r="KV76" s="397" t="e">
        <f t="shared" si="557"/>
        <v>#N/A</v>
      </c>
      <c r="KW76" s="400" t="e">
        <f t="shared" si="430"/>
        <v>#N/A</v>
      </c>
      <c r="KX76" s="398" t="e">
        <f t="shared" si="558"/>
        <v>#N/A</v>
      </c>
      <c r="KY76" s="400" t="e">
        <f t="shared" si="559"/>
        <v>#N/A</v>
      </c>
      <c r="KZ76" s="398" t="e">
        <f t="shared" ref="KZ76:KZ100" si="607">IF(ISTEXT(KZ75),KZ$2,(KX75*KZ75+(KX76-KX75)*IF(KZ$2&gt;0,KZ$2-LB$2/2+(KV76+KV75)/4,KZ$2+LB$2/2-(KV76+KV75)/4))/KX76)</f>
        <v>#N/A</v>
      </c>
      <c r="LA76" s="401" t="e">
        <f t="shared" ref="LA76:LA100" si="608">IF(ISTEXT(LA75),KX$2,(KX75*LA75+(KX76-KX75)*(KX$2+(KW76+KW75)/2))/KX76)</f>
        <v>#N/A</v>
      </c>
      <c r="LB76" s="399" t="e">
        <f t="shared" si="560"/>
        <v>#N/A</v>
      </c>
      <c r="LC76" s="47"/>
    </row>
    <row r="77" spans="26:315" x14ac:dyDescent="0.25">
      <c r="Z77" s="413"/>
      <c r="AA77" s="396" t="e">
        <f t="shared" si="431"/>
        <v>#N/A</v>
      </c>
      <c r="AB77" s="397" t="e">
        <f t="shared" si="432"/>
        <v>#N/A</v>
      </c>
      <c r="AC77" s="400" t="e">
        <f t="shared" si="382"/>
        <v>#N/A</v>
      </c>
      <c r="AD77" s="398" t="e">
        <f t="shared" si="433"/>
        <v>#N/A</v>
      </c>
      <c r="AE77" s="400" t="e">
        <f t="shared" si="434"/>
        <v>#N/A</v>
      </c>
      <c r="AF77" s="398" t="e">
        <f t="shared" si="561"/>
        <v>#N/A</v>
      </c>
      <c r="AG77" s="401" t="e">
        <f t="shared" si="562"/>
        <v>#N/A</v>
      </c>
      <c r="AH77" s="399" t="e">
        <f t="shared" si="435"/>
        <v>#N/A</v>
      </c>
      <c r="AI77" s="47"/>
      <c r="AJ77" s="47"/>
      <c r="AK77" s="396" t="e">
        <f t="shared" si="436"/>
        <v>#N/A</v>
      </c>
      <c r="AL77" s="397" t="e">
        <f t="shared" si="437"/>
        <v>#N/A</v>
      </c>
      <c r="AM77" s="400" t="e">
        <f t="shared" si="383"/>
        <v>#N/A</v>
      </c>
      <c r="AN77" s="398" t="e">
        <f t="shared" si="438"/>
        <v>#N/A</v>
      </c>
      <c r="AO77" s="400" t="e">
        <f t="shared" si="439"/>
        <v>#N/A</v>
      </c>
      <c r="AP77" s="398" t="e">
        <f t="shared" si="563"/>
        <v>#N/A</v>
      </c>
      <c r="AQ77" s="401" t="e">
        <f t="shared" si="564"/>
        <v>#N/A</v>
      </c>
      <c r="AR77" s="399" t="e">
        <f t="shared" si="440"/>
        <v>#N/A</v>
      </c>
      <c r="AS77" s="47"/>
      <c r="AT77" s="47"/>
      <c r="AU77" s="396" t="e">
        <f t="shared" si="441"/>
        <v>#N/A</v>
      </c>
      <c r="AV77" s="397" t="e">
        <f t="shared" si="442"/>
        <v>#N/A</v>
      </c>
      <c r="AW77" s="400" t="e">
        <f t="shared" si="384"/>
        <v>#N/A</v>
      </c>
      <c r="AX77" s="398" t="e">
        <f t="shared" si="443"/>
        <v>#N/A</v>
      </c>
      <c r="AY77" s="400" t="e">
        <f t="shared" si="444"/>
        <v>#N/A</v>
      </c>
      <c r="AZ77" s="398" t="e">
        <f t="shared" si="565"/>
        <v>#N/A</v>
      </c>
      <c r="BA77" s="401" t="e">
        <f t="shared" si="566"/>
        <v>#N/A</v>
      </c>
      <c r="BB77" s="399" t="e">
        <f t="shared" si="445"/>
        <v>#N/A</v>
      </c>
      <c r="BC77" s="47"/>
      <c r="BD77" s="47"/>
      <c r="BE77" s="396" t="e">
        <f t="shared" si="446"/>
        <v>#N/A</v>
      </c>
      <c r="BF77" s="397" t="e">
        <f t="shared" si="447"/>
        <v>#N/A</v>
      </c>
      <c r="BG77" s="400" t="e">
        <f t="shared" si="385"/>
        <v>#N/A</v>
      </c>
      <c r="BH77" s="398" t="e">
        <f t="shared" si="448"/>
        <v>#N/A</v>
      </c>
      <c r="BI77" s="400" t="e">
        <f t="shared" si="449"/>
        <v>#N/A</v>
      </c>
      <c r="BJ77" s="398" t="e">
        <f t="shared" si="567"/>
        <v>#N/A</v>
      </c>
      <c r="BK77" s="401" t="e">
        <f t="shared" si="568"/>
        <v>#N/A</v>
      </c>
      <c r="BL77" s="399" t="e">
        <f t="shared" si="450"/>
        <v>#N/A</v>
      </c>
      <c r="BM77" s="47"/>
      <c r="BN77" s="49"/>
      <c r="BO77" s="396" t="e">
        <f t="shared" si="451"/>
        <v>#N/A</v>
      </c>
      <c r="BP77" s="397" t="e">
        <f t="shared" si="452"/>
        <v>#N/A</v>
      </c>
      <c r="BQ77" s="400" t="e">
        <f t="shared" si="386"/>
        <v>#N/A</v>
      </c>
      <c r="BR77" s="398" t="e">
        <f t="shared" si="453"/>
        <v>#N/A</v>
      </c>
      <c r="BS77" s="400" t="e">
        <f t="shared" si="454"/>
        <v>#N/A</v>
      </c>
      <c r="BT77" s="398" t="e">
        <f t="shared" si="569"/>
        <v>#N/A</v>
      </c>
      <c r="BU77" s="401" t="e">
        <f t="shared" si="570"/>
        <v>#N/A</v>
      </c>
      <c r="BV77" s="399" t="e">
        <f t="shared" si="455"/>
        <v>#N/A</v>
      </c>
      <c r="BW77" s="47"/>
      <c r="BX77" s="47"/>
      <c r="BY77" s="396" t="e">
        <f t="shared" si="456"/>
        <v>#N/A</v>
      </c>
      <c r="BZ77" s="397" t="e">
        <f t="shared" si="457"/>
        <v>#N/A</v>
      </c>
      <c r="CA77" s="400" t="e">
        <f t="shared" si="387"/>
        <v>#N/A</v>
      </c>
      <c r="CB77" s="398" t="e">
        <f t="shared" si="458"/>
        <v>#N/A</v>
      </c>
      <c r="CC77" s="400" t="e">
        <f t="shared" si="459"/>
        <v>#N/A</v>
      </c>
      <c r="CD77" s="398" t="e">
        <f t="shared" si="571"/>
        <v>#N/A</v>
      </c>
      <c r="CE77" s="401" t="e">
        <f t="shared" si="572"/>
        <v>#N/A</v>
      </c>
      <c r="CF77" s="399" t="e">
        <f t="shared" si="460"/>
        <v>#N/A</v>
      </c>
      <c r="CG77" s="49"/>
      <c r="CH77" s="47"/>
      <c r="CI77" s="396" t="e">
        <f t="shared" si="461"/>
        <v>#N/A</v>
      </c>
      <c r="CJ77" s="397" t="e">
        <f t="shared" si="462"/>
        <v>#N/A</v>
      </c>
      <c r="CK77" s="400" t="e">
        <f t="shared" si="388"/>
        <v>#N/A</v>
      </c>
      <c r="CL77" s="398" t="e">
        <f t="shared" si="463"/>
        <v>#N/A</v>
      </c>
      <c r="CM77" s="400" t="e">
        <f t="shared" si="464"/>
        <v>#N/A</v>
      </c>
      <c r="CN77" s="398" t="e">
        <f t="shared" si="573"/>
        <v>#N/A</v>
      </c>
      <c r="CO77" s="401" t="e">
        <f t="shared" si="574"/>
        <v>#N/A</v>
      </c>
      <c r="CP77" s="399" t="e">
        <f t="shared" si="465"/>
        <v>#N/A</v>
      </c>
      <c r="CQ77" s="47"/>
      <c r="CS77" s="396" t="e">
        <f t="shared" si="466"/>
        <v>#N/A</v>
      </c>
      <c r="CT77" s="397" t="e">
        <f t="shared" si="467"/>
        <v>#N/A</v>
      </c>
      <c r="CU77" s="400" t="e">
        <f t="shared" si="389"/>
        <v>#N/A</v>
      </c>
      <c r="CV77" s="398" t="e">
        <f t="shared" si="468"/>
        <v>#N/A</v>
      </c>
      <c r="CW77" s="400" t="e">
        <f t="shared" si="469"/>
        <v>#N/A</v>
      </c>
      <c r="CX77" s="398" t="e">
        <f t="shared" si="575"/>
        <v>#N/A</v>
      </c>
      <c r="CY77" s="401" t="e">
        <f t="shared" si="576"/>
        <v>#N/A</v>
      </c>
      <c r="CZ77" s="399" t="e">
        <f t="shared" si="470"/>
        <v>#N/A</v>
      </c>
      <c r="DA77" s="47"/>
      <c r="DB77" s="47"/>
      <c r="DC77" s="396" t="e">
        <f t="shared" si="471"/>
        <v>#N/A</v>
      </c>
      <c r="DD77" s="397" t="e">
        <f t="shared" si="472"/>
        <v>#N/A</v>
      </c>
      <c r="DE77" s="400" t="e">
        <f t="shared" si="390"/>
        <v>#N/A</v>
      </c>
      <c r="DF77" s="398" t="e">
        <f t="shared" si="473"/>
        <v>#N/A</v>
      </c>
      <c r="DG77" s="400" t="e">
        <f t="shared" si="474"/>
        <v>#N/A</v>
      </c>
      <c r="DH77" s="398" t="e">
        <f t="shared" si="577"/>
        <v>#N/A</v>
      </c>
      <c r="DI77" s="401" t="e">
        <f t="shared" si="578"/>
        <v>#N/A</v>
      </c>
      <c r="DJ77" s="399" t="e">
        <f t="shared" si="475"/>
        <v>#N/A</v>
      </c>
      <c r="DK77" s="47"/>
      <c r="DM77" s="396" t="e">
        <f t="shared" si="476"/>
        <v>#N/A</v>
      </c>
      <c r="DN77" s="397" t="e">
        <f t="shared" si="477"/>
        <v>#N/A</v>
      </c>
      <c r="DO77" s="400" t="e">
        <f t="shared" si="391"/>
        <v>#N/A</v>
      </c>
      <c r="DP77" s="398" t="e">
        <f t="shared" si="478"/>
        <v>#N/A</v>
      </c>
      <c r="DQ77" s="400" t="e">
        <f t="shared" si="479"/>
        <v>#N/A</v>
      </c>
      <c r="DR77" s="398" t="e">
        <f t="shared" si="579"/>
        <v>#N/A</v>
      </c>
      <c r="DS77" s="401" t="e">
        <f t="shared" si="580"/>
        <v>#N/A</v>
      </c>
      <c r="DT77" s="399" t="e">
        <f t="shared" si="480"/>
        <v>#N/A</v>
      </c>
      <c r="DU77" s="47"/>
      <c r="DV77" s="49"/>
      <c r="DW77" s="396" t="e">
        <f t="shared" si="481"/>
        <v>#N/A</v>
      </c>
      <c r="DX77" s="397" t="e">
        <f t="shared" si="482"/>
        <v>#N/A</v>
      </c>
      <c r="DY77" s="400" t="e">
        <f t="shared" si="392"/>
        <v>#N/A</v>
      </c>
      <c r="DZ77" s="398" t="e">
        <f t="shared" si="483"/>
        <v>#N/A</v>
      </c>
      <c r="EA77" s="400" t="e">
        <f t="shared" si="484"/>
        <v>#N/A</v>
      </c>
      <c r="EB77" s="398" t="e">
        <f t="shared" si="581"/>
        <v>#N/A</v>
      </c>
      <c r="EC77" s="401" t="e">
        <f t="shared" si="582"/>
        <v>#N/A</v>
      </c>
      <c r="ED77" s="399" t="e">
        <f t="shared" si="485"/>
        <v>#N/A</v>
      </c>
      <c r="EE77" s="47"/>
      <c r="EF77" s="47"/>
      <c r="EG77" s="396" t="e">
        <f t="shared" si="486"/>
        <v>#N/A</v>
      </c>
      <c r="EH77" s="397" t="e">
        <f t="shared" si="487"/>
        <v>#N/A</v>
      </c>
      <c r="EI77" s="400" t="e">
        <f t="shared" si="393"/>
        <v>#N/A</v>
      </c>
      <c r="EJ77" s="398" t="e">
        <f t="shared" si="488"/>
        <v>#N/A</v>
      </c>
      <c r="EK77" s="400" t="e">
        <f t="shared" si="489"/>
        <v>#N/A</v>
      </c>
      <c r="EL77" s="398" t="e">
        <f t="shared" si="583"/>
        <v>#N/A</v>
      </c>
      <c r="EM77" s="401" t="e">
        <f t="shared" si="584"/>
        <v>#N/A</v>
      </c>
      <c r="EN77" s="399" t="e">
        <f t="shared" si="490"/>
        <v>#N/A</v>
      </c>
      <c r="EO77" s="47"/>
      <c r="EP77" s="47"/>
      <c r="EQ77" s="396" t="e">
        <f t="shared" si="491"/>
        <v>#N/A</v>
      </c>
      <c r="ER77" s="397" t="e">
        <f t="shared" si="492"/>
        <v>#N/A</v>
      </c>
      <c r="ES77" s="400" t="e">
        <f t="shared" si="394"/>
        <v>#N/A</v>
      </c>
      <c r="ET77" s="398" t="e">
        <f t="shared" si="493"/>
        <v>#N/A</v>
      </c>
      <c r="EU77" s="400" t="e">
        <f t="shared" si="494"/>
        <v>#N/A</v>
      </c>
      <c r="EV77" s="398" t="e">
        <f t="shared" si="585"/>
        <v>#N/A</v>
      </c>
      <c r="EW77" s="401" t="e">
        <f t="shared" si="586"/>
        <v>#N/A</v>
      </c>
      <c r="EX77" s="399" t="e">
        <f t="shared" si="495"/>
        <v>#N/A</v>
      </c>
      <c r="EY77" s="47"/>
      <c r="EZ77" s="47"/>
      <c r="FA77" s="396" t="e">
        <f t="shared" si="496"/>
        <v>#N/A</v>
      </c>
      <c r="FB77" s="397" t="e">
        <f t="shared" si="497"/>
        <v>#N/A</v>
      </c>
      <c r="FC77" s="400" t="e">
        <f t="shared" si="395"/>
        <v>#N/A</v>
      </c>
      <c r="FD77" s="398" t="e">
        <f t="shared" si="498"/>
        <v>#N/A</v>
      </c>
      <c r="FE77" s="400" t="e">
        <f t="shared" si="499"/>
        <v>#N/A</v>
      </c>
      <c r="FF77" s="398" t="e">
        <f t="shared" si="587"/>
        <v>#N/A</v>
      </c>
      <c r="FG77" s="401" t="e">
        <f t="shared" si="588"/>
        <v>#N/A</v>
      </c>
      <c r="FH77" s="399" t="e">
        <f t="shared" si="500"/>
        <v>#N/A</v>
      </c>
      <c r="FI77" s="47"/>
      <c r="FJ77" s="49"/>
      <c r="FK77" s="396" t="e">
        <f t="shared" si="501"/>
        <v>#N/A</v>
      </c>
      <c r="FL77" s="397" t="e">
        <f t="shared" si="502"/>
        <v>#N/A</v>
      </c>
      <c r="FM77" s="400" t="e">
        <f t="shared" si="396"/>
        <v>#N/A</v>
      </c>
      <c r="FN77" s="398" t="e">
        <f t="shared" si="503"/>
        <v>#N/A</v>
      </c>
      <c r="FO77" s="400" t="e">
        <f t="shared" si="504"/>
        <v>#N/A</v>
      </c>
      <c r="FP77" s="398" t="e">
        <f t="shared" si="589"/>
        <v>#N/A</v>
      </c>
      <c r="FQ77" s="401" t="e">
        <f t="shared" si="590"/>
        <v>#N/A</v>
      </c>
      <c r="FR77" s="399" t="e">
        <f t="shared" si="505"/>
        <v>#N/A</v>
      </c>
      <c r="FS77" s="47"/>
      <c r="FT77" s="47"/>
      <c r="FU77" s="396" t="e">
        <f t="shared" si="506"/>
        <v>#N/A</v>
      </c>
      <c r="FV77" s="397" t="e">
        <f t="shared" si="507"/>
        <v>#N/A</v>
      </c>
      <c r="FW77" s="400" t="e">
        <f t="shared" si="397"/>
        <v>#N/A</v>
      </c>
      <c r="FX77" s="398" t="e">
        <f t="shared" si="508"/>
        <v>#N/A</v>
      </c>
      <c r="FY77" s="400" t="e">
        <f t="shared" si="509"/>
        <v>#N/A</v>
      </c>
      <c r="FZ77" s="398" t="e">
        <f t="shared" si="591"/>
        <v>#N/A</v>
      </c>
      <c r="GA77" s="401" t="e">
        <f t="shared" si="592"/>
        <v>#N/A</v>
      </c>
      <c r="GB77" s="399" t="e">
        <f t="shared" si="510"/>
        <v>#N/A</v>
      </c>
      <c r="GC77" s="47"/>
      <c r="GD77" s="47"/>
      <c r="GE77" s="396" t="e">
        <f t="shared" si="511"/>
        <v>#N/A</v>
      </c>
      <c r="GF77" s="397" t="e">
        <f t="shared" si="512"/>
        <v>#N/A</v>
      </c>
      <c r="GG77" s="400" t="e">
        <f t="shared" si="398"/>
        <v>#N/A</v>
      </c>
      <c r="GH77" s="398" t="e">
        <f t="shared" si="513"/>
        <v>#N/A</v>
      </c>
      <c r="GI77" s="400" t="e">
        <f t="shared" si="514"/>
        <v>#N/A</v>
      </c>
      <c r="GJ77" s="398" t="e">
        <f t="shared" si="593"/>
        <v>#N/A</v>
      </c>
      <c r="GK77" s="401" t="e">
        <f t="shared" si="594"/>
        <v>#N/A</v>
      </c>
      <c r="GL77" s="399" t="e">
        <f t="shared" si="515"/>
        <v>#N/A</v>
      </c>
      <c r="GM77" s="47"/>
      <c r="GN77" s="47"/>
      <c r="GO77" s="396" t="e">
        <f t="shared" si="516"/>
        <v>#N/A</v>
      </c>
      <c r="GP77" s="397" t="e">
        <f t="shared" si="517"/>
        <v>#N/A</v>
      </c>
      <c r="GQ77" s="400" t="e">
        <f t="shared" si="399"/>
        <v>#N/A</v>
      </c>
      <c r="GR77" s="398" t="e">
        <f t="shared" si="518"/>
        <v>#N/A</v>
      </c>
      <c r="GS77" s="400" t="e">
        <f t="shared" si="519"/>
        <v>#N/A</v>
      </c>
      <c r="GT77" s="398" t="e">
        <f t="shared" si="595"/>
        <v>#N/A</v>
      </c>
      <c r="GU77" s="401" t="e">
        <f t="shared" si="596"/>
        <v>#N/A</v>
      </c>
      <c r="GV77" s="399" t="e">
        <f t="shared" si="520"/>
        <v>#N/A</v>
      </c>
      <c r="GW77" s="47"/>
      <c r="GX77" s="47"/>
      <c r="GY77" s="396" t="e">
        <f t="shared" si="521"/>
        <v>#N/A</v>
      </c>
      <c r="GZ77" s="397" t="e">
        <f t="shared" si="522"/>
        <v>#N/A</v>
      </c>
      <c r="HA77" s="400" t="e">
        <f t="shared" si="400"/>
        <v>#N/A</v>
      </c>
      <c r="HB77" s="398" t="e">
        <f t="shared" si="523"/>
        <v>#N/A</v>
      </c>
      <c r="HC77" s="400" t="e">
        <f t="shared" si="524"/>
        <v>#N/A</v>
      </c>
      <c r="HD77" s="398" t="e">
        <f t="shared" si="597"/>
        <v>#N/A</v>
      </c>
      <c r="HE77" s="401" t="e">
        <f t="shared" si="598"/>
        <v>#N/A</v>
      </c>
      <c r="HF77" s="399" t="e">
        <f t="shared" si="525"/>
        <v>#N/A</v>
      </c>
      <c r="HH77" s="47"/>
      <c r="HI77" s="396" t="e">
        <f t="shared" si="526"/>
        <v>#N/A</v>
      </c>
      <c r="HJ77" s="397" t="e">
        <f t="shared" si="527"/>
        <v>#N/A</v>
      </c>
      <c r="HK77" s="400" t="e">
        <f t="shared" si="401"/>
        <v>#N/A</v>
      </c>
      <c r="HL77" s="398" t="e">
        <f t="shared" si="528"/>
        <v>#N/A</v>
      </c>
      <c r="HM77" s="400" t="e">
        <f t="shared" si="529"/>
        <v>#N/A</v>
      </c>
      <c r="HN77" s="398" t="e">
        <f t="shared" si="599"/>
        <v>#N/A</v>
      </c>
      <c r="HO77" s="401" t="e">
        <f t="shared" si="600"/>
        <v>#N/A</v>
      </c>
      <c r="HP77" s="399" t="e">
        <f t="shared" si="530"/>
        <v>#N/A</v>
      </c>
      <c r="HQ77" s="47"/>
      <c r="HR77" s="47"/>
      <c r="HS77" s="396" t="e">
        <f t="shared" si="531"/>
        <v>#N/A</v>
      </c>
      <c r="HT77" s="397" t="e">
        <f t="shared" si="532"/>
        <v>#N/A</v>
      </c>
      <c r="HU77" s="400" t="e">
        <f t="shared" si="402"/>
        <v>#N/A</v>
      </c>
      <c r="HV77" s="398" t="e">
        <f t="shared" si="533"/>
        <v>#N/A</v>
      </c>
      <c r="HW77" s="400" t="e">
        <f t="shared" si="534"/>
        <v>#N/A</v>
      </c>
      <c r="HX77" s="398" t="e">
        <f t="shared" si="601"/>
        <v>#N/A</v>
      </c>
      <c r="HY77" s="401" t="e">
        <f t="shared" si="602"/>
        <v>#N/A</v>
      </c>
      <c r="HZ77" s="399" t="e">
        <f t="shared" si="535"/>
        <v>#N/A</v>
      </c>
      <c r="IA77" s="47"/>
      <c r="IB77" s="49"/>
      <c r="IC77" s="396" t="e">
        <f t="shared" si="536"/>
        <v>#N/A</v>
      </c>
      <c r="ID77" s="397" t="e">
        <f t="shared" si="537"/>
        <v>#N/A</v>
      </c>
      <c r="IE77" s="400" t="e">
        <f t="shared" si="403"/>
        <v>#N/A</v>
      </c>
      <c r="IF77" s="398" t="e">
        <f t="shared" si="538"/>
        <v>#N/A</v>
      </c>
      <c r="IG77" s="400" t="e">
        <f t="shared" si="539"/>
        <v>#N/A</v>
      </c>
      <c r="IH77" s="398" t="e">
        <f t="shared" si="603"/>
        <v>#N/A</v>
      </c>
      <c r="II77" s="401" t="e">
        <f t="shared" si="604"/>
        <v>#N/A</v>
      </c>
      <c r="IJ77" s="399" t="e">
        <f t="shared" si="540"/>
        <v>#N/A</v>
      </c>
      <c r="IK77" s="47"/>
      <c r="IL77" s="47"/>
      <c r="IM77" s="396" t="e">
        <f t="shared" si="541"/>
        <v>#N/A</v>
      </c>
      <c r="IN77" s="397" t="e">
        <f t="shared" si="542"/>
        <v>#N/A</v>
      </c>
      <c r="IO77" s="400" t="e">
        <f t="shared" si="404"/>
        <v>#N/A</v>
      </c>
      <c r="IP77" s="398" t="e">
        <f t="shared" si="543"/>
        <v>#N/A</v>
      </c>
      <c r="IQ77" s="400" t="e">
        <f t="shared" si="544"/>
        <v>#N/A</v>
      </c>
      <c r="IR77" s="398" t="e">
        <f t="shared" si="605"/>
        <v>#N/A</v>
      </c>
      <c r="IS77" s="401" t="e">
        <f t="shared" si="606"/>
        <v>#N/A</v>
      </c>
      <c r="IT77" s="399" t="e">
        <f t="shared" si="545"/>
        <v>#N/A</v>
      </c>
      <c r="IU77" s="47"/>
      <c r="IV77" s="47"/>
      <c r="IW77" s="396" t="e">
        <f t="shared" si="405"/>
        <v>#N/A</v>
      </c>
      <c r="IX77" s="397" t="e">
        <f t="shared" si="406"/>
        <v>#N/A</v>
      </c>
      <c r="IY77" s="400" t="e">
        <f t="shared" si="407"/>
        <v>#N/A</v>
      </c>
      <c r="IZ77" s="398" t="e">
        <f t="shared" si="348"/>
        <v>#N/A</v>
      </c>
      <c r="JA77" s="400" t="e">
        <f t="shared" si="408"/>
        <v>#N/A</v>
      </c>
      <c r="JB77" s="398" t="e">
        <f t="shared" si="409"/>
        <v>#N/A</v>
      </c>
      <c r="JC77" s="401" t="e">
        <f t="shared" si="546"/>
        <v>#N/A</v>
      </c>
      <c r="JD77" s="399" t="e">
        <f t="shared" si="547"/>
        <v>#N/A</v>
      </c>
      <c r="JE77" s="47"/>
      <c r="JF77" s="47"/>
      <c r="JG77" s="396" t="e">
        <f t="shared" si="410"/>
        <v>#N/A</v>
      </c>
      <c r="JH77" s="397" t="e">
        <f t="shared" si="411"/>
        <v>#N/A</v>
      </c>
      <c r="JI77" s="400" t="e">
        <f t="shared" si="412"/>
        <v>#N/A</v>
      </c>
      <c r="JJ77" s="398" t="e">
        <f t="shared" si="349"/>
        <v>#N/A</v>
      </c>
      <c r="JK77" s="400" t="e">
        <f t="shared" si="413"/>
        <v>#N/A</v>
      </c>
      <c r="JL77" s="398" t="e">
        <f t="shared" si="414"/>
        <v>#N/A</v>
      </c>
      <c r="JM77" s="401" t="e">
        <f t="shared" si="548"/>
        <v>#N/A</v>
      </c>
      <c r="JN77" s="399" t="e">
        <f t="shared" si="549"/>
        <v>#N/A</v>
      </c>
      <c r="JO77" s="47"/>
      <c r="JP77" s="47"/>
      <c r="JQ77" s="396" t="e">
        <f t="shared" si="415"/>
        <v>#N/A</v>
      </c>
      <c r="JR77" s="397" t="e">
        <f t="shared" si="416"/>
        <v>#N/A</v>
      </c>
      <c r="JS77" s="400" t="e">
        <f t="shared" si="417"/>
        <v>#N/A</v>
      </c>
      <c r="JT77" s="398" t="e">
        <f t="shared" si="350"/>
        <v>#N/A</v>
      </c>
      <c r="JU77" s="400" t="e">
        <f t="shared" si="418"/>
        <v>#N/A</v>
      </c>
      <c r="JV77" s="398" t="e">
        <f t="shared" si="419"/>
        <v>#N/A</v>
      </c>
      <c r="JW77" s="401" t="e">
        <f t="shared" si="550"/>
        <v>#N/A</v>
      </c>
      <c r="JX77" s="399" t="e">
        <f t="shared" si="551"/>
        <v>#N/A</v>
      </c>
      <c r="JY77" s="47"/>
      <c r="JZ77" s="47"/>
      <c r="KA77" s="396" t="e">
        <f t="shared" si="420"/>
        <v>#N/A</v>
      </c>
      <c r="KB77" s="397" t="e">
        <f t="shared" si="421"/>
        <v>#N/A</v>
      </c>
      <c r="KC77" s="400" t="e">
        <f t="shared" si="422"/>
        <v>#N/A</v>
      </c>
      <c r="KD77" s="398" t="e">
        <f t="shared" si="351"/>
        <v>#N/A</v>
      </c>
      <c r="KE77" s="400" t="e">
        <f t="shared" si="423"/>
        <v>#N/A</v>
      </c>
      <c r="KF77" s="398" t="e">
        <f t="shared" si="424"/>
        <v>#N/A</v>
      </c>
      <c r="KG77" s="401" t="e">
        <f t="shared" si="552"/>
        <v>#N/A</v>
      </c>
      <c r="KH77" s="399" t="e">
        <f t="shared" si="553"/>
        <v>#N/A</v>
      </c>
      <c r="KI77" s="47"/>
      <c r="KJ77" s="47"/>
      <c r="KK77" s="396" t="e">
        <f t="shared" si="425"/>
        <v>#N/A</v>
      </c>
      <c r="KL77" s="397" t="e">
        <f t="shared" si="426"/>
        <v>#N/A</v>
      </c>
      <c r="KM77" s="400" t="e">
        <f t="shared" si="427"/>
        <v>#N/A</v>
      </c>
      <c r="KN77" s="398" t="e">
        <f t="shared" si="352"/>
        <v>#N/A</v>
      </c>
      <c r="KO77" s="400" t="e">
        <f t="shared" si="428"/>
        <v>#N/A</v>
      </c>
      <c r="KP77" s="398" t="e">
        <f t="shared" si="429"/>
        <v>#N/A</v>
      </c>
      <c r="KQ77" s="401" t="e">
        <f t="shared" si="554"/>
        <v>#N/A</v>
      </c>
      <c r="KR77" s="399" t="e">
        <f t="shared" si="555"/>
        <v>#N/A</v>
      </c>
      <c r="KS77" s="47"/>
      <c r="KT77" s="47"/>
      <c r="KU77" s="396" t="e">
        <f t="shared" si="556"/>
        <v>#N/A</v>
      </c>
      <c r="KV77" s="397" t="e">
        <f t="shared" si="557"/>
        <v>#N/A</v>
      </c>
      <c r="KW77" s="400" t="e">
        <f t="shared" si="430"/>
        <v>#N/A</v>
      </c>
      <c r="KX77" s="398" t="e">
        <f t="shared" si="558"/>
        <v>#N/A</v>
      </c>
      <c r="KY77" s="400" t="e">
        <f t="shared" si="559"/>
        <v>#N/A</v>
      </c>
      <c r="KZ77" s="398" t="e">
        <f t="shared" si="607"/>
        <v>#N/A</v>
      </c>
      <c r="LA77" s="401" t="e">
        <f t="shared" si="608"/>
        <v>#N/A</v>
      </c>
      <c r="LB77" s="399" t="e">
        <f t="shared" si="560"/>
        <v>#N/A</v>
      </c>
      <c r="LC77" s="47"/>
    </row>
    <row r="78" spans="26:315" x14ac:dyDescent="0.25">
      <c r="Z78" s="413"/>
      <c r="AA78" s="396" t="e">
        <f t="shared" si="431"/>
        <v>#N/A</v>
      </c>
      <c r="AB78" s="397" t="e">
        <f t="shared" si="432"/>
        <v>#N/A</v>
      </c>
      <c r="AC78" s="400" t="e">
        <f t="shared" si="382"/>
        <v>#N/A</v>
      </c>
      <c r="AD78" s="398" t="e">
        <f t="shared" si="433"/>
        <v>#N/A</v>
      </c>
      <c r="AE78" s="400" t="e">
        <f t="shared" si="434"/>
        <v>#N/A</v>
      </c>
      <c r="AF78" s="398" t="e">
        <f t="shared" si="561"/>
        <v>#N/A</v>
      </c>
      <c r="AG78" s="401" t="e">
        <f t="shared" si="562"/>
        <v>#N/A</v>
      </c>
      <c r="AH78" s="399" t="e">
        <f t="shared" si="435"/>
        <v>#N/A</v>
      </c>
      <c r="AI78" s="47"/>
      <c r="AJ78" s="47"/>
      <c r="AK78" s="396" t="e">
        <f t="shared" si="436"/>
        <v>#N/A</v>
      </c>
      <c r="AL78" s="397" t="e">
        <f t="shared" si="437"/>
        <v>#N/A</v>
      </c>
      <c r="AM78" s="400" t="e">
        <f t="shared" si="383"/>
        <v>#N/A</v>
      </c>
      <c r="AN78" s="398" t="e">
        <f t="shared" si="438"/>
        <v>#N/A</v>
      </c>
      <c r="AO78" s="400" t="e">
        <f t="shared" si="439"/>
        <v>#N/A</v>
      </c>
      <c r="AP78" s="398" t="e">
        <f t="shared" si="563"/>
        <v>#N/A</v>
      </c>
      <c r="AQ78" s="401" t="e">
        <f t="shared" si="564"/>
        <v>#N/A</v>
      </c>
      <c r="AR78" s="399" t="e">
        <f t="shared" si="440"/>
        <v>#N/A</v>
      </c>
      <c r="AS78" s="47"/>
      <c r="AT78" s="47"/>
      <c r="AU78" s="396" t="e">
        <f t="shared" si="441"/>
        <v>#N/A</v>
      </c>
      <c r="AV78" s="397" t="e">
        <f t="shared" si="442"/>
        <v>#N/A</v>
      </c>
      <c r="AW78" s="400" t="e">
        <f t="shared" si="384"/>
        <v>#N/A</v>
      </c>
      <c r="AX78" s="398" t="e">
        <f t="shared" si="443"/>
        <v>#N/A</v>
      </c>
      <c r="AY78" s="400" t="e">
        <f t="shared" si="444"/>
        <v>#N/A</v>
      </c>
      <c r="AZ78" s="398" t="e">
        <f t="shared" si="565"/>
        <v>#N/A</v>
      </c>
      <c r="BA78" s="401" t="e">
        <f t="shared" si="566"/>
        <v>#N/A</v>
      </c>
      <c r="BB78" s="399" t="e">
        <f t="shared" si="445"/>
        <v>#N/A</v>
      </c>
      <c r="BC78" s="47"/>
      <c r="BD78" s="47"/>
      <c r="BE78" s="396" t="e">
        <f t="shared" si="446"/>
        <v>#N/A</v>
      </c>
      <c r="BF78" s="397" t="e">
        <f t="shared" si="447"/>
        <v>#N/A</v>
      </c>
      <c r="BG78" s="400" t="e">
        <f t="shared" si="385"/>
        <v>#N/A</v>
      </c>
      <c r="BH78" s="398" t="e">
        <f t="shared" si="448"/>
        <v>#N/A</v>
      </c>
      <c r="BI78" s="400" t="e">
        <f t="shared" si="449"/>
        <v>#N/A</v>
      </c>
      <c r="BJ78" s="398" t="e">
        <f t="shared" si="567"/>
        <v>#N/A</v>
      </c>
      <c r="BK78" s="401" t="e">
        <f t="shared" si="568"/>
        <v>#N/A</v>
      </c>
      <c r="BL78" s="399" t="e">
        <f t="shared" si="450"/>
        <v>#N/A</v>
      </c>
      <c r="BM78" s="47"/>
      <c r="BN78" s="49"/>
      <c r="BO78" s="396" t="e">
        <f t="shared" si="451"/>
        <v>#N/A</v>
      </c>
      <c r="BP78" s="397" t="e">
        <f t="shared" si="452"/>
        <v>#N/A</v>
      </c>
      <c r="BQ78" s="400" t="e">
        <f t="shared" si="386"/>
        <v>#N/A</v>
      </c>
      <c r="BR78" s="398" t="e">
        <f t="shared" si="453"/>
        <v>#N/A</v>
      </c>
      <c r="BS78" s="400" t="e">
        <f t="shared" si="454"/>
        <v>#N/A</v>
      </c>
      <c r="BT78" s="398" t="e">
        <f t="shared" si="569"/>
        <v>#N/A</v>
      </c>
      <c r="BU78" s="401" t="e">
        <f t="shared" si="570"/>
        <v>#N/A</v>
      </c>
      <c r="BV78" s="399" t="e">
        <f t="shared" si="455"/>
        <v>#N/A</v>
      </c>
      <c r="BW78" s="47"/>
      <c r="BX78" s="47"/>
      <c r="BY78" s="396" t="e">
        <f t="shared" si="456"/>
        <v>#N/A</v>
      </c>
      <c r="BZ78" s="397" t="e">
        <f t="shared" si="457"/>
        <v>#N/A</v>
      </c>
      <c r="CA78" s="400" t="e">
        <f t="shared" si="387"/>
        <v>#N/A</v>
      </c>
      <c r="CB78" s="398" t="e">
        <f t="shared" si="458"/>
        <v>#N/A</v>
      </c>
      <c r="CC78" s="400" t="e">
        <f t="shared" si="459"/>
        <v>#N/A</v>
      </c>
      <c r="CD78" s="398" t="e">
        <f t="shared" si="571"/>
        <v>#N/A</v>
      </c>
      <c r="CE78" s="401" t="e">
        <f t="shared" si="572"/>
        <v>#N/A</v>
      </c>
      <c r="CF78" s="399" t="e">
        <f t="shared" si="460"/>
        <v>#N/A</v>
      </c>
      <c r="CG78" s="49"/>
      <c r="CH78" s="47"/>
      <c r="CI78" s="396" t="e">
        <f t="shared" si="461"/>
        <v>#N/A</v>
      </c>
      <c r="CJ78" s="397" t="e">
        <f t="shared" si="462"/>
        <v>#N/A</v>
      </c>
      <c r="CK78" s="400" t="e">
        <f t="shared" si="388"/>
        <v>#N/A</v>
      </c>
      <c r="CL78" s="398" t="e">
        <f t="shared" si="463"/>
        <v>#N/A</v>
      </c>
      <c r="CM78" s="400" t="e">
        <f t="shared" si="464"/>
        <v>#N/A</v>
      </c>
      <c r="CN78" s="398" t="e">
        <f t="shared" si="573"/>
        <v>#N/A</v>
      </c>
      <c r="CO78" s="401" t="e">
        <f t="shared" si="574"/>
        <v>#N/A</v>
      </c>
      <c r="CP78" s="399" t="e">
        <f t="shared" si="465"/>
        <v>#N/A</v>
      </c>
      <c r="CQ78" s="47"/>
      <c r="CS78" s="396" t="e">
        <f t="shared" si="466"/>
        <v>#N/A</v>
      </c>
      <c r="CT78" s="397" t="e">
        <f t="shared" si="467"/>
        <v>#N/A</v>
      </c>
      <c r="CU78" s="400" t="e">
        <f t="shared" si="389"/>
        <v>#N/A</v>
      </c>
      <c r="CV78" s="398" t="e">
        <f t="shared" si="468"/>
        <v>#N/A</v>
      </c>
      <c r="CW78" s="400" t="e">
        <f t="shared" si="469"/>
        <v>#N/A</v>
      </c>
      <c r="CX78" s="398" t="e">
        <f t="shared" si="575"/>
        <v>#N/A</v>
      </c>
      <c r="CY78" s="401" t="e">
        <f t="shared" si="576"/>
        <v>#N/A</v>
      </c>
      <c r="CZ78" s="399" t="e">
        <f t="shared" si="470"/>
        <v>#N/A</v>
      </c>
      <c r="DA78" s="47"/>
      <c r="DB78" s="47"/>
      <c r="DC78" s="396" t="e">
        <f t="shared" si="471"/>
        <v>#N/A</v>
      </c>
      <c r="DD78" s="397" t="e">
        <f t="shared" si="472"/>
        <v>#N/A</v>
      </c>
      <c r="DE78" s="400" t="e">
        <f t="shared" si="390"/>
        <v>#N/A</v>
      </c>
      <c r="DF78" s="398" t="e">
        <f t="shared" si="473"/>
        <v>#N/A</v>
      </c>
      <c r="DG78" s="400" t="e">
        <f t="shared" si="474"/>
        <v>#N/A</v>
      </c>
      <c r="DH78" s="398" t="e">
        <f t="shared" si="577"/>
        <v>#N/A</v>
      </c>
      <c r="DI78" s="401" t="e">
        <f t="shared" si="578"/>
        <v>#N/A</v>
      </c>
      <c r="DJ78" s="399" t="e">
        <f t="shared" si="475"/>
        <v>#N/A</v>
      </c>
      <c r="DK78" s="47"/>
      <c r="DM78" s="396" t="e">
        <f t="shared" si="476"/>
        <v>#N/A</v>
      </c>
      <c r="DN78" s="397" t="e">
        <f t="shared" si="477"/>
        <v>#N/A</v>
      </c>
      <c r="DO78" s="400" t="e">
        <f t="shared" si="391"/>
        <v>#N/A</v>
      </c>
      <c r="DP78" s="398" t="e">
        <f t="shared" si="478"/>
        <v>#N/A</v>
      </c>
      <c r="DQ78" s="400" t="e">
        <f t="shared" si="479"/>
        <v>#N/A</v>
      </c>
      <c r="DR78" s="398" t="e">
        <f t="shared" si="579"/>
        <v>#N/A</v>
      </c>
      <c r="DS78" s="401" t="e">
        <f t="shared" si="580"/>
        <v>#N/A</v>
      </c>
      <c r="DT78" s="399" t="e">
        <f t="shared" si="480"/>
        <v>#N/A</v>
      </c>
      <c r="DU78" s="47"/>
      <c r="DV78" s="49"/>
      <c r="DW78" s="396" t="e">
        <f t="shared" si="481"/>
        <v>#N/A</v>
      </c>
      <c r="DX78" s="397" t="e">
        <f t="shared" si="482"/>
        <v>#N/A</v>
      </c>
      <c r="DY78" s="400" t="e">
        <f t="shared" si="392"/>
        <v>#N/A</v>
      </c>
      <c r="DZ78" s="398" t="e">
        <f t="shared" si="483"/>
        <v>#N/A</v>
      </c>
      <c r="EA78" s="400" t="e">
        <f t="shared" si="484"/>
        <v>#N/A</v>
      </c>
      <c r="EB78" s="398" t="e">
        <f t="shared" si="581"/>
        <v>#N/A</v>
      </c>
      <c r="EC78" s="401" t="e">
        <f t="shared" si="582"/>
        <v>#N/A</v>
      </c>
      <c r="ED78" s="399" t="e">
        <f t="shared" si="485"/>
        <v>#N/A</v>
      </c>
      <c r="EE78" s="47"/>
      <c r="EF78" s="47"/>
      <c r="EG78" s="396" t="e">
        <f t="shared" si="486"/>
        <v>#N/A</v>
      </c>
      <c r="EH78" s="397" t="e">
        <f t="shared" si="487"/>
        <v>#N/A</v>
      </c>
      <c r="EI78" s="400" t="e">
        <f t="shared" si="393"/>
        <v>#N/A</v>
      </c>
      <c r="EJ78" s="398" t="e">
        <f t="shared" si="488"/>
        <v>#N/A</v>
      </c>
      <c r="EK78" s="400" t="e">
        <f t="shared" si="489"/>
        <v>#N/A</v>
      </c>
      <c r="EL78" s="398" t="e">
        <f t="shared" si="583"/>
        <v>#N/A</v>
      </c>
      <c r="EM78" s="401" t="e">
        <f t="shared" si="584"/>
        <v>#N/A</v>
      </c>
      <c r="EN78" s="399" t="e">
        <f t="shared" si="490"/>
        <v>#N/A</v>
      </c>
      <c r="EO78" s="47"/>
      <c r="EP78" s="47"/>
      <c r="EQ78" s="396" t="e">
        <f t="shared" si="491"/>
        <v>#N/A</v>
      </c>
      <c r="ER78" s="397" t="e">
        <f t="shared" si="492"/>
        <v>#N/A</v>
      </c>
      <c r="ES78" s="400" t="e">
        <f t="shared" si="394"/>
        <v>#N/A</v>
      </c>
      <c r="ET78" s="398" t="e">
        <f t="shared" si="493"/>
        <v>#N/A</v>
      </c>
      <c r="EU78" s="400" t="e">
        <f t="shared" si="494"/>
        <v>#N/A</v>
      </c>
      <c r="EV78" s="398" t="e">
        <f t="shared" si="585"/>
        <v>#N/A</v>
      </c>
      <c r="EW78" s="401" t="e">
        <f t="shared" si="586"/>
        <v>#N/A</v>
      </c>
      <c r="EX78" s="399" t="e">
        <f t="shared" si="495"/>
        <v>#N/A</v>
      </c>
      <c r="EY78" s="47"/>
      <c r="EZ78" s="47"/>
      <c r="FA78" s="396" t="e">
        <f t="shared" si="496"/>
        <v>#N/A</v>
      </c>
      <c r="FB78" s="397" t="e">
        <f t="shared" si="497"/>
        <v>#N/A</v>
      </c>
      <c r="FC78" s="400" t="e">
        <f t="shared" si="395"/>
        <v>#N/A</v>
      </c>
      <c r="FD78" s="398" t="e">
        <f t="shared" si="498"/>
        <v>#N/A</v>
      </c>
      <c r="FE78" s="400" t="e">
        <f t="shared" si="499"/>
        <v>#N/A</v>
      </c>
      <c r="FF78" s="398" t="e">
        <f t="shared" si="587"/>
        <v>#N/A</v>
      </c>
      <c r="FG78" s="401" t="e">
        <f t="shared" si="588"/>
        <v>#N/A</v>
      </c>
      <c r="FH78" s="399" t="e">
        <f t="shared" si="500"/>
        <v>#N/A</v>
      </c>
      <c r="FI78" s="47"/>
      <c r="FJ78" s="49"/>
      <c r="FK78" s="396" t="e">
        <f t="shared" si="501"/>
        <v>#N/A</v>
      </c>
      <c r="FL78" s="397" t="e">
        <f t="shared" si="502"/>
        <v>#N/A</v>
      </c>
      <c r="FM78" s="400" t="e">
        <f t="shared" si="396"/>
        <v>#N/A</v>
      </c>
      <c r="FN78" s="398" t="e">
        <f t="shared" si="503"/>
        <v>#N/A</v>
      </c>
      <c r="FO78" s="400" t="e">
        <f t="shared" si="504"/>
        <v>#N/A</v>
      </c>
      <c r="FP78" s="398" t="e">
        <f t="shared" si="589"/>
        <v>#N/A</v>
      </c>
      <c r="FQ78" s="401" t="e">
        <f t="shared" si="590"/>
        <v>#N/A</v>
      </c>
      <c r="FR78" s="399" t="e">
        <f t="shared" si="505"/>
        <v>#N/A</v>
      </c>
      <c r="FS78" s="47"/>
      <c r="FT78" s="47"/>
      <c r="FU78" s="396" t="e">
        <f t="shared" si="506"/>
        <v>#N/A</v>
      </c>
      <c r="FV78" s="397" t="e">
        <f t="shared" si="507"/>
        <v>#N/A</v>
      </c>
      <c r="FW78" s="400" t="e">
        <f t="shared" si="397"/>
        <v>#N/A</v>
      </c>
      <c r="FX78" s="398" t="e">
        <f t="shared" si="508"/>
        <v>#N/A</v>
      </c>
      <c r="FY78" s="400" t="e">
        <f t="shared" si="509"/>
        <v>#N/A</v>
      </c>
      <c r="FZ78" s="398" t="e">
        <f t="shared" si="591"/>
        <v>#N/A</v>
      </c>
      <c r="GA78" s="401" t="e">
        <f t="shared" si="592"/>
        <v>#N/A</v>
      </c>
      <c r="GB78" s="399" t="e">
        <f t="shared" si="510"/>
        <v>#N/A</v>
      </c>
      <c r="GC78" s="47"/>
      <c r="GD78" s="47"/>
      <c r="GE78" s="396" t="e">
        <f t="shared" si="511"/>
        <v>#N/A</v>
      </c>
      <c r="GF78" s="397" t="e">
        <f t="shared" si="512"/>
        <v>#N/A</v>
      </c>
      <c r="GG78" s="400" t="e">
        <f t="shared" si="398"/>
        <v>#N/A</v>
      </c>
      <c r="GH78" s="398" t="e">
        <f t="shared" si="513"/>
        <v>#N/A</v>
      </c>
      <c r="GI78" s="400" t="e">
        <f t="shared" si="514"/>
        <v>#N/A</v>
      </c>
      <c r="GJ78" s="398" t="e">
        <f t="shared" si="593"/>
        <v>#N/A</v>
      </c>
      <c r="GK78" s="401" t="e">
        <f t="shared" si="594"/>
        <v>#N/A</v>
      </c>
      <c r="GL78" s="399" t="e">
        <f t="shared" si="515"/>
        <v>#N/A</v>
      </c>
      <c r="GM78" s="47"/>
      <c r="GN78" s="47"/>
      <c r="GO78" s="396" t="e">
        <f t="shared" si="516"/>
        <v>#N/A</v>
      </c>
      <c r="GP78" s="397" t="e">
        <f t="shared" si="517"/>
        <v>#N/A</v>
      </c>
      <c r="GQ78" s="400" t="e">
        <f t="shared" si="399"/>
        <v>#N/A</v>
      </c>
      <c r="GR78" s="398" t="e">
        <f t="shared" si="518"/>
        <v>#N/A</v>
      </c>
      <c r="GS78" s="400" t="e">
        <f t="shared" si="519"/>
        <v>#N/A</v>
      </c>
      <c r="GT78" s="398" t="e">
        <f t="shared" si="595"/>
        <v>#N/A</v>
      </c>
      <c r="GU78" s="401" t="e">
        <f t="shared" si="596"/>
        <v>#N/A</v>
      </c>
      <c r="GV78" s="399" t="e">
        <f t="shared" si="520"/>
        <v>#N/A</v>
      </c>
      <c r="GW78" s="47"/>
      <c r="GX78" s="47"/>
      <c r="GY78" s="396" t="e">
        <f t="shared" si="521"/>
        <v>#N/A</v>
      </c>
      <c r="GZ78" s="397" t="e">
        <f t="shared" si="522"/>
        <v>#N/A</v>
      </c>
      <c r="HA78" s="400" t="e">
        <f t="shared" si="400"/>
        <v>#N/A</v>
      </c>
      <c r="HB78" s="398" t="e">
        <f t="shared" si="523"/>
        <v>#N/A</v>
      </c>
      <c r="HC78" s="400" t="e">
        <f t="shared" si="524"/>
        <v>#N/A</v>
      </c>
      <c r="HD78" s="398" t="e">
        <f t="shared" si="597"/>
        <v>#N/A</v>
      </c>
      <c r="HE78" s="401" t="e">
        <f t="shared" si="598"/>
        <v>#N/A</v>
      </c>
      <c r="HF78" s="399" t="e">
        <f t="shared" si="525"/>
        <v>#N/A</v>
      </c>
      <c r="HH78" s="47"/>
      <c r="HI78" s="396" t="e">
        <f t="shared" si="526"/>
        <v>#N/A</v>
      </c>
      <c r="HJ78" s="397" t="e">
        <f t="shared" si="527"/>
        <v>#N/A</v>
      </c>
      <c r="HK78" s="400" t="e">
        <f t="shared" si="401"/>
        <v>#N/A</v>
      </c>
      <c r="HL78" s="398" t="e">
        <f t="shared" si="528"/>
        <v>#N/A</v>
      </c>
      <c r="HM78" s="400" t="e">
        <f t="shared" si="529"/>
        <v>#N/A</v>
      </c>
      <c r="HN78" s="398" t="e">
        <f t="shared" si="599"/>
        <v>#N/A</v>
      </c>
      <c r="HO78" s="401" t="e">
        <f t="shared" si="600"/>
        <v>#N/A</v>
      </c>
      <c r="HP78" s="399" t="e">
        <f t="shared" si="530"/>
        <v>#N/A</v>
      </c>
      <c r="HQ78" s="47"/>
      <c r="HR78" s="47"/>
      <c r="HS78" s="396" t="e">
        <f t="shared" si="531"/>
        <v>#N/A</v>
      </c>
      <c r="HT78" s="397" t="e">
        <f t="shared" si="532"/>
        <v>#N/A</v>
      </c>
      <c r="HU78" s="400" t="e">
        <f t="shared" si="402"/>
        <v>#N/A</v>
      </c>
      <c r="HV78" s="398" t="e">
        <f t="shared" si="533"/>
        <v>#N/A</v>
      </c>
      <c r="HW78" s="400" t="e">
        <f t="shared" si="534"/>
        <v>#N/A</v>
      </c>
      <c r="HX78" s="398" t="e">
        <f t="shared" si="601"/>
        <v>#N/A</v>
      </c>
      <c r="HY78" s="401" t="e">
        <f t="shared" si="602"/>
        <v>#N/A</v>
      </c>
      <c r="HZ78" s="399" t="e">
        <f t="shared" si="535"/>
        <v>#N/A</v>
      </c>
      <c r="IA78" s="47"/>
      <c r="IB78" s="49"/>
      <c r="IC78" s="396" t="e">
        <f t="shared" si="536"/>
        <v>#N/A</v>
      </c>
      <c r="ID78" s="397" t="e">
        <f t="shared" si="537"/>
        <v>#N/A</v>
      </c>
      <c r="IE78" s="400" t="e">
        <f t="shared" si="403"/>
        <v>#N/A</v>
      </c>
      <c r="IF78" s="398" t="e">
        <f t="shared" si="538"/>
        <v>#N/A</v>
      </c>
      <c r="IG78" s="400" t="e">
        <f t="shared" si="539"/>
        <v>#N/A</v>
      </c>
      <c r="IH78" s="398" t="e">
        <f t="shared" si="603"/>
        <v>#N/A</v>
      </c>
      <c r="II78" s="401" t="e">
        <f t="shared" si="604"/>
        <v>#N/A</v>
      </c>
      <c r="IJ78" s="399" t="e">
        <f t="shared" si="540"/>
        <v>#N/A</v>
      </c>
      <c r="IK78" s="47"/>
      <c r="IL78" s="47"/>
      <c r="IM78" s="396" t="e">
        <f t="shared" si="541"/>
        <v>#N/A</v>
      </c>
      <c r="IN78" s="397" t="e">
        <f t="shared" si="542"/>
        <v>#N/A</v>
      </c>
      <c r="IO78" s="400" t="e">
        <f t="shared" si="404"/>
        <v>#N/A</v>
      </c>
      <c r="IP78" s="398" t="e">
        <f t="shared" si="543"/>
        <v>#N/A</v>
      </c>
      <c r="IQ78" s="400" t="e">
        <f t="shared" si="544"/>
        <v>#N/A</v>
      </c>
      <c r="IR78" s="398" t="e">
        <f t="shared" si="605"/>
        <v>#N/A</v>
      </c>
      <c r="IS78" s="401" t="e">
        <f t="shared" si="606"/>
        <v>#N/A</v>
      </c>
      <c r="IT78" s="399" t="e">
        <f t="shared" si="545"/>
        <v>#N/A</v>
      </c>
      <c r="IU78" s="47"/>
      <c r="IV78" s="47"/>
      <c r="IW78" s="396" t="e">
        <f t="shared" si="405"/>
        <v>#N/A</v>
      </c>
      <c r="IX78" s="397" t="e">
        <f t="shared" si="406"/>
        <v>#N/A</v>
      </c>
      <c r="IY78" s="400" t="e">
        <f t="shared" si="407"/>
        <v>#N/A</v>
      </c>
      <c r="IZ78" s="398" t="e">
        <f t="shared" si="348"/>
        <v>#N/A</v>
      </c>
      <c r="JA78" s="400" t="e">
        <f t="shared" si="408"/>
        <v>#N/A</v>
      </c>
      <c r="JB78" s="398" t="e">
        <f t="shared" si="409"/>
        <v>#N/A</v>
      </c>
      <c r="JC78" s="401" t="e">
        <f t="shared" si="546"/>
        <v>#N/A</v>
      </c>
      <c r="JD78" s="399" t="e">
        <f t="shared" si="547"/>
        <v>#N/A</v>
      </c>
      <c r="JE78" s="47"/>
      <c r="JF78" s="47"/>
      <c r="JG78" s="396" t="e">
        <f t="shared" si="410"/>
        <v>#N/A</v>
      </c>
      <c r="JH78" s="397" t="e">
        <f t="shared" si="411"/>
        <v>#N/A</v>
      </c>
      <c r="JI78" s="400" t="e">
        <f t="shared" si="412"/>
        <v>#N/A</v>
      </c>
      <c r="JJ78" s="398" t="e">
        <f t="shared" si="349"/>
        <v>#N/A</v>
      </c>
      <c r="JK78" s="400" t="e">
        <f t="shared" si="413"/>
        <v>#N/A</v>
      </c>
      <c r="JL78" s="398" t="e">
        <f t="shared" si="414"/>
        <v>#N/A</v>
      </c>
      <c r="JM78" s="401" t="e">
        <f t="shared" si="548"/>
        <v>#N/A</v>
      </c>
      <c r="JN78" s="399" t="e">
        <f t="shared" si="549"/>
        <v>#N/A</v>
      </c>
      <c r="JO78" s="47"/>
      <c r="JP78" s="47"/>
      <c r="JQ78" s="396" t="e">
        <f t="shared" si="415"/>
        <v>#N/A</v>
      </c>
      <c r="JR78" s="397" t="e">
        <f t="shared" si="416"/>
        <v>#N/A</v>
      </c>
      <c r="JS78" s="400" t="e">
        <f t="shared" si="417"/>
        <v>#N/A</v>
      </c>
      <c r="JT78" s="398" t="e">
        <f t="shared" si="350"/>
        <v>#N/A</v>
      </c>
      <c r="JU78" s="400" t="e">
        <f t="shared" si="418"/>
        <v>#N/A</v>
      </c>
      <c r="JV78" s="398" t="e">
        <f t="shared" si="419"/>
        <v>#N/A</v>
      </c>
      <c r="JW78" s="401" t="e">
        <f t="shared" si="550"/>
        <v>#N/A</v>
      </c>
      <c r="JX78" s="399" t="e">
        <f t="shared" si="551"/>
        <v>#N/A</v>
      </c>
      <c r="JY78" s="47"/>
      <c r="JZ78" s="47"/>
      <c r="KA78" s="396" t="e">
        <f t="shared" si="420"/>
        <v>#N/A</v>
      </c>
      <c r="KB78" s="397" t="e">
        <f t="shared" si="421"/>
        <v>#N/A</v>
      </c>
      <c r="KC78" s="400" t="e">
        <f t="shared" si="422"/>
        <v>#N/A</v>
      </c>
      <c r="KD78" s="398" t="e">
        <f t="shared" si="351"/>
        <v>#N/A</v>
      </c>
      <c r="KE78" s="400" t="e">
        <f t="shared" si="423"/>
        <v>#N/A</v>
      </c>
      <c r="KF78" s="398" t="e">
        <f t="shared" si="424"/>
        <v>#N/A</v>
      </c>
      <c r="KG78" s="401" t="e">
        <f t="shared" si="552"/>
        <v>#N/A</v>
      </c>
      <c r="KH78" s="399" t="e">
        <f t="shared" si="553"/>
        <v>#N/A</v>
      </c>
      <c r="KI78" s="47"/>
      <c r="KJ78" s="47"/>
      <c r="KK78" s="396" t="e">
        <f t="shared" si="425"/>
        <v>#N/A</v>
      </c>
      <c r="KL78" s="397" t="e">
        <f t="shared" si="426"/>
        <v>#N/A</v>
      </c>
      <c r="KM78" s="400" t="e">
        <f t="shared" si="427"/>
        <v>#N/A</v>
      </c>
      <c r="KN78" s="398" t="e">
        <f t="shared" si="352"/>
        <v>#N/A</v>
      </c>
      <c r="KO78" s="400" t="e">
        <f t="shared" si="428"/>
        <v>#N/A</v>
      </c>
      <c r="KP78" s="398" t="e">
        <f t="shared" si="429"/>
        <v>#N/A</v>
      </c>
      <c r="KQ78" s="401" t="e">
        <f t="shared" si="554"/>
        <v>#N/A</v>
      </c>
      <c r="KR78" s="399" t="e">
        <f t="shared" si="555"/>
        <v>#N/A</v>
      </c>
      <c r="KS78" s="47"/>
      <c r="KT78" s="47"/>
      <c r="KU78" s="396" t="e">
        <f t="shared" si="556"/>
        <v>#N/A</v>
      </c>
      <c r="KV78" s="397" t="e">
        <f t="shared" si="557"/>
        <v>#N/A</v>
      </c>
      <c r="KW78" s="400" t="e">
        <f t="shared" si="430"/>
        <v>#N/A</v>
      </c>
      <c r="KX78" s="398" t="e">
        <f t="shared" si="558"/>
        <v>#N/A</v>
      </c>
      <c r="KY78" s="400" t="e">
        <f t="shared" si="559"/>
        <v>#N/A</v>
      </c>
      <c r="KZ78" s="398" t="e">
        <f t="shared" si="607"/>
        <v>#N/A</v>
      </c>
      <c r="LA78" s="401" t="e">
        <f t="shared" si="608"/>
        <v>#N/A</v>
      </c>
      <c r="LB78" s="399" t="e">
        <f t="shared" si="560"/>
        <v>#N/A</v>
      </c>
      <c r="LC78" s="47"/>
    </row>
    <row r="79" spans="26:315" x14ac:dyDescent="0.25">
      <c r="Z79" s="413"/>
      <c r="AA79" s="396" t="e">
        <f t="shared" si="431"/>
        <v>#N/A</v>
      </c>
      <c r="AB79" s="397" t="e">
        <f t="shared" si="432"/>
        <v>#N/A</v>
      </c>
      <c r="AC79" s="400" t="e">
        <f t="shared" si="382"/>
        <v>#N/A</v>
      </c>
      <c r="AD79" s="398" t="e">
        <f t="shared" si="433"/>
        <v>#N/A</v>
      </c>
      <c r="AE79" s="402" t="e">
        <f t="shared" si="434"/>
        <v>#N/A</v>
      </c>
      <c r="AF79" s="398" t="e">
        <f t="shared" si="561"/>
        <v>#N/A</v>
      </c>
      <c r="AG79" s="401" t="e">
        <f t="shared" si="562"/>
        <v>#N/A</v>
      </c>
      <c r="AH79" s="399" t="e">
        <f t="shared" si="435"/>
        <v>#N/A</v>
      </c>
      <c r="AI79" s="47"/>
      <c r="AJ79" s="47"/>
      <c r="AK79" s="396" t="e">
        <f t="shared" si="436"/>
        <v>#N/A</v>
      </c>
      <c r="AL79" s="397" t="e">
        <f t="shared" si="437"/>
        <v>#N/A</v>
      </c>
      <c r="AM79" s="400" t="e">
        <f t="shared" si="383"/>
        <v>#N/A</v>
      </c>
      <c r="AN79" s="398" t="e">
        <f t="shared" si="438"/>
        <v>#N/A</v>
      </c>
      <c r="AO79" s="402" t="e">
        <f t="shared" si="439"/>
        <v>#N/A</v>
      </c>
      <c r="AP79" s="398" t="e">
        <f t="shared" si="563"/>
        <v>#N/A</v>
      </c>
      <c r="AQ79" s="401" t="e">
        <f t="shared" si="564"/>
        <v>#N/A</v>
      </c>
      <c r="AR79" s="399" t="e">
        <f t="shared" si="440"/>
        <v>#N/A</v>
      </c>
      <c r="AS79" s="47"/>
      <c r="AT79" s="47"/>
      <c r="AU79" s="396" t="e">
        <f t="shared" si="441"/>
        <v>#N/A</v>
      </c>
      <c r="AV79" s="397" t="e">
        <f t="shared" si="442"/>
        <v>#N/A</v>
      </c>
      <c r="AW79" s="400" t="e">
        <f t="shared" si="384"/>
        <v>#N/A</v>
      </c>
      <c r="AX79" s="398" t="e">
        <f t="shared" si="443"/>
        <v>#N/A</v>
      </c>
      <c r="AY79" s="402" t="e">
        <f t="shared" si="444"/>
        <v>#N/A</v>
      </c>
      <c r="AZ79" s="398" t="e">
        <f t="shared" si="565"/>
        <v>#N/A</v>
      </c>
      <c r="BA79" s="401" t="e">
        <f t="shared" si="566"/>
        <v>#N/A</v>
      </c>
      <c r="BB79" s="399" t="e">
        <f t="shared" si="445"/>
        <v>#N/A</v>
      </c>
      <c r="BC79" s="47"/>
      <c r="BD79" s="47"/>
      <c r="BE79" s="396" t="e">
        <f t="shared" si="446"/>
        <v>#N/A</v>
      </c>
      <c r="BF79" s="397" t="e">
        <f t="shared" si="447"/>
        <v>#N/A</v>
      </c>
      <c r="BG79" s="400" t="e">
        <f t="shared" si="385"/>
        <v>#N/A</v>
      </c>
      <c r="BH79" s="398" t="e">
        <f t="shared" si="448"/>
        <v>#N/A</v>
      </c>
      <c r="BI79" s="402" t="e">
        <f t="shared" si="449"/>
        <v>#N/A</v>
      </c>
      <c r="BJ79" s="398" t="e">
        <f t="shared" si="567"/>
        <v>#N/A</v>
      </c>
      <c r="BK79" s="401" t="e">
        <f t="shared" si="568"/>
        <v>#N/A</v>
      </c>
      <c r="BL79" s="399" t="e">
        <f t="shared" si="450"/>
        <v>#N/A</v>
      </c>
      <c r="BM79" s="47"/>
      <c r="BN79" s="49"/>
      <c r="BO79" s="396" t="e">
        <f t="shared" si="451"/>
        <v>#N/A</v>
      </c>
      <c r="BP79" s="397" t="e">
        <f t="shared" si="452"/>
        <v>#N/A</v>
      </c>
      <c r="BQ79" s="400" t="e">
        <f t="shared" si="386"/>
        <v>#N/A</v>
      </c>
      <c r="BR79" s="398" t="e">
        <f t="shared" si="453"/>
        <v>#N/A</v>
      </c>
      <c r="BS79" s="402" t="e">
        <f t="shared" si="454"/>
        <v>#N/A</v>
      </c>
      <c r="BT79" s="398" t="e">
        <f t="shared" si="569"/>
        <v>#N/A</v>
      </c>
      <c r="BU79" s="401" t="e">
        <f t="shared" si="570"/>
        <v>#N/A</v>
      </c>
      <c r="BV79" s="399" t="e">
        <f t="shared" si="455"/>
        <v>#N/A</v>
      </c>
      <c r="BW79" s="47"/>
      <c r="BX79" s="47"/>
      <c r="BY79" s="396" t="e">
        <f t="shared" si="456"/>
        <v>#N/A</v>
      </c>
      <c r="BZ79" s="397" t="e">
        <f t="shared" si="457"/>
        <v>#N/A</v>
      </c>
      <c r="CA79" s="400" t="e">
        <f t="shared" si="387"/>
        <v>#N/A</v>
      </c>
      <c r="CB79" s="398" t="e">
        <f t="shared" si="458"/>
        <v>#N/A</v>
      </c>
      <c r="CC79" s="402" t="e">
        <f t="shared" si="459"/>
        <v>#N/A</v>
      </c>
      <c r="CD79" s="398" t="e">
        <f t="shared" si="571"/>
        <v>#N/A</v>
      </c>
      <c r="CE79" s="401" t="e">
        <f t="shared" si="572"/>
        <v>#N/A</v>
      </c>
      <c r="CF79" s="399" t="e">
        <f t="shared" si="460"/>
        <v>#N/A</v>
      </c>
      <c r="CG79" s="49"/>
      <c r="CH79" s="47"/>
      <c r="CI79" s="396" t="e">
        <f t="shared" si="461"/>
        <v>#N/A</v>
      </c>
      <c r="CJ79" s="397" t="e">
        <f t="shared" si="462"/>
        <v>#N/A</v>
      </c>
      <c r="CK79" s="400" t="e">
        <f t="shared" si="388"/>
        <v>#N/A</v>
      </c>
      <c r="CL79" s="398" t="e">
        <f t="shared" si="463"/>
        <v>#N/A</v>
      </c>
      <c r="CM79" s="402" t="e">
        <f t="shared" si="464"/>
        <v>#N/A</v>
      </c>
      <c r="CN79" s="398" t="e">
        <f t="shared" si="573"/>
        <v>#N/A</v>
      </c>
      <c r="CO79" s="401" t="e">
        <f t="shared" si="574"/>
        <v>#N/A</v>
      </c>
      <c r="CP79" s="399" t="e">
        <f t="shared" si="465"/>
        <v>#N/A</v>
      </c>
      <c r="CQ79" s="47"/>
      <c r="CS79" s="396" t="e">
        <f t="shared" si="466"/>
        <v>#N/A</v>
      </c>
      <c r="CT79" s="397" t="e">
        <f t="shared" si="467"/>
        <v>#N/A</v>
      </c>
      <c r="CU79" s="400" t="e">
        <f t="shared" si="389"/>
        <v>#N/A</v>
      </c>
      <c r="CV79" s="398" t="e">
        <f t="shared" si="468"/>
        <v>#N/A</v>
      </c>
      <c r="CW79" s="402" t="e">
        <f t="shared" si="469"/>
        <v>#N/A</v>
      </c>
      <c r="CX79" s="398" t="e">
        <f t="shared" si="575"/>
        <v>#N/A</v>
      </c>
      <c r="CY79" s="401" t="e">
        <f t="shared" si="576"/>
        <v>#N/A</v>
      </c>
      <c r="CZ79" s="399" t="e">
        <f t="shared" si="470"/>
        <v>#N/A</v>
      </c>
      <c r="DA79" s="47"/>
      <c r="DB79" s="47"/>
      <c r="DC79" s="396" t="e">
        <f t="shared" si="471"/>
        <v>#N/A</v>
      </c>
      <c r="DD79" s="397" t="e">
        <f t="shared" si="472"/>
        <v>#N/A</v>
      </c>
      <c r="DE79" s="400" t="e">
        <f t="shared" si="390"/>
        <v>#N/A</v>
      </c>
      <c r="DF79" s="398" t="e">
        <f t="shared" si="473"/>
        <v>#N/A</v>
      </c>
      <c r="DG79" s="402" t="e">
        <f t="shared" si="474"/>
        <v>#N/A</v>
      </c>
      <c r="DH79" s="398" t="e">
        <f t="shared" si="577"/>
        <v>#N/A</v>
      </c>
      <c r="DI79" s="401" t="e">
        <f t="shared" si="578"/>
        <v>#N/A</v>
      </c>
      <c r="DJ79" s="399" t="e">
        <f t="shared" si="475"/>
        <v>#N/A</v>
      </c>
      <c r="DK79" s="47"/>
      <c r="DM79" s="396" t="e">
        <f t="shared" si="476"/>
        <v>#N/A</v>
      </c>
      <c r="DN79" s="397" t="e">
        <f t="shared" si="477"/>
        <v>#N/A</v>
      </c>
      <c r="DO79" s="400" t="e">
        <f t="shared" si="391"/>
        <v>#N/A</v>
      </c>
      <c r="DP79" s="398" t="e">
        <f t="shared" si="478"/>
        <v>#N/A</v>
      </c>
      <c r="DQ79" s="402" t="e">
        <f t="shared" si="479"/>
        <v>#N/A</v>
      </c>
      <c r="DR79" s="398" t="e">
        <f t="shared" si="579"/>
        <v>#N/A</v>
      </c>
      <c r="DS79" s="401" t="e">
        <f t="shared" si="580"/>
        <v>#N/A</v>
      </c>
      <c r="DT79" s="399" t="e">
        <f t="shared" si="480"/>
        <v>#N/A</v>
      </c>
      <c r="DU79" s="47"/>
      <c r="DV79" s="49"/>
      <c r="DW79" s="396" t="e">
        <f t="shared" si="481"/>
        <v>#N/A</v>
      </c>
      <c r="DX79" s="397" t="e">
        <f t="shared" si="482"/>
        <v>#N/A</v>
      </c>
      <c r="DY79" s="400" t="e">
        <f t="shared" si="392"/>
        <v>#N/A</v>
      </c>
      <c r="DZ79" s="398" t="e">
        <f t="shared" si="483"/>
        <v>#N/A</v>
      </c>
      <c r="EA79" s="402" t="e">
        <f t="shared" si="484"/>
        <v>#N/A</v>
      </c>
      <c r="EB79" s="398" t="e">
        <f t="shared" si="581"/>
        <v>#N/A</v>
      </c>
      <c r="EC79" s="401" t="e">
        <f t="shared" si="582"/>
        <v>#N/A</v>
      </c>
      <c r="ED79" s="399" t="e">
        <f t="shared" si="485"/>
        <v>#N/A</v>
      </c>
      <c r="EE79" s="47"/>
      <c r="EF79" s="47"/>
      <c r="EG79" s="396" t="e">
        <f t="shared" si="486"/>
        <v>#N/A</v>
      </c>
      <c r="EH79" s="397" t="e">
        <f t="shared" si="487"/>
        <v>#N/A</v>
      </c>
      <c r="EI79" s="400" t="e">
        <f t="shared" si="393"/>
        <v>#N/A</v>
      </c>
      <c r="EJ79" s="398" t="e">
        <f t="shared" si="488"/>
        <v>#N/A</v>
      </c>
      <c r="EK79" s="402" t="e">
        <f t="shared" si="489"/>
        <v>#N/A</v>
      </c>
      <c r="EL79" s="398" t="e">
        <f t="shared" si="583"/>
        <v>#N/A</v>
      </c>
      <c r="EM79" s="401" t="e">
        <f t="shared" si="584"/>
        <v>#N/A</v>
      </c>
      <c r="EN79" s="399" t="e">
        <f t="shared" si="490"/>
        <v>#N/A</v>
      </c>
      <c r="EO79" s="47"/>
      <c r="EP79" s="47"/>
      <c r="EQ79" s="396" t="e">
        <f t="shared" si="491"/>
        <v>#N/A</v>
      </c>
      <c r="ER79" s="397" t="e">
        <f t="shared" si="492"/>
        <v>#N/A</v>
      </c>
      <c r="ES79" s="400" t="e">
        <f t="shared" si="394"/>
        <v>#N/A</v>
      </c>
      <c r="ET79" s="398" t="e">
        <f t="shared" si="493"/>
        <v>#N/A</v>
      </c>
      <c r="EU79" s="402" t="e">
        <f t="shared" si="494"/>
        <v>#N/A</v>
      </c>
      <c r="EV79" s="398" t="e">
        <f t="shared" si="585"/>
        <v>#N/A</v>
      </c>
      <c r="EW79" s="401" t="e">
        <f t="shared" si="586"/>
        <v>#N/A</v>
      </c>
      <c r="EX79" s="399" t="e">
        <f t="shared" si="495"/>
        <v>#N/A</v>
      </c>
      <c r="EY79" s="47"/>
      <c r="EZ79" s="47"/>
      <c r="FA79" s="396" t="e">
        <f t="shared" si="496"/>
        <v>#N/A</v>
      </c>
      <c r="FB79" s="397" t="e">
        <f t="shared" si="497"/>
        <v>#N/A</v>
      </c>
      <c r="FC79" s="400" t="e">
        <f t="shared" si="395"/>
        <v>#N/A</v>
      </c>
      <c r="FD79" s="398" t="e">
        <f t="shared" si="498"/>
        <v>#N/A</v>
      </c>
      <c r="FE79" s="402" t="e">
        <f t="shared" si="499"/>
        <v>#N/A</v>
      </c>
      <c r="FF79" s="398" t="e">
        <f t="shared" si="587"/>
        <v>#N/A</v>
      </c>
      <c r="FG79" s="401" t="e">
        <f t="shared" si="588"/>
        <v>#N/A</v>
      </c>
      <c r="FH79" s="399" t="e">
        <f t="shared" si="500"/>
        <v>#N/A</v>
      </c>
      <c r="FI79" s="47"/>
      <c r="FJ79" s="49"/>
      <c r="FK79" s="396" t="e">
        <f t="shared" si="501"/>
        <v>#N/A</v>
      </c>
      <c r="FL79" s="397" t="e">
        <f t="shared" si="502"/>
        <v>#N/A</v>
      </c>
      <c r="FM79" s="400" t="e">
        <f t="shared" si="396"/>
        <v>#N/A</v>
      </c>
      <c r="FN79" s="398" t="e">
        <f t="shared" si="503"/>
        <v>#N/A</v>
      </c>
      <c r="FO79" s="402" t="e">
        <f t="shared" si="504"/>
        <v>#N/A</v>
      </c>
      <c r="FP79" s="398" t="e">
        <f t="shared" si="589"/>
        <v>#N/A</v>
      </c>
      <c r="FQ79" s="401" t="e">
        <f t="shared" si="590"/>
        <v>#N/A</v>
      </c>
      <c r="FR79" s="399" t="e">
        <f t="shared" si="505"/>
        <v>#N/A</v>
      </c>
      <c r="FS79" s="47"/>
      <c r="FT79" s="47"/>
      <c r="FU79" s="396" t="e">
        <f t="shared" si="506"/>
        <v>#N/A</v>
      </c>
      <c r="FV79" s="397" t="e">
        <f t="shared" si="507"/>
        <v>#N/A</v>
      </c>
      <c r="FW79" s="400" t="e">
        <f t="shared" si="397"/>
        <v>#N/A</v>
      </c>
      <c r="FX79" s="398" t="e">
        <f t="shared" si="508"/>
        <v>#N/A</v>
      </c>
      <c r="FY79" s="402" t="e">
        <f t="shared" si="509"/>
        <v>#N/A</v>
      </c>
      <c r="FZ79" s="398" t="e">
        <f t="shared" si="591"/>
        <v>#N/A</v>
      </c>
      <c r="GA79" s="401" t="e">
        <f t="shared" si="592"/>
        <v>#N/A</v>
      </c>
      <c r="GB79" s="399" t="e">
        <f t="shared" si="510"/>
        <v>#N/A</v>
      </c>
      <c r="GC79" s="47"/>
      <c r="GD79" s="47"/>
      <c r="GE79" s="396" t="e">
        <f t="shared" si="511"/>
        <v>#N/A</v>
      </c>
      <c r="GF79" s="397" t="e">
        <f t="shared" si="512"/>
        <v>#N/A</v>
      </c>
      <c r="GG79" s="400" t="e">
        <f t="shared" si="398"/>
        <v>#N/A</v>
      </c>
      <c r="GH79" s="398" t="e">
        <f t="shared" si="513"/>
        <v>#N/A</v>
      </c>
      <c r="GI79" s="402" t="e">
        <f t="shared" si="514"/>
        <v>#N/A</v>
      </c>
      <c r="GJ79" s="398" t="e">
        <f t="shared" si="593"/>
        <v>#N/A</v>
      </c>
      <c r="GK79" s="401" t="e">
        <f t="shared" si="594"/>
        <v>#N/A</v>
      </c>
      <c r="GL79" s="399" t="e">
        <f t="shared" si="515"/>
        <v>#N/A</v>
      </c>
      <c r="GM79" s="47"/>
      <c r="GN79" s="47"/>
      <c r="GO79" s="396" t="e">
        <f t="shared" si="516"/>
        <v>#N/A</v>
      </c>
      <c r="GP79" s="397" t="e">
        <f t="shared" si="517"/>
        <v>#N/A</v>
      </c>
      <c r="GQ79" s="400" t="e">
        <f t="shared" si="399"/>
        <v>#N/A</v>
      </c>
      <c r="GR79" s="398" t="e">
        <f t="shared" si="518"/>
        <v>#N/A</v>
      </c>
      <c r="GS79" s="402" t="e">
        <f t="shared" si="519"/>
        <v>#N/A</v>
      </c>
      <c r="GT79" s="398" t="e">
        <f t="shared" si="595"/>
        <v>#N/A</v>
      </c>
      <c r="GU79" s="401" t="e">
        <f t="shared" si="596"/>
        <v>#N/A</v>
      </c>
      <c r="GV79" s="399" t="e">
        <f t="shared" si="520"/>
        <v>#N/A</v>
      </c>
      <c r="GW79" s="47"/>
      <c r="GX79" s="47"/>
      <c r="GY79" s="396" t="e">
        <f t="shared" si="521"/>
        <v>#N/A</v>
      </c>
      <c r="GZ79" s="397" t="e">
        <f t="shared" si="522"/>
        <v>#N/A</v>
      </c>
      <c r="HA79" s="400" t="e">
        <f t="shared" si="400"/>
        <v>#N/A</v>
      </c>
      <c r="HB79" s="398" t="e">
        <f t="shared" si="523"/>
        <v>#N/A</v>
      </c>
      <c r="HC79" s="402" t="e">
        <f t="shared" si="524"/>
        <v>#N/A</v>
      </c>
      <c r="HD79" s="398" t="e">
        <f t="shared" si="597"/>
        <v>#N/A</v>
      </c>
      <c r="HE79" s="401" t="e">
        <f t="shared" si="598"/>
        <v>#N/A</v>
      </c>
      <c r="HF79" s="399" t="e">
        <f t="shared" si="525"/>
        <v>#N/A</v>
      </c>
      <c r="HH79" s="47"/>
      <c r="HI79" s="396" t="e">
        <f t="shared" si="526"/>
        <v>#N/A</v>
      </c>
      <c r="HJ79" s="397" t="e">
        <f t="shared" si="527"/>
        <v>#N/A</v>
      </c>
      <c r="HK79" s="400" t="e">
        <f t="shared" si="401"/>
        <v>#N/A</v>
      </c>
      <c r="HL79" s="398" t="e">
        <f t="shared" si="528"/>
        <v>#N/A</v>
      </c>
      <c r="HM79" s="402" t="e">
        <f t="shared" si="529"/>
        <v>#N/A</v>
      </c>
      <c r="HN79" s="398" t="e">
        <f t="shared" si="599"/>
        <v>#N/A</v>
      </c>
      <c r="HO79" s="401" t="e">
        <f t="shared" si="600"/>
        <v>#N/A</v>
      </c>
      <c r="HP79" s="399" t="e">
        <f t="shared" si="530"/>
        <v>#N/A</v>
      </c>
      <c r="HQ79" s="47"/>
      <c r="HR79" s="47"/>
      <c r="HS79" s="396" t="e">
        <f t="shared" si="531"/>
        <v>#N/A</v>
      </c>
      <c r="HT79" s="397" t="e">
        <f t="shared" si="532"/>
        <v>#N/A</v>
      </c>
      <c r="HU79" s="400" t="e">
        <f t="shared" si="402"/>
        <v>#N/A</v>
      </c>
      <c r="HV79" s="398" t="e">
        <f t="shared" si="533"/>
        <v>#N/A</v>
      </c>
      <c r="HW79" s="402" t="e">
        <f t="shared" si="534"/>
        <v>#N/A</v>
      </c>
      <c r="HX79" s="398" t="e">
        <f t="shared" si="601"/>
        <v>#N/A</v>
      </c>
      <c r="HY79" s="401" t="e">
        <f t="shared" si="602"/>
        <v>#N/A</v>
      </c>
      <c r="HZ79" s="399" t="e">
        <f t="shared" si="535"/>
        <v>#N/A</v>
      </c>
      <c r="IA79" s="47"/>
      <c r="IB79" s="49"/>
      <c r="IC79" s="396" t="e">
        <f t="shared" si="536"/>
        <v>#N/A</v>
      </c>
      <c r="ID79" s="397" t="e">
        <f t="shared" si="537"/>
        <v>#N/A</v>
      </c>
      <c r="IE79" s="400" t="e">
        <f t="shared" si="403"/>
        <v>#N/A</v>
      </c>
      <c r="IF79" s="398" t="e">
        <f t="shared" si="538"/>
        <v>#N/A</v>
      </c>
      <c r="IG79" s="402" t="e">
        <f t="shared" si="539"/>
        <v>#N/A</v>
      </c>
      <c r="IH79" s="398" t="e">
        <f t="shared" si="603"/>
        <v>#N/A</v>
      </c>
      <c r="II79" s="401" t="e">
        <f t="shared" si="604"/>
        <v>#N/A</v>
      </c>
      <c r="IJ79" s="399" t="e">
        <f t="shared" si="540"/>
        <v>#N/A</v>
      </c>
      <c r="IK79" s="47"/>
      <c r="IL79" s="47"/>
      <c r="IM79" s="396" t="e">
        <f t="shared" si="541"/>
        <v>#N/A</v>
      </c>
      <c r="IN79" s="397" t="e">
        <f t="shared" si="542"/>
        <v>#N/A</v>
      </c>
      <c r="IO79" s="400" t="e">
        <f t="shared" si="404"/>
        <v>#N/A</v>
      </c>
      <c r="IP79" s="398" t="e">
        <f t="shared" si="543"/>
        <v>#N/A</v>
      </c>
      <c r="IQ79" s="402" t="e">
        <f t="shared" si="544"/>
        <v>#N/A</v>
      </c>
      <c r="IR79" s="398" t="e">
        <f t="shared" si="605"/>
        <v>#N/A</v>
      </c>
      <c r="IS79" s="401" t="e">
        <f t="shared" si="606"/>
        <v>#N/A</v>
      </c>
      <c r="IT79" s="399" t="e">
        <f t="shared" si="545"/>
        <v>#N/A</v>
      </c>
      <c r="IU79" s="47"/>
      <c r="IV79" s="47"/>
      <c r="IW79" s="396" t="e">
        <f t="shared" si="405"/>
        <v>#N/A</v>
      </c>
      <c r="IX79" s="397" t="e">
        <f t="shared" si="406"/>
        <v>#N/A</v>
      </c>
      <c r="IY79" s="400" t="e">
        <f t="shared" si="407"/>
        <v>#N/A</v>
      </c>
      <c r="IZ79" s="398" t="e">
        <f t="shared" si="348"/>
        <v>#N/A</v>
      </c>
      <c r="JA79" s="402" t="e">
        <f t="shared" si="408"/>
        <v>#N/A</v>
      </c>
      <c r="JB79" s="398" t="e">
        <f t="shared" si="409"/>
        <v>#N/A</v>
      </c>
      <c r="JC79" s="401" t="e">
        <f t="shared" si="546"/>
        <v>#N/A</v>
      </c>
      <c r="JD79" s="399" t="e">
        <f t="shared" si="547"/>
        <v>#N/A</v>
      </c>
      <c r="JE79" s="47"/>
      <c r="JF79" s="47"/>
      <c r="JG79" s="396" t="e">
        <f t="shared" si="410"/>
        <v>#N/A</v>
      </c>
      <c r="JH79" s="397" t="e">
        <f t="shared" si="411"/>
        <v>#N/A</v>
      </c>
      <c r="JI79" s="400" t="e">
        <f t="shared" si="412"/>
        <v>#N/A</v>
      </c>
      <c r="JJ79" s="398" t="e">
        <f t="shared" si="349"/>
        <v>#N/A</v>
      </c>
      <c r="JK79" s="402" t="e">
        <f t="shared" si="413"/>
        <v>#N/A</v>
      </c>
      <c r="JL79" s="398" t="e">
        <f t="shared" si="414"/>
        <v>#N/A</v>
      </c>
      <c r="JM79" s="401" t="e">
        <f t="shared" si="548"/>
        <v>#N/A</v>
      </c>
      <c r="JN79" s="399" t="e">
        <f t="shared" si="549"/>
        <v>#N/A</v>
      </c>
      <c r="JO79" s="47"/>
      <c r="JP79" s="47"/>
      <c r="JQ79" s="396" t="e">
        <f t="shared" si="415"/>
        <v>#N/A</v>
      </c>
      <c r="JR79" s="397" t="e">
        <f t="shared" si="416"/>
        <v>#N/A</v>
      </c>
      <c r="JS79" s="400" t="e">
        <f t="shared" si="417"/>
        <v>#N/A</v>
      </c>
      <c r="JT79" s="398" t="e">
        <f t="shared" si="350"/>
        <v>#N/A</v>
      </c>
      <c r="JU79" s="402" t="e">
        <f t="shared" si="418"/>
        <v>#N/A</v>
      </c>
      <c r="JV79" s="398" t="e">
        <f t="shared" si="419"/>
        <v>#N/A</v>
      </c>
      <c r="JW79" s="401" t="e">
        <f t="shared" si="550"/>
        <v>#N/A</v>
      </c>
      <c r="JX79" s="399" t="e">
        <f t="shared" si="551"/>
        <v>#N/A</v>
      </c>
      <c r="JY79" s="47"/>
      <c r="JZ79" s="47"/>
      <c r="KA79" s="396" t="e">
        <f t="shared" si="420"/>
        <v>#N/A</v>
      </c>
      <c r="KB79" s="397" t="e">
        <f t="shared" si="421"/>
        <v>#N/A</v>
      </c>
      <c r="KC79" s="400" t="e">
        <f t="shared" si="422"/>
        <v>#N/A</v>
      </c>
      <c r="KD79" s="398" t="e">
        <f t="shared" si="351"/>
        <v>#N/A</v>
      </c>
      <c r="KE79" s="402" t="e">
        <f t="shared" si="423"/>
        <v>#N/A</v>
      </c>
      <c r="KF79" s="398" t="e">
        <f t="shared" si="424"/>
        <v>#N/A</v>
      </c>
      <c r="KG79" s="401" t="e">
        <f t="shared" si="552"/>
        <v>#N/A</v>
      </c>
      <c r="KH79" s="399" t="e">
        <f t="shared" si="553"/>
        <v>#N/A</v>
      </c>
      <c r="KI79" s="47"/>
      <c r="KJ79" s="47"/>
      <c r="KK79" s="396" t="e">
        <f t="shared" si="425"/>
        <v>#N/A</v>
      </c>
      <c r="KL79" s="397" t="e">
        <f t="shared" si="426"/>
        <v>#N/A</v>
      </c>
      <c r="KM79" s="400" t="e">
        <f t="shared" si="427"/>
        <v>#N/A</v>
      </c>
      <c r="KN79" s="398" t="e">
        <f t="shared" si="352"/>
        <v>#N/A</v>
      </c>
      <c r="KO79" s="402" t="e">
        <f t="shared" si="428"/>
        <v>#N/A</v>
      </c>
      <c r="KP79" s="398" t="e">
        <f t="shared" si="429"/>
        <v>#N/A</v>
      </c>
      <c r="KQ79" s="401" t="e">
        <f t="shared" si="554"/>
        <v>#N/A</v>
      </c>
      <c r="KR79" s="399" t="e">
        <f t="shared" si="555"/>
        <v>#N/A</v>
      </c>
      <c r="KS79" s="47"/>
      <c r="KT79" s="47"/>
      <c r="KU79" s="396" t="e">
        <f t="shared" si="556"/>
        <v>#N/A</v>
      </c>
      <c r="KV79" s="397" t="e">
        <f t="shared" si="557"/>
        <v>#N/A</v>
      </c>
      <c r="KW79" s="400" t="e">
        <f t="shared" si="430"/>
        <v>#N/A</v>
      </c>
      <c r="KX79" s="398" t="e">
        <f t="shared" si="558"/>
        <v>#N/A</v>
      </c>
      <c r="KY79" s="402" t="e">
        <f t="shared" si="559"/>
        <v>#N/A</v>
      </c>
      <c r="KZ79" s="398" t="e">
        <f t="shared" si="607"/>
        <v>#N/A</v>
      </c>
      <c r="LA79" s="401" t="e">
        <f t="shared" si="608"/>
        <v>#N/A</v>
      </c>
      <c r="LB79" s="399" t="e">
        <f t="shared" si="560"/>
        <v>#N/A</v>
      </c>
      <c r="LC79" s="47"/>
    </row>
    <row r="80" spans="26:315" x14ac:dyDescent="0.25">
      <c r="Z80" s="413"/>
      <c r="AA80" s="396" t="e">
        <f t="shared" si="431"/>
        <v>#N/A</v>
      </c>
      <c r="AB80" s="397" t="e">
        <f t="shared" si="432"/>
        <v>#N/A</v>
      </c>
      <c r="AC80" s="400" t="e">
        <f t="shared" si="382"/>
        <v>#N/A</v>
      </c>
      <c r="AD80" s="398" t="e">
        <f t="shared" si="433"/>
        <v>#N/A</v>
      </c>
      <c r="AE80" s="402" t="e">
        <f t="shared" si="434"/>
        <v>#N/A</v>
      </c>
      <c r="AF80" s="398" t="e">
        <f t="shared" si="561"/>
        <v>#N/A</v>
      </c>
      <c r="AG80" s="401" t="e">
        <f t="shared" si="562"/>
        <v>#N/A</v>
      </c>
      <c r="AH80" s="399" t="e">
        <f t="shared" si="435"/>
        <v>#N/A</v>
      </c>
      <c r="AI80" s="47"/>
      <c r="AJ80" s="47"/>
      <c r="AK80" s="396" t="e">
        <f t="shared" si="436"/>
        <v>#N/A</v>
      </c>
      <c r="AL80" s="397" t="e">
        <f t="shared" si="437"/>
        <v>#N/A</v>
      </c>
      <c r="AM80" s="400" t="e">
        <f t="shared" si="383"/>
        <v>#N/A</v>
      </c>
      <c r="AN80" s="398" t="e">
        <f t="shared" si="438"/>
        <v>#N/A</v>
      </c>
      <c r="AO80" s="402" t="e">
        <f t="shared" si="439"/>
        <v>#N/A</v>
      </c>
      <c r="AP80" s="398" t="e">
        <f t="shared" si="563"/>
        <v>#N/A</v>
      </c>
      <c r="AQ80" s="401" t="e">
        <f t="shared" si="564"/>
        <v>#N/A</v>
      </c>
      <c r="AR80" s="399" t="e">
        <f t="shared" si="440"/>
        <v>#N/A</v>
      </c>
      <c r="AS80" s="47"/>
      <c r="AT80" s="47"/>
      <c r="AU80" s="396" t="e">
        <f t="shared" si="441"/>
        <v>#N/A</v>
      </c>
      <c r="AV80" s="397" t="e">
        <f t="shared" si="442"/>
        <v>#N/A</v>
      </c>
      <c r="AW80" s="400" t="e">
        <f t="shared" si="384"/>
        <v>#N/A</v>
      </c>
      <c r="AX80" s="398" t="e">
        <f t="shared" si="443"/>
        <v>#N/A</v>
      </c>
      <c r="AY80" s="402" t="e">
        <f t="shared" si="444"/>
        <v>#N/A</v>
      </c>
      <c r="AZ80" s="398" t="e">
        <f t="shared" si="565"/>
        <v>#N/A</v>
      </c>
      <c r="BA80" s="401" t="e">
        <f t="shared" si="566"/>
        <v>#N/A</v>
      </c>
      <c r="BB80" s="399" t="e">
        <f t="shared" si="445"/>
        <v>#N/A</v>
      </c>
      <c r="BC80" s="47"/>
      <c r="BD80" s="47"/>
      <c r="BE80" s="396" t="e">
        <f t="shared" si="446"/>
        <v>#N/A</v>
      </c>
      <c r="BF80" s="397" t="e">
        <f t="shared" si="447"/>
        <v>#N/A</v>
      </c>
      <c r="BG80" s="400" t="e">
        <f t="shared" si="385"/>
        <v>#N/A</v>
      </c>
      <c r="BH80" s="398" t="e">
        <f t="shared" si="448"/>
        <v>#N/A</v>
      </c>
      <c r="BI80" s="402" t="e">
        <f t="shared" si="449"/>
        <v>#N/A</v>
      </c>
      <c r="BJ80" s="398" t="e">
        <f t="shared" si="567"/>
        <v>#N/A</v>
      </c>
      <c r="BK80" s="401" t="e">
        <f t="shared" si="568"/>
        <v>#N/A</v>
      </c>
      <c r="BL80" s="399" t="e">
        <f t="shared" si="450"/>
        <v>#N/A</v>
      </c>
      <c r="BM80" s="47"/>
      <c r="BN80" s="49"/>
      <c r="BO80" s="396" t="e">
        <f t="shared" si="451"/>
        <v>#N/A</v>
      </c>
      <c r="BP80" s="397" t="e">
        <f t="shared" si="452"/>
        <v>#N/A</v>
      </c>
      <c r="BQ80" s="400" t="e">
        <f t="shared" si="386"/>
        <v>#N/A</v>
      </c>
      <c r="BR80" s="398" t="e">
        <f t="shared" si="453"/>
        <v>#N/A</v>
      </c>
      <c r="BS80" s="402" t="e">
        <f t="shared" si="454"/>
        <v>#N/A</v>
      </c>
      <c r="BT80" s="398" t="e">
        <f t="shared" si="569"/>
        <v>#N/A</v>
      </c>
      <c r="BU80" s="401" t="e">
        <f t="shared" si="570"/>
        <v>#N/A</v>
      </c>
      <c r="BV80" s="399" t="e">
        <f t="shared" si="455"/>
        <v>#N/A</v>
      </c>
      <c r="BW80" s="47"/>
      <c r="BX80" s="47"/>
      <c r="BY80" s="396" t="e">
        <f t="shared" si="456"/>
        <v>#N/A</v>
      </c>
      <c r="BZ80" s="397" t="e">
        <f t="shared" si="457"/>
        <v>#N/A</v>
      </c>
      <c r="CA80" s="400" t="e">
        <f t="shared" si="387"/>
        <v>#N/A</v>
      </c>
      <c r="CB80" s="398" t="e">
        <f t="shared" si="458"/>
        <v>#N/A</v>
      </c>
      <c r="CC80" s="402" t="e">
        <f t="shared" si="459"/>
        <v>#N/A</v>
      </c>
      <c r="CD80" s="398" t="e">
        <f t="shared" si="571"/>
        <v>#N/A</v>
      </c>
      <c r="CE80" s="401" t="e">
        <f t="shared" si="572"/>
        <v>#N/A</v>
      </c>
      <c r="CF80" s="399" t="e">
        <f t="shared" si="460"/>
        <v>#N/A</v>
      </c>
      <c r="CG80" s="49"/>
      <c r="CH80" s="47"/>
      <c r="CI80" s="396" t="e">
        <f t="shared" si="461"/>
        <v>#N/A</v>
      </c>
      <c r="CJ80" s="397" t="e">
        <f t="shared" si="462"/>
        <v>#N/A</v>
      </c>
      <c r="CK80" s="400" t="e">
        <f t="shared" si="388"/>
        <v>#N/A</v>
      </c>
      <c r="CL80" s="398" t="e">
        <f t="shared" si="463"/>
        <v>#N/A</v>
      </c>
      <c r="CM80" s="402" t="e">
        <f t="shared" si="464"/>
        <v>#N/A</v>
      </c>
      <c r="CN80" s="398" t="e">
        <f t="shared" si="573"/>
        <v>#N/A</v>
      </c>
      <c r="CO80" s="401" t="e">
        <f t="shared" si="574"/>
        <v>#N/A</v>
      </c>
      <c r="CP80" s="399" t="e">
        <f t="shared" si="465"/>
        <v>#N/A</v>
      </c>
      <c r="CQ80" s="47"/>
      <c r="CS80" s="396" t="e">
        <f t="shared" si="466"/>
        <v>#N/A</v>
      </c>
      <c r="CT80" s="397" t="e">
        <f t="shared" si="467"/>
        <v>#N/A</v>
      </c>
      <c r="CU80" s="400" t="e">
        <f t="shared" si="389"/>
        <v>#N/A</v>
      </c>
      <c r="CV80" s="398" t="e">
        <f t="shared" si="468"/>
        <v>#N/A</v>
      </c>
      <c r="CW80" s="402" t="e">
        <f t="shared" si="469"/>
        <v>#N/A</v>
      </c>
      <c r="CX80" s="398" t="e">
        <f t="shared" si="575"/>
        <v>#N/A</v>
      </c>
      <c r="CY80" s="401" t="e">
        <f t="shared" si="576"/>
        <v>#N/A</v>
      </c>
      <c r="CZ80" s="399" t="e">
        <f t="shared" si="470"/>
        <v>#N/A</v>
      </c>
      <c r="DA80" s="47"/>
      <c r="DB80" s="47"/>
      <c r="DC80" s="396" t="e">
        <f t="shared" si="471"/>
        <v>#N/A</v>
      </c>
      <c r="DD80" s="397" t="e">
        <f t="shared" si="472"/>
        <v>#N/A</v>
      </c>
      <c r="DE80" s="400" t="e">
        <f t="shared" si="390"/>
        <v>#N/A</v>
      </c>
      <c r="DF80" s="398" t="e">
        <f t="shared" si="473"/>
        <v>#N/A</v>
      </c>
      <c r="DG80" s="402" t="e">
        <f t="shared" si="474"/>
        <v>#N/A</v>
      </c>
      <c r="DH80" s="398" t="e">
        <f t="shared" si="577"/>
        <v>#N/A</v>
      </c>
      <c r="DI80" s="401" t="e">
        <f t="shared" si="578"/>
        <v>#N/A</v>
      </c>
      <c r="DJ80" s="399" t="e">
        <f t="shared" si="475"/>
        <v>#N/A</v>
      </c>
      <c r="DK80" s="47"/>
      <c r="DM80" s="396" t="e">
        <f t="shared" si="476"/>
        <v>#N/A</v>
      </c>
      <c r="DN80" s="397" t="e">
        <f t="shared" si="477"/>
        <v>#N/A</v>
      </c>
      <c r="DO80" s="400" t="e">
        <f t="shared" si="391"/>
        <v>#N/A</v>
      </c>
      <c r="DP80" s="398" t="e">
        <f t="shared" si="478"/>
        <v>#N/A</v>
      </c>
      <c r="DQ80" s="402" t="e">
        <f t="shared" si="479"/>
        <v>#N/A</v>
      </c>
      <c r="DR80" s="398" t="e">
        <f t="shared" si="579"/>
        <v>#N/A</v>
      </c>
      <c r="DS80" s="401" t="e">
        <f t="shared" si="580"/>
        <v>#N/A</v>
      </c>
      <c r="DT80" s="399" t="e">
        <f t="shared" si="480"/>
        <v>#N/A</v>
      </c>
      <c r="DU80" s="47"/>
      <c r="DV80" s="49"/>
      <c r="DW80" s="396" t="e">
        <f t="shared" si="481"/>
        <v>#N/A</v>
      </c>
      <c r="DX80" s="397" t="e">
        <f t="shared" si="482"/>
        <v>#N/A</v>
      </c>
      <c r="DY80" s="400" t="e">
        <f t="shared" si="392"/>
        <v>#N/A</v>
      </c>
      <c r="DZ80" s="398" t="e">
        <f t="shared" si="483"/>
        <v>#N/A</v>
      </c>
      <c r="EA80" s="402" t="e">
        <f t="shared" si="484"/>
        <v>#N/A</v>
      </c>
      <c r="EB80" s="398" t="e">
        <f t="shared" si="581"/>
        <v>#N/A</v>
      </c>
      <c r="EC80" s="401" t="e">
        <f t="shared" si="582"/>
        <v>#N/A</v>
      </c>
      <c r="ED80" s="399" t="e">
        <f t="shared" si="485"/>
        <v>#N/A</v>
      </c>
      <c r="EE80" s="47"/>
      <c r="EF80" s="47"/>
      <c r="EG80" s="396" t="e">
        <f t="shared" si="486"/>
        <v>#N/A</v>
      </c>
      <c r="EH80" s="397" t="e">
        <f t="shared" si="487"/>
        <v>#N/A</v>
      </c>
      <c r="EI80" s="400" t="e">
        <f t="shared" si="393"/>
        <v>#N/A</v>
      </c>
      <c r="EJ80" s="398" t="e">
        <f t="shared" si="488"/>
        <v>#N/A</v>
      </c>
      <c r="EK80" s="402" t="e">
        <f t="shared" si="489"/>
        <v>#N/A</v>
      </c>
      <c r="EL80" s="398" t="e">
        <f t="shared" si="583"/>
        <v>#N/A</v>
      </c>
      <c r="EM80" s="401" t="e">
        <f t="shared" si="584"/>
        <v>#N/A</v>
      </c>
      <c r="EN80" s="399" t="e">
        <f t="shared" si="490"/>
        <v>#N/A</v>
      </c>
      <c r="EO80" s="47"/>
      <c r="EP80" s="47"/>
      <c r="EQ80" s="396" t="e">
        <f t="shared" si="491"/>
        <v>#N/A</v>
      </c>
      <c r="ER80" s="397" t="e">
        <f t="shared" si="492"/>
        <v>#N/A</v>
      </c>
      <c r="ES80" s="400" t="e">
        <f t="shared" si="394"/>
        <v>#N/A</v>
      </c>
      <c r="ET80" s="398" t="e">
        <f t="shared" si="493"/>
        <v>#N/A</v>
      </c>
      <c r="EU80" s="402" t="e">
        <f t="shared" si="494"/>
        <v>#N/A</v>
      </c>
      <c r="EV80" s="398" t="e">
        <f t="shared" si="585"/>
        <v>#N/A</v>
      </c>
      <c r="EW80" s="401" t="e">
        <f t="shared" si="586"/>
        <v>#N/A</v>
      </c>
      <c r="EX80" s="399" t="e">
        <f t="shared" si="495"/>
        <v>#N/A</v>
      </c>
      <c r="EY80" s="47"/>
      <c r="EZ80" s="47"/>
      <c r="FA80" s="396" t="e">
        <f t="shared" si="496"/>
        <v>#N/A</v>
      </c>
      <c r="FB80" s="397" t="e">
        <f t="shared" si="497"/>
        <v>#N/A</v>
      </c>
      <c r="FC80" s="400" t="e">
        <f t="shared" si="395"/>
        <v>#N/A</v>
      </c>
      <c r="FD80" s="398" t="e">
        <f t="shared" si="498"/>
        <v>#N/A</v>
      </c>
      <c r="FE80" s="402" t="e">
        <f t="shared" si="499"/>
        <v>#N/A</v>
      </c>
      <c r="FF80" s="398" t="e">
        <f t="shared" si="587"/>
        <v>#N/A</v>
      </c>
      <c r="FG80" s="401" t="e">
        <f t="shared" si="588"/>
        <v>#N/A</v>
      </c>
      <c r="FH80" s="399" t="e">
        <f t="shared" si="500"/>
        <v>#N/A</v>
      </c>
      <c r="FI80" s="47"/>
      <c r="FJ80" s="49"/>
      <c r="FK80" s="396" t="e">
        <f t="shared" si="501"/>
        <v>#N/A</v>
      </c>
      <c r="FL80" s="397" t="e">
        <f t="shared" si="502"/>
        <v>#N/A</v>
      </c>
      <c r="FM80" s="400" t="e">
        <f t="shared" si="396"/>
        <v>#N/A</v>
      </c>
      <c r="FN80" s="398" t="e">
        <f t="shared" si="503"/>
        <v>#N/A</v>
      </c>
      <c r="FO80" s="402" t="e">
        <f t="shared" si="504"/>
        <v>#N/A</v>
      </c>
      <c r="FP80" s="398" t="e">
        <f t="shared" si="589"/>
        <v>#N/A</v>
      </c>
      <c r="FQ80" s="401" t="e">
        <f t="shared" si="590"/>
        <v>#N/A</v>
      </c>
      <c r="FR80" s="399" t="e">
        <f t="shared" si="505"/>
        <v>#N/A</v>
      </c>
      <c r="FS80" s="47"/>
      <c r="FT80" s="47"/>
      <c r="FU80" s="396" t="e">
        <f t="shared" si="506"/>
        <v>#N/A</v>
      </c>
      <c r="FV80" s="397" t="e">
        <f t="shared" si="507"/>
        <v>#N/A</v>
      </c>
      <c r="FW80" s="400" t="e">
        <f t="shared" si="397"/>
        <v>#N/A</v>
      </c>
      <c r="FX80" s="398" t="e">
        <f t="shared" si="508"/>
        <v>#N/A</v>
      </c>
      <c r="FY80" s="402" t="e">
        <f t="shared" si="509"/>
        <v>#N/A</v>
      </c>
      <c r="FZ80" s="398" t="e">
        <f t="shared" si="591"/>
        <v>#N/A</v>
      </c>
      <c r="GA80" s="401" t="e">
        <f t="shared" si="592"/>
        <v>#N/A</v>
      </c>
      <c r="GB80" s="399" t="e">
        <f t="shared" si="510"/>
        <v>#N/A</v>
      </c>
      <c r="GC80" s="47"/>
      <c r="GD80" s="47"/>
      <c r="GE80" s="396" t="e">
        <f t="shared" si="511"/>
        <v>#N/A</v>
      </c>
      <c r="GF80" s="397" t="e">
        <f t="shared" si="512"/>
        <v>#N/A</v>
      </c>
      <c r="GG80" s="400" t="e">
        <f t="shared" si="398"/>
        <v>#N/A</v>
      </c>
      <c r="GH80" s="398" t="e">
        <f t="shared" si="513"/>
        <v>#N/A</v>
      </c>
      <c r="GI80" s="402" t="e">
        <f t="shared" si="514"/>
        <v>#N/A</v>
      </c>
      <c r="GJ80" s="398" t="e">
        <f t="shared" si="593"/>
        <v>#N/A</v>
      </c>
      <c r="GK80" s="401" t="e">
        <f t="shared" si="594"/>
        <v>#N/A</v>
      </c>
      <c r="GL80" s="399" t="e">
        <f t="shared" si="515"/>
        <v>#N/A</v>
      </c>
      <c r="GM80" s="47"/>
      <c r="GN80" s="47"/>
      <c r="GO80" s="396" t="e">
        <f t="shared" si="516"/>
        <v>#N/A</v>
      </c>
      <c r="GP80" s="397" t="e">
        <f t="shared" si="517"/>
        <v>#N/A</v>
      </c>
      <c r="GQ80" s="400" t="e">
        <f t="shared" si="399"/>
        <v>#N/A</v>
      </c>
      <c r="GR80" s="398" t="e">
        <f t="shared" si="518"/>
        <v>#N/A</v>
      </c>
      <c r="GS80" s="402" t="e">
        <f t="shared" si="519"/>
        <v>#N/A</v>
      </c>
      <c r="GT80" s="398" t="e">
        <f t="shared" si="595"/>
        <v>#N/A</v>
      </c>
      <c r="GU80" s="401" t="e">
        <f t="shared" si="596"/>
        <v>#N/A</v>
      </c>
      <c r="GV80" s="399" t="e">
        <f t="shared" si="520"/>
        <v>#N/A</v>
      </c>
      <c r="GW80" s="47"/>
      <c r="GX80" s="47"/>
      <c r="GY80" s="396" t="e">
        <f t="shared" si="521"/>
        <v>#N/A</v>
      </c>
      <c r="GZ80" s="397" t="e">
        <f t="shared" si="522"/>
        <v>#N/A</v>
      </c>
      <c r="HA80" s="400" t="e">
        <f t="shared" si="400"/>
        <v>#N/A</v>
      </c>
      <c r="HB80" s="398" t="e">
        <f t="shared" si="523"/>
        <v>#N/A</v>
      </c>
      <c r="HC80" s="402" t="e">
        <f t="shared" si="524"/>
        <v>#N/A</v>
      </c>
      <c r="HD80" s="398" t="e">
        <f t="shared" si="597"/>
        <v>#N/A</v>
      </c>
      <c r="HE80" s="401" t="e">
        <f t="shared" si="598"/>
        <v>#N/A</v>
      </c>
      <c r="HF80" s="399" t="e">
        <f t="shared" si="525"/>
        <v>#N/A</v>
      </c>
      <c r="HH80" s="47"/>
      <c r="HI80" s="396" t="e">
        <f t="shared" si="526"/>
        <v>#N/A</v>
      </c>
      <c r="HJ80" s="397" t="e">
        <f t="shared" si="527"/>
        <v>#N/A</v>
      </c>
      <c r="HK80" s="400" t="e">
        <f t="shared" si="401"/>
        <v>#N/A</v>
      </c>
      <c r="HL80" s="398" t="e">
        <f t="shared" si="528"/>
        <v>#N/A</v>
      </c>
      <c r="HM80" s="402" t="e">
        <f t="shared" si="529"/>
        <v>#N/A</v>
      </c>
      <c r="HN80" s="398" t="e">
        <f t="shared" si="599"/>
        <v>#N/A</v>
      </c>
      <c r="HO80" s="401" t="e">
        <f t="shared" si="600"/>
        <v>#N/A</v>
      </c>
      <c r="HP80" s="399" t="e">
        <f t="shared" si="530"/>
        <v>#N/A</v>
      </c>
      <c r="HQ80" s="47"/>
      <c r="HR80" s="47"/>
      <c r="HS80" s="396" t="e">
        <f t="shared" si="531"/>
        <v>#N/A</v>
      </c>
      <c r="HT80" s="397" t="e">
        <f t="shared" si="532"/>
        <v>#N/A</v>
      </c>
      <c r="HU80" s="400" t="e">
        <f t="shared" si="402"/>
        <v>#N/A</v>
      </c>
      <c r="HV80" s="398" t="e">
        <f t="shared" si="533"/>
        <v>#N/A</v>
      </c>
      <c r="HW80" s="402" t="e">
        <f t="shared" si="534"/>
        <v>#N/A</v>
      </c>
      <c r="HX80" s="398" t="e">
        <f t="shared" si="601"/>
        <v>#N/A</v>
      </c>
      <c r="HY80" s="401" t="e">
        <f t="shared" si="602"/>
        <v>#N/A</v>
      </c>
      <c r="HZ80" s="399" t="e">
        <f t="shared" si="535"/>
        <v>#N/A</v>
      </c>
      <c r="IA80" s="47"/>
      <c r="IB80" s="49"/>
      <c r="IC80" s="396" t="e">
        <f t="shared" si="536"/>
        <v>#N/A</v>
      </c>
      <c r="ID80" s="397" t="e">
        <f t="shared" si="537"/>
        <v>#N/A</v>
      </c>
      <c r="IE80" s="400" t="e">
        <f t="shared" si="403"/>
        <v>#N/A</v>
      </c>
      <c r="IF80" s="398" t="e">
        <f t="shared" si="538"/>
        <v>#N/A</v>
      </c>
      <c r="IG80" s="402" t="e">
        <f t="shared" si="539"/>
        <v>#N/A</v>
      </c>
      <c r="IH80" s="398" t="e">
        <f t="shared" si="603"/>
        <v>#N/A</v>
      </c>
      <c r="II80" s="401" t="e">
        <f t="shared" si="604"/>
        <v>#N/A</v>
      </c>
      <c r="IJ80" s="399" t="e">
        <f t="shared" si="540"/>
        <v>#N/A</v>
      </c>
      <c r="IK80" s="47"/>
      <c r="IL80" s="47"/>
      <c r="IM80" s="396" t="e">
        <f t="shared" si="541"/>
        <v>#N/A</v>
      </c>
      <c r="IN80" s="397" t="e">
        <f t="shared" si="542"/>
        <v>#N/A</v>
      </c>
      <c r="IO80" s="400" t="e">
        <f t="shared" si="404"/>
        <v>#N/A</v>
      </c>
      <c r="IP80" s="398" t="e">
        <f t="shared" si="543"/>
        <v>#N/A</v>
      </c>
      <c r="IQ80" s="402" t="e">
        <f t="shared" si="544"/>
        <v>#N/A</v>
      </c>
      <c r="IR80" s="398" t="e">
        <f t="shared" si="605"/>
        <v>#N/A</v>
      </c>
      <c r="IS80" s="401" t="e">
        <f t="shared" si="606"/>
        <v>#N/A</v>
      </c>
      <c r="IT80" s="399" t="e">
        <f t="shared" si="545"/>
        <v>#N/A</v>
      </c>
      <c r="IU80" s="47"/>
      <c r="IV80" s="47"/>
      <c r="IW80" s="396" t="e">
        <f t="shared" si="405"/>
        <v>#N/A</v>
      </c>
      <c r="IX80" s="397" t="e">
        <f t="shared" si="406"/>
        <v>#N/A</v>
      </c>
      <c r="IY80" s="400" t="e">
        <f t="shared" si="407"/>
        <v>#N/A</v>
      </c>
      <c r="IZ80" s="398" t="e">
        <f t="shared" si="348"/>
        <v>#N/A</v>
      </c>
      <c r="JA80" s="402" t="e">
        <f t="shared" si="408"/>
        <v>#N/A</v>
      </c>
      <c r="JB80" s="398" t="e">
        <f t="shared" si="409"/>
        <v>#N/A</v>
      </c>
      <c r="JC80" s="401" t="e">
        <f t="shared" si="546"/>
        <v>#N/A</v>
      </c>
      <c r="JD80" s="399" t="e">
        <f t="shared" si="547"/>
        <v>#N/A</v>
      </c>
      <c r="JE80" s="47"/>
      <c r="JF80" s="47"/>
      <c r="JG80" s="396" t="e">
        <f t="shared" si="410"/>
        <v>#N/A</v>
      </c>
      <c r="JH80" s="397" t="e">
        <f t="shared" si="411"/>
        <v>#N/A</v>
      </c>
      <c r="JI80" s="400" t="e">
        <f t="shared" si="412"/>
        <v>#N/A</v>
      </c>
      <c r="JJ80" s="398" t="e">
        <f t="shared" si="349"/>
        <v>#N/A</v>
      </c>
      <c r="JK80" s="402" t="e">
        <f t="shared" si="413"/>
        <v>#N/A</v>
      </c>
      <c r="JL80" s="398" t="e">
        <f t="shared" si="414"/>
        <v>#N/A</v>
      </c>
      <c r="JM80" s="401" t="e">
        <f t="shared" si="548"/>
        <v>#N/A</v>
      </c>
      <c r="JN80" s="399" t="e">
        <f t="shared" si="549"/>
        <v>#N/A</v>
      </c>
      <c r="JO80" s="47"/>
      <c r="JP80" s="47"/>
      <c r="JQ80" s="396" t="e">
        <f t="shared" si="415"/>
        <v>#N/A</v>
      </c>
      <c r="JR80" s="397" t="e">
        <f t="shared" si="416"/>
        <v>#N/A</v>
      </c>
      <c r="JS80" s="400" t="e">
        <f t="shared" si="417"/>
        <v>#N/A</v>
      </c>
      <c r="JT80" s="398" t="e">
        <f t="shared" si="350"/>
        <v>#N/A</v>
      </c>
      <c r="JU80" s="402" t="e">
        <f t="shared" si="418"/>
        <v>#N/A</v>
      </c>
      <c r="JV80" s="398" t="e">
        <f t="shared" si="419"/>
        <v>#N/A</v>
      </c>
      <c r="JW80" s="401" t="e">
        <f t="shared" si="550"/>
        <v>#N/A</v>
      </c>
      <c r="JX80" s="399" t="e">
        <f t="shared" si="551"/>
        <v>#N/A</v>
      </c>
      <c r="JY80" s="47"/>
      <c r="JZ80" s="47"/>
      <c r="KA80" s="396" t="e">
        <f t="shared" si="420"/>
        <v>#N/A</v>
      </c>
      <c r="KB80" s="397" t="e">
        <f t="shared" si="421"/>
        <v>#N/A</v>
      </c>
      <c r="KC80" s="400" t="e">
        <f t="shared" si="422"/>
        <v>#N/A</v>
      </c>
      <c r="KD80" s="398" t="e">
        <f t="shared" si="351"/>
        <v>#N/A</v>
      </c>
      <c r="KE80" s="402" t="e">
        <f t="shared" si="423"/>
        <v>#N/A</v>
      </c>
      <c r="KF80" s="398" t="e">
        <f t="shared" si="424"/>
        <v>#N/A</v>
      </c>
      <c r="KG80" s="401" t="e">
        <f t="shared" si="552"/>
        <v>#N/A</v>
      </c>
      <c r="KH80" s="399" t="e">
        <f t="shared" si="553"/>
        <v>#N/A</v>
      </c>
      <c r="KI80" s="47"/>
      <c r="KJ80" s="47"/>
      <c r="KK80" s="396" t="e">
        <f t="shared" si="425"/>
        <v>#N/A</v>
      </c>
      <c r="KL80" s="397" t="e">
        <f t="shared" si="426"/>
        <v>#N/A</v>
      </c>
      <c r="KM80" s="400" t="e">
        <f t="shared" si="427"/>
        <v>#N/A</v>
      </c>
      <c r="KN80" s="398" t="e">
        <f t="shared" si="352"/>
        <v>#N/A</v>
      </c>
      <c r="KO80" s="402" t="e">
        <f t="shared" si="428"/>
        <v>#N/A</v>
      </c>
      <c r="KP80" s="398" t="e">
        <f t="shared" si="429"/>
        <v>#N/A</v>
      </c>
      <c r="KQ80" s="401" t="e">
        <f t="shared" si="554"/>
        <v>#N/A</v>
      </c>
      <c r="KR80" s="399" t="e">
        <f t="shared" si="555"/>
        <v>#N/A</v>
      </c>
      <c r="KS80" s="47"/>
      <c r="KT80" s="47"/>
      <c r="KU80" s="396" t="e">
        <f t="shared" si="556"/>
        <v>#N/A</v>
      </c>
      <c r="KV80" s="397" t="e">
        <f t="shared" si="557"/>
        <v>#N/A</v>
      </c>
      <c r="KW80" s="400" t="e">
        <f t="shared" si="430"/>
        <v>#N/A</v>
      </c>
      <c r="KX80" s="398" t="e">
        <f t="shared" si="558"/>
        <v>#N/A</v>
      </c>
      <c r="KY80" s="402" t="e">
        <f t="shared" si="559"/>
        <v>#N/A</v>
      </c>
      <c r="KZ80" s="398" t="e">
        <f t="shared" si="607"/>
        <v>#N/A</v>
      </c>
      <c r="LA80" s="401" t="e">
        <f t="shared" si="608"/>
        <v>#N/A</v>
      </c>
      <c r="LB80" s="399" t="e">
        <f t="shared" si="560"/>
        <v>#N/A</v>
      </c>
      <c r="LC80" s="47"/>
    </row>
    <row r="81" spans="26:315" x14ac:dyDescent="0.25">
      <c r="Z81" s="413"/>
      <c r="AA81" s="396" t="e">
        <f t="shared" si="431"/>
        <v>#N/A</v>
      </c>
      <c r="AB81" s="397" t="e">
        <f t="shared" si="432"/>
        <v>#N/A</v>
      </c>
      <c r="AC81" s="400" t="e">
        <f t="shared" si="382"/>
        <v>#N/A</v>
      </c>
      <c r="AD81" s="398" t="e">
        <f t="shared" si="433"/>
        <v>#N/A</v>
      </c>
      <c r="AE81" s="402" t="e">
        <f t="shared" si="434"/>
        <v>#N/A</v>
      </c>
      <c r="AF81" s="398" t="e">
        <f t="shared" si="561"/>
        <v>#N/A</v>
      </c>
      <c r="AG81" s="401" t="e">
        <f t="shared" si="562"/>
        <v>#N/A</v>
      </c>
      <c r="AH81" s="399" t="e">
        <f t="shared" si="435"/>
        <v>#N/A</v>
      </c>
      <c r="AI81" s="47"/>
      <c r="AJ81" s="47"/>
      <c r="AK81" s="396" t="e">
        <f t="shared" si="436"/>
        <v>#N/A</v>
      </c>
      <c r="AL81" s="397" t="e">
        <f t="shared" si="437"/>
        <v>#N/A</v>
      </c>
      <c r="AM81" s="400" t="e">
        <f t="shared" si="383"/>
        <v>#N/A</v>
      </c>
      <c r="AN81" s="398" t="e">
        <f t="shared" si="438"/>
        <v>#N/A</v>
      </c>
      <c r="AO81" s="402" t="e">
        <f t="shared" si="439"/>
        <v>#N/A</v>
      </c>
      <c r="AP81" s="398" t="e">
        <f t="shared" si="563"/>
        <v>#N/A</v>
      </c>
      <c r="AQ81" s="401" t="e">
        <f t="shared" si="564"/>
        <v>#N/A</v>
      </c>
      <c r="AR81" s="399" t="e">
        <f t="shared" si="440"/>
        <v>#N/A</v>
      </c>
      <c r="AS81" s="47"/>
      <c r="AT81" s="47"/>
      <c r="AU81" s="396" t="e">
        <f t="shared" si="441"/>
        <v>#N/A</v>
      </c>
      <c r="AV81" s="397" t="e">
        <f t="shared" si="442"/>
        <v>#N/A</v>
      </c>
      <c r="AW81" s="400" t="e">
        <f t="shared" si="384"/>
        <v>#N/A</v>
      </c>
      <c r="AX81" s="398" t="e">
        <f t="shared" si="443"/>
        <v>#N/A</v>
      </c>
      <c r="AY81" s="402" t="e">
        <f t="shared" si="444"/>
        <v>#N/A</v>
      </c>
      <c r="AZ81" s="398" t="e">
        <f t="shared" si="565"/>
        <v>#N/A</v>
      </c>
      <c r="BA81" s="401" t="e">
        <f t="shared" si="566"/>
        <v>#N/A</v>
      </c>
      <c r="BB81" s="399" t="e">
        <f t="shared" si="445"/>
        <v>#N/A</v>
      </c>
      <c r="BC81" s="47"/>
      <c r="BD81" s="47"/>
      <c r="BE81" s="396" t="e">
        <f t="shared" si="446"/>
        <v>#N/A</v>
      </c>
      <c r="BF81" s="397" t="e">
        <f t="shared" si="447"/>
        <v>#N/A</v>
      </c>
      <c r="BG81" s="400" t="e">
        <f t="shared" si="385"/>
        <v>#N/A</v>
      </c>
      <c r="BH81" s="398" t="e">
        <f t="shared" si="448"/>
        <v>#N/A</v>
      </c>
      <c r="BI81" s="402" t="e">
        <f t="shared" si="449"/>
        <v>#N/A</v>
      </c>
      <c r="BJ81" s="398" t="e">
        <f t="shared" si="567"/>
        <v>#N/A</v>
      </c>
      <c r="BK81" s="401" t="e">
        <f t="shared" si="568"/>
        <v>#N/A</v>
      </c>
      <c r="BL81" s="399" t="e">
        <f t="shared" si="450"/>
        <v>#N/A</v>
      </c>
      <c r="BM81" s="47"/>
      <c r="BN81" s="49"/>
      <c r="BO81" s="396" t="e">
        <f t="shared" si="451"/>
        <v>#N/A</v>
      </c>
      <c r="BP81" s="397" t="e">
        <f t="shared" si="452"/>
        <v>#N/A</v>
      </c>
      <c r="BQ81" s="400" t="e">
        <f t="shared" si="386"/>
        <v>#N/A</v>
      </c>
      <c r="BR81" s="398" t="e">
        <f t="shared" si="453"/>
        <v>#N/A</v>
      </c>
      <c r="BS81" s="402" t="e">
        <f t="shared" si="454"/>
        <v>#N/A</v>
      </c>
      <c r="BT81" s="398" t="e">
        <f t="shared" si="569"/>
        <v>#N/A</v>
      </c>
      <c r="BU81" s="401" t="e">
        <f t="shared" si="570"/>
        <v>#N/A</v>
      </c>
      <c r="BV81" s="399" t="e">
        <f t="shared" si="455"/>
        <v>#N/A</v>
      </c>
      <c r="BW81" s="47"/>
      <c r="BX81" s="47"/>
      <c r="BY81" s="396" t="e">
        <f t="shared" si="456"/>
        <v>#N/A</v>
      </c>
      <c r="BZ81" s="397" t="e">
        <f t="shared" si="457"/>
        <v>#N/A</v>
      </c>
      <c r="CA81" s="400" t="e">
        <f t="shared" si="387"/>
        <v>#N/A</v>
      </c>
      <c r="CB81" s="398" t="e">
        <f t="shared" si="458"/>
        <v>#N/A</v>
      </c>
      <c r="CC81" s="402" t="e">
        <f t="shared" si="459"/>
        <v>#N/A</v>
      </c>
      <c r="CD81" s="398" t="e">
        <f t="shared" si="571"/>
        <v>#N/A</v>
      </c>
      <c r="CE81" s="401" t="e">
        <f t="shared" si="572"/>
        <v>#N/A</v>
      </c>
      <c r="CF81" s="399" t="e">
        <f t="shared" si="460"/>
        <v>#N/A</v>
      </c>
      <c r="CG81" s="49"/>
      <c r="CH81" s="47"/>
      <c r="CI81" s="396" t="e">
        <f t="shared" si="461"/>
        <v>#N/A</v>
      </c>
      <c r="CJ81" s="397" t="e">
        <f t="shared" si="462"/>
        <v>#N/A</v>
      </c>
      <c r="CK81" s="400" t="e">
        <f t="shared" si="388"/>
        <v>#N/A</v>
      </c>
      <c r="CL81" s="398" t="e">
        <f t="shared" si="463"/>
        <v>#N/A</v>
      </c>
      <c r="CM81" s="402" t="e">
        <f t="shared" si="464"/>
        <v>#N/A</v>
      </c>
      <c r="CN81" s="398" t="e">
        <f t="shared" si="573"/>
        <v>#N/A</v>
      </c>
      <c r="CO81" s="401" t="e">
        <f t="shared" si="574"/>
        <v>#N/A</v>
      </c>
      <c r="CP81" s="399" t="e">
        <f t="shared" si="465"/>
        <v>#N/A</v>
      </c>
      <c r="CQ81" s="47"/>
      <c r="CS81" s="396" t="e">
        <f t="shared" si="466"/>
        <v>#N/A</v>
      </c>
      <c r="CT81" s="397" t="e">
        <f t="shared" si="467"/>
        <v>#N/A</v>
      </c>
      <c r="CU81" s="400" t="e">
        <f t="shared" si="389"/>
        <v>#N/A</v>
      </c>
      <c r="CV81" s="398" t="e">
        <f t="shared" si="468"/>
        <v>#N/A</v>
      </c>
      <c r="CW81" s="402" t="e">
        <f t="shared" si="469"/>
        <v>#N/A</v>
      </c>
      <c r="CX81" s="398" t="e">
        <f t="shared" si="575"/>
        <v>#N/A</v>
      </c>
      <c r="CY81" s="401" t="e">
        <f t="shared" si="576"/>
        <v>#N/A</v>
      </c>
      <c r="CZ81" s="399" t="e">
        <f t="shared" si="470"/>
        <v>#N/A</v>
      </c>
      <c r="DA81" s="47"/>
      <c r="DB81" s="47"/>
      <c r="DC81" s="396" t="e">
        <f t="shared" si="471"/>
        <v>#N/A</v>
      </c>
      <c r="DD81" s="397" t="e">
        <f t="shared" si="472"/>
        <v>#N/A</v>
      </c>
      <c r="DE81" s="400" t="e">
        <f t="shared" si="390"/>
        <v>#N/A</v>
      </c>
      <c r="DF81" s="398" t="e">
        <f t="shared" si="473"/>
        <v>#N/A</v>
      </c>
      <c r="DG81" s="402" t="e">
        <f t="shared" si="474"/>
        <v>#N/A</v>
      </c>
      <c r="DH81" s="398" t="e">
        <f t="shared" si="577"/>
        <v>#N/A</v>
      </c>
      <c r="DI81" s="401" t="e">
        <f t="shared" si="578"/>
        <v>#N/A</v>
      </c>
      <c r="DJ81" s="399" t="e">
        <f t="shared" si="475"/>
        <v>#N/A</v>
      </c>
      <c r="DK81" s="47"/>
      <c r="DM81" s="396" t="e">
        <f t="shared" si="476"/>
        <v>#N/A</v>
      </c>
      <c r="DN81" s="397" t="e">
        <f t="shared" si="477"/>
        <v>#N/A</v>
      </c>
      <c r="DO81" s="400" t="e">
        <f t="shared" si="391"/>
        <v>#N/A</v>
      </c>
      <c r="DP81" s="398" t="e">
        <f t="shared" si="478"/>
        <v>#N/A</v>
      </c>
      <c r="DQ81" s="402" t="e">
        <f t="shared" si="479"/>
        <v>#N/A</v>
      </c>
      <c r="DR81" s="398" t="e">
        <f t="shared" si="579"/>
        <v>#N/A</v>
      </c>
      <c r="DS81" s="401" t="e">
        <f t="shared" si="580"/>
        <v>#N/A</v>
      </c>
      <c r="DT81" s="399" t="e">
        <f t="shared" si="480"/>
        <v>#N/A</v>
      </c>
      <c r="DU81" s="47"/>
      <c r="DV81" s="49"/>
      <c r="DW81" s="396" t="e">
        <f t="shared" si="481"/>
        <v>#N/A</v>
      </c>
      <c r="DX81" s="397" t="e">
        <f t="shared" si="482"/>
        <v>#N/A</v>
      </c>
      <c r="DY81" s="400" t="e">
        <f t="shared" si="392"/>
        <v>#N/A</v>
      </c>
      <c r="DZ81" s="398" t="e">
        <f t="shared" si="483"/>
        <v>#N/A</v>
      </c>
      <c r="EA81" s="402" t="e">
        <f t="shared" si="484"/>
        <v>#N/A</v>
      </c>
      <c r="EB81" s="398" t="e">
        <f t="shared" si="581"/>
        <v>#N/A</v>
      </c>
      <c r="EC81" s="401" t="e">
        <f t="shared" si="582"/>
        <v>#N/A</v>
      </c>
      <c r="ED81" s="399" t="e">
        <f t="shared" si="485"/>
        <v>#N/A</v>
      </c>
      <c r="EE81" s="47"/>
      <c r="EF81" s="47"/>
      <c r="EG81" s="396" t="e">
        <f t="shared" si="486"/>
        <v>#N/A</v>
      </c>
      <c r="EH81" s="397" t="e">
        <f t="shared" si="487"/>
        <v>#N/A</v>
      </c>
      <c r="EI81" s="400" t="e">
        <f t="shared" si="393"/>
        <v>#N/A</v>
      </c>
      <c r="EJ81" s="398" t="e">
        <f t="shared" si="488"/>
        <v>#N/A</v>
      </c>
      <c r="EK81" s="402" t="e">
        <f t="shared" si="489"/>
        <v>#N/A</v>
      </c>
      <c r="EL81" s="398" t="e">
        <f t="shared" si="583"/>
        <v>#N/A</v>
      </c>
      <c r="EM81" s="401" t="e">
        <f t="shared" si="584"/>
        <v>#N/A</v>
      </c>
      <c r="EN81" s="399" t="e">
        <f t="shared" si="490"/>
        <v>#N/A</v>
      </c>
      <c r="EO81" s="47"/>
      <c r="EP81" s="47"/>
      <c r="EQ81" s="396" t="e">
        <f t="shared" si="491"/>
        <v>#N/A</v>
      </c>
      <c r="ER81" s="397" t="e">
        <f t="shared" si="492"/>
        <v>#N/A</v>
      </c>
      <c r="ES81" s="400" t="e">
        <f t="shared" si="394"/>
        <v>#N/A</v>
      </c>
      <c r="ET81" s="398" t="e">
        <f t="shared" si="493"/>
        <v>#N/A</v>
      </c>
      <c r="EU81" s="402" t="e">
        <f t="shared" si="494"/>
        <v>#N/A</v>
      </c>
      <c r="EV81" s="398" t="e">
        <f t="shared" si="585"/>
        <v>#N/A</v>
      </c>
      <c r="EW81" s="401" t="e">
        <f t="shared" si="586"/>
        <v>#N/A</v>
      </c>
      <c r="EX81" s="399" t="e">
        <f t="shared" si="495"/>
        <v>#N/A</v>
      </c>
      <c r="EY81" s="47"/>
      <c r="EZ81" s="47"/>
      <c r="FA81" s="396" t="e">
        <f t="shared" si="496"/>
        <v>#N/A</v>
      </c>
      <c r="FB81" s="397" t="e">
        <f t="shared" si="497"/>
        <v>#N/A</v>
      </c>
      <c r="FC81" s="400" t="e">
        <f t="shared" si="395"/>
        <v>#N/A</v>
      </c>
      <c r="FD81" s="398" t="e">
        <f t="shared" si="498"/>
        <v>#N/A</v>
      </c>
      <c r="FE81" s="402" t="e">
        <f t="shared" si="499"/>
        <v>#N/A</v>
      </c>
      <c r="FF81" s="398" t="e">
        <f t="shared" si="587"/>
        <v>#N/A</v>
      </c>
      <c r="FG81" s="401" t="e">
        <f t="shared" si="588"/>
        <v>#N/A</v>
      </c>
      <c r="FH81" s="399" t="e">
        <f t="shared" si="500"/>
        <v>#N/A</v>
      </c>
      <c r="FI81" s="47"/>
      <c r="FJ81" s="49"/>
      <c r="FK81" s="396" t="e">
        <f t="shared" si="501"/>
        <v>#N/A</v>
      </c>
      <c r="FL81" s="397" t="e">
        <f t="shared" si="502"/>
        <v>#N/A</v>
      </c>
      <c r="FM81" s="400" t="e">
        <f t="shared" si="396"/>
        <v>#N/A</v>
      </c>
      <c r="FN81" s="398" t="e">
        <f t="shared" si="503"/>
        <v>#N/A</v>
      </c>
      <c r="FO81" s="402" t="e">
        <f t="shared" si="504"/>
        <v>#N/A</v>
      </c>
      <c r="FP81" s="398" t="e">
        <f t="shared" si="589"/>
        <v>#N/A</v>
      </c>
      <c r="FQ81" s="401" t="e">
        <f t="shared" si="590"/>
        <v>#N/A</v>
      </c>
      <c r="FR81" s="399" t="e">
        <f t="shared" si="505"/>
        <v>#N/A</v>
      </c>
      <c r="FS81" s="47"/>
      <c r="FT81" s="47"/>
      <c r="FU81" s="396" t="e">
        <f t="shared" si="506"/>
        <v>#N/A</v>
      </c>
      <c r="FV81" s="397" t="e">
        <f t="shared" si="507"/>
        <v>#N/A</v>
      </c>
      <c r="FW81" s="400" t="e">
        <f t="shared" si="397"/>
        <v>#N/A</v>
      </c>
      <c r="FX81" s="398" t="e">
        <f t="shared" si="508"/>
        <v>#N/A</v>
      </c>
      <c r="FY81" s="402" t="e">
        <f t="shared" si="509"/>
        <v>#N/A</v>
      </c>
      <c r="FZ81" s="398" t="e">
        <f t="shared" si="591"/>
        <v>#N/A</v>
      </c>
      <c r="GA81" s="401" t="e">
        <f t="shared" si="592"/>
        <v>#N/A</v>
      </c>
      <c r="GB81" s="399" t="e">
        <f t="shared" si="510"/>
        <v>#N/A</v>
      </c>
      <c r="GC81" s="47"/>
      <c r="GD81" s="47"/>
      <c r="GE81" s="396" t="e">
        <f t="shared" si="511"/>
        <v>#N/A</v>
      </c>
      <c r="GF81" s="397" t="e">
        <f t="shared" si="512"/>
        <v>#N/A</v>
      </c>
      <c r="GG81" s="400" t="e">
        <f t="shared" si="398"/>
        <v>#N/A</v>
      </c>
      <c r="GH81" s="398" t="e">
        <f t="shared" si="513"/>
        <v>#N/A</v>
      </c>
      <c r="GI81" s="402" t="e">
        <f t="shared" si="514"/>
        <v>#N/A</v>
      </c>
      <c r="GJ81" s="398" t="e">
        <f t="shared" si="593"/>
        <v>#N/A</v>
      </c>
      <c r="GK81" s="401" t="e">
        <f t="shared" si="594"/>
        <v>#N/A</v>
      </c>
      <c r="GL81" s="399" t="e">
        <f t="shared" si="515"/>
        <v>#N/A</v>
      </c>
      <c r="GM81" s="47"/>
      <c r="GN81" s="47"/>
      <c r="GO81" s="396" t="e">
        <f t="shared" si="516"/>
        <v>#N/A</v>
      </c>
      <c r="GP81" s="397" t="e">
        <f t="shared" si="517"/>
        <v>#N/A</v>
      </c>
      <c r="GQ81" s="400" t="e">
        <f t="shared" si="399"/>
        <v>#N/A</v>
      </c>
      <c r="GR81" s="398" t="e">
        <f t="shared" si="518"/>
        <v>#N/A</v>
      </c>
      <c r="GS81" s="402" t="e">
        <f t="shared" si="519"/>
        <v>#N/A</v>
      </c>
      <c r="GT81" s="398" t="e">
        <f t="shared" si="595"/>
        <v>#N/A</v>
      </c>
      <c r="GU81" s="401" t="e">
        <f t="shared" si="596"/>
        <v>#N/A</v>
      </c>
      <c r="GV81" s="399" t="e">
        <f t="shared" si="520"/>
        <v>#N/A</v>
      </c>
      <c r="GW81" s="47"/>
      <c r="GX81" s="47"/>
      <c r="GY81" s="396" t="e">
        <f t="shared" si="521"/>
        <v>#N/A</v>
      </c>
      <c r="GZ81" s="397" t="e">
        <f t="shared" si="522"/>
        <v>#N/A</v>
      </c>
      <c r="HA81" s="400" t="e">
        <f t="shared" si="400"/>
        <v>#N/A</v>
      </c>
      <c r="HB81" s="398" t="e">
        <f t="shared" si="523"/>
        <v>#N/A</v>
      </c>
      <c r="HC81" s="402" t="e">
        <f t="shared" si="524"/>
        <v>#N/A</v>
      </c>
      <c r="HD81" s="398" t="e">
        <f t="shared" si="597"/>
        <v>#N/A</v>
      </c>
      <c r="HE81" s="401" t="e">
        <f t="shared" si="598"/>
        <v>#N/A</v>
      </c>
      <c r="HF81" s="399" t="e">
        <f t="shared" si="525"/>
        <v>#N/A</v>
      </c>
      <c r="HH81" s="47"/>
      <c r="HI81" s="396" t="e">
        <f t="shared" si="526"/>
        <v>#N/A</v>
      </c>
      <c r="HJ81" s="397" t="e">
        <f t="shared" si="527"/>
        <v>#N/A</v>
      </c>
      <c r="HK81" s="400" t="e">
        <f t="shared" si="401"/>
        <v>#N/A</v>
      </c>
      <c r="HL81" s="398" t="e">
        <f t="shared" si="528"/>
        <v>#N/A</v>
      </c>
      <c r="HM81" s="402" t="e">
        <f t="shared" si="529"/>
        <v>#N/A</v>
      </c>
      <c r="HN81" s="398" t="e">
        <f t="shared" si="599"/>
        <v>#N/A</v>
      </c>
      <c r="HO81" s="401" t="e">
        <f t="shared" si="600"/>
        <v>#N/A</v>
      </c>
      <c r="HP81" s="399" t="e">
        <f t="shared" si="530"/>
        <v>#N/A</v>
      </c>
      <c r="HQ81" s="47"/>
      <c r="HR81" s="47"/>
      <c r="HS81" s="396" t="e">
        <f t="shared" si="531"/>
        <v>#N/A</v>
      </c>
      <c r="HT81" s="397" t="e">
        <f t="shared" si="532"/>
        <v>#N/A</v>
      </c>
      <c r="HU81" s="400" t="e">
        <f t="shared" si="402"/>
        <v>#N/A</v>
      </c>
      <c r="HV81" s="398" t="e">
        <f t="shared" si="533"/>
        <v>#N/A</v>
      </c>
      <c r="HW81" s="402" t="e">
        <f t="shared" si="534"/>
        <v>#N/A</v>
      </c>
      <c r="HX81" s="398" t="e">
        <f t="shared" si="601"/>
        <v>#N/A</v>
      </c>
      <c r="HY81" s="401" t="e">
        <f t="shared" si="602"/>
        <v>#N/A</v>
      </c>
      <c r="HZ81" s="399" t="e">
        <f t="shared" si="535"/>
        <v>#N/A</v>
      </c>
      <c r="IA81" s="47"/>
      <c r="IB81" s="49"/>
      <c r="IC81" s="396" t="e">
        <f t="shared" si="536"/>
        <v>#N/A</v>
      </c>
      <c r="ID81" s="397" t="e">
        <f t="shared" si="537"/>
        <v>#N/A</v>
      </c>
      <c r="IE81" s="400" t="e">
        <f t="shared" si="403"/>
        <v>#N/A</v>
      </c>
      <c r="IF81" s="398" t="e">
        <f t="shared" si="538"/>
        <v>#N/A</v>
      </c>
      <c r="IG81" s="402" t="e">
        <f t="shared" si="539"/>
        <v>#N/A</v>
      </c>
      <c r="IH81" s="398" t="e">
        <f t="shared" si="603"/>
        <v>#N/A</v>
      </c>
      <c r="II81" s="401" t="e">
        <f t="shared" si="604"/>
        <v>#N/A</v>
      </c>
      <c r="IJ81" s="399" t="e">
        <f t="shared" si="540"/>
        <v>#N/A</v>
      </c>
      <c r="IK81" s="47"/>
      <c r="IL81" s="47"/>
      <c r="IM81" s="396" t="e">
        <f t="shared" si="541"/>
        <v>#N/A</v>
      </c>
      <c r="IN81" s="397" t="e">
        <f t="shared" si="542"/>
        <v>#N/A</v>
      </c>
      <c r="IO81" s="400" t="e">
        <f t="shared" si="404"/>
        <v>#N/A</v>
      </c>
      <c r="IP81" s="398" t="e">
        <f t="shared" si="543"/>
        <v>#N/A</v>
      </c>
      <c r="IQ81" s="402" t="e">
        <f t="shared" si="544"/>
        <v>#N/A</v>
      </c>
      <c r="IR81" s="398" t="e">
        <f t="shared" si="605"/>
        <v>#N/A</v>
      </c>
      <c r="IS81" s="401" t="e">
        <f t="shared" si="606"/>
        <v>#N/A</v>
      </c>
      <c r="IT81" s="399" t="e">
        <f t="shared" si="545"/>
        <v>#N/A</v>
      </c>
      <c r="IU81" s="47"/>
      <c r="IV81" s="47"/>
      <c r="IW81" s="396" t="e">
        <f t="shared" si="405"/>
        <v>#N/A</v>
      </c>
      <c r="IX81" s="397" t="e">
        <f t="shared" si="406"/>
        <v>#N/A</v>
      </c>
      <c r="IY81" s="400" t="e">
        <f t="shared" si="407"/>
        <v>#N/A</v>
      </c>
      <c r="IZ81" s="398" t="e">
        <f t="shared" si="348"/>
        <v>#N/A</v>
      </c>
      <c r="JA81" s="402" t="e">
        <f t="shared" si="408"/>
        <v>#N/A</v>
      </c>
      <c r="JB81" s="398" t="e">
        <f t="shared" si="409"/>
        <v>#N/A</v>
      </c>
      <c r="JC81" s="401" t="e">
        <f t="shared" si="546"/>
        <v>#N/A</v>
      </c>
      <c r="JD81" s="399" t="e">
        <f t="shared" si="547"/>
        <v>#N/A</v>
      </c>
      <c r="JE81" s="47"/>
      <c r="JF81" s="47"/>
      <c r="JG81" s="396" t="e">
        <f t="shared" si="410"/>
        <v>#N/A</v>
      </c>
      <c r="JH81" s="397" t="e">
        <f t="shared" si="411"/>
        <v>#N/A</v>
      </c>
      <c r="JI81" s="400" t="e">
        <f t="shared" si="412"/>
        <v>#N/A</v>
      </c>
      <c r="JJ81" s="398" t="e">
        <f t="shared" si="349"/>
        <v>#N/A</v>
      </c>
      <c r="JK81" s="402" t="e">
        <f t="shared" si="413"/>
        <v>#N/A</v>
      </c>
      <c r="JL81" s="398" t="e">
        <f t="shared" si="414"/>
        <v>#N/A</v>
      </c>
      <c r="JM81" s="401" t="e">
        <f t="shared" si="548"/>
        <v>#N/A</v>
      </c>
      <c r="JN81" s="399" t="e">
        <f t="shared" si="549"/>
        <v>#N/A</v>
      </c>
      <c r="JO81" s="47"/>
      <c r="JP81" s="47"/>
      <c r="JQ81" s="396" t="e">
        <f t="shared" si="415"/>
        <v>#N/A</v>
      </c>
      <c r="JR81" s="397" t="e">
        <f t="shared" si="416"/>
        <v>#N/A</v>
      </c>
      <c r="JS81" s="400" t="e">
        <f t="shared" si="417"/>
        <v>#N/A</v>
      </c>
      <c r="JT81" s="398" t="e">
        <f t="shared" si="350"/>
        <v>#N/A</v>
      </c>
      <c r="JU81" s="402" t="e">
        <f t="shared" si="418"/>
        <v>#N/A</v>
      </c>
      <c r="JV81" s="398" t="e">
        <f t="shared" si="419"/>
        <v>#N/A</v>
      </c>
      <c r="JW81" s="401" t="e">
        <f t="shared" si="550"/>
        <v>#N/A</v>
      </c>
      <c r="JX81" s="399" t="e">
        <f t="shared" si="551"/>
        <v>#N/A</v>
      </c>
      <c r="JY81" s="47"/>
      <c r="JZ81" s="47"/>
      <c r="KA81" s="396" t="e">
        <f t="shared" si="420"/>
        <v>#N/A</v>
      </c>
      <c r="KB81" s="397" t="e">
        <f t="shared" si="421"/>
        <v>#N/A</v>
      </c>
      <c r="KC81" s="400" t="e">
        <f t="shared" si="422"/>
        <v>#N/A</v>
      </c>
      <c r="KD81" s="398" t="e">
        <f t="shared" si="351"/>
        <v>#N/A</v>
      </c>
      <c r="KE81" s="402" t="e">
        <f t="shared" si="423"/>
        <v>#N/A</v>
      </c>
      <c r="KF81" s="398" t="e">
        <f t="shared" si="424"/>
        <v>#N/A</v>
      </c>
      <c r="KG81" s="401" t="e">
        <f t="shared" si="552"/>
        <v>#N/A</v>
      </c>
      <c r="KH81" s="399" t="e">
        <f t="shared" si="553"/>
        <v>#N/A</v>
      </c>
      <c r="KI81" s="47"/>
      <c r="KJ81" s="47"/>
      <c r="KK81" s="396" t="e">
        <f t="shared" si="425"/>
        <v>#N/A</v>
      </c>
      <c r="KL81" s="397" t="e">
        <f t="shared" si="426"/>
        <v>#N/A</v>
      </c>
      <c r="KM81" s="400" t="e">
        <f t="shared" si="427"/>
        <v>#N/A</v>
      </c>
      <c r="KN81" s="398" t="e">
        <f t="shared" si="352"/>
        <v>#N/A</v>
      </c>
      <c r="KO81" s="402" t="e">
        <f t="shared" si="428"/>
        <v>#N/A</v>
      </c>
      <c r="KP81" s="398" t="e">
        <f t="shared" si="429"/>
        <v>#N/A</v>
      </c>
      <c r="KQ81" s="401" t="e">
        <f t="shared" si="554"/>
        <v>#N/A</v>
      </c>
      <c r="KR81" s="399" t="e">
        <f t="shared" si="555"/>
        <v>#N/A</v>
      </c>
      <c r="KS81" s="47"/>
      <c r="KT81" s="47"/>
      <c r="KU81" s="396" t="e">
        <f t="shared" si="556"/>
        <v>#N/A</v>
      </c>
      <c r="KV81" s="397" t="e">
        <f t="shared" si="557"/>
        <v>#N/A</v>
      </c>
      <c r="KW81" s="400" t="e">
        <f t="shared" si="430"/>
        <v>#N/A</v>
      </c>
      <c r="KX81" s="398" t="e">
        <f t="shared" si="558"/>
        <v>#N/A</v>
      </c>
      <c r="KY81" s="402" t="e">
        <f t="shared" si="559"/>
        <v>#N/A</v>
      </c>
      <c r="KZ81" s="398" t="e">
        <f t="shared" si="607"/>
        <v>#N/A</v>
      </c>
      <c r="LA81" s="401" t="e">
        <f t="shared" si="608"/>
        <v>#N/A</v>
      </c>
      <c r="LB81" s="399" t="e">
        <f t="shared" si="560"/>
        <v>#N/A</v>
      </c>
      <c r="LC81" s="47"/>
    </row>
    <row r="82" spans="26:315" x14ac:dyDescent="0.25">
      <c r="Z82" s="413"/>
      <c r="AA82" s="396" t="e">
        <f t="shared" si="431"/>
        <v>#N/A</v>
      </c>
      <c r="AB82" s="397" t="e">
        <f t="shared" si="432"/>
        <v>#N/A</v>
      </c>
      <c r="AC82" s="400" t="e">
        <f t="shared" si="382"/>
        <v>#N/A</v>
      </c>
      <c r="AD82" s="398" t="e">
        <f t="shared" si="433"/>
        <v>#N/A</v>
      </c>
      <c r="AE82" s="402" t="e">
        <f t="shared" si="434"/>
        <v>#N/A</v>
      </c>
      <c r="AF82" s="398" t="e">
        <f t="shared" si="561"/>
        <v>#N/A</v>
      </c>
      <c r="AG82" s="401" t="e">
        <f t="shared" si="562"/>
        <v>#N/A</v>
      </c>
      <c r="AH82" s="399" t="e">
        <f t="shared" si="435"/>
        <v>#N/A</v>
      </c>
      <c r="AI82" s="47"/>
      <c r="AJ82" s="47"/>
      <c r="AK82" s="396" t="e">
        <f t="shared" si="436"/>
        <v>#N/A</v>
      </c>
      <c r="AL82" s="397" t="e">
        <f t="shared" si="437"/>
        <v>#N/A</v>
      </c>
      <c r="AM82" s="400" t="e">
        <f t="shared" si="383"/>
        <v>#N/A</v>
      </c>
      <c r="AN82" s="398" t="e">
        <f t="shared" si="438"/>
        <v>#N/A</v>
      </c>
      <c r="AO82" s="402" t="e">
        <f t="shared" si="439"/>
        <v>#N/A</v>
      </c>
      <c r="AP82" s="398" t="e">
        <f t="shared" si="563"/>
        <v>#N/A</v>
      </c>
      <c r="AQ82" s="401" t="e">
        <f t="shared" si="564"/>
        <v>#N/A</v>
      </c>
      <c r="AR82" s="399" t="e">
        <f t="shared" si="440"/>
        <v>#N/A</v>
      </c>
      <c r="AS82" s="47"/>
      <c r="AT82" s="47"/>
      <c r="AU82" s="396" t="e">
        <f t="shared" si="441"/>
        <v>#N/A</v>
      </c>
      <c r="AV82" s="397" t="e">
        <f t="shared" si="442"/>
        <v>#N/A</v>
      </c>
      <c r="AW82" s="400" t="e">
        <f t="shared" si="384"/>
        <v>#N/A</v>
      </c>
      <c r="AX82" s="398" t="e">
        <f t="shared" si="443"/>
        <v>#N/A</v>
      </c>
      <c r="AY82" s="402" t="e">
        <f t="shared" si="444"/>
        <v>#N/A</v>
      </c>
      <c r="AZ82" s="398" t="e">
        <f t="shared" si="565"/>
        <v>#N/A</v>
      </c>
      <c r="BA82" s="401" t="e">
        <f t="shared" si="566"/>
        <v>#N/A</v>
      </c>
      <c r="BB82" s="399" t="e">
        <f t="shared" si="445"/>
        <v>#N/A</v>
      </c>
      <c r="BC82" s="47"/>
      <c r="BD82" s="47"/>
      <c r="BE82" s="396" t="e">
        <f t="shared" si="446"/>
        <v>#N/A</v>
      </c>
      <c r="BF82" s="397" t="e">
        <f t="shared" si="447"/>
        <v>#N/A</v>
      </c>
      <c r="BG82" s="400" t="e">
        <f t="shared" si="385"/>
        <v>#N/A</v>
      </c>
      <c r="BH82" s="398" t="e">
        <f t="shared" si="448"/>
        <v>#N/A</v>
      </c>
      <c r="BI82" s="402" t="e">
        <f t="shared" si="449"/>
        <v>#N/A</v>
      </c>
      <c r="BJ82" s="398" t="e">
        <f t="shared" si="567"/>
        <v>#N/A</v>
      </c>
      <c r="BK82" s="401" t="e">
        <f t="shared" si="568"/>
        <v>#N/A</v>
      </c>
      <c r="BL82" s="399" t="e">
        <f t="shared" si="450"/>
        <v>#N/A</v>
      </c>
      <c r="BM82" s="47"/>
      <c r="BN82" s="49"/>
      <c r="BO82" s="396" t="e">
        <f t="shared" si="451"/>
        <v>#N/A</v>
      </c>
      <c r="BP82" s="397" t="e">
        <f t="shared" si="452"/>
        <v>#N/A</v>
      </c>
      <c r="BQ82" s="400" t="e">
        <f t="shared" si="386"/>
        <v>#N/A</v>
      </c>
      <c r="BR82" s="398" t="e">
        <f t="shared" si="453"/>
        <v>#N/A</v>
      </c>
      <c r="BS82" s="402" t="e">
        <f t="shared" si="454"/>
        <v>#N/A</v>
      </c>
      <c r="BT82" s="398" t="e">
        <f t="shared" si="569"/>
        <v>#N/A</v>
      </c>
      <c r="BU82" s="401" t="e">
        <f t="shared" si="570"/>
        <v>#N/A</v>
      </c>
      <c r="BV82" s="399" t="e">
        <f t="shared" si="455"/>
        <v>#N/A</v>
      </c>
      <c r="BW82" s="47"/>
      <c r="BX82" s="47"/>
      <c r="BY82" s="396" t="e">
        <f t="shared" si="456"/>
        <v>#N/A</v>
      </c>
      <c r="BZ82" s="397" t="e">
        <f t="shared" si="457"/>
        <v>#N/A</v>
      </c>
      <c r="CA82" s="400" t="e">
        <f t="shared" si="387"/>
        <v>#N/A</v>
      </c>
      <c r="CB82" s="398" t="e">
        <f t="shared" si="458"/>
        <v>#N/A</v>
      </c>
      <c r="CC82" s="402" t="e">
        <f t="shared" si="459"/>
        <v>#N/A</v>
      </c>
      <c r="CD82" s="398" t="e">
        <f t="shared" si="571"/>
        <v>#N/A</v>
      </c>
      <c r="CE82" s="401" t="e">
        <f t="shared" si="572"/>
        <v>#N/A</v>
      </c>
      <c r="CF82" s="399" t="e">
        <f t="shared" si="460"/>
        <v>#N/A</v>
      </c>
      <c r="CG82" s="49"/>
      <c r="CH82" s="47"/>
      <c r="CI82" s="396" t="e">
        <f t="shared" si="461"/>
        <v>#N/A</v>
      </c>
      <c r="CJ82" s="397" t="e">
        <f t="shared" si="462"/>
        <v>#N/A</v>
      </c>
      <c r="CK82" s="400" t="e">
        <f t="shared" si="388"/>
        <v>#N/A</v>
      </c>
      <c r="CL82" s="398" t="e">
        <f t="shared" si="463"/>
        <v>#N/A</v>
      </c>
      <c r="CM82" s="402" t="e">
        <f t="shared" si="464"/>
        <v>#N/A</v>
      </c>
      <c r="CN82" s="398" t="e">
        <f t="shared" si="573"/>
        <v>#N/A</v>
      </c>
      <c r="CO82" s="401" t="e">
        <f t="shared" si="574"/>
        <v>#N/A</v>
      </c>
      <c r="CP82" s="399" t="e">
        <f t="shared" si="465"/>
        <v>#N/A</v>
      </c>
      <c r="CQ82" s="47"/>
      <c r="CS82" s="396" t="e">
        <f t="shared" si="466"/>
        <v>#N/A</v>
      </c>
      <c r="CT82" s="397" t="e">
        <f t="shared" si="467"/>
        <v>#N/A</v>
      </c>
      <c r="CU82" s="400" t="e">
        <f t="shared" si="389"/>
        <v>#N/A</v>
      </c>
      <c r="CV82" s="398" t="e">
        <f t="shared" si="468"/>
        <v>#N/A</v>
      </c>
      <c r="CW82" s="402" t="e">
        <f t="shared" si="469"/>
        <v>#N/A</v>
      </c>
      <c r="CX82" s="398" t="e">
        <f t="shared" si="575"/>
        <v>#N/A</v>
      </c>
      <c r="CY82" s="401" t="e">
        <f t="shared" si="576"/>
        <v>#N/A</v>
      </c>
      <c r="CZ82" s="399" t="e">
        <f t="shared" si="470"/>
        <v>#N/A</v>
      </c>
      <c r="DA82" s="47"/>
      <c r="DB82" s="47"/>
      <c r="DC82" s="396" t="e">
        <f t="shared" si="471"/>
        <v>#N/A</v>
      </c>
      <c r="DD82" s="397" t="e">
        <f t="shared" si="472"/>
        <v>#N/A</v>
      </c>
      <c r="DE82" s="400" t="e">
        <f t="shared" si="390"/>
        <v>#N/A</v>
      </c>
      <c r="DF82" s="398" t="e">
        <f t="shared" si="473"/>
        <v>#N/A</v>
      </c>
      <c r="DG82" s="402" t="e">
        <f t="shared" si="474"/>
        <v>#N/A</v>
      </c>
      <c r="DH82" s="398" t="e">
        <f t="shared" si="577"/>
        <v>#N/A</v>
      </c>
      <c r="DI82" s="401" t="e">
        <f t="shared" si="578"/>
        <v>#N/A</v>
      </c>
      <c r="DJ82" s="399" t="e">
        <f t="shared" si="475"/>
        <v>#N/A</v>
      </c>
      <c r="DK82" s="47"/>
      <c r="DM82" s="396" t="e">
        <f t="shared" si="476"/>
        <v>#N/A</v>
      </c>
      <c r="DN82" s="397" t="e">
        <f t="shared" si="477"/>
        <v>#N/A</v>
      </c>
      <c r="DO82" s="400" t="e">
        <f t="shared" si="391"/>
        <v>#N/A</v>
      </c>
      <c r="DP82" s="398" t="e">
        <f t="shared" si="478"/>
        <v>#N/A</v>
      </c>
      <c r="DQ82" s="402" t="e">
        <f t="shared" si="479"/>
        <v>#N/A</v>
      </c>
      <c r="DR82" s="398" t="e">
        <f t="shared" si="579"/>
        <v>#N/A</v>
      </c>
      <c r="DS82" s="401" t="e">
        <f t="shared" si="580"/>
        <v>#N/A</v>
      </c>
      <c r="DT82" s="399" t="e">
        <f t="shared" si="480"/>
        <v>#N/A</v>
      </c>
      <c r="DU82" s="47"/>
      <c r="DV82" s="49"/>
      <c r="DW82" s="396" t="e">
        <f t="shared" si="481"/>
        <v>#N/A</v>
      </c>
      <c r="DX82" s="397" t="e">
        <f t="shared" si="482"/>
        <v>#N/A</v>
      </c>
      <c r="DY82" s="400" t="e">
        <f t="shared" si="392"/>
        <v>#N/A</v>
      </c>
      <c r="DZ82" s="398" t="e">
        <f t="shared" si="483"/>
        <v>#N/A</v>
      </c>
      <c r="EA82" s="402" t="e">
        <f t="shared" si="484"/>
        <v>#N/A</v>
      </c>
      <c r="EB82" s="398" t="e">
        <f t="shared" si="581"/>
        <v>#N/A</v>
      </c>
      <c r="EC82" s="401" t="e">
        <f t="shared" si="582"/>
        <v>#N/A</v>
      </c>
      <c r="ED82" s="399" t="e">
        <f t="shared" si="485"/>
        <v>#N/A</v>
      </c>
      <c r="EE82" s="47"/>
      <c r="EF82" s="47"/>
      <c r="EG82" s="396" t="e">
        <f t="shared" si="486"/>
        <v>#N/A</v>
      </c>
      <c r="EH82" s="397" t="e">
        <f t="shared" si="487"/>
        <v>#N/A</v>
      </c>
      <c r="EI82" s="400" t="e">
        <f t="shared" si="393"/>
        <v>#N/A</v>
      </c>
      <c r="EJ82" s="398" t="e">
        <f t="shared" si="488"/>
        <v>#N/A</v>
      </c>
      <c r="EK82" s="402" t="e">
        <f t="shared" si="489"/>
        <v>#N/A</v>
      </c>
      <c r="EL82" s="398" t="e">
        <f t="shared" si="583"/>
        <v>#N/A</v>
      </c>
      <c r="EM82" s="401" t="e">
        <f t="shared" si="584"/>
        <v>#N/A</v>
      </c>
      <c r="EN82" s="399" t="e">
        <f t="shared" si="490"/>
        <v>#N/A</v>
      </c>
      <c r="EO82" s="47"/>
      <c r="EP82" s="47"/>
      <c r="EQ82" s="396" t="e">
        <f t="shared" si="491"/>
        <v>#N/A</v>
      </c>
      <c r="ER82" s="397" t="e">
        <f t="shared" si="492"/>
        <v>#N/A</v>
      </c>
      <c r="ES82" s="400" t="e">
        <f t="shared" si="394"/>
        <v>#N/A</v>
      </c>
      <c r="ET82" s="398" t="e">
        <f t="shared" si="493"/>
        <v>#N/A</v>
      </c>
      <c r="EU82" s="402" t="e">
        <f t="shared" si="494"/>
        <v>#N/A</v>
      </c>
      <c r="EV82" s="398" t="e">
        <f t="shared" si="585"/>
        <v>#N/A</v>
      </c>
      <c r="EW82" s="401" t="e">
        <f t="shared" si="586"/>
        <v>#N/A</v>
      </c>
      <c r="EX82" s="399" t="e">
        <f t="shared" si="495"/>
        <v>#N/A</v>
      </c>
      <c r="EY82" s="47"/>
      <c r="EZ82" s="47"/>
      <c r="FA82" s="396" t="e">
        <f t="shared" si="496"/>
        <v>#N/A</v>
      </c>
      <c r="FB82" s="397" t="e">
        <f t="shared" si="497"/>
        <v>#N/A</v>
      </c>
      <c r="FC82" s="400" t="e">
        <f t="shared" si="395"/>
        <v>#N/A</v>
      </c>
      <c r="FD82" s="398" t="e">
        <f t="shared" si="498"/>
        <v>#N/A</v>
      </c>
      <c r="FE82" s="402" t="e">
        <f t="shared" si="499"/>
        <v>#N/A</v>
      </c>
      <c r="FF82" s="398" t="e">
        <f t="shared" si="587"/>
        <v>#N/A</v>
      </c>
      <c r="FG82" s="401" t="e">
        <f t="shared" si="588"/>
        <v>#N/A</v>
      </c>
      <c r="FH82" s="399" t="e">
        <f t="shared" si="500"/>
        <v>#N/A</v>
      </c>
      <c r="FI82" s="47"/>
      <c r="FJ82" s="49"/>
      <c r="FK82" s="396" t="e">
        <f t="shared" si="501"/>
        <v>#N/A</v>
      </c>
      <c r="FL82" s="397" t="e">
        <f t="shared" si="502"/>
        <v>#N/A</v>
      </c>
      <c r="FM82" s="400" t="e">
        <f t="shared" si="396"/>
        <v>#N/A</v>
      </c>
      <c r="FN82" s="398" t="e">
        <f t="shared" si="503"/>
        <v>#N/A</v>
      </c>
      <c r="FO82" s="402" t="e">
        <f t="shared" si="504"/>
        <v>#N/A</v>
      </c>
      <c r="FP82" s="398" t="e">
        <f t="shared" si="589"/>
        <v>#N/A</v>
      </c>
      <c r="FQ82" s="401" t="e">
        <f t="shared" si="590"/>
        <v>#N/A</v>
      </c>
      <c r="FR82" s="399" t="e">
        <f t="shared" si="505"/>
        <v>#N/A</v>
      </c>
      <c r="FS82" s="47"/>
      <c r="FT82" s="47"/>
      <c r="FU82" s="396" t="e">
        <f t="shared" si="506"/>
        <v>#N/A</v>
      </c>
      <c r="FV82" s="397" t="e">
        <f t="shared" si="507"/>
        <v>#N/A</v>
      </c>
      <c r="FW82" s="400" t="e">
        <f t="shared" si="397"/>
        <v>#N/A</v>
      </c>
      <c r="FX82" s="398" t="e">
        <f t="shared" si="508"/>
        <v>#N/A</v>
      </c>
      <c r="FY82" s="402" t="e">
        <f t="shared" si="509"/>
        <v>#N/A</v>
      </c>
      <c r="FZ82" s="398" t="e">
        <f t="shared" si="591"/>
        <v>#N/A</v>
      </c>
      <c r="GA82" s="401" t="e">
        <f t="shared" si="592"/>
        <v>#N/A</v>
      </c>
      <c r="GB82" s="399" t="e">
        <f t="shared" si="510"/>
        <v>#N/A</v>
      </c>
      <c r="GC82" s="47"/>
      <c r="GD82" s="47"/>
      <c r="GE82" s="396" t="e">
        <f t="shared" si="511"/>
        <v>#N/A</v>
      </c>
      <c r="GF82" s="397" t="e">
        <f t="shared" si="512"/>
        <v>#N/A</v>
      </c>
      <c r="GG82" s="400" t="e">
        <f t="shared" si="398"/>
        <v>#N/A</v>
      </c>
      <c r="GH82" s="398" t="e">
        <f t="shared" si="513"/>
        <v>#N/A</v>
      </c>
      <c r="GI82" s="402" t="e">
        <f t="shared" si="514"/>
        <v>#N/A</v>
      </c>
      <c r="GJ82" s="398" t="e">
        <f t="shared" si="593"/>
        <v>#N/A</v>
      </c>
      <c r="GK82" s="401" t="e">
        <f t="shared" si="594"/>
        <v>#N/A</v>
      </c>
      <c r="GL82" s="399" t="e">
        <f t="shared" si="515"/>
        <v>#N/A</v>
      </c>
      <c r="GM82" s="47"/>
      <c r="GN82" s="47"/>
      <c r="GO82" s="396" t="e">
        <f t="shared" si="516"/>
        <v>#N/A</v>
      </c>
      <c r="GP82" s="397" t="e">
        <f t="shared" si="517"/>
        <v>#N/A</v>
      </c>
      <c r="GQ82" s="400" t="e">
        <f t="shared" si="399"/>
        <v>#N/A</v>
      </c>
      <c r="GR82" s="398" t="e">
        <f t="shared" si="518"/>
        <v>#N/A</v>
      </c>
      <c r="GS82" s="402" t="e">
        <f t="shared" si="519"/>
        <v>#N/A</v>
      </c>
      <c r="GT82" s="398" t="e">
        <f t="shared" si="595"/>
        <v>#N/A</v>
      </c>
      <c r="GU82" s="401" t="e">
        <f t="shared" si="596"/>
        <v>#N/A</v>
      </c>
      <c r="GV82" s="399" t="e">
        <f t="shared" si="520"/>
        <v>#N/A</v>
      </c>
      <c r="GW82" s="47"/>
      <c r="GX82" s="47"/>
      <c r="GY82" s="396" t="e">
        <f t="shared" si="521"/>
        <v>#N/A</v>
      </c>
      <c r="GZ82" s="397" t="e">
        <f t="shared" si="522"/>
        <v>#N/A</v>
      </c>
      <c r="HA82" s="400" t="e">
        <f t="shared" si="400"/>
        <v>#N/A</v>
      </c>
      <c r="HB82" s="398" t="e">
        <f t="shared" si="523"/>
        <v>#N/A</v>
      </c>
      <c r="HC82" s="402" t="e">
        <f t="shared" si="524"/>
        <v>#N/A</v>
      </c>
      <c r="HD82" s="398" t="e">
        <f t="shared" si="597"/>
        <v>#N/A</v>
      </c>
      <c r="HE82" s="401" t="e">
        <f t="shared" si="598"/>
        <v>#N/A</v>
      </c>
      <c r="HF82" s="399" t="e">
        <f t="shared" si="525"/>
        <v>#N/A</v>
      </c>
      <c r="HH82" s="47"/>
      <c r="HI82" s="396" t="e">
        <f t="shared" si="526"/>
        <v>#N/A</v>
      </c>
      <c r="HJ82" s="397" t="e">
        <f t="shared" si="527"/>
        <v>#N/A</v>
      </c>
      <c r="HK82" s="400" t="e">
        <f t="shared" si="401"/>
        <v>#N/A</v>
      </c>
      <c r="HL82" s="398" t="e">
        <f t="shared" si="528"/>
        <v>#N/A</v>
      </c>
      <c r="HM82" s="402" t="e">
        <f t="shared" si="529"/>
        <v>#N/A</v>
      </c>
      <c r="HN82" s="398" t="e">
        <f t="shared" si="599"/>
        <v>#N/A</v>
      </c>
      <c r="HO82" s="401" t="e">
        <f t="shared" si="600"/>
        <v>#N/A</v>
      </c>
      <c r="HP82" s="399" t="e">
        <f t="shared" si="530"/>
        <v>#N/A</v>
      </c>
      <c r="HQ82" s="47"/>
      <c r="HR82" s="47"/>
      <c r="HS82" s="396" t="e">
        <f t="shared" si="531"/>
        <v>#N/A</v>
      </c>
      <c r="HT82" s="397" t="e">
        <f t="shared" si="532"/>
        <v>#N/A</v>
      </c>
      <c r="HU82" s="400" t="e">
        <f t="shared" si="402"/>
        <v>#N/A</v>
      </c>
      <c r="HV82" s="398" t="e">
        <f t="shared" si="533"/>
        <v>#N/A</v>
      </c>
      <c r="HW82" s="402" t="e">
        <f t="shared" si="534"/>
        <v>#N/A</v>
      </c>
      <c r="HX82" s="398" t="e">
        <f t="shared" si="601"/>
        <v>#N/A</v>
      </c>
      <c r="HY82" s="401" t="e">
        <f t="shared" si="602"/>
        <v>#N/A</v>
      </c>
      <c r="HZ82" s="399" t="e">
        <f t="shared" si="535"/>
        <v>#N/A</v>
      </c>
      <c r="IA82" s="47"/>
      <c r="IB82" s="49"/>
      <c r="IC82" s="396" t="e">
        <f t="shared" si="536"/>
        <v>#N/A</v>
      </c>
      <c r="ID82" s="397" t="e">
        <f t="shared" si="537"/>
        <v>#N/A</v>
      </c>
      <c r="IE82" s="400" t="e">
        <f t="shared" si="403"/>
        <v>#N/A</v>
      </c>
      <c r="IF82" s="398" t="e">
        <f t="shared" si="538"/>
        <v>#N/A</v>
      </c>
      <c r="IG82" s="402" t="e">
        <f t="shared" si="539"/>
        <v>#N/A</v>
      </c>
      <c r="IH82" s="398" t="e">
        <f t="shared" si="603"/>
        <v>#N/A</v>
      </c>
      <c r="II82" s="401" t="e">
        <f t="shared" si="604"/>
        <v>#N/A</v>
      </c>
      <c r="IJ82" s="399" t="e">
        <f t="shared" si="540"/>
        <v>#N/A</v>
      </c>
      <c r="IK82" s="47"/>
      <c r="IL82" s="47"/>
      <c r="IM82" s="396" t="e">
        <f t="shared" si="541"/>
        <v>#N/A</v>
      </c>
      <c r="IN82" s="397" t="e">
        <f t="shared" si="542"/>
        <v>#N/A</v>
      </c>
      <c r="IO82" s="400" t="e">
        <f t="shared" si="404"/>
        <v>#N/A</v>
      </c>
      <c r="IP82" s="398" t="e">
        <f t="shared" si="543"/>
        <v>#N/A</v>
      </c>
      <c r="IQ82" s="402" t="e">
        <f t="shared" si="544"/>
        <v>#N/A</v>
      </c>
      <c r="IR82" s="398" t="e">
        <f t="shared" si="605"/>
        <v>#N/A</v>
      </c>
      <c r="IS82" s="401" t="e">
        <f t="shared" si="606"/>
        <v>#N/A</v>
      </c>
      <c r="IT82" s="399" t="e">
        <f t="shared" si="545"/>
        <v>#N/A</v>
      </c>
      <c r="IU82" s="47"/>
      <c r="IV82" s="47"/>
      <c r="IW82" s="396" t="e">
        <f t="shared" si="405"/>
        <v>#N/A</v>
      </c>
      <c r="IX82" s="397" t="e">
        <f t="shared" si="406"/>
        <v>#N/A</v>
      </c>
      <c r="IY82" s="400" t="e">
        <f t="shared" si="407"/>
        <v>#N/A</v>
      </c>
      <c r="IZ82" s="398" t="e">
        <f t="shared" si="348"/>
        <v>#N/A</v>
      </c>
      <c r="JA82" s="402" t="e">
        <f t="shared" si="408"/>
        <v>#N/A</v>
      </c>
      <c r="JB82" s="398" t="e">
        <f t="shared" si="409"/>
        <v>#N/A</v>
      </c>
      <c r="JC82" s="401" t="e">
        <f t="shared" si="546"/>
        <v>#N/A</v>
      </c>
      <c r="JD82" s="399" t="e">
        <f t="shared" si="547"/>
        <v>#N/A</v>
      </c>
      <c r="JE82" s="47"/>
      <c r="JF82" s="47"/>
      <c r="JG82" s="396" t="e">
        <f t="shared" si="410"/>
        <v>#N/A</v>
      </c>
      <c r="JH82" s="397" t="e">
        <f t="shared" si="411"/>
        <v>#N/A</v>
      </c>
      <c r="JI82" s="400" t="e">
        <f t="shared" si="412"/>
        <v>#N/A</v>
      </c>
      <c r="JJ82" s="398" t="e">
        <f t="shared" si="349"/>
        <v>#N/A</v>
      </c>
      <c r="JK82" s="402" t="e">
        <f t="shared" si="413"/>
        <v>#N/A</v>
      </c>
      <c r="JL82" s="398" t="e">
        <f t="shared" si="414"/>
        <v>#N/A</v>
      </c>
      <c r="JM82" s="401" t="e">
        <f t="shared" si="548"/>
        <v>#N/A</v>
      </c>
      <c r="JN82" s="399" t="e">
        <f t="shared" si="549"/>
        <v>#N/A</v>
      </c>
      <c r="JO82" s="47"/>
      <c r="JP82" s="47"/>
      <c r="JQ82" s="396" t="e">
        <f t="shared" si="415"/>
        <v>#N/A</v>
      </c>
      <c r="JR82" s="397" t="e">
        <f t="shared" si="416"/>
        <v>#N/A</v>
      </c>
      <c r="JS82" s="400" t="e">
        <f t="shared" si="417"/>
        <v>#N/A</v>
      </c>
      <c r="JT82" s="398" t="e">
        <f t="shared" si="350"/>
        <v>#N/A</v>
      </c>
      <c r="JU82" s="402" t="e">
        <f t="shared" si="418"/>
        <v>#N/A</v>
      </c>
      <c r="JV82" s="398" t="e">
        <f t="shared" si="419"/>
        <v>#N/A</v>
      </c>
      <c r="JW82" s="401" t="e">
        <f t="shared" si="550"/>
        <v>#N/A</v>
      </c>
      <c r="JX82" s="399" t="e">
        <f t="shared" si="551"/>
        <v>#N/A</v>
      </c>
      <c r="JY82" s="47"/>
      <c r="JZ82" s="47"/>
      <c r="KA82" s="396" t="e">
        <f t="shared" si="420"/>
        <v>#N/A</v>
      </c>
      <c r="KB82" s="397" t="e">
        <f t="shared" si="421"/>
        <v>#N/A</v>
      </c>
      <c r="KC82" s="400" t="e">
        <f t="shared" si="422"/>
        <v>#N/A</v>
      </c>
      <c r="KD82" s="398" t="e">
        <f t="shared" si="351"/>
        <v>#N/A</v>
      </c>
      <c r="KE82" s="402" t="e">
        <f t="shared" si="423"/>
        <v>#N/A</v>
      </c>
      <c r="KF82" s="398" t="e">
        <f t="shared" si="424"/>
        <v>#N/A</v>
      </c>
      <c r="KG82" s="401" t="e">
        <f t="shared" si="552"/>
        <v>#N/A</v>
      </c>
      <c r="KH82" s="399" t="e">
        <f t="shared" si="553"/>
        <v>#N/A</v>
      </c>
      <c r="KI82" s="47"/>
      <c r="KJ82" s="47"/>
      <c r="KK82" s="396" t="e">
        <f t="shared" si="425"/>
        <v>#N/A</v>
      </c>
      <c r="KL82" s="397" t="e">
        <f t="shared" si="426"/>
        <v>#N/A</v>
      </c>
      <c r="KM82" s="400" t="e">
        <f t="shared" si="427"/>
        <v>#N/A</v>
      </c>
      <c r="KN82" s="398" t="e">
        <f t="shared" si="352"/>
        <v>#N/A</v>
      </c>
      <c r="KO82" s="402" t="e">
        <f t="shared" si="428"/>
        <v>#N/A</v>
      </c>
      <c r="KP82" s="398" t="e">
        <f t="shared" si="429"/>
        <v>#N/A</v>
      </c>
      <c r="KQ82" s="401" t="e">
        <f t="shared" si="554"/>
        <v>#N/A</v>
      </c>
      <c r="KR82" s="399" t="e">
        <f t="shared" si="555"/>
        <v>#N/A</v>
      </c>
      <c r="KS82" s="47"/>
      <c r="KT82" s="47"/>
      <c r="KU82" s="396" t="e">
        <f t="shared" si="556"/>
        <v>#N/A</v>
      </c>
      <c r="KV82" s="397" t="e">
        <f t="shared" si="557"/>
        <v>#N/A</v>
      </c>
      <c r="KW82" s="400" t="e">
        <f t="shared" si="430"/>
        <v>#N/A</v>
      </c>
      <c r="KX82" s="398" t="e">
        <f t="shared" si="558"/>
        <v>#N/A</v>
      </c>
      <c r="KY82" s="402" t="e">
        <f t="shared" si="559"/>
        <v>#N/A</v>
      </c>
      <c r="KZ82" s="398" t="e">
        <f t="shared" si="607"/>
        <v>#N/A</v>
      </c>
      <c r="LA82" s="401" t="e">
        <f t="shared" si="608"/>
        <v>#N/A</v>
      </c>
      <c r="LB82" s="399" t="e">
        <f t="shared" si="560"/>
        <v>#N/A</v>
      </c>
      <c r="LC82" s="47"/>
    </row>
    <row r="83" spans="26:315" x14ac:dyDescent="0.25">
      <c r="Z83" s="413"/>
      <c r="AA83" s="396" t="e">
        <f t="shared" si="431"/>
        <v>#N/A</v>
      </c>
      <c r="AB83" s="397" t="e">
        <f t="shared" si="432"/>
        <v>#N/A</v>
      </c>
      <c r="AC83" s="400" t="e">
        <f t="shared" si="382"/>
        <v>#N/A</v>
      </c>
      <c r="AD83" s="398" t="e">
        <f t="shared" si="433"/>
        <v>#N/A</v>
      </c>
      <c r="AE83" s="402" t="e">
        <f t="shared" si="434"/>
        <v>#N/A</v>
      </c>
      <c r="AF83" s="398" t="e">
        <f t="shared" si="561"/>
        <v>#N/A</v>
      </c>
      <c r="AG83" s="401" t="e">
        <f t="shared" si="562"/>
        <v>#N/A</v>
      </c>
      <c r="AH83" s="399" t="e">
        <f t="shared" si="435"/>
        <v>#N/A</v>
      </c>
      <c r="AI83" s="47"/>
      <c r="AJ83" s="47"/>
      <c r="AK83" s="396" t="e">
        <f t="shared" si="436"/>
        <v>#N/A</v>
      </c>
      <c r="AL83" s="397" t="e">
        <f t="shared" si="437"/>
        <v>#N/A</v>
      </c>
      <c r="AM83" s="400" t="e">
        <f t="shared" si="383"/>
        <v>#N/A</v>
      </c>
      <c r="AN83" s="398" t="e">
        <f t="shared" si="438"/>
        <v>#N/A</v>
      </c>
      <c r="AO83" s="402" t="e">
        <f t="shared" si="439"/>
        <v>#N/A</v>
      </c>
      <c r="AP83" s="398" t="e">
        <f t="shared" si="563"/>
        <v>#N/A</v>
      </c>
      <c r="AQ83" s="401" t="e">
        <f t="shared" si="564"/>
        <v>#N/A</v>
      </c>
      <c r="AR83" s="399" t="e">
        <f t="shared" si="440"/>
        <v>#N/A</v>
      </c>
      <c r="AS83" s="47"/>
      <c r="AT83" s="47"/>
      <c r="AU83" s="396" t="e">
        <f t="shared" si="441"/>
        <v>#N/A</v>
      </c>
      <c r="AV83" s="397" t="e">
        <f t="shared" si="442"/>
        <v>#N/A</v>
      </c>
      <c r="AW83" s="400" t="e">
        <f t="shared" si="384"/>
        <v>#N/A</v>
      </c>
      <c r="AX83" s="398" t="e">
        <f t="shared" si="443"/>
        <v>#N/A</v>
      </c>
      <c r="AY83" s="402" t="e">
        <f t="shared" si="444"/>
        <v>#N/A</v>
      </c>
      <c r="AZ83" s="398" t="e">
        <f t="shared" si="565"/>
        <v>#N/A</v>
      </c>
      <c r="BA83" s="401" t="e">
        <f t="shared" si="566"/>
        <v>#N/A</v>
      </c>
      <c r="BB83" s="399" t="e">
        <f t="shared" si="445"/>
        <v>#N/A</v>
      </c>
      <c r="BC83" s="47"/>
      <c r="BD83" s="47"/>
      <c r="BE83" s="396" t="e">
        <f t="shared" si="446"/>
        <v>#N/A</v>
      </c>
      <c r="BF83" s="397" t="e">
        <f t="shared" si="447"/>
        <v>#N/A</v>
      </c>
      <c r="BG83" s="400" t="e">
        <f t="shared" si="385"/>
        <v>#N/A</v>
      </c>
      <c r="BH83" s="398" t="e">
        <f t="shared" si="448"/>
        <v>#N/A</v>
      </c>
      <c r="BI83" s="402" t="e">
        <f t="shared" si="449"/>
        <v>#N/A</v>
      </c>
      <c r="BJ83" s="398" t="e">
        <f t="shared" si="567"/>
        <v>#N/A</v>
      </c>
      <c r="BK83" s="401" t="e">
        <f t="shared" si="568"/>
        <v>#N/A</v>
      </c>
      <c r="BL83" s="399" t="e">
        <f t="shared" si="450"/>
        <v>#N/A</v>
      </c>
      <c r="BM83" s="47"/>
      <c r="BN83" s="49"/>
      <c r="BO83" s="396" t="e">
        <f t="shared" si="451"/>
        <v>#N/A</v>
      </c>
      <c r="BP83" s="397" t="e">
        <f t="shared" si="452"/>
        <v>#N/A</v>
      </c>
      <c r="BQ83" s="400" t="e">
        <f t="shared" si="386"/>
        <v>#N/A</v>
      </c>
      <c r="BR83" s="398" t="e">
        <f t="shared" si="453"/>
        <v>#N/A</v>
      </c>
      <c r="BS83" s="402" t="e">
        <f t="shared" si="454"/>
        <v>#N/A</v>
      </c>
      <c r="BT83" s="398" t="e">
        <f t="shared" si="569"/>
        <v>#N/A</v>
      </c>
      <c r="BU83" s="401" t="e">
        <f t="shared" si="570"/>
        <v>#N/A</v>
      </c>
      <c r="BV83" s="399" t="e">
        <f t="shared" si="455"/>
        <v>#N/A</v>
      </c>
      <c r="BW83" s="47"/>
      <c r="BX83" s="47"/>
      <c r="BY83" s="396" t="e">
        <f t="shared" si="456"/>
        <v>#N/A</v>
      </c>
      <c r="BZ83" s="397" t="e">
        <f t="shared" si="457"/>
        <v>#N/A</v>
      </c>
      <c r="CA83" s="400" t="e">
        <f t="shared" si="387"/>
        <v>#N/A</v>
      </c>
      <c r="CB83" s="398" t="e">
        <f t="shared" si="458"/>
        <v>#N/A</v>
      </c>
      <c r="CC83" s="402" t="e">
        <f t="shared" si="459"/>
        <v>#N/A</v>
      </c>
      <c r="CD83" s="398" t="e">
        <f t="shared" si="571"/>
        <v>#N/A</v>
      </c>
      <c r="CE83" s="401" t="e">
        <f t="shared" si="572"/>
        <v>#N/A</v>
      </c>
      <c r="CF83" s="399" t="e">
        <f t="shared" si="460"/>
        <v>#N/A</v>
      </c>
      <c r="CG83" s="49"/>
      <c r="CH83" s="47"/>
      <c r="CI83" s="396" t="e">
        <f t="shared" si="461"/>
        <v>#N/A</v>
      </c>
      <c r="CJ83" s="397" t="e">
        <f t="shared" si="462"/>
        <v>#N/A</v>
      </c>
      <c r="CK83" s="400" t="e">
        <f t="shared" si="388"/>
        <v>#N/A</v>
      </c>
      <c r="CL83" s="398" t="e">
        <f t="shared" si="463"/>
        <v>#N/A</v>
      </c>
      <c r="CM83" s="402" t="e">
        <f t="shared" si="464"/>
        <v>#N/A</v>
      </c>
      <c r="CN83" s="398" t="e">
        <f t="shared" si="573"/>
        <v>#N/A</v>
      </c>
      <c r="CO83" s="401" t="e">
        <f t="shared" si="574"/>
        <v>#N/A</v>
      </c>
      <c r="CP83" s="399" t="e">
        <f t="shared" si="465"/>
        <v>#N/A</v>
      </c>
      <c r="CQ83" s="47"/>
      <c r="CS83" s="396" t="e">
        <f t="shared" si="466"/>
        <v>#N/A</v>
      </c>
      <c r="CT83" s="397" t="e">
        <f t="shared" si="467"/>
        <v>#N/A</v>
      </c>
      <c r="CU83" s="400" t="e">
        <f t="shared" si="389"/>
        <v>#N/A</v>
      </c>
      <c r="CV83" s="398" t="e">
        <f t="shared" si="468"/>
        <v>#N/A</v>
      </c>
      <c r="CW83" s="402" t="e">
        <f t="shared" si="469"/>
        <v>#N/A</v>
      </c>
      <c r="CX83" s="398" t="e">
        <f t="shared" si="575"/>
        <v>#N/A</v>
      </c>
      <c r="CY83" s="401" t="e">
        <f t="shared" si="576"/>
        <v>#N/A</v>
      </c>
      <c r="CZ83" s="399" t="e">
        <f t="shared" si="470"/>
        <v>#N/A</v>
      </c>
      <c r="DA83" s="47"/>
      <c r="DB83" s="47"/>
      <c r="DC83" s="396" t="e">
        <f t="shared" si="471"/>
        <v>#N/A</v>
      </c>
      <c r="DD83" s="397" t="e">
        <f t="shared" si="472"/>
        <v>#N/A</v>
      </c>
      <c r="DE83" s="400" t="e">
        <f t="shared" si="390"/>
        <v>#N/A</v>
      </c>
      <c r="DF83" s="398" t="e">
        <f t="shared" si="473"/>
        <v>#N/A</v>
      </c>
      <c r="DG83" s="402" t="e">
        <f t="shared" si="474"/>
        <v>#N/A</v>
      </c>
      <c r="DH83" s="398" t="e">
        <f t="shared" si="577"/>
        <v>#N/A</v>
      </c>
      <c r="DI83" s="401" t="e">
        <f t="shared" si="578"/>
        <v>#N/A</v>
      </c>
      <c r="DJ83" s="399" t="e">
        <f t="shared" si="475"/>
        <v>#N/A</v>
      </c>
      <c r="DK83" s="47"/>
      <c r="DM83" s="396" t="e">
        <f t="shared" si="476"/>
        <v>#N/A</v>
      </c>
      <c r="DN83" s="397" t="e">
        <f t="shared" si="477"/>
        <v>#N/A</v>
      </c>
      <c r="DO83" s="400" t="e">
        <f t="shared" si="391"/>
        <v>#N/A</v>
      </c>
      <c r="DP83" s="398" t="e">
        <f t="shared" si="478"/>
        <v>#N/A</v>
      </c>
      <c r="DQ83" s="402" t="e">
        <f t="shared" si="479"/>
        <v>#N/A</v>
      </c>
      <c r="DR83" s="398" t="e">
        <f t="shared" si="579"/>
        <v>#N/A</v>
      </c>
      <c r="DS83" s="401" t="e">
        <f t="shared" si="580"/>
        <v>#N/A</v>
      </c>
      <c r="DT83" s="399" t="e">
        <f t="shared" si="480"/>
        <v>#N/A</v>
      </c>
      <c r="DU83" s="47"/>
      <c r="DV83" s="49"/>
      <c r="DW83" s="396" t="e">
        <f t="shared" si="481"/>
        <v>#N/A</v>
      </c>
      <c r="DX83" s="397" t="e">
        <f t="shared" si="482"/>
        <v>#N/A</v>
      </c>
      <c r="DY83" s="400" t="e">
        <f t="shared" si="392"/>
        <v>#N/A</v>
      </c>
      <c r="DZ83" s="398" t="e">
        <f t="shared" si="483"/>
        <v>#N/A</v>
      </c>
      <c r="EA83" s="402" t="e">
        <f t="shared" si="484"/>
        <v>#N/A</v>
      </c>
      <c r="EB83" s="398" t="e">
        <f t="shared" si="581"/>
        <v>#N/A</v>
      </c>
      <c r="EC83" s="401" t="e">
        <f t="shared" si="582"/>
        <v>#N/A</v>
      </c>
      <c r="ED83" s="399" t="e">
        <f t="shared" si="485"/>
        <v>#N/A</v>
      </c>
      <c r="EE83" s="47"/>
      <c r="EF83" s="47"/>
      <c r="EG83" s="396" t="e">
        <f t="shared" si="486"/>
        <v>#N/A</v>
      </c>
      <c r="EH83" s="397" t="e">
        <f t="shared" si="487"/>
        <v>#N/A</v>
      </c>
      <c r="EI83" s="400" t="e">
        <f t="shared" si="393"/>
        <v>#N/A</v>
      </c>
      <c r="EJ83" s="398" t="e">
        <f t="shared" si="488"/>
        <v>#N/A</v>
      </c>
      <c r="EK83" s="402" t="e">
        <f t="shared" si="489"/>
        <v>#N/A</v>
      </c>
      <c r="EL83" s="398" t="e">
        <f t="shared" si="583"/>
        <v>#N/A</v>
      </c>
      <c r="EM83" s="401" t="e">
        <f t="shared" si="584"/>
        <v>#N/A</v>
      </c>
      <c r="EN83" s="399" t="e">
        <f t="shared" si="490"/>
        <v>#N/A</v>
      </c>
      <c r="EO83" s="47"/>
      <c r="EP83" s="47"/>
      <c r="EQ83" s="396" t="e">
        <f t="shared" si="491"/>
        <v>#N/A</v>
      </c>
      <c r="ER83" s="397" t="e">
        <f t="shared" si="492"/>
        <v>#N/A</v>
      </c>
      <c r="ES83" s="400" t="e">
        <f t="shared" si="394"/>
        <v>#N/A</v>
      </c>
      <c r="ET83" s="398" t="e">
        <f t="shared" si="493"/>
        <v>#N/A</v>
      </c>
      <c r="EU83" s="402" t="e">
        <f t="shared" si="494"/>
        <v>#N/A</v>
      </c>
      <c r="EV83" s="398" t="e">
        <f t="shared" si="585"/>
        <v>#N/A</v>
      </c>
      <c r="EW83" s="401" t="e">
        <f t="shared" si="586"/>
        <v>#N/A</v>
      </c>
      <c r="EX83" s="399" t="e">
        <f t="shared" si="495"/>
        <v>#N/A</v>
      </c>
      <c r="EY83" s="47"/>
      <c r="EZ83" s="47"/>
      <c r="FA83" s="396" t="e">
        <f t="shared" si="496"/>
        <v>#N/A</v>
      </c>
      <c r="FB83" s="397" t="e">
        <f t="shared" si="497"/>
        <v>#N/A</v>
      </c>
      <c r="FC83" s="400" t="e">
        <f t="shared" si="395"/>
        <v>#N/A</v>
      </c>
      <c r="FD83" s="398" t="e">
        <f t="shared" si="498"/>
        <v>#N/A</v>
      </c>
      <c r="FE83" s="402" t="e">
        <f t="shared" si="499"/>
        <v>#N/A</v>
      </c>
      <c r="FF83" s="398" t="e">
        <f t="shared" si="587"/>
        <v>#N/A</v>
      </c>
      <c r="FG83" s="401" t="e">
        <f t="shared" si="588"/>
        <v>#N/A</v>
      </c>
      <c r="FH83" s="399" t="e">
        <f t="shared" si="500"/>
        <v>#N/A</v>
      </c>
      <c r="FI83" s="47"/>
      <c r="FJ83" s="49"/>
      <c r="FK83" s="396" t="e">
        <f t="shared" si="501"/>
        <v>#N/A</v>
      </c>
      <c r="FL83" s="397" t="e">
        <f t="shared" si="502"/>
        <v>#N/A</v>
      </c>
      <c r="FM83" s="400" t="e">
        <f t="shared" si="396"/>
        <v>#N/A</v>
      </c>
      <c r="FN83" s="398" t="e">
        <f t="shared" si="503"/>
        <v>#N/A</v>
      </c>
      <c r="FO83" s="402" t="e">
        <f t="shared" si="504"/>
        <v>#N/A</v>
      </c>
      <c r="FP83" s="398" t="e">
        <f t="shared" si="589"/>
        <v>#N/A</v>
      </c>
      <c r="FQ83" s="401" t="e">
        <f t="shared" si="590"/>
        <v>#N/A</v>
      </c>
      <c r="FR83" s="399" t="e">
        <f t="shared" si="505"/>
        <v>#N/A</v>
      </c>
      <c r="FS83" s="47"/>
      <c r="FT83" s="47"/>
      <c r="FU83" s="396" t="e">
        <f t="shared" si="506"/>
        <v>#N/A</v>
      </c>
      <c r="FV83" s="397" t="e">
        <f t="shared" si="507"/>
        <v>#N/A</v>
      </c>
      <c r="FW83" s="400" t="e">
        <f t="shared" si="397"/>
        <v>#N/A</v>
      </c>
      <c r="FX83" s="398" t="e">
        <f t="shared" si="508"/>
        <v>#N/A</v>
      </c>
      <c r="FY83" s="402" t="e">
        <f t="shared" si="509"/>
        <v>#N/A</v>
      </c>
      <c r="FZ83" s="398" t="e">
        <f t="shared" si="591"/>
        <v>#N/A</v>
      </c>
      <c r="GA83" s="401" t="e">
        <f t="shared" si="592"/>
        <v>#N/A</v>
      </c>
      <c r="GB83" s="399" t="e">
        <f t="shared" si="510"/>
        <v>#N/A</v>
      </c>
      <c r="GC83" s="47"/>
      <c r="GD83" s="47"/>
      <c r="GE83" s="396" t="e">
        <f t="shared" si="511"/>
        <v>#N/A</v>
      </c>
      <c r="GF83" s="397" t="e">
        <f t="shared" si="512"/>
        <v>#N/A</v>
      </c>
      <c r="GG83" s="400" t="e">
        <f t="shared" si="398"/>
        <v>#N/A</v>
      </c>
      <c r="GH83" s="398" t="e">
        <f t="shared" si="513"/>
        <v>#N/A</v>
      </c>
      <c r="GI83" s="402" t="e">
        <f t="shared" si="514"/>
        <v>#N/A</v>
      </c>
      <c r="GJ83" s="398" t="e">
        <f t="shared" si="593"/>
        <v>#N/A</v>
      </c>
      <c r="GK83" s="401" t="e">
        <f t="shared" si="594"/>
        <v>#N/A</v>
      </c>
      <c r="GL83" s="399" t="e">
        <f t="shared" si="515"/>
        <v>#N/A</v>
      </c>
      <c r="GM83" s="47"/>
      <c r="GN83" s="47"/>
      <c r="GO83" s="396" t="e">
        <f t="shared" si="516"/>
        <v>#N/A</v>
      </c>
      <c r="GP83" s="397" t="e">
        <f t="shared" si="517"/>
        <v>#N/A</v>
      </c>
      <c r="GQ83" s="400" t="e">
        <f t="shared" si="399"/>
        <v>#N/A</v>
      </c>
      <c r="GR83" s="398" t="e">
        <f t="shared" si="518"/>
        <v>#N/A</v>
      </c>
      <c r="GS83" s="402" t="e">
        <f t="shared" si="519"/>
        <v>#N/A</v>
      </c>
      <c r="GT83" s="398" t="e">
        <f t="shared" si="595"/>
        <v>#N/A</v>
      </c>
      <c r="GU83" s="401" t="e">
        <f t="shared" si="596"/>
        <v>#N/A</v>
      </c>
      <c r="GV83" s="399" t="e">
        <f t="shared" si="520"/>
        <v>#N/A</v>
      </c>
      <c r="GW83" s="47"/>
      <c r="GX83" s="47"/>
      <c r="GY83" s="396" t="e">
        <f t="shared" si="521"/>
        <v>#N/A</v>
      </c>
      <c r="GZ83" s="397" t="e">
        <f t="shared" si="522"/>
        <v>#N/A</v>
      </c>
      <c r="HA83" s="400" t="e">
        <f t="shared" si="400"/>
        <v>#N/A</v>
      </c>
      <c r="HB83" s="398" t="e">
        <f t="shared" si="523"/>
        <v>#N/A</v>
      </c>
      <c r="HC83" s="402" t="e">
        <f t="shared" si="524"/>
        <v>#N/A</v>
      </c>
      <c r="HD83" s="398" t="e">
        <f t="shared" si="597"/>
        <v>#N/A</v>
      </c>
      <c r="HE83" s="401" t="e">
        <f t="shared" si="598"/>
        <v>#N/A</v>
      </c>
      <c r="HF83" s="399" t="e">
        <f t="shared" si="525"/>
        <v>#N/A</v>
      </c>
      <c r="HH83" s="47"/>
      <c r="HI83" s="396" t="e">
        <f t="shared" si="526"/>
        <v>#N/A</v>
      </c>
      <c r="HJ83" s="397" t="e">
        <f t="shared" si="527"/>
        <v>#N/A</v>
      </c>
      <c r="HK83" s="400" t="e">
        <f t="shared" si="401"/>
        <v>#N/A</v>
      </c>
      <c r="HL83" s="398" t="e">
        <f t="shared" si="528"/>
        <v>#N/A</v>
      </c>
      <c r="HM83" s="402" t="e">
        <f t="shared" si="529"/>
        <v>#N/A</v>
      </c>
      <c r="HN83" s="398" t="e">
        <f t="shared" si="599"/>
        <v>#N/A</v>
      </c>
      <c r="HO83" s="401" t="e">
        <f t="shared" si="600"/>
        <v>#N/A</v>
      </c>
      <c r="HP83" s="399" t="e">
        <f t="shared" si="530"/>
        <v>#N/A</v>
      </c>
      <c r="HQ83" s="47"/>
      <c r="HR83" s="47"/>
      <c r="HS83" s="396" t="e">
        <f t="shared" si="531"/>
        <v>#N/A</v>
      </c>
      <c r="HT83" s="397" t="e">
        <f t="shared" si="532"/>
        <v>#N/A</v>
      </c>
      <c r="HU83" s="400" t="e">
        <f t="shared" si="402"/>
        <v>#N/A</v>
      </c>
      <c r="HV83" s="398" t="e">
        <f t="shared" si="533"/>
        <v>#N/A</v>
      </c>
      <c r="HW83" s="402" t="e">
        <f t="shared" si="534"/>
        <v>#N/A</v>
      </c>
      <c r="HX83" s="398" t="e">
        <f t="shared" si="601"/>
        <v>#N/A</v>
      </c>
      <c r="HY83" s="401" t="e">
        <f t="shared" si="602"/>
        <v>#N/A</v>
      </c>
      <c r="HZ83" s="399" t="e">
        <f t="shared" si="535"/>
        <v>#N/A</v>
      </c>
      <c r="IA83" s="47"/>
      <c r="IB83" s="49"/>
      <c r="IC83" s="396" t="e">
        <f t="shared" si="536"/>
        <v>#N/A</v>
      </c>
      <c r="ID83" s="397" t="e">
        <f t="shared" si="537"/>
        <v>#N/A</v>
      </c>
      <c r="IE83" s="400" t="e">
        <f t="shared" si="403"/>
        <v>#N/A</v>
      </c>
      <c r="IF83" s="398" t="e">
        <f t="shared" si="538"/>
        <v>#N/A</v>
      </c>
      <c r="IG83" s="402" t="e">
        <f t="shared" si="539"/>
        <v>#N/A</v>
      </c>
      <c r="IH83" s="398" t="e">
        <f t="shared" si="603"/>
        <v>#N/A</v>
      </c>
      <c r="II83" s="401" t="e">
        <f t="shared" si="604"/>
        <v>#N/A</v>
      </c>
      <c r="IJ83" s="399" t="e">
        <f t="shared" si="540"/>
        <v>#N/A</v>
      </c>
      <c r="IK83" s="47"/>
      <c r="IL83" s="47"/>
      <c r="IM83" s="396" t="e">
        <f t="shared" si="541"/>
        <v>#N/A</v>
      </c>
      <c r="IN83" s="397" t="e">
        <f t="shared" si="542"/>
        <v>#N/A</v>
      </c>
      <c r="IO83" s="400" t="e">
        <f t="shared" si="404"/>
        <v>#N/A</v>
      </c>
      <c r="IP83" s="398" t="e">
        <f t="shared" si="543"/>
        <v>#N/A</v>
      </c>
      <c r="IQ83" s="402" t="e">
        <f t="shared" si="544"/>
        <v>#N/A</v>
      </c>
      <c r="IR83" s="398" t="e">
        <f t="shared" si="605"/>
        <v>#N/A</v>
      </c>
      <c r="IS83" s="401" t="e">
        <f t="shared" si="606"/>
        <v>#N/A</v>
      </c>
      <c r="IT83" s="399" t="e">
        <f t="shared" si="545"/>
        <v>#N/A</v>
      </c>
      <c r="IU83" s="47"/>
      <c r="IV83" s="47"/>
      <c r="IW83" s="396" t="e">
        <f t="shared" si="405"/>
        <v>#N/A</v>
      </c>
      <c r="IX83" s="397" t="e">
        <f t="shared" si="406"/>
        <v>#N/A</v>
      </c>
      <c r="IY83" s="400" t="e">
        <f t="shared" si="407"/>
        <v>#N/A</v>
      </c>
      <c r="IZ83" s="398" t="e">
        <f t="shared" si="348"/>
        <v>#N/A</v>
      </c>
      <c r="JA83" s="402" t="e">
        <f t="shared" si="408"/>
        <v>#N/A</v>
      </c>
      <c r="JB83" s="398" t="e">
        <f t="shared" si="409"/>
        <v>#N/A</v>
      </c>
      <c r="JC83" s="401" t="e">
        <f t="shared" si="546"/>
        <v>#N/A</v>
      </c>
      <c r="JD83" s="399" t="e">
        <f t="shared" si="547"/>
        <v>#N/A</v>
      </c>
      <c r="JE83" s="47"/>
      <c r="JF83" s="47"/>
      <c r="JG83" s="396" t="e">
        <f t="shared" si="410"/>
        <v>#N/A</v>
      </c>
      <c r="JH83" s="397" t="e">
        <f t="shared" si="411"/>
        <v>#N/A</v>
      </c>
      <c r="JI83" s="400" t="e">
        <f t="shared" si="412"/>
        <v>#N/A</v>
      </c>
      <c r="JJ83" s="398" t="e">
        <f t="shared" si="349"/>
        <v>#N/A</v>
      </c>
      <c r="JK83" s="402" t="e">
        <f t="shared" si="413"/>
        <v>#N/A</v>
      </c>
      <c r="JL83" s="398" t="e">
        <f t="shared" si="414"/>
        <v>#N/A</v>
      </c>
      <c r="JM83" s="401" t="e">
        <f t="shared" si="548"/>
        <v>#N/A</v>
      </c>
      <c r="JN83" s="399" t="e">
        <f t="shared" si="549"/>
        <v>#N/A</v>
      </c>
      <c r="JO83" s="47"/>
      <c r="JP83" s="47"/>
      <c r="JQ83" s="396" t="e">
        <f t="shared" si="415"/>
        <v>#N/A</v>
      </c>
      <c r="JR83" s="397" t="e">
        <f t="shared" si="416"/>
        <v>#N/A</v>
      </c>
      <c r="JS83" s="400" t="e">
        <f t="shared" si="417"/>
        <v>#N/A</v>
      </c>
      <c r="JT83" s="398" t="e">
        <f t="shared" si="350"/>
        <v>#N/A</v>
      </c>
      <c r="JU83" s="402" t="e">
        <f t="shared" si="418"/>
        <v>#N/A</v>
      </c>
      <c r="JV83" s="398" t="e">
        <f t="shared" si="419"/>
        <v>#N/A</v>
      </c>
      <c r="JW83" s="401" t="e">
        <f t="shared" si="550"/>
        <v>#N/A</v>
      </c>
      <c r="JX83" s="399" t="e">
        <f t="shared" si="551"/>
        <v>#N/A</v>
      </c>
      <c r="JY83" s="47"/>
      <c r="JZ83" s="47"/>
      <c r="KA83" s="396" t="e">
        <f t="shared" si="420"/>
        <v>#N/A</v>
      </c>
      <c r="KB83" s="397" t="e">
        <f t="shared" si="421"/>
        <v>#N/A</v>
      </c>
      <c r="KC83" s="400" t="e">
        <f t="shared" si="422"/>
        <v>#N/A</v>
      </c>
      <c r="KD83" s="398" t="e">
        <f t="shared" si="351"/>
        <v>#N/A</v>
      </c>
      <c r="KE83" s="402" t="e">
        <f t="shared" si="423"/>
        <v>#N/A</v>
      </c>
      <c r="KF83" s="398" t="e">
        <f t="shared" si="424"/>
        <v>#N/A</v>
      </c>
      <c r="KG83" s="401" t="e">
        <f t="shared" si="552"/>
        <v>#N/A</v>
      </c>
      <c r="KH83" s="399" t="e">
        <f t="shared" si="553"/>
        <v>#N/A</v>
      </c>
      <c r="KI83" s="47"/>
      <c r="KJ83" s="47"/>
      <c r="KK83" s="396" t="e">
        <f t="shared" si="425"/>
        <v>#N/A</v>
      </c>
      <c r="KL83" s="397" t="e">
        <f t="shared" si="426"/>
        <v>#N/A</v>
      </c>
      <c r="KM83" s="400" t="e">
        <f t="shared" si="427"/>
        <v>#N/A</v>
      </c>
      <c r="KN83" s="398" t="e">
        <f t="shared" si="352"/>
        <v>#N/A</v>
      </c>
      <c r="KO83" s="402" t="e">
        <f t="shared" si="428"/>
        <v>#N/A</v>
      </c>
      <c r="KP83" s="398" t="e">
        <f t="shared" si="429"/>
        <v>#N/A</v>
      </c>
      <c r="KQ83" s="401" t="e">
        <f t="shared" si="554"/>
        <v>#N/A</v>
      </c>
      <c r="KR83" s="399" t="e">
        <f t="shared" si="555"/>
        <v>#N/A</v>
      </c>
      <c r="KS83" s="47"/>
      <c r="KT83" s="47"/>
      <c r="KU83" s="396" t="e">
        <f t="shared" si="556"/>
        <v>#N/A</v>
      </c>
      <c r="KV83" s="397" t="e">
        <f t="shared" si="557"/>
        <v>#N/A</v>
      </c>
      <c r="KW83" s="400" t="e">
        <f t="shared" si="430"/>
        <v>#N/A</v>
      </c>
      <c r="KX83" s="398" t="e">
        <f t="shared" si="558"/>
        <v>#N/A</v>
      </c>
      <c r="KY83" s="402" t="e">
        <f t="shared" si="559"/>
        <v>#N/A</v>
      </c>
      <c r="KZ83" s="398" t="e">
        <f t="shared" si="607"/>
        <v>#N/A</v>
      </c>
      <c r="LA83" s="401" t="e">
        <f t="shared" si="608"/>
        <v>#N/A</v>
      </c>
      <c r="LB83" s="399" t="e">
        <f t="shared" si="560"/>
        <v>#N/A</v>
      </c>
      <c r="LC83" s="47"/>
    </row>
    <row r="84" spans="26:315" x14ac:dyDescent="0.25">
      <c r="Z84" s="413"/>
      <c r="AA84" s="396" t="e">
        <f t="shared" si="431"/>
        <v>#N/A</v>
      </c>
      <c r="AB84" s="397" t="e">
        <f t="shared" si="432"/>
        <v>#N/A</v>
      </c>
      <c r="AC84" s="400" t="e">
        <f t="shared" si="382"/>
        <v>#N/A</v>
      </c>
      <c r="AD84" s="398" t="e">
        <f t="shared" si="433"/>
        <v>#N/A</v>
      </c>
      <c r="AE84" s="402" t="e">
        <f t="shared" si="434"/>
        <v>#N/A</v>
      </c>
      <c r="AF84" s="398" t="e">
        <f t="shared" si="561"/>
        <v>#N/A</v>
      </c>
      <c r="AG84" s="401" t="e">
        <f t="shared" si="562"/>
        <v>#N/A</v>
      </c>
      <c r="AH84" s="399" t="e">
        <f t="shared" si="435"/>
        <v>#N/A</v>
      </c>
      <c r="AI84" s="47"/>
      <c r="AJ84" s="47"/>
      <c r="AK84" s="396" t="e">
        <f t="shared" si="436"/>
        <v>#N/A</v>
      </c>
      <c r="AL84" s="397" t="e">
        <f t="shared" si="437"/>
        <v>#N/A</v>
      </c>
      <c r="AM84" s="400" t="e">
        <f t="shared" si="383"/>
        <v>#N/A</v>
      </c>
      <c r="AN84" s="398" t="e">
        <f t="shared" si="438"/>
        <v>#N/A</v>
      </c>
      <c r="AO84" s="402" t="e">
        <f t="shared" si="439"/>
        <v>#N/A</v>
      </c>
      <c r="AP84" s="398" t="e">
        <f t="shared" si="563"/>
        <v>#N/A</v>
      </c>
      <c r="AQ84" s="401" t="e">
        <f t="shared" si="564"/>
        <v>#N/A</v>
      </c>
      <c r="AR84" s="399" t="e">
        <f t="shared" si="440"/>
        <v>#N/A</v>
      </c>
      <c r="AS84" s="47"/>
      <c r="AT84" s="47"/>
      <c r="AU84" s="396" t="e">
        <f t="shared" si="441"/>
        <v>#N/A</v>
      </c>
      <c r="AV84" s="397" t="e">
        <f t="shared" si="442"/>
        <v>#N/A</v>
      </c>
      <c r="AW84" s="400" t="e">
        <f t="shared" si="384"/>
        <v>#N/A</v>
      </c>
      <c r="AX84" s="398" t="e">
        <f t="shared" si="443"/>
        <v>#N/A</v>
      </c>
      <c r="AY84" s="402" t="e">
        <f t="shared" si="444"/>
        <v>#N/A</v>
      </c>
      <c r="AZ84" s="398" t="e">
        <f t="shared" si="565"/>
        <v>#N/A</v>
      </c>
      <c r="BA84" s="401" t="e">
        <f t="shared" si="566"/>
        <v>#N/A</v>
      </c>
      <c r="BB84" s="399" t="e">
        <f t="shared" si="445"/>
        <v>#N/A</v>
      </c>
      <c r="BC84" s="47"/>
      <c r="BD84" s="47"/>
      <c r="BE84" s="396" t="e">
        <f t="shared" si="446"/>
        <v>#N/A</v>
      </c>
      <c r="BF84" s="397" t="e">
        <f t="shared" si="447"/>
        <v>#N/A</v>
      </c>
      <c r="BG84" s="400" t="e">
        <f t="shared" si="385"/>
        <v>#N/A</v>
      </c>
      <c r="BH84" s="398" t="e">
        <f t="shared" si="448"/>
        <v>#N/A</v>
      </c>
      <c r="BI84" s="402" t="e">
        <f t="shared" si="449"/>
        <v>#N/A</v>
      </c>
      <c r="BJ84" s="398" t="e">
        <f t="shared" si="567"/>
        <v>#N/A</v>
      </c>
      <c r="BK84" s="401" t="e">
        <f t="shared" si="568"/>
        <v>#N/A</v>
      </c>
      <c r="BL84" s="399" t="e">
        <f t="shared" si="450"/>
        <v>#N/A</v>
      </c>
      <c r="BM84" s="47"/>
      <c r="BN84" s="49"/>
      <c r="BO84" s="396" t="e">
        <f t="shared" si="451"/>
        <v>#N/A</v>
      </c>
      <c r="BP84" s="397" t="e">
        <f t="shared" si="452"/>
        <v>#N/A</v>
      </c>
      <c r="BQ84" s="400" t="e">
        <f t="shared" si="386"/>
        <v>#N/A</v>
      </c>
      <c r="BR84" s="398" t="e">
        <f t="shared" si="453"/>
        <v>#N/A</v>
      </c>
      <c r="BS84" s="402" t="e">
        <f t="shared" si="454"/>
        <v>#N/A</v>
      </c>
      <c r="BT84" s="398" t="e">
        <f t="shared" si="569"/>
        <v>#N/A</v>
      </c>
      <c r="BU84" s="401" t="e">
        <f t="shared" si="570"/>
        <v>#N/A</v>
      </c>
      <c r="BV84" s="399" t="e">
        <f t="shared" si="455"/>
        <v>#N/A</v>
      </c>
      <c r="BW84" s="47"/>
      <c r="BX84" s="47"/>
      <c r="BY84" s="396" t="e">
        <f t="shared" si="456"/>
        <v>#N/A</v>
      </c>
      <c r="BZ84" s="397" t="e">
        <f t="shared" si="457"/>
        <v>#N/A</v>
      </c>
      <c r="CA84" s="400" t="e">
        <f t="shared" si="387"/>
        <v>#N/A</v>
      </c>
      <c r="CB84" s="398" t="e">
        <f t="shared" si="458"/>
        <v>#N/A</v>
      </c>
      <c r="CC84" s="402" t="e">
        <f t="shared" si="459"/>
        <v>#N/A</v>
      </c>
      <c r="CD84" s="398" t="e">
        <f t="shared" si="571"/>
        <v>#N/A</v>
      </c>
      <c r="CE84" s="401" t="e">
        <f t="shared" si="572"/>
        <v>#N/A</v>
      </c>
      <c r="CF84" s="399" t="e">
        <f t="shared" si="460"/>
        <v>#N/A</v>
      </c>
      <c r="CG84" s="49"/>
      <c r="CH84" s="47"/>
      <c r="CI84" s="396" t="e">
        <f t="shared" si="461"/>
        <v>#N/A</v>
      </c>
      <c r="CJ84" s="397" t="e">
        <f t="shared" si="462"/>
        <v>#N/A</v>
      </c>
      <c r="CK84" s="400" t="e">
        <f t="shared" si="388"/>
        <v>#N/A</v>
      </c>
      <c r="CL84" s="398" t="e">
        <f t="shared" si="463"/>
        <v>#N/A</v>
      </c>
      <c r="CM84" s="402" t="e">
        <f t="shared" si="464"/>
        <v>#N/A</v>
      </c>
      <c r="CN84" s="398" t="e">
        <f t="shared" si="573"/>
        <v>#N/A</v>
      </c>
      <c r="CO84" s="401" t="e">
        <f t="shared" si="574"/>
        <v>#N/A</v>
      </c>
      <c r="CP84" s="399" t="e">
        <f t="shared" si="465"/>
        <v>#N/A</v>
      </c>
      <c r="CQ84" s="47"/>
      <c r="CS84" s="396" t="e">
        <f t="shared" si="466"/>
        <v>#N/A</v>
      </c>
      <c r="CT84" s="397" t="e">
        <f t="shared" si="467"/>
        <v>#N/A</v>
      </c>
      <c r="CU84" s="400" t="e">
        <f t="shared" si="389"/>
        <v>#N/A</v>
      </c>
      <c r="CV84" s="398" t="e">
        <f t="shared" si="468"/>
        <v>#N/A</v>
      </c>
      <c r="CW84" s="402" t="e">
        <f t="shared" si="469"/>
        <v>#N/A</v>
      </c>
      <c r="CX84" s="398" t="e">
        <f t="shared" si="575"/>
        <v>#N/A</v>
      </c>
      <c r="CY84" s="401" t="e">
        <f t="shared" si="576"/>
        <v>#N/A</v>
      </c>
      <c r="CZ84" s="399" t="e">
        <f t="shared" si="470"/>
        <v>#N/A</v>
      </c>
      <c r="DA84" s="47"/>
      <c r="DB84" s="47"/>
      <c r="DC84" s="396" t="e">
        <f t="shared" si="471"/>
        <v>#N/A</v>
      </c>
      <c r="DD84" s="397" t="e">
        <f t="shared" si="472"/>
        <v>#N/A</v>
      </c>
      <c r="DE84" s="400" t="e">
        <f t="shared" si="390"/>
        <v>#N/A</v>
      </c>
      <c r="DF84" s="398" t="e">
        <f t="shared" si="473"/>
        <v>#N/A</v>
      </c>
      <c r="DG84" s="402" t="e">
        <f t="shared" si="474"/>
        <v>#N/A</v>
      </c>
      <c r="DH84" s="398" t="e">
        <f t="shared" si="577"/>
        <v>#N/A</v>
      </c>
      <c r="DI84" s="401" t="e">
        <f t="shared" si="578"/>
        <v>#N/A</v>
      </c>
      <c r="DJ84" s="399" t="e">
        <f t="shared" si="475"/>
        <v>#N/A</v>
      </c>
      <c r="DK84" s="47"/>
      <c r="DM84" s="396" t="e">
        <f t="shared" si="476"/>
        <v>#N/A</v>
      </c>
      <c r="DN84" s="397" t="e">
        <f t="shared" si="477"/>
        <v>#N/A</v>
      </c>
      <c r="DO84" s="400" t="e">
        <f t="shared" si="391"/>
        <v>#N/A</v>
      </c>
      <c r="DP84" s="398" t="e">
        <f t="shared" si="478"/>
        <v>#N/A</v>
      </c>
      <c r="DQ84" s="402" t="e">
        <f t="shared" si="479"/>
        <v>#N/A</v>
      </c>
      <c r="DR84" s="398" t="e">
        <f t="shared" si="579"/>
        <v>#N/A</v>
      </c>
      <c r="DS84" s="401" t="e">
        <f t="shared" si="580"/>
        <v>#N/A</v>
      </c>
      <c r="DT84" s="399" t="e">
        <f t="shared" si="480"/>
        <v>#N/A</v>
      </c>
      <c r="DU84" s="47"/>
      <c r="DV84" s="49"/>
      <c r="DW84" s="396" t="e">
        <f t="shared" si="481"/>
        <v>#N/A</v>
      </c>
      <c r="DX84" s="397" t="e">
        <f t="shared" si="482"/>
        <v>#N/A</v>
      </c>
      <c r="DY84" s="400" t="e">
        <f t="shared" si="392"/>
        <v>#N/A</v>
      </c>
      <c r="DZ84" s="398" t="e">
        <f t="shared" si="483"/>
        <v>#N/A</v>
      </c>
      <c r="EA84" s="402" t="e">
        <f t="shared" si="484"/>
        <v>#N/A</v>
      </c>
      <c r="EB84" s="398" t="e">
        <f t="shared" si="581"/>
        <v>#N/A</v>
      </c>
      <c r="EC84" s="401" t="e">
        <f t="shared" si="582"/>
        <v>#N/A</v>
      </c>
      <c r="ED84" s="399" t="e">
        <f t="shared" si="485"/>
        <v>#N/A</v>
      </c>
      <c r="EE84" s="47"/>
      <c r="EF84" s="47"/>
      <c r="EG84" s="396" t="e">
        <f t="shared" si="486"/>
        <v>#N/A</v>
      </c>
      <c r="EH84" s="397" t="e">
        <f t="shared" si="487"/>
        <v>#N/A</v>
      </c>
      <c r="EI84" s="400" t="e">
        <f t="shared" si="393"/>
        <v>#N/A</v>
      </c>
      <c r="EJ84" s="398" t="e">
        <f t="shared" si="488"/>
        <v>#N/A</v>
      </c>
      <c r="EK84" s="402" t="e">
        <f t="shared" si="489"/>
        <v>#N/A</v>
      </c>
      <c r="EL84" s="398" t="e">
        <f t="shared" si="583"/>
        <v>#N/A</v>
      </c>
      <c r="EM84" s="401" t="e">
        <f t="shared" si="584"/>
        <v>#N/A</v>
      </c>
      <c r="EN84" s="399" t="e">
        <f t="shared" si="490"/>
        <v>#N/A</v>
      </c>
      <c r="EO84" s="47"/>
      <c r="EP84" s="47"/>
      <c r="EQ84" s="396" t="e">
        <f t="shared" si="491"/>
        <v>#N/A</v>
      </c>
      <c r="ER84" s="397" t="e">
        <f t="shared" si="492"/>
        <v>#N/A</v>
      </c>
      <c r="ES84" s="400" t="e">
        <f t="shared" si="394"/>
        <v>#N/A</v>
      </c>
      <c r="ET84" s="398" t="e">
        <f t="shared" si="493"/>
        <v>#N/A</v>
      </c>
      <c r="EU84" s="402" t="e">
        <f t="shared" si="494"/>
        <v>#N/A</v>
      </c>
      <c r="EV84" s="398" t="e">
        <f t="shared" si="585"/>
        <v>#N/A</v>
      </c>
      <c r="EW84" s="401" t="e">
        <f t="shared" si="586"/>
        <v>#N/A</v>
      </c>
      <c r="EX84" s="399" t="e">
        <f t="shared" si="495"/>
        <v>#N/A</v>
      </c>
      <c r="EY84" s="47"/>
      <c r="EZ84" s="47"/>
      <c r="FA84" s="396" t="e">
        <f t="shared" si="496"/>
        <v>#N/A</v>
      </c>
      <c r="FB84" s="397" t="e">
        <f t="shared" si="497"/>
        <v>#N/A</v>
      </c>
      <c r="FC84" s="400" t="e">
        <f t="shared" si="395"/>
        <v>#N/A</v>
      </c>
      <c r="FD84" s="398" t="e">
        <f t="shared" si="498"/>
        <v>#N/A</v>
      </c>
      <c r="FE84" s="402" t="e">
        <f t="shared" si="499"/>
        <v>#N/A</v>
      </c>
      <c r="FF84" s="398" t="e">
        <f t="shared" si="587"/>
        <v>#N/A</v>
      </c>
      <c r="FG84" s="401" t="e">
        <f t="shared" si="588"/>
        <v>#N/A</v>
      </c>
      <c r="FH84" s="399" t="e">
        <f t="shared" si="500"/>
        <v>#N/A</v>
      </c>
      <c r="FI84" s="47"/>
      <c r="FJ84" s="49"/>
      <c r="FK84" s="396" t="e">
        <f t="shared" si="501"/>
        <v>#N/A</v>
      </c>
      <c r="FL84" s="397" t="e">
        <f t="shared" si="502"/>
        <v>#N/A</v>
      </c>
      <c r="FM84" s="400" t="e">
        <f t="shared" si="396"/>
        <v>#N/A</v>
      </c>
      <c r="FN84" s="398" t="e">
        <f t="shared" si="503"/>
        <v>#N/A</v>
      </c>
      <c r="FO84" s="402" t="e">
        <f t="shared" si="504"/>
        <v>#N/A</v>
      </c>
      <c r="FP84" s="398" t="e">
        <f t="shared" si="589"/>
        <v>#N/A</v>
      </c>
      <c r="FQ84" s="401" t="e">
        <f t="shared" si="590"/>
        <v>#N/A</v>
      </c>
      <c r="FR84" s="399" t="e">
        <f t="shared" si="505"/>
        <v>#N/A</v>
      </c>
      <c r="FS84" s="47"/>
      <c r="FT84" s="47"/>
      <c r="FU84" s="396" t="e">
        <f t="shared" si="506"/>
        <v>#N/A</v>
      </c>
      <c r="FV84" s="397" t="e">
        <f t="shared" si="507"/>
        <v>#N/A</v>
      </c>
      <c r="FW84" s="400" t="e">
        <f t="shared" si="397"/>
        <v>#N/A</v>
      </c>
      <c r="FX84" s="398" t="e">
        <f t="shared" si="508"/>
        <v>#N/A</v>
      </c>
      <c r="FY84" s="402" t="e">
        <f t="shared" si="509"/>
        <v>#N/A</v>
      </c>
      <c r="FZ84" s="398" t="e">
        <f t="shared" si="591"/>
        <v>#N/A</v>
      </c>
      <c r="GA84" s="401" t="e">
        <f t="shared" si="592"/>
        <v>#N/A</v>
      </c>
      <c r="GB84" s="399" t="e">
        <f t="shared" si="510"/>
        <v>#N/A</v>
      </c>
      <c r="GC84" s="47"/>
      <c r="GD84" s="47"/>
      <c r="GE84" s="396" t="e">
        <f t="shared" si="511"/>
        <v>#N/A</v>
      </c>
      <c r="GF84" s="397" t="e">
        <f t="shared" si="512"/>
        <v>#N/A</v>
      </c>
      <c r="GG84" s="400" t="e">
        <f t="shared" si="398"/>
        <v>#N/A</v>
      </c>
      <c r="GH84" s="398" t="e">
        <f t="shared" si="513"/>
        <v>#N/A</v>
      </c>
      <c r="GI84" s="402" t="e">
        <f t="shared" si="514"/>
        <v>#N/A</v>
      </c>
      <c r="GJ84" s="398" t="e">
        <f t="shared" si="593"/>
        <v>#N/A</v>
      </c>
      <c r="GK84" s="401" t="e">
        <f t="shared" si="594"/>
        <v>#N/A</v>
      </c>
      <c r="GL84" s="399" t="e">
        <f t="shared" si="515"/>
        <v>#N/A</v>
      </c>
      <c r="GM84" s="47"/>
      <c r="GN84" s="47"/>
      <c r="GO84" s="396" t="e">
        <f t="shared" si="516"/>
        <v>#N/A</v>
      </c>
      <c r="GP84" s="397" t="e">
        <f t="shared" si="517"/>
        <v>#N/A</v>
      </c>
      <c r="GQ84" s="400" t="e">
        <f t="shared" si="399"/>
        <v>#N/A</v>
      </c>
      <c r="GR84" s="398" t="e">
        <f t="shared" si="518"/>
        <v>#N/A</v>
      </c>
      <c r="GS84" s="402" t="e">
        <f t="shared" si="519"/>
        <v>#N/A</v>
      </c>
      <c r="GT84" s="398" t="e">
        <f t="shared" si="595"/>
        <v>#N/A</v>
      </c>
      <c r="GU84" s="401" t="e">
        <f t="shared" si="596"/>
        <v>#N/A</v>
      </c>
      <c r="GV84" s="399" t="e">
        <f t="shared" si="520"/>
        <v>#N/A</v>
      </c>
      <c r="GW84" s="47"/>
      <c r="GX84" s="47"/>
      <c r="GY84" s="396" t="e">
        <f t="shared" si="521"/>
        <v>#N/A</v>
      </c>
      <c r="GZ84" s="397" t="e">
        <f t="shared" si="522"/>
        <v>#N/A</v>
      </c>
      <c r="HA84" s="400" t="e">
        <f t="shared" si="400"/>
        <v>#N/A</v>
      </c>
      <c r="HB84" s="398" t="e">
        <f t="shared" si="523"/>
        <v>#N/A</v>
      </c>
      <c r="HC84" s="402" t="e">
        <f t="shared" si="524"/>
        <v>#N/A</v>
      </c>
      <c r="HD84" s="398" t="e">
        <f t="shared" si="597"/>
        <v>#N/A</v>
      </c>
      <c r="HE84" s="401" t="e">
        <f t="shared" si="598"/>
        <v>#N/A</v>
      </c>
      <c r="HF84" s="399" t="e">
        <f t="shared" si="525"/>
        <v>#N/A</v>
      </c>
      <c r="HH84" s="47"/>
      <c r="HI84" s="396" t="e">
        <f t="shared" si="526"/>
        <v>#N/A</v>
      </c>
      <c r="HJ84" s="397" t="e">
        <f t="shared" si="527"/>
        <v>#N/A</v>
      </c>
      <c r="HK84" s="400" t="e">
        <f t="shared" si="401"/>
        <v>#N/A</v>
      </c>
      <c r="HL84" s="398" t="e">
        <f t="shared" si="528"/>
        <v>#N/A</v>
      </c>
      <c r="HM84" s="402" t="e">
        <f t="shared" si="529"/>
        <v>#N/A</v>
      </c>
      <c r="HN84" s="398" t="e">
        <f t="shared" si="599"/>
        <v>#N/A</v>
      </c>
      <c r="HO84" s="401" t="e">
        <f t="shared" si="600"/>
        <v>#N/A</v>
      </c>
      <c r="HP84" s="399" t="e">
        <f t="shared" si="530"/>
        <v>#N/A</v>
      </c>
      <c r="HQ84" s="47"/>
      <c r="HR84" s="47"/>
      <c r="HS84" s="396" t="e">
        <f t="shared" si="531"/>
        <v>#N/A</v>
      </c>
      <c r="HT84" s="397" t="e">
        <f t="shared" si="532"/>
        <v>#N/A</v>
      </c>
      <c r="HU84" s="400" t="e">
        <f t="shared" si="402"/>
        <v>#N/A</v>
      </c>
      <c r="HV84" s="398" t="e">
        <f t="shared" si="533"/>
        <v>#N/A</v>
      </c>
      <c r="HW84" s="402" t="e">
        <f t="shared" si="534"/>
        <v>#N/A</v>
      </c>
      <c r="HX84" s="398" t="e">
        <f t="shared" si="601"/>
        <v>#N/A</v>
      </c>
      <c r="HY84" s="401" t="e">
        <f t="shared" si="602"/>
        <v>#N/A</v>
      </c>
      <c r="HZ84" s="399" t="e">
        <f t="shared" si="535"/>
        <v>#N/A</v>
      </c>
      <c r="IA84" s="47"/>
      <c r="IB84" s="49"/>
      <c r="IC84" s="396" t="e">
        <f t="shared" si="536"/>
        <v>#N/A</v>
      </c>
      <c r="ID84" s="397" t="e">
        <f t="shared" si="537"/>
        <v>#N/A</v>
      </c>
      <c r="IE84" s="400" t="e">
        <f t="shared" si="403"/>
        <v>#N/A</v>
      </c>
      <c r="IF84" s="398" t="e">
        <f t="shared" si="538"/>
        <v>#N/A</v>
      </c>
      <c r="IG84" s="402" t="e">
        <f t="shared" si="539"/>
        <v>#N/A</v>
      </c>
      <c r="IH84" s="398" t="e">
        <f t="shared" si="603"/>
        <v>#N/A</v>
      </c>
      <c r="II84" s="401" t="e">
        <f t="shared" si="604"/>
        <v>#N/A</v>
      </c>
      <c r="IJ84" s="399" t="e">
        <f t="shared" si="540"/>
        <v>#N/A</v>
      </c>
      <c r="IK84" s="47"/>
      <c r="IL84" s="47"/>
      <c r="IM84" s="396" t="e">
        <f t="shared" si="541"/>
        <v>#N/A</v>
      </c>
      <c r="IN84" s="397" t="e">
        <f t="shared" si="542"/>
        <v>#N/A</v>
      </c>
      <c r="IO84" s="400" t="e">
        <f t="shared" si="404"/>
        <v>#N/A</v>
      </c>
      <c r="IP84" s="398" t="e">
        <f t="shared" si="543"/>
        <v>#N/A</v>
      </c>
      <c r="IQ84" s="402" t="e">
        <f t="shared" si="544"/>
        <v>#N/A</v>
      </c>
      <c r="IR84" s="398" t="e">
        <f t="shared" si="605"/>
        <v>#N/A</v>
      </c>
      <c r="IS84" s="401" t="e">
        <f t="shared" si="606"/>
        <v>#N/A</v>
      </c>
      <c r="IT84" s="399" t="e">
        <f t="shared" si="545"/>
        <v>#N/A</v>
      </c>
      <c r="IU84" s="47"/>
      <c r="IV84" s="47"/>
      <c r="IW84" s="396" t="e">
        <f t="shared" si="405"/>
        <v>#N/A</v>
      </c>
      <c r="IX84" s="397" t="e">
        <f t="shared" si="406"/>
        <v>#N/A</v>
      </c>
      <c r="IY84" s="400" t="e">
        <f t="shared" si="407"/>
        <v>#N/A</v>
      </c>
      <c r="IZ84" s="398" t="e">
        <f t="shared" si="348"/>
        <v>#N/A</v>
      </c>
      <c r="JA84" s="402" t="e">
        <f t="shared" si="408"/>
        <v>#N/A</v>
      </c>
      <c r="JB84" s="398" t="e">
        <f t="shared" si="409"/>
        <v>#N/A</v>
      </c>
      <c r="JC84" s="401" t="e">
        <f t="shared" si="546"/>
        <v>#N/A</v>
      </c>
      <c r="JD84" s="399" t="e">
        <f t="shared" si="547"/>
        <v>#N/A</v>
      </c>
      <c r="JE84" s="47"/>
      <c r="JF84" s="47"/>
      <c r="JG84" s="396" t="e">
        <f t="shared" si="410"/>
        <v>#N/A</v>
      </c>
      <c r="JH84" s="397" t="e">
        <f t="shared" si="411"/>
        <v>#N/A</v>
      </c>
      <c r="JI84" s="400" t="e">
        <f t="shared" si="412"/>
        <v>#N/A</v>
      </c>
      <c r="JJ84" s="398" t="e">
        <f t="shared" si="349"/>
        <v>#N/A</v>
      </c>
      <c r="JK84" s="402" t="e">
        <f t="shared" si="413"/>
        <v>#N/A</v>
      </c>
      <c r="JL84" s="398" t="e">
        <f t="shared" si="414"/>
        <v>#N/A</v>
      </c>
      <c r="JM84" s="401" t="e">
        <f t="shared" si="548"/>
        <v>#N/A</v>
      </c>
      <c r="JN84" s="399" t="e">
        <f t="shared" si="549"/>
        <v>#N/A</v>
      </c>
      <c r="JO84" s="47"/>
      <c r="JP84" s="47"/>
      <c r="JQ84" s="396" t="e">
        <f t="shared" si="415"/>
        <v>#N/A</v>
      </c>
      <c r="JR84" s="397" t="e">
        <f t="shared" si="416"/>
        <v>#N/A</v>
      </c>
      <c r="JS84" s="400" t="e">
        <f t="shared" si="417"/>
        <v>#N/A</v>
      </c>
      <c r="JT84" s="398" t="e">
        <f t="shared" si="350"/>
        <v>#N/A</v>
      </c>
      <c r="JU84" s="402" t="e">
        <f t="shared" si="418"/>
        <v>#N/A</v>
      </c>
      <c r="JV84" s="398" t="e">
        <f t="shared" si="419"/>
        <v>#N/A</v>
      </c>
      <c r="JW84" s="401" t="e">
        <f t="shared" si="550"/>
        <v>#N/A</v>
      </c>
      <c r="JX84" s="399" t="e">
        <f t="shared" si="551"/>
        <v>#N/A</v>
      </c>
      <c r="JY84" s="47"/>
      <c r="JZ84" s="47"/>
      <c r="KA84" s="396" t="e">
        <f t="shared" si="420"/>
        <v>#N/A</v>
      </c>
      <c r="KB84" s="397" t="e">
        <f t="shared" si="421"/>
        <v>#N/A</v>
      </c>
      <c r="KC84" s="400" t="e">
        <f t="shared" si="422"/>
        <v>#N/A</v>
      </c>
      <c r="KD84" s="398" t="e">
        <f t="shared" si="351"/>
        <v>#N/A</v>
      </c>
      <c r="KE84" s="402" t="e">
        <f t="shared" si="423"/>
        <v>#N/A</v>
      </c>
      <c r="KF84" s="398" t="e">
        <f t="shared" si="424"/>
        <v>#N/A</v>
      </c>
      <c r="KG84" s="401" t="e">
        <f t="shared" si="552"/>
        <v>#N/A</v>
      </c>
      <c r="KH84" s="399" t="e">
        <f t="shared" si="553"/>
        <v>#N/A</v>
      </c>
      <c r="KI84" s="47"/>
      <c r="KJ84" s="47"/>
      <c r="KK84" s="396" t="e">
        <f t="shared" si="425"/>
        <v>#N/A</v>
      </c>
      <c r="KL84" s="397" t="e">
        <f t="shared" si="426"/>
        <v>#N/A</v>
      </c>
      <c r="KM84" s="400" t="e">
        <f t="shared" si="427"/>
        <v>#N/A</v>
      </c>
      <c r="KN84" s="398" t="e">
        <f t="shared" si="352"/>
        <v>#N/A</v>
      </c>
      <c r="KO84" s="402" t="e">
        <f t="shared" si="428"/>
        <v>#N/A</v>
      </c>
      <c r="KP84" s="398" t="e">
        <f t="shared" si="429"/>
        <v>#N/A</v>
      </c>
      <c r="KQ84" s="401" t="e">
        <f t="shared" si="554"/>
        <v>#N/A</v>
      </c>
      <c r="KR84" s="399" t="e">
        <f t="shared" si="555"/>
        <v>#N/A</v>
      </c>
      <c r="KS84" s="47"/>
      <c r="KT84" s="47"/>
      <c r="KU84" s="396" t="e">
        <f t="shared" si="556"/>
        <v>#N/A</v>
      </c>
      <c r="KV84" s="397" t="e">
        <f t="shared" si="557"/>
        <v>#N/A</v>
      </c>
      <c r="KW84" s="400" t="e">
        <f t="shared" si="430"/>
        <v>#N/A</v>
      </c>
      <c r="KX84" s="398" t="e">
        <f t="shared" si="558"/>
        <v>#N/A</v>
      </c>
      <c r="KY84" s="402" t="e">
        <f t="shared" si="559"/>
        <v>#N/A</v>
      </c>
      <c r="KZ84" s="398" t="e">
        <f t="shared" si="607"/>
        <v>#N/A</v>
      </c>
      <c r="LA84" s="401" t="e">
        <f t="shared" si="608"/>
        <v>#N/A</v>
      </c>
      <c r="LB84" s="399" t="e">
        <f t="shared" si="560"/>
        <v>#N/A</v>
      </c>
      <c r="LC84" s="47"/>
    </row>
    <row r="85" spans="26:315" x14ac:dyDescent="0.25">
      <c r="Z85" s="413"/>
      <c r="AA85" s="396" t="e">
        <f t="shared" si="431"/>
        <v>#N/A</v>
      </c>
      <c r="AB85" s="397" t="e">
        <f t="shared" si="432"/>
        <v>#N/A</v>
      </c>
      <c r="AC85" s="400" t="e">
        <f t="shared" si="382"/>
        <v>#N/A</v>
      </c>
      <c r="AD85" s="398" t="e">
        <f t="shared" si="433"/>
        <v>#N/A</v>
      </c>
      <c r="AE85" s="402" t="e">
        <f t="shared" si="434"/>
        <v>#N/A</v>
      </c>
      <c r="AF85" s="398" t="e">
        <f t="shared" si="561"/>
        <v>#N/A</v>
      </c>
      <c r="AG85" s="401" t="e">
        <f t="shared" si="562"/>
        <v>#N/A</v>
      </c>
      <c r="AH85" s="399" t="e">
        <f t="shared" si="435"/>
        <v>#N/A</v>
      </c>
      <c r="AI85" s="47"/>
      <c r="AJ85" s="47"/>
      <c r="AK85" s="396" t="e">
        <f t="shared" si="436"/>
        <v>#N/A</v>
      </c>
      <c r="AL85" s="397" t="e">
        <f t="shared" si="437"/>
        <v>#N/A</v>
      </c>
      <c r="AM85" s="400" t="e">
        <f t="shared" si="383"/>
        <v>#N/A</v>
      </c>
      <c r="AN85" s="398" t="e">
        <f t="shared" si="438"/>
        <v>#N/A</v>
      </c>
      <c r="AO85" s="402" t="e">
        <f t="shared" si="439"/>
        <v>#N/A</v>
      </c>
      <c r="AP85" s="398" t="e">
        <f t="shared" si="563"/>
        <v>#N/A</v>
      </c>
      <c r="AQ85" s="401" t="e">
        <f t="shared" si="564"/>
        <v>#N/A</v>
      </c>
      <c r="AR85" s="399" t="e">
        <f t="shared" si="440"/>
        <v>#N/A</v>
      </c>
      <c r="AS85" s="47"/>
      <c r="AT85" s="47"/>
      <c r="AU85" s="396" t="e">
        <f t="shared" si="441"/>
        <v>#N/A</v>
      </c>
      <c r="AV85" s="397" t="e">
        <f t="shared" si="442"/>
        <v>#N/A</v>
      </c>
      <c r="AW85" s="400" t="e">
        <f t="shared" si="384"/>
        <v>#N/A</v>
      </c>
      <c r="AX85" s="398" t="e">
        <f t="shared" si="443"/>
        <v>#N/A</v>
      </c>
      <c r="AY85" s="402" t="e">
        <f t="shared" si="444"/>
        <v>#N/A</v>
      </c>
      <c r="AZ85" s="398" t="e">
        <f t="shared" si="565"/>
        <v>#N/A</v>
      </c>
      <c r="BA85" s="401" t="e">
        <f t="shared" si="566"/>
        <v>#N/A</v>
      </c>
      <c r="BB85" s="399" t="e">
        <f t="shared" si="445"/>
        <v>#N/A</v>
      </c>
      <c r="BC85" s="47"/>
      <c r="BD85" s="47"/>
      <c r="BE85" s="396" t="e">
        <f t="shared" si="446"/>
        <v>#N/A</v>
      </c>
      <c r="BF85" s="397" t="e">
        <f t="shared" si="447"/>
        <v>#N/A</v>
      </c>
      <c r="BG85" s="400" t="e">
        <f t="shared" si="385"/>
        <v>#N/A</v>
      </c>
      <c r="BH85" s="398" t="e">
        <f t="shared" si="448"/>
        <v>#N/A</v>
      </c>
      <c r="BI85" s="402" t="e">
        <f t="shared" si="449"/>
        <v>#N/A</v>
      </c>
      <c r="BJ85" s="398" t="e">
        <f t="shared" si="567"/>
        <v>#N/A</v>
      </c>
      <c r="BK85" s="401" t="e">
        <f t="shared" si="568"/>
        <v>#N/A</v>
      </c>
      <c r="BL85" s="399" t="e">
        <f t="shared" si="450"/>
        <v>#N/A</v>
      </c>
      <c r="BM85" s="47"/>
      <c r="BN85" s="49"/>
      <c r="BO85" s="396" t="e">
        <f t="shared" si="451"/>
        <v>#N/A</v>
      </c>
      <c r="BP85" s="397" t="e">
        <f t="shared" si="452"/>
        <v>#N/A</v>
      </c>
      <c r="BQ85" s="400" t="e">
        <f t="shared" si="386"/>
        <v>#N/A</v>
      </c>
      <c r="BR85" s="398" t="e">
        <f t="shared" si="453"/>
        <v>#N/A</v>
      </c>
      <c r="BS85" s="402" t="e">
        <f t="shared" si="454"/>
        <v>#N/A</v>
      </c>
      <c r="BT85" s="398" t="e">
        <f t="shared" si="569"/>
        <v>#N/A</v>
      </c>
      <c r="BU85" s="401" t="e">
        <f t="shared" si="570"/>
        <v>#N/A</v>
      </c>
      <c r="BV85" s="399" t="e">
        <f t="shared" si="455"/>
        <v>#N/A</v>
      </c>
      <c r="BW85" s="47"/>
      <c r="BX85" s="47"/>
      <c r="BY85" s="396" t="e">
        <f t="shared" si="456"/>
        <v>#N/A</v>
      </c>
      <c r="BZ85" s="397" t="e">
        <f t="shared" si="457"/>
        <v>#N/A</v>
      </c>
      <c r="CA85" s="400" t="e">
        <f t="shared" si="387"/>
        <v>#N/A</v>
      </c>
      <c r="CB85" s="398" t="e">
        <f t="shared" si="458"/>
        <v>#N/A</v>
      </c>
      <c r="CC85" s="402" t="e">
        <f t="shared" si="459"/>
        <v>#N/A</v>
      </c>
      <c r="CD85" s="398" t="e">
        <f t="shared" si="571"/>
        <v>#N/A</v>
      </c>
      <c r="CE85" s="401" t="e">
        <f t="shared" si="572"/>
        <v>#N/A</v>
      </c>
      <c r="CF85" s="399" t="e">
        <f t="shared" si="460"/>
        <v>#N/A</v>
      </c>
      <c r="CG85" s="49"/>
      <c r="CH85" s="47"/>
      <c r="CI85" s="396" t="e">
        <f t="shared" si="461"/>
        <v>#N/A</v>
      </c>
      <c r="CJ85" s="397" t="e">
        <f t="shared" si="462"/>
        <v>#N/A</v>
      </c>
      <c r="CK85" s="400" t="e">
        <f t="shared" si="388"/>
        <v>#N/A</v>
      </c>
      <c r="CL85" s="398" t="e">
        <f t="shared" si="463"/>
        <v>#N/A</v>
      </c>
      <c r="CM85" s="402" t="e">
        <f t="shared" si="464"/>
        <v>#N/A</v>
      </c>
      <c r="CN85" s="398" t="e">
        <f t="shared" si="573"/>
        <v>#N/A</v>
      </c>
      <c r="CO85" s="401" t="e">
        <f t="shared" si="574"/>
        <v>#N/A</v>
      </c>
      <c r="CP85" s="399" t="e">
        <f t="shared" si="465"/>
        <v>#N/A</v>
      </c>
      <c r="CQ85" s="47"/>
      <c r="CS85" s="396" t="e">
        <f t="shared" si="466"/>
        <v>#N/A</v>
      </c>
      <c r="CT85" s="397" t="e">
        <f t="shared" si="467"/>
        <v>#N/A</v>
      </c>
      <c r="CU85" s="400" t="e">
        <f t="shared" si="389"/>
        <v>#N/A</v>
      </c>
      <c r="CV85" s="398" t="e">
        <f t="shared" si="468"/>
        <v>#N/A</v>
      </c>
      <c r="CW85" s="402" t="e">
        <f t="shared" si="469"/>
        <v>#N/A</v>
      </c>
      <c r="CX85" s="398" t="e">
        <f t="shared" si="575"/>
        <v>#N/A</v>
      </c>
      <c r="CY85" s="401" t="e">
        <f t="shared" si="576"/>
        <v>#N/A</v>
      </c>
      <c r="CZ85" s="399" t="e">
        <f t="shared" si="470"/>
        <v>#N/A</v>
      </c>
      <c r="DA85" s="47"/>
      <c r="DB85" s="47"/>
      <c r="DC85" s="396" t="e">
        <f t="shared" si="471"/>
        <v>#N/A</v>
      </c>
      <c r="DD85" s="397" t="e">
        <f t="shared" si="472"/>
        <v>#N/A</v>
      </c>
      <c r="DE85" s="400" t="e">
        <f t="shared" si="390"/>
        <v>#N/A</v>
      </c>
      <c r="DF85" s="398" t="e">
        <f t="shared" si="473"/>
        <v>#N/A</v>
      </c>
      <c r="DG85" s="402" t="e">
        <f t="shared" si="474"/>
        <v>#N/A</v>
      </c>
      <c r="DH85" s="398" t="e">
        <f t="shared" si="577"/>
        <v>#N/A</v>
      </c>
      <c r="DI85" s="401" t="e">
        <f t="shared" si="578"/>
        <v>#N/A</v>
      </c>
      <c r="DJ85" s="399" t="e">
        <f t="shared" si="475"/>
        <v>#N/A</v>
      </c>
      <c r="DK85" s="47"/>
      <c r="DM85" s="396" t="e">
        <f t="shared" si="476"/>
        <v>#N/A</v>
      </c>
      <c r="DN85" s="397" t="e">
        <f t="shared" si="477"/>
        <v>#N/A</v>
      </c>
      <c r="DO85" s="400" t="e">
        <f t="shared" si="391"/>
        <v>#N/A</v>
      </c>
      <c r="DP85" s="398" t="e">
        <f t="shared" si="478"/>
        <v>#N/A</v>
      </c>
      <c r="DQ85" s="402" t="e">
        <f t="shared" si="479"/>
        <v>#N/A</v>
      </c>
      <c r="DR85" s="398" t="e">
        <f t="shared" si="579"/>
        <v>#N/A</v>
      </c>
      <c r="DS85" s="401" t="e">
        <f t="shared" si="580"/>
        <v>#N/A</v>
      </c>
      <c r="DT85" s="399" t="e">
        <f t="shared" si="480"/>
        <v>#N/A</v>
      </c>
      <c r="DU85" s="47"/>
      <c r="DV85" s="49"/>
      <c r="DW85" s="396" t="e">
        <f t="shared" si="481"/>
        <v>#N/A</v>
      </c>
      <c r="DX85" s="397" t="e">
        <f t="shared" si="482"/>
        <v>#N/A</v>
      </c>
      <c r="DY85" s="400" t="e">
        <f t="shared" si="392"/>
        <v>#N/A</v>
      </c>
      <c r="DZ85" s="398" t="e">
        <f t="shared" si="483"/>
        <v>#N/A</v>
      </c>
      <c r="EA85" s="402" t="e">
        <f t="shared" si="484"/>
        <v>#N/A</v>
      </c>
      <c r="EB85" s="398" t="e">
        <f t="shared" si="581"/>
        <v>#N/A</v>
      </c>
      <c r="EC85" s="401" t="e">
        <f t="shared" si="582"/>
        <v>#N/A</v>
      </c>
      <c r="ED85" s="399" t="e">
        <f t="shared" si="485"/>
        <v>#N/A</v>
      </c>
      <c r="EE85" s="47"/>
      <c r="EF85" s="47"/>
      <c r="EG85" s="396" t="e">
        <f t="shared" si="486"/>
        <v>#N/A</v>
      </c>
      <c r="EH85" s="397" t="e">
        <f t="shared" si="487"/>
        <v>#N/A</v>
      </c>
      <c r="EI85" s="400" t="e">
        <f t="shared" si="393"/>
        <v>#N/A</v>
      </c>
      <c r="EJ85" s="398" t="e">
        <f t="shared" si="488"/>
        <v>#N/A</v>
      </c>
      <c r="EK85" s="402" t="e">
        <f t="shared" si="489"/>
        <v>#N/A</v>
      </c>
      <c r="EL85" s="398" t="e">
        <f t="shared" si="583"/>
        <v>#N/A</v>
      </c>
      <c r="EM85" s="401" t="e">
        <f t="shared" si="584"/>
        <v>#N/A</v>
      </c>
      <c r="EN85" s="399" t="e">
        <f t="shared" si="490"/>
        <v>#N/A</v>
      </c>
      <c r="EO85" s="47"/>
      <c r="EP85" s="47"/>
      <c r="EQ85" s="396" t="e">
        <f t="shared" si="491"/>
        <v>#N/A</v>
      </c>
      <c r="ER85" s="397" t="e">
        <f t="shared" si="492"/>
        <v>#N/A</v>
      </c>
      <c r="ES85" s="400" t="e">
        <f t="shared" si="394"/>
        <v>#N/A</v>
      </c>
      <c r="ET85" s="398" t="e">
        <f t="shared" si="493"/>
        <v>#N/A</v>
      </c>
      <c r="EU85" s="402" t="e">
        <f t="shared" si="494"/>
        <v>#N/A</v>
      </c>
      <c r="EV85" s="398" t="e">
        <f t="shared" si="585"/>
        <v>#N/A</v>
      </c>
      <c r="EW85" s="401" t="e">
        <f t="shared" si="586"/>
        <v>#N/A</v>
      </c>
      <c r="EX85" s="399" t="e">
        <f t="shared" si="495"/>
        <v>#N/A</v>
      </c>
      <c r="EY85" s="47"/>
      <c r="EZ85" s="47"/>
      <c r="FA85" s="396" t="e">
        <f t="shared" si="496"/>
        <v>#N/A</v>
      </c>
      <c r="FB85" s="397" t="e">
        <f t="shared" si="497"/>
        <v>#N/A</v>
      </c>
      <c r="FC85" s="400" t="e">
        <f t="shared" si="395"/>
        <v>#N/A</v>
      </c>
      <c r="FD85" s="398" t="e">
        <f t="shared" si="498"/>
        <v>#N/A</v>
      </c>
      <c r="FE85" s="402" t="e">
        <f t="shared" si="499"/>
        <v>#N/A</v>
      </c>
      <c r="FF85" s="398" t="e">
        <f t="shared" si="587"/>
        <v>#N/A</v>
      </c>
      <c r="FG85" s="401" t="e">
        <f t="shared" si="588"/>
        <v>#N/A</v>
      </c>
      <c r="FH85" s="399" t="e">
        <f t="shared" si="500"/>
        <v>#N/A</v>
      </c>
      <c r="FI85" s="47"/>
      <c r="FJ85" s="49"/>
      <c r="FK85" s="396" t="e">
        <f t="shared" si="501"/>
        <v>#N/A</v>
      </c>
      <c r="FL85" s="397" t="e">
        <f t="shared" si="502"/>
        <v>#N/A</v>
      </c>
      <c r="FM85" s="400" t="e">
        <f t="shared" si="396"/>
        <v>#N/A</v>
      </c>
      <c r="FN85" s="398" t="e">
        <f t="shared" si="503"/>
        <v>#N/A</v>
      </c>
      <c r="FO85" s="402" t="e">
        <f t="shared" si="504"/>
        <v>#N/A</v>
      </c>
      <c r="FP85" s="398" t="e">
        <f t="shared" si="589"/>
        <v>#N/A</v>
      </c>
      <c r="FQ85" s="401" t="e">
        <f t="shared" si="590"/>
        <v>#N/A</v>
      </c>
      <c r="FR85" s="399" t="e">
        <f t="shared" si="505"/>
        <v>#N/A</v>
      </c>
      <c r="FS85" s="47"/>
      <c r="FT85" s="47"/>
      <c r="FU85" s="396" t="e">
        <f t="shared" si="506"/>
        <v>#N/A</v>
      </c>
      <c r="FV85" s="397" t="e">
        <f t="shared" si="507"/>
        <v>#N/A</v>
      </c>
      <c r="FW85" s="400" t="e">
        <f t="shared" si="397"/>
        <v>#N/A</v>
      </c>
      <c r="FX85" s="398" t="e">
        <f t="shared" si="508"/>
        <v>#N/A</v>
      </c>
      <c r="FY85" s="402" t="e">
        <f t="shared" si="509"/>
        <v>#N/A</v>
      </c>
      <c r="FZ85" s="398" t="e">
        <f t="shared" si="591"/>
        <v>#N/A</v>
      </c>
      <c r="GA85" s="401" t="e">
        <f t="shared" si="592"/>
        <v>#N/A</v>
      </c>
      <c r="GB85" s="399" t="e">
        <f t="shared" si="510"/>
        <v>#N/A</v>
      </c>
      <c r="GC85" s="47"/>
      <c r="GD85" s="47"/>
      <c r="GE85" s="396" t="e">
        <f t="shared" si="511"/>
        <v>#N/A</v>
      </c>
      <c r="GF85" s="397" t="e">
        <f t="shared" si="512"/>
        <v>#N/A</v>
      </c>
      <c r="GG85" s="400" t="e">
        <f t="shared" si="398"/>
        <v>#N/A</v>
      </c>
      <c r="GH85" s="398" t="e">
        <f t="shared" si="513"/>
        <v>#N/A</v>
      </c>
      <c r="GI85" s="402" t="e">
        <f t="shared" si="514"/>
        <v>#N/A</v>
      </c>
      <c r="GJ85" s="398" t="e">
        <f t="shared" si="593"/>
        <v>#N/A</v>
      </c>
      <c r="GK85" s="401" t="e">
        <f t="shared" si="594"/>
        <v>#N/A</v>
      </c>
      <c r="GL85" s="399" t="e">
        <f t="shared" si="515"/>
        <v>#N/A</v>
      </c>
      <c r="GM85" s="47"/>
      <c r="GN85" s="47"/>
      <c r="GO85" s="396" t="e">
        <f t="shared" si="516"/>
        <v>#N/A</v>
      </c>
      <c r="GP85" s="397" t="e">
        <f t="shared" si="517"/>
        <v>#N/A</v>
      </c>
      <c r="GQ85" s="400" t="e">
        <f t="shared" si="399"/>
        <v>#N/A</v>
      </c>
      <c r="GR85" s="398" t="e">
        <f t="shared" si="518"/>
        <v>#N/A</v>
      </c>
      <c r="GS85" s="402" t="e">
        <f t="shared" si="519"/>
        <v>#N/A</v>
      </c>
      <c r="GT85" s="398" t="e">
        <f t="shared" si="595"/>
        <v>#N/A</v>
      </c>
      <c r="GU85" s="401" t="e">
        <f t="shared" si="596"/>
        <v>#N/A</v>
      </c>
      <c r="GV85" s="399" t="e">
        <f t="shared" si="520"/>
        <v>#N/A</v>
      </c>
      <c r="GW85" s="47"/>
      <c r="GX85" s="47"/>
      <c r="GY85" s="396" t="e">
        <f t="shared" si="521"/>
        <v>#N/A</v>
      </c>
      <c r="GZ85" s="397" t="e">
        <f t="shared" si="522"/>
        <v>#N/A</v>
      </c>
      <c r="HA85" s="400" t="e">
        <f t="shared" si="400"/>
        <v>#N/A</v>
      </c>
      <c r="HB85" s="398" t="e">
        <f t="shared" si="523"/>
        <v>#N/A</v>
      </c>
      <c r="HC85" s="402" t="e">
        <f t="shared" si="524"/>
        <v>#N/A</v>
      </c>
      <c r="HD85" s="398" t="e">
        <f t="shared" si="597"/>
        <v>#N/A</v>
      </c>
      <c r="HE85" s="401" t="e">
        <f t="shared" si="598"/>
        <v>#N/A</v>
      </c>
      <c r="HF85" s="399" t="e">
        <f t="shared" si="525"/>
        <v>#N/A</v>
      </c>
      <c r="HH85" s="47"/>
      <c r="HI85" s="396" t="e">
        <f t="shared" si="526"/>
        <v>#N/A</v>
      </c>
      <c r="HJ85" s="397" t="e">
        <f t="shared" si="527"/>
        <v>#N/A</v>
      </c>
      <c r="HK85" s="400" t="e">
        <f t="shared" si="401"/>
        <v>#N/A</v>
      </c>
      <c r="HL85" s="398" t="e">
        <f t="shared" si="528"/>
        <v>#N/A</v>
      </c>
      <c r="HM85" s="402" t="e">
        <f t="shared" si="529"/>
        <v>#N/A</v>
      </c>
      <c r="HN85" s="398" t="e">
        <f t="shared" si="599"/>
        <v>#N/A</v>
      </c>
      <c r="HO85" s="401" t="e">
        <f t="shared" si="600"/>
        <v>#N/A</v>
      </c>
      <c r="HP85" s="399" t="e">
        <f t="shared" si="530"/>
        <v>#N/A</v>
      </c>
      <c r="HQ85" s="47"/>
      <c r="HR85" s="47"/>
      <c r="HS85" s="396" t="e">
        <f t="shared" si="531"/>
        <v>#N/A</v>
      </c>
      <c r="HT85" s="397" t="e">
        <f t="shared" si="532"/>
        <v>#N/A</v>
      </c>
      <c r="HU85" s="400" t="e">
        <f t="shared" si="402"/>
        <v>#N/A</v>
      </c>
      <c r="HV85" s="398" t="e">
        <f t="shared" si="533"/>
        <v>#N/A</v>
      </c>
      <c r="HW85" s="402" t="e">
        <f t="shared" si="534"/>
        <v>#N/A</v>
      </c>
      <c r="HX85" s="398" t="e">
        <f t="shared" si="601"/>
        <v>#N/A</v>
      </c>
      <c r="HY85" s="401" t="e">
        <f t="shared" si="602"/>
        <v>#N/A</v>
      </c>
      <c r="HZ85" s="399" t="e">
        <f t="shared" si="535"/>
        <v>#N/A</v>
      </c>
      <c r="IA85" s="47"/>
      <c r="IB85" s="49"/>
      <c r="IC85" s="396" t="e">
        <f t="shared" si="536"/>
        <v>#N/A</v>
      </c>
      <c r="ID85" s="397" t="e">
        <f t="shared" si="537"/>
        <v>#N/A</v>
      </c>
      <c r="IE85" s="400" t="e">
        <f t="shared" si="403"/>
        <v>#N/A</v>
      </c>
      <c r="IF85" s="398" t="e">
        <f t="shared" si="538"/>
        <v>#N/A</v>
      </c>
      <c r="IG85" s="402" t="e">
        <f t="shared" si="539"/>
        <v>#N/A</v>
      </c>
      <c r="IH85" s="398" t="e">
        <f t="shared" si="603"/>
        <v>#N/A</v>
      </c>
      <c r="II85" s="401" t="e">
        <f t="shared" si="604"/>
        <v>#N/A</v>
      </c>
      <c r="IJ85" s="399" t="e">
        <f t="shared" si="540"/>
        <v>#N/A</v>
      </c>
      <c r="IK85" s="47"/>
      <c r="IL85" s="47"/>
      <c r="IM85" s="396" t="e">
        <f t="shared" si="541"/>
        <v>#N/A</v>
      </c>
      <c r="IN85" s="397" t="e">
        <f t="shared" si="542"/>
        <v>#N/A</v>
      </c>
      <c r="IO85" s="400" t="e">
        <f t="shared" si="404"/>
        <v>#N/A</v>
      </c>
      <c r="IP85" s="398" t="e">
        <f t="shared" si="543"/>
        <v>#N/A</v>
      </c>
      <c r="IQ85" s="402" t="e">
        <f t="shared" si="544"/>
        <v>#N/A</v>
      </c>
      <c r="IR85" s="398" t="e">
        <f t="shared" si="605"/>
        <v>#N/A</v>
      </c>
      <c r="IS85" s="401" t="e">
        <f t="shared" si="606"/>
        <v>#N/A</v>
      </c>
      <c r="IT85" s="399" t="e">
        <f t="shared" si="545"/>
        <v>#N/A</v>
      </c>
      <c r="IU85" s="47"/>
      <c r="IV85" s="47"/>
      <c r="IW85" s="396" t="e">
        <f t="shared" si="405"/>
        <v>#N/A</v>
      </c>
      <c r="IX85" s="397" t="e">
        <f t="shared" si="406"/>
        <v>#N/A</v>
      </c>
      <c r="IY85" s="400" t="e">
        <f t="shared" si="407"/>
        <v>#N/A</v>
      </c>
      <c r="IZ85" s="398" t="e">
        <f t="shared" si="348"/>
        <v>#N/A</v>
      </c>
      <c r="JA85" s="402" t="e">
        <f t="shared" si="408"/>
        <v>#N/A</v>
      </c>
      <c r="JB85" s="398" t="e">
        <f t="shared" si="409"/>
        <v>#N/A</v>
      </c>
      <c r="JC85" s="401" t="e">
        <f t="shared" si="546"/>
        <v>#N/A</v>
      </c>
      <c r="JD85" s="399" t="e">
        <f t="shared" si="547"/>
        <v>#N/A</v>
      </c>
      <c r="JE85" s="47"/>
      <c r="JF85" s="47"/>
      <c r="JG85" s="396" t="e">
        <f t="shared" si="410"/>
        <v>#N/A</v>
      </c>
      <c r="JH85" s="397" t="e">
        <f t="shared" si="411"/>
        <v>#N/A</v>
      </c>
      <c r="JI85" s="400" t="e">
        <f t="shared" si="412"/>
        <v>#N/A</v>
      </c>
      <c r="JJ85" s="398" t="e">
        <f t="shared" si="349"/>
        <v>#N/A</v>
      </c>
      <c r="JK85" s="402" t="e">
        <f t="shared" si="413"/>
        <v>#N/A</v>
      </c>
      <c r="JL85" s="398" t="e">
        <f t="shared" si="414"/>
        <v>#N/A</v>
      </c>
      <c r="JM85" s="401" t="e">
        <f t="shared" si="548"/>
        <v>#N/A</v>
      </c>
      <c r="JN85" s="399" t="e">
        <f t="shared" si="549"/>
        <v>#N/A</v>
      </c>
      <c r="JO85" s="47"/>
      <c r="JP85" s="47"/>
      <c r="JQ85" s="396" t="e">
        <f t="shared" si="415"/>
        <v>#N/A</v>
      </c>
      <c r="JR85" s="397" t="e">
        <f t="shared" si="416"/>
        <v>#N/A</v>
      </c>
      <c r="JS85" s="400" t="e">
        <f t="shared" si="417"/>
        <v>#N/A</v>
      </c>
      <c r="JT85" s="398" t="e">
        <f t="shared" si="350"/>
        <v>#N/A</v>
      </c>
      <c r="JU85" s="402" t="e">
        <f t="shared" si="418"/>
        <v>#N/A</v>
      </c>
      <c r="JV85" s="398" t="e">
        <f t="shared" si="419"/>
        <v>#N/A</v>
      </c>
      <c r="JW85" s="401" t="e">
        <f t="shared" si="550"/>
        <v>#N/A</v>
      </c>
      <c r="JX85" s="399" t="e">
        <f t="shared" si="551"/>
        <v>#N/A</v>
      </c>
      <c r="JY85" s="47"/>
      <c r="JZ85" s="47"/>
      <c r="KA85" s="396" t="e">
        <f t="shared" si="420"/>
        <v>#N/A</v>
      </c>
      <c r="KB85" s="397" t="e">
        <f t="shared" si="421"/>
        <v>#N/A</v>
      </c>
      <c r="KC85" s="400" t="e">
        <f t="shared" si="422"/>
        <v>#N/A</v>
      </c>
      <c r="KD85" s="398" t="e">
        <f t="shared" si="351"/>
        <v>#N/A</v>
      </c>
      <c r="KE85" s="402" t="e">
        <f t="shared" si="423"/>
        <v>#N/A</v>
      </c>
      <c r="KF85" s="398" t="e">
        <f t="shared" si="424"/>
        <v>#N/A</v>
      </c>
      <c r="KG85" s="401" t="e">
        <f t="shared" si="552"/>
        <v>#N/A</v>
      </c>
      <c r="KH85" s="399" t="e">
        <f t="shared" si="553"/>
        <v>#N/A</v>
      </c>
      <c r="KI85" s="47"/>
      <c r="KJ85" s="47"/>
      <c r="KK85" s="396" t="e">
        <f t="shared" si="425"/>
        <v>#N/A</v>
      </c>
      <c r="KL85" s="397" t="e">
        <f t="shared" si="426"/>
        <v>#N/A</v>
      </c>
      <c r="KM85" s="400" t="e">
        <f t="shared" si="427"/>
        <v>#N/A</v>
      </c>
      <c r="KN85" s="398" t="e">
        <f t="shared" si="352"/>
        <v>#N/A</v>
      </c>
      <c r="KO85" s="402" t="e">
        <f t="shared" si="428"/>
        <v>#N/A</v>
      </c>
      <c r="KP85" s="398" t="e">
        <f t="shared" si="429"/>
        <v>#N/A</v>
      </c>
      <c r="KQ85" s="401" t="e">
        <f t="shared" si="554"/>
        <v>#N/A</v>
      </c>
      <c r="KR85" s="399" t="e">
        <f t="shared" si="555"/>
        <v>#N/A</v>
      </c>
      <c r="KS85" s="47"/>
      <c r="KT85" s="47"/>
      <c r="KU85" s="396" t="e">
        <f t="shared" si="556"/>
        <v>#N/A</v>
      </c>
      <c r="KV85" s="397" t="e">
        <f t="shared" si="557"/>
        <v>#N/A</v>
      </c>
      <c r="KW85" s="400" t="e">
        <f t="shared" si="430"/>
        <v>#N/A</v>
      </c>
      <c r="KX85" s="398" t="e">
        <f t="shared" si="558"/>
        <v>#N/A</v>
      </c>
      <c r="KY85" s="402" t="e">
        <f t="shared" si="559"/>
        <v>#N/A</v>
      </c>
      <c r="KZ85" s="398" t="e">
        <f t="shared" si="607"/>
        <v>#N/A</v>
      </c>
      <c r="LA85" s="401" t="e">
        <f t="shared" si="608"/>
        <v>#N/A</v>
      </c>
      <c r="LB85" s="399" t="e">
        <f t="shared" si="560"/>
        <v>#N/A</v>
      </c>
      <c r="LC85" s="47"/>
    </row>
    <row r="86" spans="26:315" x14ac:dyDescent="0.25">
      <c r="Z86" s="413"/>
      <c r="AA86" s="396" t="e">
        <f t="shared" si="431"/>
        <v>#N/A</v>
      </c>
      <c r="AB86" s="397" t="e">
        <f t="shared" si="432"/>
        <v>#N/A</v>
      </c>
      <c r="AC86" s="400" t="e">
        <f t="shared" si="382"/>
        <v>#N/A</v>
      </c>
      <c r="AD86" s="398" t="e">
        <f t="shared" si="433"/>
        <v>#N/A</v>
      </c>
      <c r="AE86" s="402" t="e">
        <f t="shared" si="434"/>
        <v>#N/A</v>
      </c>
      <c r="AF86" s="398" t="e">
        <f t="shared" si="561"/>
        <v>#N/A</v>
      </c>
      <c r="AG86" s="401" t="e">
        <f t="shared" si="562"/>
        <v>#N/A</v>
      </c>
      <c r="AH86" s="399" t="e">
        <f t="shared" si="435"/>
        <v>#N/A</v>
      </c>
      <c r="AI86" s="47"/>
      <c r="AJ86" s="47"/>
      <c r="AK86" s="396" t="e">
        <f t="shared" si="436"/>
        <v>#N/A</v>
      </c>
      <c r="AL86" s="397" t="e">
        <f t="shared" si="437"/>
        <v>#N/A</v>
      </c>
      <c r="AM86" s="400" t="e">
        <f t="shared" si="383"/>
        <v>#N/A</v>
      </c>
      <c r="AN86" s="398" t="e">
        <f t="shared" si="438"/>
        <v>#N/A</v>
      </c>
      <c r="AO86" s="402" t="e">
        <f t="shared" si="439"/>
        <v>#N/A</v>
      </c>
      <c r="AP86" s="398" t="e">
        <f t="shared" si="563"/>
        <v>#N/A</v>
      </c>
      <c r="AQ86" s="401" t="e">
        <f t="shared" si="564"/>
        <v>#N/A</v>
      </c>
      <c r="AR86" s="399" t="e">
        <f t="shared" si="440"/>
        <v>#N/A</v>
      </c>
      <c r="AS86" s="47"/>
      <c r="AT86" s="47"/>
      <c r="AU86" s="396" t="e">
        <f t="shared" si="441"/>
        <v>#N/A</v>
      </c>
      <c r="AV86" s="397" t="e">
        <f t="shared" si="442"/>
        <v>#N/A</v>
      </c>
      <c r="AW86" s="400" t="e">
        <f t="shared" si="384"/>
        <v>#N/A</v>
      </c>
      <c r="AX86" s="398" t="e">
        <f t="shared" si="443"/>
        <v>#N/A</v>
      </c>
      <c r="AY86" s="402" t="e">
        <f t="shared" si="444"/>
        <v>#N/A</v>
      </c>
      <c r="AZ86" s="398" t="e">
        <f t="shared" si="565"/>
        <v>#N/A</v>
      </c>
      <c r="BA86" s="401" t="e">
        <f t="shared" si="566"/>
        <v>#N/A</v>
      </c>
      <c r="BB86" s="399" t="e">
        <f t="shared" si="445"/>
        <v>#N/A</v>
      </c>
      <c r="BC86" s="47"/>
      <c r="BD86" s="47"/>
      <c r="BE86" s="396" t="e">
        <f t="shared" si="446"/>
        <v>#N/A</v>
      </c>
      <c r="BF86" s="397" t="e">
        <f t="shared" si="447"/>
        <v>#N/A</v>
      </c>
      <c r="BG86" s="400" t="e">
        <f t="shared" si="385"/>
        <v>#N/A</v>
      </c>
      <c r="BH86" s="398" t="e">
        <f t="shared" si="448"/>
        <v>#N/A</v>
      </c>
      <c r="BI86" s="402" t="e">
        <f t="shared" si="449"/>
        <v>#N/A</v>
      </c>
      <c r="BJ86" s="398" t="e">
        <f t="shared" si="567"/>
        <v>#N/A</v>
      </c>
      <c r="BK86" s="401" t="e">
        <f t="shared" si="568"/>
        <v>#N/A</v>
      </c>
      <c r="BL86" s="399" t="e">
        <f t="shared" si="450"/>
        <v>#N/A</v>
      </c>
      <c r="BM86" s="47"/>
      <c r="BN86" s="49"/>
      <c r="BO86" s="396" t="e">
        <f t="shared" si="451"/>
        <v>#N/A</v>
      </c>
      <c r="BP86" s="397" t="e">
        <f t="shared" si="452"/>
        <v>#N/A</v>
      </c>
      <c r="BQ86" s="400" t="e">
        <f t="shared" si="386"/>
        <v>#N/A</v>
      </c>
      <c r="BR86" s="398" t="e">
        <f t="shared" si="453"/>
        <v>#N/A</v>
      </c>
      <c r="BS86" s="402" t="e">
        <f t="shared" si="454"/>
        <v>#N/A</v>
      </c>
      <c r="BT86" s="398" t="e">
        <f t="shared" si="569"/>
        <v>#N/A</v>
      </c>
      <c r="BU86" s="401" t="e">
        <f t="shared" si="570"/>
        <v>#N/A</v>
      </c>
      <c r="BV86" s="399" t="e">
        <f t="shared" si="455"/>
        <v>#N/A</v>
      </c>
      <c r="BW86" s="47"/>
      <c r="BX86" s="47"/>
      <c r="BY86" s="396" t="e">
        <f t="shared" si="456"/>
        <v>#N/A</v>
      </c>
      <c r="BZ86" s="397" t="e">
        <f t="shared" si="457"/>
        <v>#N/A</v>
      </c>
      <c r="CA86" s="400" t="e">
        <f t="shared" si="387"/>
        <v>#N/A</v>
      </c>
      <c r="CB86" s="398" t="e">
        <f t="shared" si="458"/>
        <v>#N/A</v>
      </c>
      <c r="CC86" s="402" t="e">
        <f t="shared" si="459"/>
        <v>#N/A</v>
      </c>
      <c r="CD86" s="398" t="e">
        <f t="shared" si="571"/>
        <v>#N/A</v>
      </c>
      <c r="CE86" s="401" t="e">
        <f t="shared" si="572"/>
        <v>#N/A</v>
      </c>
      <c r="CF86" s="399" t="e">
        <f t="shared" si="460"/>
        <v>#N/A</v>
      </c>
      <c r="CG86" s="49"/>
      <c r="CH86" s="47"/>
      <c r="CI86" s="396" t="e">
        <f t="shared" si="461"/>
        <v>#N/A</v>
      </c>
      <c r="CJ86" s="397" t="e">
        <f t="shared" si="462"/>
        <v>#N/A</v>
      </c>
      <c r="CK86" s="400" t="e">
        <f t="shared" si="388"/>
        <v>#N/A</v>
      </c>
      <c r="CL86" s="398" t="e">
        <f t="shared" si="463"/>
        <v>#N/A</v>
      </c>
      <c r="CM86" s="402" t="e">
        <f t="shared" si="464"/>
        <v>#N/A</v>
      </c>
      <c r="CN86" s="398" t="e">
        <f t="shared" si="573"/>
        <v>#N/A</v>
      </c>
      <c r="CO86" s="401" t="e">
        <f t="shared" si="574"/>
        <v>#N/A</v>
      </c>
      <c r="CP86" s="399" t="e">
        <f t="shared" si="465"/>
        <v>#N/A</v>
      </c>
      <c r="CQ86" s="47"/>
      <c r="CS86" s="396" t="e">
        <f t="shared" si="466"/>
        <v>#N/A</v>
      </c>
      <c r="CT86" s="397" t="e">
        <f t="shared" si="467"/>
        <v>#N/A</v>
      </c>
      <c r="CU86" s="400" t="e">
        <f t="shared" si="389"/>
        <v>#N/A</v>
      </c>
      <c r="CV86" s="398" t="e">
        <f t="shared" si="468"/>
        <v>#N/A</v>
      </c>
      <c r="CW86" s="402" t="e">
        <f t="shared" si="469"/>
        <v>#N/A</v>
      </c>
      <c r="CX86" s="398" t="e">
        <f t="shared" si="575"/>
        <v>#N/A</v>
      </c>
      <c r="CY86" s="401" t="e">
        <f t="shared" si="576"/>
        <v>#N/A</v>
      </c>
      <c r="CZ86" s="399" t="e">
        <f t="shared" si="470"/>
        <v>#N/A</v>
      </c>
      <c r="DA86" s="47"/>
      <c r="DB86" s="47"/>
      <c r="DC86" s="396" t="e">
        <f t="shared" si="471"/>
        <v>#N/A</v>
      </c>
      <c r="DD86" s="397" t="e">
        <f t="shared" si="472"/>
        <v>#N/A</v>
      </c>
      <c r="DE86" s="400" t="e">
        <f t="shared" si="390"/>
        <v>#N/A</v>
      </c>
      <c r="DF86" s="398" t="e">
        <f t="shared" si="473"/>
        <v>#N/A</v>
      </c>
      <c r="DG86" s="402" t="e">
        <f t="shared" si="474"/>
        <v>#N/A</v>
      </c>
      <c r="DH86" s="398" t="e">
        <f t="shared" si="577"/>
        <v>#N/A</v>
      </c>
      <c r="DI86" s="401" t="e">
        <f t="shared" si="578"/>
        <v>#N/A</v>
      </c>
      <c r="DJ86" s="399" t="e">
        <f t="shared" si="475"/>
        <v>#N/A</v>
      </c>
      <c r="DK86" s="47"/>
      <c r="DM86" s="396" t="e">
        <f t="shared" si="476"/>
        <v>#N/A</v>
      </c>
      <c r="DN86" s="397" t="e">
        <f t="shared" si="477"/>
        <v>#N/A</v>
      </c>
      <c r="DO86" s="400" t="e">
        <f t="shared" si="391"/>
        <v>#N/A</v>
      </c>
      <c r="DP86" s="398" t="e">
        <f t="shared" si="478"/>
        <v>#N/A</v>
      </c>
      <c r="DQ86" s="402" t="e">
        <f t="shared" si="479"/>
        <v>#N/A</v>
      </c>
      <c r="DR86" s="398" t="e">
        <f t="shared" si="579"/>
        <v>#N/A</v>
      </c>
      <c r="DS86" s="401" t="e">
        <f t="shared" si="580"/>
        <v>#N/A</v>
      </c>
      <c r="DT86" s="399" t="e">
        <f t="shared" si="480"/>
        <v>#N/A</v>
      </c>
      <c r="DU86" s="47"/>
      <c r="DV86" s="49"/>
      <c r="DW86" s="396" t="e">
        <f t="shared" si="481"/>
        <v>#N/A</v>
      </c>
      <c r="DX86" s="397" t="e">
        <f t="shared" si="482"/>
        <v>#N/A</v>
      </c>
      <c r="DY86" s="400" t="e">
        <f t="shared" si="392"/>
        <v>#N/A</v>
      </c>
      <c r="DZ86" s="398" t="e">
        <f t="shared" si="483"/>
        <v>#N/A</v>
      </c>
      <c r="EA86" s="402" t="e">
        <f t="shared" si="484"/>
        <v>#N/A</v>
      </c>
      <c r="EB86" s="398" t="e">
        <f t="shared" si="581"/>
        <v>#N/A</v>
      </c>
      <c r="EC86" s="401" t="e">
        <f t="shared" si="582"/>
        <v>#N/A</v>
      </c>
      <c r="ED86" s="399" t="e">
        <f t="shared" si="485"/>
        <v>#N/A</v>
      </c>
      <c r="EE86" s="47"/>
      <c r="EF86" s="47"/>
      <c r="EG86" s="396" t="e">
        <f t="shared" si="486"/>
        <v>#N/A</v>
      </c>
      <c r="EH86" s="397" t="e">
        <f t="shared" si="487"/>
        <v>#N/A</v>
      </c>
      <c r="EI86" s="400" t="e">
        <f t="shared" si="393"/>
        <v>#N/A</v>
      </c>
      <c r="EJ86" s="398" t="e">
        <f t="shared" si="488"/>
        <v>#N/A</v>
      </c>
      <c r="EK86" s="402" t="e">
        <f t="shared" si="489"/>
        <v>#N/A</v>
      </c>
      <c r="EL86" s="398" t="e">
        <f t="shared" si="583"/>
        <v>#N/A</v>
      </c>
      <c r="EM86" s="401" t="e">
        <f t="shared" si="584"/>
        <v>#N/A</v>
      </c>
      <c r="EN86" s="399" t="e">
        <f t="shared" si="490"/>
        <v>#N/A</v>
      </c>
      <c r="EO86" s="47"/>
      <c r="EP86" s="47"/>
      <c r="EQ86" s="396" t="e">
        <f t="shared" si="491"/>
        <v>#N/A</v>
      </c>
      <c r="ER86" s="397" t="e">
        <f t="shared" si="492"/>
        <v>#N/A</v>
      </c>
      <c r="ES86" s="400" t="e">
        <f t="shared" si="394"/>
        <v>#N/A</v>
      </c>
      <c r="ET86" s="398" t="e">
        <f t="shared" si="493"/>
        <v>#N/A</v>
      </c>
      <c r="EU86" s="402" t="e">
        <f t="shared" si="494"/>
        <v>#N/A</v>
      </c>
      <c r="EV86" s="398" t="e">
        <f t="shared" si="585"/>
        <v>#N/A</v>
      </c>
      <c r="EW86" s="401" t="e">
        <f t="shared" si="586"/>
        <v>#N/A</v>
      </c>
      <c r="EX86" s="399" t="e">
        <f t="shared" si="495"/>
        <v>#N/A</v>
      </c>
      <c r="EY86" s="47"/>
      <c r="EZ86" s="47"/>
      <c r="FA86" s="396" t="e">
        <f t="shared" si="496"/>
        <v>#N/A</v>
      </c>
      <c r="FB86" s="397" t="e">
        <f t="shared" si="497"/>
        <v>#N/A</v>
      </c>
      <c r="FC86" s="400" t="e">
        <f t="shared" si="395"/>
        <v>#N/A</v>
      </c>
      <c r="FD86" s="398" t="e">
        <f t="shared" si="498"/>
        <v>#N/A</v>
      </c>
      <c r="FE86" s="402" t="e">
        <f t="shared" si="499"/>
        <v>#N/A</v>
      </c>
      <c r="FF86" s="398" t="e">
        <f t="shared" si="587"/>
        <v>#N/A</v>
      </c>
      <c r="FG86" s="401" t="e">
        <f t="shared" si="588"/>
        <v>#N/A</v>
      </c>
      <c r="FH86" s="399" t="e">
        <f t="shared" si="500"/>
        <v>#N/A</v>
      </c>
      <c r="FI86" s="47"/>
      <c r="FJ86" s="49"/>
      <c r="FK86" s="396" t="e">
        <f t="shared" si="501"/>
        <v>#N/A</v>
      </c>
      <c r="FL86" s="397" t="e">
        <f t="shared" si="502"/>
        <v>#N/A</v>
      </c>
      <c r="FM86" s="400" t="e">
        <f t="shared" si="396"/>
        <v>#N/A</v>
      </c>
      <c r="FN86" s="398" t="e">
        <f t="shared" si="503"/>
        <v>#N/A</v>
      </c>
      <c r="FO86" s="402" t="e">
        <f t="shared" si="504"/>
        <v>#N/A</v>
      </c>
      <c r="FP86" s="398" t="e">
        <f t="shared" si="589"/>
        <v>#N/A</v>
      </c>
      <c r="FQ86" s="401" t="e">
        <f t="shared" si="590"/>
        <v>#N/A</v>
      </c>
      <c r="FR86" s="399" t="e">
        <f t="shared" si="505"/>
        <v>#N/A</v>
      </c>
      <c r="FS86" s="47"/>
      <c r="FT86" s="47"/>
      <c r="FU86" s="396" t="e">
        <f t="shared" si="506"/>
        <v>#N/A</v>
      </c>
      <c r="FV86" s="397" t="e">
        <f t="shared" si="507"/>
        <v>#N/A</v>
      </c>
      <c r="FW86" s="400" t="e">
        <f t="shared" si="397"/>
        <v>#N/A</v>
      </c>
      <c r="FX86" s="398" t="e">
        <f t="shared" si="508"/>
        <v>#N/A</v>
      </c>
      <c r="FY86" s="402" t="e">
        <f t="shared" si="509"/>
        <v>#N/A</v>
      </c>
      <c r="FZ86" s="398" t="e">
        <f t="shared" si="591"/>
        <v>#N/A</v>
      </c>
      <c r="GA86" s="401" t="e">
        <f t="shared" si="592"/>
        <v>#N/A</v>
      </c>
      <c r="GB86" s="399" t="e">
        <f t="shared" si="510"/>
        <v>#N/A</v>
      </c>
      <c r="GC86" s="47"/>
      <c r="GD86" s="47"/>
      <c r="GE86" s="396" t="e">
        <f t="shared" si="511"/>
        <v>#N/A</v>
      </c>
      <c r="GF86" s="397" t="e">
        <f t="shared" si="512"/>
        <v>#N/A</v>
      </c>
      <c r="GG86" s="400" t="e">
        <f t="shared" si="398"/>
        <v>#N/A</v>
      </c>
      <c r="GH86" s="398" t="e">
        <f t="shared" si="513"/>
        <v>#N/A</v>
      </c>
      <c r="GI86" s="402" t="e">
        <f t="shared" si="514"/>
        <v>#N/A</v>
      </c>
      <c r="GJ86" s="398" t="e">
        <f t="shared" si="593"/>
        <v>#N/A</v>
      </c>
      <c r="GK86" s="401" t="e">
        <f t="shared" si="594"/>
        <v>#N/A</v>
      </c>
      <c r="GL86" s="399" t="e">
        <f t="shared" si="515"/>
        <v>#N/A</v>
      </c>
      <c r="GM86" s="47"/>
      <c r="GN86" s="47"/>
      <c r="GO86" s="396" t="e">
        <f t="shared" si="516"/>
        <v>#N/A</v>
      </c>
      <c r="GP86" s="397" t="e">
        <f t="shared" si="517"/>
        <v>#N/A</v>
      </c>
      <c r="GQ86" s="400" t="e">
        <f t="shared" si="399"/>
        <v>#N/A</v>
      </c>
      <c r="GR86" s="398" t="e">
        <f t="shared" si="518"/>
        <v>#N/A</v>
      </c>
      <c r="GS86" s="402" t="e">
        <f t="shared" si="519"/>
        <v>#N/A</v>
      </c>
      <c r="GT86" s="398" t="e">
        <f t="shared" si="595"/>
        <v>#N/A</v>
      </c>
      <c r="GU86" s="401" t="e">
        <f t="shared" si="596"/>
        <v>#N/A</v>
      </c>
      <c r="GV86" s="399" t="e">
        <f t="shared" si="520"/>
        <v>#N/A</v>
      </c>
      <c r="GW86" s="47"/>
      <c r="GX86" s="47"/>
      <c r="GY86" s="396" t="e">
        <f t="shared" si="521"/>
        <v>#N/A</v>
      </c>
      <c r="GZ86" s="397" t="e">
        <f t="shared" si="522"/>
        <v>#N/A</v>
      </c>
      <c r="HA86" s="400" t="e">
        <f t="shared" si="400"/>
        <v>#N/A</v>
      </c>
      <c r="HB86" s="398" t="e">
        <f t="shared" si="523"/>
        <v>#N/A</v>
      </c>
      <c r="HC86" s="402" t="e">
        <f t="shared" si="524"/>
        <v>#N/A</v>
      </c>
      <c r="HD86" s="398" t="e">
        <f t="shared" si="597"/>
        <v>#N/A</v>
      </c>
      <c r="HE86" s="401" t="e">
        <f t="shared" si="598"/>
        <v>#N/A</v>
      </c>
      <c r="HF86" s="399" t="e">
        <f t="shared" si="525"/>
        <v>#N/A</v>
      </c>
      <c r="HH86" s="47"/>
      <c r="HI86" s="396" t="e">
        <f t="shared" si="526"/>
        <v>#N/A</v>
      </c>
      <c r="HJ86" s="397" t="e">
        <f t="shared" si="527"/>
        <v>#N/A</v>
      </c>
      <c r="HK86" s="400" t="e">
        <f t="shared" si="401"/>
        <v>#N/A</v>
      </c>
      <c r="HL86" s="398" t="e">
        <f t="shared" si="528"/>
        <v>#N/A</v>
      </c>
      <c r="HM86" s="402" t="e">
        <f t="shared" si="529"/>
        <v>#N/A</v>
      </c>
      <c r="HN86" s="398" t="e">
        <f t="shared" si="599"/>
        <v>#N/A</v>
      </c>
      <c r="HO86" s="401" t="e">
        <f t="shared" si="600"/>
        <v>#N/A</v>
      </c>
      <c r="HP86" s="399" t="e">
        <f t="shared" si="530"/>
        <v>#N/A</v>
      </c>
      <c r="HQ86" s="47"/>
      <c r="HR86" s="47"/>
      <c r="HS86" s="396" t="e">
        <f t="shared" si="531"/>
        <v>#N/A</v>
      </c>
      <c r="HT86" s="397" t="e">
        <f t="shared" si="532"/>
        <v>#N/A</v>
      </c>
      <c r="HU86" s="400" t="e">
        <f t="shared" si="402"/>
        <v>#N/A</v>
      </c>
      <c r="HV86" s="398" t="e">
        <f t="shared" si="533"/>
        <v>#N/A</v>
      </c>
      <c r="HW86" s="402" t="e">
        <f t="shared" si="534"/>
        <v>#N/A</v>
      </c>
      <c r="HX86" s="398" t="e">
        <f t="shared" si="601"/>
        <v>#N/A</v>
      </c>
      <c r="HY86" s="401" t="e">
        <f t="shared" si="602"/>
        <v>#N/A</v>
      </c>
      <c r="HZ86" s="399" t="e">
        <f t="shared" si="535"/>
        <v>#N/A</v>
      </c>
      <c r="IA86" s="47"/>
      <c r="IB86" s="49"/>
      <c r="IC86" s="396" t="e">
        <f t="shared" si="536"/>
        <v>#N/A</v>
      </c>
      <c r="ID86" s="397" t="e">
        <f t="shared" si="537"/>
        <v>#N/A</v>
      </c>
      <c r="IE86" s="400" t="e">
        <f t="shared" si="403"/>
        <v>#N/A</v>
      </c>
      <c r="IF86" s="398" t="e">
        <f t="shared" si="538"/>
        <v>#N/A</v>
      </c>
      <c r="IG86" s="402" t="e">
        <f t="shared" si="539"/>
        <v>#N/A</v>
      </c>
      <c r="IH86" s="398" t="e">
        <f t="shared" si="603"/>
        <v>#N/A</v>
      </c>
      <c r="II86" s="401" t="e">
        <f t="shared" si="604"/>
        <v>#N/A</v>
      </c>
      <c r="IJ86" s="399" t="e">
        <f t="shared" si="540"/>
        <v>#N/A</v>
      </c>
      <c r="IK86" s="47"/>
      <c r="IL86" s="47"/>
      <c r="IM86" s="396" t="e">
        <f t="shared" si="541"/>
        <v>#N/A</v>
      </c>
      <c r="IN86" s="397" t="e">
        <f t="shared" si="542"/>
        <v>#N/A</v>
      </c>
      <c r="IO86" s="400" t="e">
        <f t="shared" si="404"/>
        <v>#N/A</v>
      </c>
      <c r="IP86" s="398" t="e">
        <f t="shared" si="543"/>
        <v>#N/A</v>
      </c>
      <c r="IQ86" s="402" t="e">
        <f t="shared" si="544"/>
        <v>#N/A</v>
      </c>
      <c r="IR86" s="398" t="e">
        <f t="shared" si="605"/>
        <v>#N/A</v>
      </c>
      <c r="IS86" s="401" t="e">
        <f t="shared" si="606"/>
        <v>#N/A</v>
      </c>
      <c r="IT86" s="399" t="e">
        <f t="shared" si="545"/>
        <v>#N/A</v>
      </c>
      <c r="IU86" s="47"/>
      <c r="IV86" s="47"/>
      <c r="IW86" s="396" t="e">
        <f t="shared" si="405"/>
        <v>#N/A</v>
      </c>
      <c r="IX86" s="397" t="e">
        <f t="shared" si="406"/>
        <v>#N/A</v>
      </c>
      <c r="IY86" s="400" t="e">
        <f t="shared" si="407"/>
        <v>#N/A</v>
      </c>
      <c r="IZ86" s="398" t="e">
        <f t="shared" si="348"/>
        <v>#N/A</v>
      </c>
      <c r="JA86" s="402" t="e">
        <f t="shared" si="408"/>
        <v>#N/A</v>
      </c>
      <c r="JB86" s="398" t="e">
        <f t="shared" si="409"/>
        <v>#N/A</v>
      </c>
      <c r="JC86" s="401" t="e">
        <f t="shared" si="546"/>
        <v>#N/A</v>
      </c>
      <c r="JD86" s="399" t="e">
        <f t="shared" si="547"/>
        <v>#N/A</v>
      </c>
      <c r="JE86" s="47"/>
      <c r="JF86" s="47"/>
      <c r="JG86" s="396" t="e">
        <f t="shared" si="410"/>
        <v>#N/A</v>
      </c>
      <c r="JH86" s="397" t="e">
        <f t="shared" si="411"/>
        <v>#N/A</v>
      </c>
      <c r="JI86" s="400" t="e">
        <f t="shared" si="412"/>
        <v>#N/A</v>
      </c>
      <c r="JJ86" s="398" t="e">
        <f t="shared" si="349"/>
        <v>#N/A</v>
      </c>
      <c r="JK86" s="402" t="e">
        <f t="shared" si="413"/>
        <v>#N/A</v>
      </c>
      <c r="JL86" s="398" t="e">
        <f t="shared" si="414"/>
        <v>#N/A</v>
      </c>
      <c r="JM86" s="401" t="e">
        <f t="shared" si="548"/>
        <v>#N/A</v>
      </c>
      <c r="JN86" s="399" t="e">
        <f t="shared" si="549"/>
        <v>#N/A</v>
      </c>
      <c r="JO86" s="47"/>
      <c r="JP86" s="47"/>
      <c r="JQ86" s="396" t="e">
        <f t="shared" si="415"/>
        <v>#N/A</v>
      </c>
      <c r="JR86" s="397" t="e">
        <f t="shared" si="416"/>
        <v>#N/A</v>
      </c>
      <c r="JS86" s="400" t="e">
        <f t="shared" si="417"/>
        <v>#N/A</v>
      </c>
      <c r="JT86" s="398" t="e">
        <f t="shared" si="350"/>
        <v>#N/A</v>
      </c>
      <c r="JU86" s="402" t="e">
        <f t="shared" si="418"/>
        <v>#N/A</v>
      </c>
      <c r="JV86" s="398" t="e">
        <f t="shared" si="419"/>
        <v>#N/A</v>
      </c>
      <c r="JW86" s="401" t="e">
        <f t="shared" si="550"/>
        <v>#N/A</v>
      </c>
      <c r="JX86" s="399" t="e">
        <f t="shared" si="551"/>
        <v>#N/A</v>
      </c>
      <c r="JY86" s="47"/>
      <c r="JZ86" s="47"/>
      <c r="KA86" s="396" t="e">
        <f t="shared" si="420"/>
        <v>#N/A</v>
      </c>
      <c r="KB86" s="397" t="e">
        <f t="shared" si="421"/>
        <v>#N/A</v>
      </c>
      <c r="KC86" s="400" t="e">
        <f t="shared" si="422"/>
        <v>#N/A</v>
      </c>
      <c r="KD86" s="398" t="e">
        <f t="shared" si="351"/>
        <v>#N/A</v>
      </c>
      <c r="KE86" s="402" t="e">
        <f t="shared" si="423"/>
        <v>#N/A</v>
      </c>
      <c r="KF86" s="398" t="e">
        <f t="shared" si="424"/>
        <v>#N/A</v>
      </c>
      <c r="KG86" s="401" t="e">
        <f t="shared" si="552"/>
        <v>#N/A</v>
      </c>
      <c r="KH86" s="399" t="e">
        <f t="shared" si="553"/>
        <v>#N/A</v>
      </c>
      <c r="KI86" s="47"/>
      <c r="KJ86" s="47"/>
      <c r="KK86" s="396" t="e">
        <f t="shared" si="425"/>
        <v>#N/A</v>
      </c>
      <c r="KL86" s="397" t="e">
        <f t="shared" si="426"/>
        <v>#N/A</v>
      </c>
      <c r="KM86" s="400" t="e">
        <f t="shared" si="427"/>
        <v>#N/A</v>
      </c>
      <c r="KN86" s="398" t="e">
        <f t="shared" si="352"/>
        <v>#N/A</v>
      </c>
      <c r="KO86" s="402" t="e">
        <f t="shared" si="428"/>
        <v>#N/A</v>
      </c>
      <c r="KP86" s="398" t="e">
        <f t="shared" si="429"/>
        <v>#N/A</v>
      </c>
      <c r="KQ86" s="401" t="e">
        <f t="shared" si="554"/>
        <v>#N/A</v>
      </c>
      <c r="KR86" s="399" t="e">
        <f t="shared" si="555"/>
        <v>#N/A</v>
      </c>
      <c r="KS86" s="47"/>
      <c r="KT86" s="47"/>
      <c r="KU86" s="396" t="e">
        <f t="shared" si="556"/>
        <v>#N/A</v>
      </c>
      <c r="KV86" s="397" t="e">
        <f t="shared" si="557"/>
        <v>#N/A</v>
      </c>
      <c r="KW86" s="400" t="e">
        <f t="shared" si="430"/>
        <v>#N/A</v>
      </c>
      <c r="KX86" s="398" t="e">
        <f t="shared" si="558"/>
        <v>#N/A</v>
      </c>
      <c r="KY86" s="402" t="e">
        <f t="shared" si="559"/>
        <v>#N/A</v>
      </c>
      <c r="KZ86" s="398" t="e">
        <f t="shared" si="607"/>
        <v>#N/A</v>
      </c>
      <c r="LA86" s="401" t="e">
        <f t="shared" si="608"/>
        <v>#N/A</v>
      </c>
      <c r="LB86" s="399" t="e">
        <f t="shared" si="560"/>
        <v>#N/A</v>
      </c>
      <c r="LC86" s="47"/>
    </row>
    <row r="87" spans="26:315" x14ac:dyDescent="0.25">
      <c r="Z87" s="413"/>
      <c r="AA87" s="396" t="e">
        <f t="shared" si="431"/>
        <v>#N/A</v>
      </c>
      <c r="AB87" s="397" t="e">
        <f t="shared" si="432"/>
        <v>#N/A</v>
      </c>
      <c r="AC87" s="400" t="e">
        <f t="shared" si="382"/>
        <v>#N/A</v>
      </c>
      <c r="AD87" s="398" t="e">
        <f t="shared" si="433"/>
        <v>#N/A</v>
      </c>
      <c r="AE87" s="402" t="e">
        <f t="shared" si="434"/>
        <v>#N/A</v>
      </c>
      <c r="AF87" s="398" t="e">
        <f t="shared" si="561"/>
        <v>#N/A</v>
      </c>
      <c r="AG87" s="401" t="e">
        <f t="shared" si="562"/>
        <v>#N/A</v>
      </c>
      <c r="AH87" s="399" t="e">
        <f t="shared" si="435"/>
        <v>#N/A</v>
      </c>
      <c r="AI87" s="47"/>
      <c r="AJ87" s="47"/>
      <c r="AK87" s="396" t="e">
        <f t="shared" si="436"/>
        <v>#N/A</v>
      </c>
      <c r="AL87" s="397" t="e">
        <f t="shared" si="437"/>
        <v>#N/A</v>
      </c>
      <c r="AM87" s="400" t="e">
        <f t="shared" si="383"/>
        <v>#N/A</v>
      </c>
      <c r="AN87" s="398" t="e">
        <f t="shared" si="438"/>
        <v>#N/A</v>
      </c>
      <c r="AO87" s="402" t="e">
        <f t="shared" si="439"/>
        <v>#N/A</v>
      </c>
      <c r="AP87" s="398" t="e">
        <f t="shared" si="563"/>
        <v>#N/A</v>
      </c>
      <c r="AQ87" s="401" t="e">
        <f t="shared" si="564"/>
        <v>#N/A</v>
      </c>
      <c r="AR87" s="399" t="e">
        <f t="shared" si="440"/>
        <v>#N/A</v>
      </c>
      <c r="AS87" s="47"/>
      <c r="AT87" s="47"/>
      <c r="AU87" s="396" t="e">
        <f t="shared" si="441"/>
        <v>#N/A</v>
      </c>
      <c r="AV87" s="397" t="e">
        <f t="shared" si="442"/>
        <v>#N/A</v>
      </c>
      <c r="AW87" s="400" t="e">
        <f t="shared" si="384"/>
        <v>#N/A</v>
      </c>
      <c r="AX87" s="398" t="e">
        <f t="shared" si="443"/>
        <v>#N/A</v>
      </c>
      <c r="AY87" s="402" t="e">
        <f t="shared" si="444"/>
        <v>#N/A</v>
      </c>
      <c r="AZ87" s="398" t="e">
        <f t="shared" si="565"/>
        <v>#N/A</v>
      </c>
      <c r="BA87" s="401" t="e">
        <f t="shared" si="566"/>
        <v>#N/A</v>
      </c>
      <c r="BB87" s="399" t="e">
        <f t="shared" si="445"/>
        <v>#N/A</v>
      </c>
      <c r="BC87" s="47"/>
      <c r="BD87" s="47"/>
      <c r="BE87" s="396" t="e">
        <f t="shared" si="446"/>
        <v>#N/A</v>
      </c>
      <c r="BF87" s="397" t="e">
        <f t="shared" si="447"/>
        <v>#N/A</v>
      </c>
      <c r="BG87" s="400" t="e">
        <f t="shared" si="385"/>
        <v>#N/A</v>
      </c>
      <c r="BH87" s="398" t="e">
        <f t="shared" si="448"/>
        <v>#N/A</v>
      </c>
      <c r="BI87" s="402" t="e">
        <f t="shared" si="449"/>
        <v>#N/A</v>
      </c>
      <c r="BJ87" s="398" t="e">
        <f t="shared" si="567"/>
        <v>#N/A</v>
      </c>
      <c r="BK87" s="401" t="e">
        <f t="shared" si="568"/>
        <v>#N/A</v>
      </c>
      <c r="BL87" s="399" t="e">
        <f t="shared" si="450"/>
        <v>#N/A</v>
      </c>
      <c r="BM87" s="47"/>
      <c r="BN87" s="49"/>
      <c r="BO87" s="396" t="e">
        <f t="shared" si="451"/>
        <v>#N/A</v>
      </c>
      <c r="BP87" s="397" t="e">
        <f t="shared" si="452"/>
        <v>#N/A</v>
      </c>
      <c r="BQ87" s="400" t="e">
        <f t="shared" si="386"/>
        <v>#N/A</v>
      </c>
      <c r="BR87" s="398" t="e">
        <f t="shared" si="453"/>
        <v>#N/A</v>
      </c>
      <c r="BS87" s="402" t="e">
        <f t="shared" si="454"/>
        <v>#N/A</v>
      </c>
      <c r="BT87" s="398" t="e">
        <f t="shared" si="569"/>
        <v>#N/A</v>
      </c>
      <c r="BU87" s="401" t="e">
        <f t="shared" si="570"/>
        <v>#N/A</v>
      </c>
      <c r="BV87" s="399" t="e">
        <f t="shared" si="455"/>
        <v>#N/A</v>
      </c>
      <c r="BW87" s="47"/>
      <c r="BX87" s="47"/>
      <c r="BY87" s="396" t="e">
        <f t="shared" si="456"/>
        <v>#N/A</v>
      </c>
      <c r="BZ87" s="397" t="e">
        <f t="shared" si="457"/>
        <v>#N/A</v>
      </c>
      <c r="CA87" s="400" t="e">
        <f t="shared" si="387"/>
        <v>#N/A</v>
      </c>
      <c r="CB87" s="398" t="e">
        <f t="shared" si="458"/>
        <v>#N/A</v>
      </c>
      <c r="CC87" s="402" t="e">
        <f t="shared" si="459"/>
        <v>#N/A</v>
      </c>
      <c r="CD87" s="398" t="e">
        <f t="shared" si="571"/>
        <v>#N/A</v>
      </c>
      <c r="CE87" s="401" t="e">
        <f t="shared" si="572"/>
        <v>#N/A</v>
      </c>
      <c r="CF87" s="399" t="e">
        <f t="shared" si="460"/>
        <v>#N/A</v>
      </c>
      <c r="CG87" s="49"/>
      <c r="CH87" s="47"/>
      <c r="CI87" s="396" t="e">
        <f t="shared" si="461"/>
        <v>#N/A</v>
      </c>
      <c r="CJ87" s="397" t="e">
        <f t="shared" si="462"/>
        <v>#N/A</v>
      </c>
      <c r="CK87" s="400" t="e">
        <f t="shared" si="388"/>
        <v>#N/A</v>
      </c>
      <c r="CL87" s="398" t="e">
        <f t="shared" si="463"/>
        <v>#N/A</v>
      </c>
      <c r="CM87" s="402" t="e">
        <f t="shared" si="464"/>
        <v>#N/A</v>
      </c>
      <c r="CN87" s="398" t="e">
        <f t="shared" si="573"/>
        <v>#N/A</v>
      </c>
      <c r="CO87" s="401" t="e">
        <f t="shared" si="574"/>
        <v>#N/A</v>
      </c>
      <c r="CP87" s="399" t="e">
        <f t="shared" si="465"/>
        <v>#N/A</v>
      </c>
      <c r="CQ87" s="47"/>
      <c r="CS87" s="396" t="e">
        <f t="shared" si="466"/>
        <v>#N/A</v>
      </c>
      <c r="CT87" s="397" t="e">
        <f t="shared" si="467"/>
        <v>#N/A</v>
      </c>
      <c r="CU87" s="400" t="e">
        <f t="shared" si="389"/>
        <v>#N/A</v>
      </c>
      <c r="CV87" s="398" t="e">
        <f t="shared" si="468"/>
        <v>#N/A</v>
      </c>
      <c r="CW87" s="402" t="e">
        <f t="shared" si="469"/>
        <v>#N/A</v>
      </c>
      <c r="CX87" s="398" t="e">
        <f t="shared" si="575"/>
        <v>#N/A</v>
      </c>
      <c r="CY87" s="401" t="e">
        <f t="shared" si="576"/>
        <v>#N/A</v>
      </c>
      <c r="CZ87" s="399" t="e">
        <f t="shared" si="470"/>
        <v>#N/A</v>
      </c>
      <c r="DA87" s="47"/>
      <c r="DB87" s="47"/>
      <c r="DC87" s="396" t="e">
        <f t="shared" si="471"/>
        <v>#N/A</v>
      </c>
      <c r="DD87" s="397" t="e">
        <f t="shared" si="472"/>
        <v>#N/A</v>
      </c>
      <c r="DE87" s="400" t="e">
        <f t="shared" si="390"/>
        <v>#N/A</v>
      </c>
      <c r="DF87" s="398" t="e">
        <f t="shared" si="473"/>
        <v>#N/A</v>
      </c>
      <c r="DG87" s="402" t="e">
        <f t="shared" si="474"/>
        <v>#N/A</v>
      </c>
      <c r="DH87" s="398" t="e">
        <f t="shared" si="577"/>
        <v>#N/A</v>
      </c>
      <c r="DI87" s="401" t="e">
        <f t="shared" si="578"/>
        <v>#N/A</v>
      </c>
      <c r="DJ87" s="399" t="e">
        <f t="shared" si="475"/>
        <v>#N/A</v>
      </c>
      <c r="DK87" s="47"/>
      <c r="DM87" s="396" t="e">
        <f t="shared" si="476"/>
        <v>#N/A</v>
      </c>
      <c r="DN87" s="397" t="e">
        <f t="shared" si="477"/>
        <v>#N/A</v>
      </c>
      <c r="DO87" s="400" t="e">
        <f t="shared" si="391"/>
        <v>#N/A</v>
      </c>
      <c r="DP87" s="398" t="e">
        <f t="shared" si="478"/>
        <v>#N/A</v>
      </c>
      <c r="DQ87" s="402" t="e">
        <f t="shared" si="479"/>
        <v>#N/A</v>
      </c>
      <c r="DR87" s="398" t="e">
        <f t="shared" si="579"/>
        <v>#N/A</v>
      </c>
      <c r="DS87" s="401" t="e">
        <f t="shared" si="580"/>
        <v>#N/A</v>
      </c>
      <c r="DT87" s="399" t="e">
        <f t="shared" si="480"/>
        <v>#N/A</v>
      </c>
      <c r="DU87" s="47"/>
      <c r="DV87" s="49"/>
      <c r="DW87" s="396" t="e">
        <f t="shared" si="481"/>
        <v>#N/A</v>
      </c>
      <c r="DX87" s="397" t="e">
        <f t="shared" si="482"/>
        <v>#N/A</v>
      </c>
      <c r="DY87" s="400" t="e">
        <f t="shared" si="392"/>
        <v>#N/A</v>
      </c>
      <c r="DZ87" s="398" t="e">
        <f t="shared" si="483"/>
        <v>#N/A</v>
      </c>
      <c r="EA87" s="402" t="e">
        <f t="shared" si="484"/>
        <v>#N/A</v>
      </c>
      <c r="EB87" s="398" t="e">
        <f t="shared" si="581"/>
        <v>#N/A</v>
      </c>
      <c r="EC87" s="401" t="e">
        <f t="shared" si="582"/>
        <v>#N/A</v>
      </c>
      <c r="ED87" s="399" t="e">
        <f t="shared" si="485"/>
        <v>#N/A</v>
      </c>
      <c r="EE87" s="47"/>
      <c r="EF87" s="47"/>
      <c r="EG87" s="396" t="e">
        <f t="shared" si="486"/>
        <v>#N/A</v>
      </c>
      <c r="EH87" s="397" t="e">
        <f t="shared" si="487"/>
        <v>#N/A</v>
      </c>
      <c r="EI87" s="400" t="e">
        <f t="shared" si="393"/>
        <v>#N/A</v>
      </c>
      <c r="EJ87" s="398" t="e">
        <f t="shared" si="488"/>
        <v>#N/A</v>
      </c>
      <c r="EK87" s="402" t="e">
        <f t="shared" si="489"/>
        <v>#N/A</v>
      </c>
      <c r="EL87" s="398" t="e">
        <f t="shared" si="583"/>
        <v>#N/A</v>
      </c>
      <c r="EM87" s="401" t="e">
        <f t="shared" si="584"/>
        <v>#N/A</v>
      </c>
      <c r="EN87" s="399" t="e">
        <f t="shared" si="490"/>
        <v>#N/A</v>
      </c>
      <c r="EO87" s="47"/>
      <c r="EP87" s="47"/>
      <c r="EQ87" s="396" t="e">
        <f t="shared" si="491"/>
        <v>#N/A</v>
      </c>
      <c r="ER87" s="397" t="e">
        <f t="shared" si="492"/>
        <v>#N/A</v>
      </c>
      <c r="ES87" s="400" t="e">
        <f t="shared" si="394"/>
        <v>#N/A</v>
      </c>
      <c r="ET87" s="398" t="e">
        <f t="shared" si="493"/>
        <v>#N/A</v>
      </c>
      <c r="EU87" s="402" t="e">
        <f t="shared" si="494"/>
        <v>#N/A</v>
      </c>
      <c r="EV87" s="398" t="e">
        <f t="shared" si="585"/>
        <v>#N/A</v>
      </c>
      <c r="EW87" s="401" t="e">
        <f t="shared" si="586"/>
        <v>#N/A</v>
      </c>
      <c r="EX87" s="399" t="e">
        <f t="shared" si="495"/>
        <v>#N/A</v>
      </c>
      <c r="EY87" s="47"/>
      <c r="EZ87" s="47"/>
      <c r="FA87" s="396" t="e">
        <f t="shared" si="496"/>
        <v>#N/A</v>
      </c>
      <c r="FB87" s="397" t="e">
        <f t="shared" si="497"/>
        <v>#N/A</v>
      </c>
      <c r="FC87" s="400" t="e">
        <f t="shared" si="395"/>
        <v>#N/A</v>
      </c>
      <c r="FD87" s="398" t="e">
        <f t="shared" si="498"/>
        <v>#N/A</v>
      </c>
      <c r="FE87" s="402" t="e">
        <f t="shared" si="499"/>
        <v>#N/A</v>
      </c>
      <c r="FF87" s="398" t="e">
        <f t="shared" si="587"/>
        <v>#N/A</v>
      </c>
      <c r="FG87" s="401" t="e">
        <f t="shared" si="588"/>
        <v>#N/A</v>
      </c>
      <c r="FH87" s="399" t="e">
        <f t="shared" si="500"/>
        <v>#N/A</v>
      </c>
      <c r="FI87" s="47"/>
      <c r="FJ87" s="49"/>
      <c r="FK87" s="396" t="e">
        <f t="shared" si="501"/>
        <v>#N/A</v>
      </c>
      <c r="FL87" s="397" t="e">
        <f t="shared" si="502"/>
        <v>#N/A</v>
      </c>
      <c r="FM87" s="400" t="e">
        <f t="shared" si="396"/>
        <v>#N/A</v>
      </c>
      <c r="FN87" s="398" t="e">
        <f t="shared" si="503"/>
        <v>#N/A</v>
      </c>
      <c r="FO87" s="402" t="e">
        <f t="shared" si="504"/>
        <v>#N/A</v>
      </c>
      <c r="FP87" s="398" t="e">
        <f t="shared" si="589"/>
        <v>#N/A</v>
      </c>
      <c r="FQ87" s="401" t="e">
        <f t="shared" si="590"/>
        <v>#N/A</v>
      </c>
      <c r="FR87" s="399" t="e">
        <f t="shared" si="505"/>
        <v>#N/A</v>
      </c>
      <c r="FS87" s="47"/>
      <c r="FT87" s="47"/>
      <c r="FU87" s="396" t="e">
        <f t="shared" si="506"/>
        <v>#N/A</v>
      </c>
      <c r="FV87" s="397" t="e">
        <f t="shared" si="507"/>
        <v>#N/A</v>
      </c>
      <c r="FW87" s="400" t="e">
        <f t="shared" si="397"/>
        <v>#N/A</v>
      </c>
      <c r="FX87" s="398" t="e">
        <f t="shared" si="508"/>
        <v>#N/A</v>
      </c>
      <c r="FY87" s="402" t="e">
        <f t="shared" si="509"/>
        <v>#N/A</v>
      </c>
      <c r="FZ87" s="398" t="e">
        <f t="shared" si="591"/>
        <v>#N/A</v>
      </c>
      <c r="GA87" s="401" t="e">
        <f t="shared" si="592"/>
        <v>#N/A</v>
      </c>
      <c r="GB87" s="399" t="e">
        <f t="shared" si="510"/>
        <v>#N/A</v>
      </c>
      <c r="GC87" s="47"/>
      <c r="GD87" s="47"/>
      <c r="GE87" s="396" t="e">
        <f t="shared" si="511"/>
        <v>#N/A</v>
      </c>
      <c r="GF87" s="397" t="e">
        <f t="shared" si="512"/>
        <v>#N/A</v>
      </c>
      <c r="GG87" s="400" t="e">
        <f t="shared" si="398"/>
        <v>#N/A</v>
      </c>
      <c r="GH87" s="398" t="e">
        <f t="shared" si="513"/>
        <v>#N/A</v>
      </c>
      <c r="GI87" s="402" t="e">
        <f t="shared" si="514"/>
        <v>#N/A</v>
      </c>
      <c r="GJ87" s="398" t="e">
        <f t="shared" si="593"/>
        <v>#N/A</v>
      </c>
      <c r="GK87" s="401" t="e">
        <f t="shared" si="594"/>
        <v>#N/A</v>
      </c>
      <c r="GL87" s="399" t="e">
        <f t="shared" si="515"/>
        <v>#N/A</v>
      </c>
      <c r="GM87" s="47"/>
      <c r="GN87" s="47"/>
      <c r="GO87" s="396" t="e">
        <f t="shared" si="516"/>
        <v>#N/A</v>
      </c>
      <c r="GP87" s="397" t="e">
        <f t="shared" si="517"/>
        <v>#N/A</v>
      </c>
      <c r="GQ87" s="400" t="e">
        <f t="shared" si="399"/>
        <v>#N/A</v>
      </c>
      <c r="GR87" s="398" t="e">
        <f t="shared" si="518"/>
        <v>#N/A</v>
      </c>
      <c r="GS87" s="402" t="e">
        <f t="shared" si="519"/>
        <v>#N/A</v>
      </c>
      <c r="GT87" s="398" t="e">
        <f t="shared" si="595"/>
        <v>#N/A</v>
      </c>
      <c r="GU87" s="401" t="e">
        <f t="shared" si="596"/>
        <v>#N/A</v>
      </c>
      <c r="GV87" s="399" t="e">
        <f t="shared" si="520"/>
        <v>#N/A</v>
      </c>
      <c r="GW87" s="47"/>
      <c r="GX87" s="47"/>
      <c r="GY87" s="396" t="e">
        <f t="shared" si="521"/>
        <v>#N/A</v>
      </c>
      <c r="GZ87" s="397" t="e">
        <f t="shared" si="522"/>
        <v>#N/A</v>
      </c>
      <c r="HA87" s="400" t="e">
        <f t="shared" si="400"/>
        <v>#N/A</v>
      </c>
      <c r="HB87" s="398" t="e">
        <f t="shared" si="523"/>
        <v>#N/A</v>
      </c>
      <c r="HC87" s="402" t="e">
        <f t="shared" si="524"/>
        <v>#N/A</v>
      </c>
      <c r="HD87" s="398" t="e">
        <f t="shared" si="597"/>
        <v>#N/A</v>
      </c>
      <c r="HE87" s="401" t="e">
        <f t="shared" si="598"/>
        <v>#N/A</v>
      </c>
      <c r="HF87" s="399" t="e">
        <f t="shared" si="525"/>
        <v>#N/A</v>
      </c>
      <c r="HH87" s="47"/>
      <c r="HI87" s="396" t="e">
        <f t="shared" si="526"/>
        <v>#N/A</v>
      </c>
      <c r="HJ87" s="397" t="e">
        <f t="shared" si="527"/>
        <v>#N/A</v>
      </c>
      <c r="HK87" s="400" t="e">
        <f t="shared" si="401"/>
        <v>#N/A</v>
      </c>
      <c r="HL87" s="398" t="e">
        <f t="shared" si="528"/>
        <v>#N/A</v>
      </c>
      <c r="HM87" s="402" t="e">
        <f t="shared" si="529"/>
        <v>#N/A</v>
      </c>
      <c r="HN87" s="398" t="e">
        <f t="shared" si="599"/>
        <v>#N/A</v>
      </c>
      <c r="HO87" s="401" t="e">
        <f t="shared" si="600"/>
        <v>#N/A</v>
      </c>
      <c r="HP87" s="399" t="e">
        <f t="shared" si="530"/>
        <v>#N/A</v>
      </c>
      <c r="HQ87" s="47"/>
      <c r="HR87" s="47"/>
      <c r="HS87" s="396" t="e">
        <f t="shared" si="531"/>
        <v>#N/A</v>
      </c>
      <c r="HT87" s="397" t="e">
        <f t="shared" si="532"/>
        <v>#N/A</v>
      </c>
      <c r="HU87" s="400" t="e">
        <f t="shared" si="402"/>
        <v>#N/A</v>
      </c>
      <c r="HV87" s="398" t="e">
        <f t="shared" si="533"/>
        <v>#N/A</v>
      </c>
      <c r="HW87" s="402" t="e">
        <f t="shared" si="534"/>
        <v>#N/A</v>
      </c>
      <c r="HX87" s="398" t="e">
        <f t="shared" si="601"/>
        <v>#N/A</v>
      </c>
      <c r="HY87" s="401" t="e">
        <f t="shared" si="602"/>
        <v>#N/A</v>
      </c>
      <c r="HZ87" s="399" t="e">
        <f t="shared" si="535"/>
        <v>#N/A</v>
      </c>
      <c r="IA87" s="47"/>
      <c r="IB87" s="49"/>
      <c r="IC87" s="396" t="e">
        <f t="shared" si="536"/>
        <v>#N/A</v>
      </c>
      <c r="ID87" s="397" t="e">
        <f t="shared" si="537"/>
        <v>#N/A</v>
      </c>
      <c r="IE87" s="400" t="e">
        <f t="shared" si="403"/>
        <v>#N/A</v>
      </c>
      <c r="IF87" s="398" t="e">
        <f t="shared" si="538"/>
        <v>#N/A</v>
      </c>
      <c r="IG87" s="402" t="e">
        <f t="shared" si="539"/>
        <v>#N/A</v>
      </c>
      <c r="IH87" s="398" t="e">
        <f t="shared" si="603"/>
        <v>#N/A</v>
      </c>
      <c r="II87" s="401" t="e">
        <f t="shared" si="604"/>
        <v>#N/A</v>
      </c>
      <c r="IJ87" s="399" t="e">
        <f t="shared" si="540"/>
        <v>#N/A</v>
      </c>
      <c r="IK87" s="47"/>
      <c r="IL87" s="47"/>
      <c r="IM87" s="396" t="e">
        <f t="shared" si="541"/>
        <v>#N/A</v>
      </c>
      <c r="IN87" s="397" t="e">
        <f t="shared" si="542"/>
        <v>#N/A</v>
      </c>
      <c r="IO87" s="400" t="e">
        <f t="shared" si="404"/>
        <v>#N/A</v>
      </c>
      <c r="IP87" s="398" t="e">
        <f t="shared" si="543"/>
        <v>#N/A</v>
      </c>
      <c r="IQ87" s="402" t="e">
        <f t="shared" si="544"/>
        <v>#N/A</v>
      </c>
      <c r="IR87" s="398" t="e">
        <f t="shared" si="605"/>
        <v>#N/A</v>
      </c>
      <c r="IS87" s="401" t="e">
        <f t="shared" si="606"/>
        <v>#N/A</v>
      </c>
      <c r="IT87" s="399" t="e">
        <f t="shared" si="545"/>
        <v>#N/A</v>
      </c>
      <c r="IU87" s="47"/>
      <c r="IV87" s="47"/>
      <c r="IW87" s="396" t="e">
        <f t="shared" si="405"/>
        <v>#N/A</v>
      </c>
      <c r="IX87" s="397" t="e">
        <f t="shared" si="406"/>
        <v>#N/A</v>
      </c>
      <c r="IY87" s="400" t="e">
        <f t="shared" si="407"/>
        <v>#N/A</v>
      </c>
      <c r="IZ87" s="398" t="e">
        <f t="shared" si="348"/>
        <v>#N/A</v>
      </c>
      <c r="JA87" s="402" t="e">
        <f t="shared" si="408"/>
        <v>#N/A</v>
      </c>
      <c r="JB87" s="398" t="e">
        <f t="shared" si="409"/>
        <v>#N/A</v>
      </c>
      <c r="JC87" s="401" t="e">
        <f t="shared" si="546"/>
        <v>#N/A</v>
      </c>
      <c r="JD87" s="399" t="e">
        <f t="shared" si="547"/>
        <v>#N/A</v>
      </c>
      <c r="JE87" s="47"/>
      <c r="JF87" s="47"/>
      <c r="JG87" s="396" t="e">
        <f t="shared" si="410"/>
        <v>#N/A</v>
      </c>
      <c r="JH87" s="397" t="e">
        <f t="shared" si="411"/>
        <v>#N/A</v>
      </c>
      <c r="JI87" s="400" t="e">
        <f t="shared" si="412"/>
        <v>#N/A</v>
      </c>
      <c r="JJ87" s="398" t="e">
        <f t="shared" si="349"/>
        <v>#N/A</v>
      </c>
      <c r="JK87" s="402" t="e">
        <f t="shared" si="413"/>
        <v>#N/A</v>
      </c>
      <c r="JL87" s="398" t="e">
        <f t="shared" si="414"/>
        <v>#N/A</v>
      </c>
      <c r="JM87" s="401" t="e">
        <f t="shared" si="548"/>
        <v>#N/A</v>
      </c>
      <c r="JN87" s="399" t="e">
        <f t="shared" si="549"/>
        <v>#N/A</v>
      </c>
      <c r="JO87" s="47"/>
      <c r="JP87" s="47"/>
      <c r="JQ87" s="396" t="e">
        <f t="shared" si="415"/>
        <v>#N/A</v>
      </c>
      <c r="JR87" s="397" t="e">
        <f t="shared" si="416"/>
        <v>#N/A</v>
      </c>
      <c r="JS87" s="400" t="e">
        <f t="shared" si="417"/>
        <v>#N/A</v>
      </c>
      <c r="JT87" s="398" t="e">
        <f t="shared" si="350"/>
        <v>#N/A</v>
      </c>
      <c r="JU87" s="402" t="e">
        <f t="shared" si="418"/>
        <v>#N/A</v>
      </c>
      <c r="JV87" s="398" t="e">
        <f t="shared" si="419"/>
        <v>#N/A</v>
      </c>
      <c r="JW87" s="401" t="e">
        <f t="shared" si="550"/>
        <v>#N/A</v>
      </c>
      <c r="JX87" s="399" t="e">
        <f t="shared" si="551"/>
        <v>#N/A</v>
      </c>
      <c r="JY87" s="47"/>
      <c r="JZ87" s="47"/>
      <c r="KA87" s="396" t="e">
        <f t="shared" si="420"/>
        <v>#N/A</v>
      </c>
      <c r="KB87" s="397" t="e">
        <f t="shared" si="421"/>
        <v>#N/A</v>
      </c>
      <c r="KC87" s="400" t="e">
        <f t="shared" si="422"/>
        <v>#N/A</v>
      </c>
      <c r="KD87" s="398" t="e">
        <f t="shared" si="351"/>
        <v>#N/A</v>
      </c>
      <c r="KE87" s="402" t="e">
        <f t="shared" si="423"/>
        <v>#N/A</v>
      </c>
      <c r="KF87" s="398" t="e">
        <f t="shared" si="424"/>
        <v>#N/A</v>
      </c>
      <c r="KG87" s="401" t="e">
        <f t="shared" si="552"/>
        <v>#N/A</v>
      </c>
      <c r="KH87" s="399" t="e">
        <f t="shared" si="553"/>
        <v>#N/A</v>
      </c>
      <c r="KI87" s="47"/>
      <c r="KJ87" s="47"/>
      <c r="KK87" s="396" t="e">
        <f t="shared" si="425"/>
        <v>#N/A</v>
      </c>
      <c r="KL87" s="397" t="e">
        <f t="shared" si="426"/>
        <v>#N/A</v>
      </c>
      <c r="KM87" s="400" t="e">
        <f t="shared" si="427"/>
        <v>#N/A</v>
      </c>
      <c r="KN87" s="398" t="e">
        <f t="shared" si="352"/>
        <v>#N/A</v>
      </c>
      <c r="KO87" s="402" t="e">
        <f t="shared" si="428"/>
        <v>#N/A</v>
      </c>
      <c r="KP87" s="398" t="e">
        <f t="shared" si="429"/>
        <v>#N/A</v>
      </c>
      <c r="KQ87" s="401" t="e">
        <f t="shared" si="554"/>
        <v>#N/A</v>
      </c>
      <c r="KR87" s="399" t="e">
        <f t="shared" si="555"/>
        <v>#N/A</v>
      </c>
      <c r="KS87" s="47"/>
      <c r="KT87" s="47"/>
      <c r="KU87" s="396" t="e">
        <f t="shared" si="556"/>
        <v>#N/A</v>
      </c>
      <c r="KV87" s="397" t="e">
        <f t="shared" si="557"/>
        <v>#N/A</v>
      </c>
      <c r="KW87" s="400" t="e">
        <f t="shared" si="430"/>
        <v>#N/A</v>
      </c>
      <c r="KX87" s="398" t="e">
        <f t="shared" si="558"/>
        <v>#N/A</v>
      </c>
      <c r="KY87" s="402" t="e">
        <f t="shared" si="559"/>
        <v>#N/A</v>
      </c>
      <c r="KZ87" s="398" t="e">
        <f t="shared" si="607"/>
        <v>#N/A</v>
      </c>
      <c r="LA87" s="401" t="e">
        <f t="shared" si="608"/>
        <v>#N/A</v>
      </c>
      <c r="LB87" s="399" t="e">
        <f t="shared" si="560"/>
        <v>#N/A</v>
      </c>
      <c r="LC87" s="47"/>
    </row>
    <row r="88" spans="26:315" x14ac:dyDescent="0.25">
      <c r="Z88" s="413"/>
      <c r="AA88" s="396" t="e">
        <f t="shared" si="431"/>
        <v>#N/A</v>
      </c>
      <c r="AB88" s="397" t="e">
        <f t="shared" si="432"/>
        <v>#N/A</v>
      </c>
      <c r="AC88" s="400" t="e">
        <f t="shared" si="382"/>
        <v>#N/A</v>
      </c>
      <c r="AD88" s="398" t="e">
        <f t="shared" si="433"/>
        <v>#N/A</v>
      </c>
      <c r="AE88" s="402" t="e">
        <f t="shared" si="434"/>
        <v>#N/A</v>
      </c>
      <c r="AF88" s="398" t="e">
        <f t="shared" si="561"/>
        <v>#N/A</v>
      </c>
      <c r="AG88" s="401" t="e">
        <f t="shared" si="562"/>
        <v>#N/A</v>
      </c>
      <c r="AH88" s="399" t="e">
        <f t="shared" si="435"/>
        <v>#N/A</v>
      </c>
      <c r="AI88" s="47"/>
      <c r="AJ88" s="47"/>
      <c r="AK88" s="396" t="e">
        <f t="shared" si="436"/>
        <v>#N/A</v>
      </c>
      <c r="AL88" s="397" t="e">
        <f t="shared" si="437"/>
        <v>#N/A</v>
      </c>
      <c r="AM88" s="400" t="e">
        <f t="shared" si="383"/>
        <v>#N/A</v>
      </c>
      <c r="AN88" s="398" t="e">
        <f t="shared" si="438"/>
        <v>#N/A</v>
      </c>
      <c r="AO88" s="402" t="e">
        <f t="shared" si="439"/>
        <v>#N/A</v>
      </c>
      <c r="AP88" s="398" t="e">
        <f t="shared" si="563"/>
        <v>#N/A</v>
      </c>
      <c r="AQ88" s="401" t="e">
        <f t="shared" si="564"/>
        <v>#N/A</v>
      </c>
      <c r="AR88" s="399" t="e">
        <f t="shared" si="440"/>
        <v>#N/A</v>
      </c>
      <c r="AS88" s="47"/>
      <c r="AT88" s="47"/>
      <c r="AU88" s="396" t="e">
        <f t="shared" si="441"/>
        <v>#N/A</v>
      </c>
      <c r="AV88" s="397" t="e">
        <f t="shared" si="442"/>
        <v>#N/A</v>
      </c>
      <c r="AW88" s="400" t="e">
        <f t="shared" si="384"/>
        <v>#N/A</v>
      </c>
      <c r="AX88" s="398" t="e">
        <f t="shared" si="443"/>
        <v>#N/A</v>
      </c>
      <c r="AY88" s="402" t="e">
        <f t="shared" si="444"/>
        <v>#N/A</v>
      </c>
      <c r="AZ88" s="398" t="e">
        <f t="shared" si="565"/>
        <v>#N/A</v>
      </c>
      <c r="BA88" s="401" t="e">
        <f t="shared" si="566"/>
        <v>#N/A</v>
      </c>
      <c r="BB88" s="399" t="e">
        <f t="shared" si="445"/>
        <v>#N/A</v>
      </c>
      <c r="BC88" s="47"/>
      <c r="BD88" s="47"/>
      <c r="BE88" s="396" t="e">
        <f t="shared" si="446"/>
        <v>#N/A</v>
      </c>
      <c r="BF88" s="397" t="e">
        <f t="shared" si="447"/>
        <v>#N/A</v>
      </c>
      <c r="BG88" s="400" t="e">
        <f t="shared" si="385"/>
        <v>#N/A</v>
      </c>
      <c r="BH88" s="398" t="e">
        <f t="shared" si="448"/>
        <v>#N/A</v>
      </c>
      <c r="BI88" s="402" t="e">
        <f t="shared" si="449"/>
        <v>#N/A</v>
      </c>
      <c r="BJ88" s="398" t="e">
        <f t="shared" si="567"/>
        <v>#N/A</v>
      </c>
      <c r="BK88" s="401" t="e">
        <f t="shared" si="568"/>
        <v>#N/A</v>
      </c>
      <c r="BL88" s="399" t="e">
        <f t="shared" si="450"/>
        <v>#N/A</v>
      </c>
      <c r="BM88" s="47"/>
      <c r="BN88" s="49"/>
      <c r="BO88" s="396" t="e">
        <f t="shared" si="451"/>
        <v>#N/A</v>
      </c>
      <c r="BP88" s="397" t="e">
        <f t="shared" si="452"/>
        <v>#N/A</v>
      </c>
      <c r="BQ88" s="400" t="e">
        <f t="shared" si="386"/>
        <v>#N/A</v>
      </c>
      <c r="BR88" s="398" t="e">
        <f t="shared" si="453"/>
        <v>#N/A</v>
      </c>
      <c r="BS88" s="402" t="e">
        <f t="shared" si="454"/>
        <v>#N/A</v>
      </c>
      <c r="BT88" s="398" t="e">
        <f t="shared" si="569"/>
        <v>#N/A</v>
      </c>
      <c r="BU88" s="401" t="e">
        <f t="shared" si="570"/>
        <v>#N/A</v>
      </c>
      <c r="BV88" s="399" t="e">
        <f t="shared" si="455"/>
        <v>#N/A</v>
      </c>
      <c r="BW88" s="47"/>
      <c r="BX88" s="47"/>
      <c r="BY88" s="396" t="e">
        <f t="shared" si="456"/>
        <v>#N/A</v>
      </c>
      <c r="BZ88" s="397" t="e">
        <f t="shared" si="457"/>
        <v>#N/A</v>
      </c>
      <c r="CA88" s="400" t="e">
        <f t="shared" si="387"/>
        <v>#N/A</v>
      </c>
      <c r="CB88" s="398" t="e">
        <f t="shared" si="458"/>
        <v>#N/A</v>
      </c>
      <c r="CC88" s="402" t="e">
        <f t="shared" si="459"/>
        <v>#N/A</v>
      </c>
      <c r="CD88" s="398" t="e">
        <f t="shared" si="571"/>
        <v>#N/A</v>
      </c>
      <c r="CE88" s="401" t="e">
        <f t="shared" si="572"/>
        <v>#N/A</v>
      </c>
      <c r="CF88" s="399" t="e">
        <f t="shared" si="460"/>
        <v>#N/A</v>
      </c>
      <c r="CG88" s="49"/>
      <c r="CH88" s="47"/>
      <c r="CI88" s="396" t="e">
        <f t="shared" si="461"/>
        <v>#N/A</v>
      </c>
      <c r="CJ88" s="397" t="e">
        <f t="shared" si="462"/>
        <v>#N/A</v>
      </c>
      <c r="CK88" s="400" t="e">
        <f t="shared" si="388"/>
        <v>#N/A</v>
      </c>
      <c r="CL88" s="398" t="e">
        <f t="shared" si="463"/>
        <v>#N/A</v>
      </c>
      <c r="CM88" s="402" t="e">
        <f t="shared" si="464"/>
        <v>#N/A</v>
      </c>
      <c r="CN88" s="398" t="e">
        <f t="shared" si="573"/>
        <v>#N/A</v>
      </c>
      <c r="CO88" s="401" t="e">
        <f t="shared" si="574"/>
        <v>#N/A</v>
      </c>
      <c r="CP88" s="399" t="e">
        <f t="shared" si="465"/>
        <v>#N/A</v>
      </c>
      <c r="CQ88" s="47"/>
      <c r="CS88" s="396" t="e">
        <f t="shared" si="466"/>
        <v>#N/A</v>
      </c>
      <c r="CT88" s="397" t="e">
        <f t="shared" si="467"/>
        <v>#N/A</v>
      </c>
      <c r="CU88" s="400" t="e">
        <f t="shared" si="389"/>
        <v>#N/A</v>
      </c>
      <c r="CV88" s="398" t="e">
        <f t="shared" si="468"/>
        <v>#N/A</v>
      </c>
      <c r="CW88" s="402" t="e">
        <f t="shared" si="469"/>
        <v>#N/A</v>
      </c>
      <c r="CX88" s="398" t="e">
        <f t="shared" si="575"/>
        <v>#N/A</v>
      </c>
      <c r="CY88" s="401" t="e">
        <f t="shared" si="576"/>
        <v>#N/A</v>
      </c>
      <c r="CZ88" s="399" t="e">
        <f t="shared" si="470"/>
        <v>#N/A</v>
      </c>
      <c r="DA88" s="47"/>
      <c r="DB88" s="47"/>
      <c r="DC88" s="396" t="e">
        <f t="shared" si="471"/>
        <v>#N/A</v>
      </c>
      <c r="DD88" s="397" t="e">
        <f t="shared" si="472"/>
        <v>#N/A</v>
      </c>
      <c r="DE88" s="400" t="e">
        <f t="shared" si="390"/>
        <v>#N/A</v>
      </c>
      <c r="DF88" s="398" t="e">
        <f t="shared" si="473"/>
        <v>#N/A</v>
      </c>
      <c r="DG88" s="402" t="e">
        <f t="shared" si="474"/>
        <v>#N/A</v>
      </c>
      <c r="DH88" s="398" t="e">
        <f t="shared" si="577"/>
        <v>#N/A</v>
      </c>
      <c r="DI88" s="401" t="e">
        <f t="shared" si="578"/>
        <v>#N/A</v>
      </c>
      <c r="DJ88" s="399" t="e">
        <f t="shared" si="475"/>
        <v>#N/A</v>
      </c>
      <c r="DK88" s="47"/>
      <c r="DM88" s="396" t="e">
        <f t="shared" si="476"/>
        <v>#N/A</v>
      </c>
      <c r="DN88" s="397" t="e">
        <f t="shared" si="477"/>
        <v>#N/A</v>
      </c>
      <c r="DO88" s="400" t="e">
        <f t="shared" si="391"/>
        <v>#N/A</v>
      </c>
      <c r="DP88" s="398" t="e">
        <f t="shared" si="478"/>
        <v>#N/A</v>
      </c>
      <c r="DQ88" s="402" t="e">
        <f t="shared" si="479"/>
        <v>#N/A</v>
      </c>
      <c r="DR88" s="398" t="e">
        <f t="shared" si="579"/>
        <v>#N/A</v>
      </c>
      <c r="DS88" s="401" t="e">
        <f t="shared" si="580"/>
        <v>#N/A</v>
      </c>
      <c r="DT88" s="399" t="e">
        <f t="shared" si="480"/>
        <v>#N/A</v>
      </c>
      <c r="DU88" s="47"/>
      <c r="DV88" s="49"/>
      <c r="DW88" s="396" t="e">
        <f t="shared" si="481"/>
        <v>#N/A</v>
      </c>
      <c r="DX88" s="397" t="e">
        <f t="shared" si="482"/>
        <v>#N/A</v>
      </c>
      <c r="DY88" s="400" t="e">
        <f t="shared" si="392"/>
        <v>#N/A</v>
      </c>
      <c r="DZ88" s="398" t="e">
        <f t="shared" si="483"/>
        <v>#N/A</v>
      </c>
      <c r="EA88" s="402" t="e">
        <f t="shared" si="484"/>
        <v>#N/A</v>
      </c>
      <c r="EB88" s="398" t="e">
        <f t="shared" si="581"/>
        <v>#N/A</v>
      </c>
      <c r="EC88" s="401" t="e">
        <f t="shared" si="582"/>
        <v>#N/A</v>
      </c>
      <c r="ED88" s="399" t="e">
        <f t="shared" si="485"/>
        <v>#N/A</v>
      </c>
      <c r="EE88" s="47"/>
      <c r="EF88" s="47"/>
      <c r="EG88" s="396" t="e">
        <f t="shared" si="486"/>
        <v>#N/A</v>
      </c>
      <c r="EH88" s="397" t="e">
        <f t="shared" si="487"/>
        <v>#N/A</v>
      </c>
      <c r="EI88" s="400" t="e">
        <f t="shared" si="393"/>
        <v>#N/A</v>
      </c>
      <c r="EJ88" s="398" t="e">
        <f t="shared" si="488"/>
        <v>#N/A</v>
      </c>
      <c r="EK88" s="402" t="e">
        <f t="shared" si="489"/>
        <v>#N/A</v>
      </c>
      <c r="EL88" s="398" t="e">
        <f t="shared" si="583"/>
        <v>#N/A</v>
      </c>
      <c r="EM88" s="401" t="e">
        <f t="shared" si="584"/>
        <v>#N/A</v>
      </c>
      <c r="EN88" s="399" t="e">
        <f t="shared" si="490"/>
        <v>#N/A</v>
      </c>
      <c r="EO88" s="47"/>
      <c r="EP88" s="47"/>
      <c r="EQ88" s="396" t="e">
        <f t="shared" si="491"/>
        <v>#N/A</v>
      </c>
      <c r="ER88" s="397" t="e">
        <f t="shared" si="492"/>
        <v>#N/A</v>
      </c>
      <c r="ES88" s="400" t="e">
        <f t="shared" si="394"/>
        <v>#N/A</v>
      </c>
      <c r="ET88" s="398" t="e">
        <f t="shared" si="493"/>
        <v>#N/A</v>
      </c>
      <c r="EU88" s="402" t="e">
        <f t="shared" si="494"/>
        <v>#N/A</v>
      </c>
      <c r="EV88" s="398" t="e">
        <f t="shared" si="585"/>
        <v>#N/A</v>
      </c>
      <c r="EW88" s="401" t="e">
        <f t="shared" si="586"/>
        <v>#N/A</v>
      </c>
      <c r="EX88" s="399" t="e">
        <f t="shared" si="495"/>
        <v>#N/A</v>
      </c>
      <c r="EY88" s="47"/>
      <c r="EZ88" s="47"/>
      <c r="FA88" s="396" t="e">
        <f t="shared" si="496"/>
        <v>#N/A</v>
      </c>
      <c r="FB88" s="397" t="e">
        <f t="shared" si="497"/>
        <v>#N/A</v>
      </c>
      <c r="FC88" s="400" t="e">
        <f t="shared" si="395"/>
        <v>#N/A</v>
      </c>
      <c r="FD88" s="398" t="e">
        <f t="shared" si="498"/>
        <v>#N/A</v>
      </c>
      <c r="FE88" s="402" t="e">
        <f t="shared" si="499"/>
        <v>#N/A</v>
      </c>
      <c r="FF88" s="398" t="e">
        <f t="shared" si="587"/>
        <v>#N/A</v>
      </c>
      <c r="FG88" s="401" t="e">
        <f t="shared" si="588"/>
        <v>#N/A</v>
      </c>
      <c r="FH88" s="399" t="e">
        <f t="shared" si="500"/>
        <v>#N/A</v>
      </c>
      <c r="FI88" s="47"/>
      <c r="FJ88" s="49"/>
      <c r="FK88" s="396" t="e">
        <f t="shared" si="501"/>
        <v>#N/A</v>
      </c>
      <c r="FL88" s="397" t="e">
        <f t="shared" si="502"/>
        <v>#N/A</v>
      </c>
      <c r="FM88" s="400" t="e">
        <f t="shared" si="396"/>
        <v>#N/A</v>
      </c>
      <c r="FN88" s="398" t="e">
        <f t="shared" si="503"/>
        <v>#N/A</v>
      </c>
      <c r="FO88" s="402" t="e">
        <f t="shared" si="504"/>
        <v>#N/A</v>
      </c>
      <c r="FP88" s="398" t="e">
        <f t="shared" si="589"/>
        <v>#N/A</v>
      </c>
      <c r="FQ88" s="401" t="e">
        <f t="shared" si="590"/>
        <v>#N/A</v>
      </c>
      <c r="FR88" s="399" t="e">
        <f t="shared" si="505"/>
        <v>#N/A</v>
      </c>
      <c r="FS88" s="47"/>
      <c r="FT88" s="47"/>
      <c r="FU88" s="396" t="e">
        <f t="shared" si="506"/>
        <v>#N/A</v>
      </c>
      <c r="FV88" s="397" t="e">
        <f t="shared" si="507"/>
        <v>#N/A</v>
      </c>
      <c r="FW88" s="400" t="e">
        <f t="shared" si="397"/>
        <v>#N/A</v>
      </c>
      <c r="FX88" s="398" t="e">
        <f t="shared" si="508"/>
        <v>#N/A</v>
      </c>
      <c r="FY88" s="402" t="e">
        <f t="shared" si="509"/>
        <v>#N/A</v>
      </c>
      <c r="FZ88" s="398" t="e">
        <f t="shared" si="591"/>
        <v>#N/A</v>
      </c>
      <c r="GA88" s="401" t="e">
        <f t="shared" si="592"/>
        <v>#N/A</v>
      </c>
      <c r="GB88" s="399" t="e">
        <f t="shared" si="510"/>
        <v>#N/A</v>
      </c>
      <c r="GC88" s="47"/>
      <c r="GD88" s="47"/>
      <c r="GE88" s="396" t="e">
        <f t="shared" si="511"/>
        <v>#N/A</v>
      </c>
      <c r="GF88" s="397" t="e">
        <f t="shared" si="512"/>
        <v>#N/A</v>
      </c>
      <c r="GG88" s="400" t="e">
        <f t="shared" si="398"/>
        <v>#N/A</v>
      </c>
      <c r="GH88" s="398" t="e">
        <f t="shared" si="513"/>
        <v>#N/A</v>
      </c>
      <c r="GI88" s="402" t="e">
        <f t="shared" si="514"/>
        <v>#N/A</v>
      </c>
      <c r="GJ88" s="398" t="e">
        <f t="shared" si="593"/>
        <v>#N/A</v>
      </c>
      <c r="GK88" s="401" t="e">
        <f t="shared" si="594"/>
        <v>#N/A</v>
      </c>
      <c r="GL88" s="399" t="e">
        <f t="shared" si="515"/>
        <v>#N/A</v>
      </c>
      <c r="GM88" s="47"/>
      <c r="GN88" s="47"/>
      <c r="GO88" s="396" t="e">
        <f t="shared" si="516"/>
        <v>#N/A</v>
      </c>
      <c r="GP88" s="397" t="e">
        <f t="shared" si="517"/>
        <v>#N/A</v>
      </c>
      <c r="GQ88" s="400" t="e">
        <f t="shared" si="399"/>
        <v>#N/A</v>
      </c>
      <c r="GR88" s="398" t="e">
        <f t="shared" si="518"/>
        <v>#N/A</v>
      </c>
      <c r="GS88" s="402" t="e">
        <f t="shared" si="519"/>
        <v>#N/A</v>
      </c>
      <c r="GT88" s="398" t="e">
        <f t="shared" si="595"/>
        <v>#N/A</v>
      </c>
      <c r="GU88" s="401" t="e">
        <f t="shared" si="596"/>
        <v>#N/A</v>
      </c>
      <c r="GV88" s="399" t="e">
        <f t="shared" si="520"/>
        <v>#N/A</v>
      </c>
      <c r="GW88" s="47"/>
      <c r="GX88" s="47"/>
      <c r="GY88" s="396" t="e">
        <f t="shared" si="521"/>
        <v>#N/A</v>
      </c>
      <c r="GZ88" s="397" t="e">
        <f t="shared" si="522"/>
        <v>#N/A</v>
      </c>
      <c r="HA88" s="400" t="e">
        <f t="shared" si="400"/>
        <v>#N/A</v>
      </c>
      <c r="HB88" s="398" t="e">
        <f t="shared" si="523"/>
        <v>#N/A</v>
      </c>
      <c r="HC88" s="402" t="e">
        <f t="shared" si="524"/>
        <v>#N/A</v>
      </c>
      <c r="HD88" s="398" t="e">
        <f t="shared" si="597"/>
        <v>#N/A</v>
      </c>
      <c r="HE88" s="401" t="e">
        <f t="shared" si="598"/>
        <v>#N/A</v>
      </c>
      <c r="HF88" s="399" t="e">
        <f t="shared" si="525"/>
        <v>#N/A</v>
      </c>
      <c r="HH88" s="47"/>
      <c r="HI88" s="396" t="e">
        <f t="shared" si="526"/>
        <v>#N/A</v>
      </c>
      <c r="HJ88" s="397" t="e">
        <f t="shared" si="527"/>
        <v>#N/A</v>
      </c>
      <c r="HK88" s="400" t="e">
        <f t="shared" si="401"/>
        <v>#N/A</v>
      </c>
      <c r="HL88" s="398" t="e">
        <f t="shared" si="528"/>
        <v>#N/A</v>
      </c>
      <c r="HM88" s="402" t="e">
        <f t="shared" si="529"/>
        <v>#N/A</v>
      </c>
      <c r="HN88" s="398" t="e">
        <f t="shared" si="599"/>
        <v>#N/A</v>
      </c>
      <c r="HO88" s="401" t="e">
        <f t="shared" si="600"/>
        <v>#N/A</v>
      </c>
      <c r="HP88" s="399" t="e">
        <f t="shared" si="530"/>
        <v>#N/A</v>
      </c>
      <c r="HQ88" s="47"/>
      <c r="HR88" s="47"/>
      <c r="HS88" s="396" t="e">
        <f t="shared" si="531"/>
        <v>#N/A</v>
      </c>
      <c r="HT88" s="397" t="e">
        <f t="shared" si="532"/>
        <v>#N/A</v>
      </c>
      <c r="HU88" s="400" t="e">
        <f t="shared" si="402"/>
        <v>#N/A</v>
      </c>
      <c r="HV88" s="398" t="e">
        <f t="shared" si="533"/>
        <v>#N/A</v>
      </c>
      <c r="HW88" s="402" t="e">
        <f t="shared" si="534"/>
        <v>#N/A</v>
      </c>
      <c r="HX88" s="398" t="e">
        <f t="shared" si="601"/>
        <v>#N/A</v>
      </c>
      <c r="HY88" s="401" t="e">
        <f t="shared" si="602"/>
        <v>#N/A</v>
      </c>
      <c r="HZ88" s="399" t="e">
        <f t="shared" si="535"/>
        <v>#N/A</v>
      </c>
      <c r="IA88" s="47"/>
      <c r="IB88" s="49"/>
      <c r="IC88" s="396" t="e">
        <f t="shared" si="536"/>
        <v>#N/A</v>
      </c>
      <c r="ID88" s="397" t="e">
        <f t="shared" si="537"/>
        <v>#N/A</v>
      </c>
      <c r="IE88" s="400" t="e">
        <f t="shared" si="403"/>
        <v>#N/A</v>
      </c>
      <c r="IF88" s="398" t="e">
        <f t="shared" si="538"/>
        <v>#N/A</v>
      </c>
      <c r="IG88" s="402" t="e">
        <f t="shared" si="539"/>
        <v>#N/A</v>
      </c>
      <c r="IH88" s="398" t="e">
        <f t="shared" si="603"/>
        <v>#N/A</v>
      </c>
      <c r="II88" s="401" t="e">
        <f t="shared" si="604"/>
        <v>#N/A</v>
      </c>
      <c r="IJ88" s="399" t="e">
        <f t="shared" si="540"/>
        <v>#N/A</v>
      </c>
      <c r="IK88" s="47"/>
      <c r="IL88" s="47"/>
      <c r="IM88" s="396" t="e">
        <f t="shared" si="541"/>
        <v>#N/A</v>
      </c>
      <c r="IN88" s="397" t="e">
        <f t="shared" si="542"/>
        <v>#N/A</v>
      </c>
      <c r="IO88" s="400" t="e">
        <f t="shared" si="404"/>
        <v>#N/A</v>
      </c>
      <c r="IP88" s="398" t="e">
        <f t="shared" si="543"/>
        <v>#N/A</v>
      </c>
      <c r="IQ88" s="402" t="e">
        <f t="shared" si="544"/>
        <v>#N/A</v>
      </c>
      <c r="IR88" s="398" t="e">
        <f t="shared" si="605"/>
        <v>#N/A</v>
      </c>
      <c r="IS88" s="401" t="e">
        <f t="shared" si="606"/>
        <v>#N/A</v>
      </c>
      <c r="IT88" s="399" t="e">
        <f t="shared" si="545"/>
        <v>#N/A</v>
      </c>
      <c r="IU88" s="47"/>
      <c r="IV88" s="47"/>
      <c r="IW88" s="396" t="e">
        <f t="shared" si="405"/>
        <v>#N/A</v>
      </c>
      <c r="IX88" s="397" t="e">
        <f t="shared" si="406"/>
        <v>#N/A</v>
      </c>
      <c r="IY88" s="400" t="e">
        <f t="shared" si="407"/>
        <v>#N/A</v>
      </c>
      <c r="IZ88" s="398" t="e">
        <f t="shared" si="348"/>
        <v>#N/A</v>
      </c>
      <c r="JA88" s="402" t="e">
        <f t="shared" si="408"/>
        <v>#N/A</v>
      </c>
      <c r="JB88" s="398" t="e">
        <f t="shared" si="409"/>
        <v>#N/A</v>
      </c>
      <c r="JC88" s="401" t="e">
        <f t="shared" si="546"/>
        <v>#N/A</v>
      </c>
      <c r="JD88" s="399" t="e">
        <f t="shared" si="547"/>
        <v>#N/A</v>
      </c>
      <c r="JE88" s="47"/>
      <c r="JF88" s="47"/>
      <c r="JG88" s="396" t="e">
        <f t="shared" si="410"/>
        <v>#N/A</v>
      </c>
      <c r="JH88" s="397" t="e">
        <f t="shared" si="411"/>
        <v>#N/A</v>
      </c>
      <c r="JI88" s="400" t="e">
        <f t="shared" si="412"/>
        <v>#N/A</v>
      </c>
      <c r="JJ88" s="398" t="e">
        <f t="shared" si="349"/>
        <v>#N/A</v>
      </c>
      <c r="JK88" s="402" t="e">
        <f t="shared" si="413"/>
        <v>#N/A</v>
      </c>
      <c r="JL88" s="398" t="e">
        <f t="shared" si="414"/>
        <v>#N/A</v>
      </c>
      <c r="JM88" s="401" t="e">
        <f t="shared" si="548"/>
        <v>#N/A</v>
      </c>
      <c r="JN88" s="399" t="e">
        <f t="shared" si="549"/>
        <v>#N/A</v>
      </c>
      <c r="JO88" s="47"/>
      <c r="JP88" s="47"/>
      <c r="JQ88" s="396" t="e">
        <f t="shared" si="415"/>
        <v>#N/A</v>
      </c>
      <c r="JR88" s="397" t="e">
        <f t="shared" si="416"/>
        <v>#N/A</v>
      </c>
      <c r="JS88" s="400" t="e">
        <f t="shared" si="417"/>
        <v>#N/A</v>
      </c>
      <c r="JT88" s="398" t="e">
        <f t="shared" si="350"/>
        <v>#N/A</v>
      </c>
      <c r="JU88" s="402" t="e">
        <f t="shared" si="418"/>
        <v>#N/A</v>
      </c>
      <c r="JV88" s="398" t="e">
        <f t="shared" si="419"/>
        <v>#N/A</v>
      </c>
      <c r="JW88" s="401" t="e">
        <f t="shared" si="550"/>
        <v>#N/A</v>
      </c>
      <c r="JX88" s="399" t="e">
        <f t="shared" si="551"/>
        <v>#N/A</v>
      </c>
      <c r="JY88" s="47"/>
      <c r="JZ88" s="47"/>
      <c r="KA88" s="396" t="e">
        <f t="shared" si="420"/>
        <v>#N/A</v>
      </c>
      <c r="KB88" s="397" t="e">
        <f t="shared" si="421"/>
        <v>#N/A</v>
      </c>
      <c r="KC88" s="400" t="e">
        <f t="shared" si="422"/>
        <v>#N/A</v>
      </c>
      <c r="KD88" s="398" t="e">
        <f t="shared" si="351"/>
        <v>#N/A</v>
      </c>
      <c r="KE88" s="402" t="e">
        <f t="shared" si="423"/>
        <v>#N/A</v>
      </c>
      <c r="KF88" s="398" t="e">
        <f t="shared" si="424"/>
        <v>#N/A</v>
      </c>
      <c r="KG88" s="401" t="e">
        <f t="shared" si="552"/>
        <v>#N/A</v>
      </c>
      <c r="KH88" s="399" t="e">
        <f t="shared" si="553"/>
        <v>#N/A</v>
      </c>
      <c r="KI88" s="47"/>
      <c r="KJ88" s="47"/>
      <c r="KK88" s="396" t="e">
        <f t="shared" si="425"/>
        <v>#N/A</v>
      </c>
      <c r="KL88" s="397" t="e">
        <f t="shared" si="426"/>
        <v>#N/A</v>
      </c>
      <c r="KM88" s="400" t="e">
        <f t="shared" si="427"/>
        <v>#N/A</v>
      </c>
      <c r="KN88" s="398" t="e">
        <f t="shared" si="352"/>
        <v>#N/A</v>
      </c>
      <c r="KO88" s="402" t="e">
        <f t="shared" si="428"/>
        <v>#N/A</v>
      </c>
      <c r="KP88" s="398" t="e">
        <f t="shared" si="429"/>
        <v>#N/A</v>
      </c>
      <c r="KQ88" s="401" t="e">
        <f t="shared" si="554"/>
        <v>#N/A</v>
      </c>
      <c r="KR88" s="399" t="e">
        <f t="shared" si="555"/>
        <v>#N/A</v>
      </c>
      <c r="KS88" s="47"/>
      <c r="KT88" s="47"/>
      <c r="KU88" s="396" t="e">
        <f t="shared" si="556"/>
        <v>#N/A</v>
      </c>
      <c r="KV88" s="397" t="e">
        <f t="shared" si="557"/>
        <v>#N/A</v>
      </c>
      <c r="KW88" s="400" t="e">
        <f t="shared" si="430"/>
        <v>#N/A</v>
      </c>
      <c r="KX88" s="398" t="e">
        <f t="shared" si="558"/>
        <v>#N/A</v>
      </c>
      <c r="KY88" s="402" t="e">
        <f t="shared" si="559"/>
        <v>#N/A</v>
      </c>
      <c r="KZ88" s="398" t="e">
        <f t="shared" si="607"/>
        <v>#N/A</v>
      </c>
      <c r="LA88" s="401" t="e">
        <f t="shared" si="608"/>
        <v>#N/A</v>
      </c>
      <c r="LB88" s="399" t="e">
        <f t="shared" si="560"/>
        <v>#N/A</v>
      </c>
      <c r="LC88" s="47"/>
    </row>
    <row r="89" spans="26:315" x14ac:dyDescent="0.25">
      <c r="Z89" s="413"/>
      <c r="AA89" s="396" t="e">
        <f t="shared" si="431"/>
        <v>#N/A</v>
      </c>
      <c r="AB89" s="397" t="e">
        <f t="shared" si="432"/>
        <v>#N/A</v>
      </c>
      <c r="AC89" s="400" t="e">
        <f t="shared" si="382"/>
        <v>#N/A</v>
      </c>
      <c r="AD89" s="398" t="e">
        <f t="shared" si="433"/>
        <v>#N/A</v>
      </c>
      <c r="AE89" s="402" t="e">
        <f t="shared" si="434"/>
        <v>#N/A</v>
      </c>
      <c r="AF89" s="398" t="e">
        <f t="shared" si="561"/>
        <v>#N/A</v>
      </c>
      <c r="AG89" s="401" t="e">
        <f t="shared" si="562"/>
        <v>#N/A</v>
      </c>
      <c r="AH89" s="399" t="e">
        <f t="shared" si="435"/>
        <v>#N/A</v>
      </c>
      <c r="AI89" s="47"/>
      <c r="AJ89" s="47"/>
      <c r="AK89" s="396" t="e">
        <f t="shared" si="436"/>
        <v>#N/A</v>
      </c>
      <c r="AL89" s="397" t="e">
        <f t="shared" si="437"/>
        <v>#N/A</v>
      </c>
      <c r="AM89" s="400" t="e">
        <f t="shared" si="383"/>
        <v>#N/A</v>
      </c>
      <c r="AN89" s="398" t="e">
        <f t="shared" si="438"/>
        <v>#N/A</v>
      </c>
      <c r="AO89" s="402" t="e">
        <f t="shared" si="439"/>
        <v>#N/A</v>
      </c>
      <c r="AP89" s="398" t="e">
        <f t="shared" si="563"/>
        <v>#N/A</v>
      </c>
      <c r="AQ89" s="401" t="e">
        <f t="shared" si="564"/>
        <v>#N/A</v>
      </c>
      <c r="AR89" s="399" t="e">
        <f t="shared" si="440"/>
        <v>#N/A</v>
      </c>
      <c r="AS89" s="47"/>
      <c r="AT89" s="47"/>
      <c r="AU89" s="396" t="e">
        <f t="shared" si="441"/>
        <v>#N/A</v>
      </c>
      <c r="AV89" s="397" t="e">
        <f t="shared" si="442"/>
        <v>#N/A</v>
      </c>
      <c r="AW89" s="400" t="e">
        <f t="shared" si="384"/>
        <v>#N/A</v>
      </c>
      <c r="AX89" s="398" t="e">
        <f t="shared" si="443"/>
        <v>#N/A</v>
      </c>
      <c r="AY89" s="402" t="e">
        <f t="shared" si="444"/>
        <v>#N/A</v>
      </c>
      <c r="AZ89" s="398" t="e">
        <f t="shared" si="565"/>
        <v>#N/A</v>
      </c>
      <c r="BA89" s="401" t="e">
        <f t="shared" si="566"/>
        <v>#N/A</v>
      </c>
      <c r="BB89" s="399" t="e">
        <f t="shared" si="445"/>
        <v>#N/A</v>
      </c>
      <c r="BC89" s="47"/>
      <c r="BD89" s="47"/>
      <c r="BE89" s="396" t="e">
        <f t="shared" si="446"/>
        <v>#N/A</v>
      </c>
      <c r="BF89" s="397" t="e">
        <f t="shared" si="447"/>
        <v>#N/A</v>
      </c>
      <c r="BG89" s="400" t="e">
        <f t="shared" si="385"/>
        <v>#N/A</v>
      </c>
      <c r="BH89" s="398" t="e">
        <f t="shared" si="448"/>
        <v>#N/A</v>
      </c>
      <c r="BI89" s="402" t="e">
        <f t="shared" si="449"/>
        <v>#N/A</v>
      </c>
      <c r="BJ89" s="398" t="e">
        <f t="shared" si="567"/>
        <v>#N/A</v>
      </c>
      <c r="BK89" s="401" t="e">
        <f t="shared" si="568"/>
        <v>#N/A</v>
      </c>
      <c r="BL89" s="399" t="e">
        <f t="shared" si="450"/>
        <v>#N/A</v>
      </c>
      <c r="BM89" s="47"/>
      <c r="BN89" s="49"/>
      <c r="BO89" s="396" t="e">
        <f t="shared" si="451"/>
        <v>#N/A</v>
      </c>
      <c r="BP89" s="397" t="e">
        <f t="shared" si="452"/>
        <v>#N/A</v>
      </c>
      <c r="BQ89" s="400" t="e">
        <f t="shared" si="386"/>
        <v>#N/A</v>
      </c>
      <c r="BR89" s="398" t="e">
        <f t="shared" si="453"/>
        <v>#N/A</v>
      </c>
      <c r="BS89" s="402" t="e">
        <f t="shared" si="454"/>
        <v>#N/A</v>
      </c>
      <c r="BT89" s="398" t="e">
        <f t="shared" si="569"/>
        <v>#N/A</v>
      </c>
      <c r="BU89" s="401" t="e">
        <f t="shared" si="570"/>
        <v>#N/A</v>
      </c>
      <c r="BV89" s="399" t="e">
        <f t="shared" si="455"/>
        <v>#N/A</v>
      </c>
      <c r="BW89" s="47"/>
      <c r="BX89" s="47"/>
      <c r="BY89" s="396" t="e">
        <f t="shared" si="456"/>
        <v>#N/A</v>
      </c>
      <c r="BZ89" s="397" t="e">
        <f t="shared" si="457"/>
        <v>#N/A</v>
      </c>
      <c r="CA89" s="400" t="e">
        <f t="shared" si="387"/>
        <v>#N/A</v>
      </c>
      <c r="CB89" s="398" t="e">
        <f t="shared" si="458"/>
        <v>#N/A</v>
      </c>
      <c r="CC89" s="402" t="e">
        <f t="shared" si="459"/>
        <v>#N/A</v>
      </c>
      <c r="CD89" s="398" t="e">
        <f t="shared" si="571"/>
        <v>#N/A</v>
      </c>
      <c r="CE89" s="401" t="e">
        <f t="shared" si="572"/>
        <v>#N/A</v>
      </c>
      <c r="CF89" s="399" t="e">
        <f t="shared" si="460"/>
        <v>#N/A</v>
      </c>
      <c r="CG89" s="49"/>
      <c r="CH89" s="47"/>
      <c r="CI89" s="396" t="e">
        <f t="shared" si="461"/>
        <v>#N/A</v>
      </c>
      <c r="CJ89" s="397" t="e">
        <f t="shared" si="462"/>
        <v>#N/A</v>
      </c>
      <c r="CK89" s="400" t="e">
        <f t="shared" si="388"/>
        <v>#N/A</v>
      </c>
      <c r="CL89" s="398" t="e">
        <f t="shared" si="463"/>
        <v>#N/A</v>
      </c>
      <c r="CM89" s="402" t="e">
        <f t="shared" si="464"/>
        <v>#N/A</v>
      </c>
      <c r="CN89" s="398" t="e">
        <f t="shared" si="573"/>
        <v>#N/A</v>
      </c>
      <c r="CO89" s="401" t="e">
        <f t="shared" si="574"/>
        <v>#N/A</v>
      </c>
      <c r="CP89" s="399" t="e">
        <f t="shared" si="465"/>
        <v>#N/A</v>
      </c>
      <c r="CQ89" s="47"/>
      <c r="CS89" s="396" t="e">
        <f t="shared" si="466"/>
        <v>#N/A</v>
      </c>
      <c r="CT89" s="397" t="e">
        <f t="shared" si="467"/>
        <v>#N/A</v>
      </c>
      <c r="CU89" s="400" t="e">
        <f t="shared" si="389"/>
        <v>#N/A</v>
      </c>
      <c r="CV89" s="398" t="e">
        <f t="shared" si="468"/>
        <v>#N/A</v>
      </c>
      <c r="CW89" s="402" t="e">
        <f t="shared" si="469"/>
        <v>#N/A</v>
      </c>
      <c r="CX89" s="398" t="e">
        <f t="shared" si="575"/>
        <v>#N/A</v>
      </c>
      <c r="CY89" s="401" t="e">
        <f t="shared" si="576"/>
        <v>#N/A</v>
      </c>
      <c r="CZ89" s="399" t="e">
        <f t="shared" si="470"/>
        <v>#N/A</v>
      </c>
      <c r="DA89" s="47"/>
      <c r="DB89" s="47"/>
      <c r="DC89" s="396" t="e">
        <f t="shared" si="471"/>
        <v>#N/A</v>
      </c>
      <c r="DD89" s="397" t="e">
        <f t="shared" si="472"/>
        <v>#N/A</v>
      </c>
      <c r="DE89" s="400" t="e">
        <f t="shared" si="390"/>
        <v>#N/A</v>
      </c>
      <c r="DF89" s="398" t="e">
        <f t="shared" si="473"/>
        <v>#N/A</v>
      </c>
      <c r="DG89" s="402" t="e">
        <f t="shared" si="474"/>
        <v>#N/A</v>
      </c>
      <c r="DH89" s="398" t="e">
        <f t="shared" si="577"/>
        <v>#N/A</v>
      </c>
      <c r="DI89" s="401" t="e">
        <f t="shared" si="578"/>
        <v>#N/A</v>
      </c>
      <c r="DJ89" s="399" t="e">
        <f t="shared" si="475"/>
        <v>#N/A</v>
      </c>
      <c r="DK89" s="47"/>
      <c r="DM89" s="396" t="e">
        <f t="shared" si="476"/>
        <v>#N/A</v>
      </c>
      <c r="DN89" s="397" t="e">
        <f t="shared" si="477"/>
        <v>#N/A</v>
      </c>
      <c r="DO89" s="400" t="e">
        <f t="shared" si="391"/>
        <v>#N/A</v>
      </c>
      <c r="DP89" s="398" t="e">
        <f t="shared" si="478"/>
        <v>#N/A</v>
      </c>
      <c r="DQ89" s="402" t="e">
        <f t="shared" si="479"/>
        <v>#N/A</v>
      </c>
      <c r="DR89" s="398" t="e">
        <f t="shared" si="579"/>
        <v>#N/A</v>
      </c>
      <c r="DS89" s="401" t="e">
        <f t="shared" si="580"/>
        <v>#N/A</v>
      </c>
      <c r="DT89" s="399" t="e">
        <f t="shared" si="480"/>
        <v>#N/A</v>
      </c>
      <c r="DU89" s="47"/>
      <c r="DV89" s="49"/>
      <c r="DW89" s="396" t="e">
        <f t="shared" si="481"/>
        <v>#N/A</v>
      </c>
      <c r="DX89" s="397" t="e">
        <f t="shared" si="482"/>
        <v>#N/A</v>
      </c>
      <c r="DY89" s="400" t="e">
        <f t="shared" si="392"/>
        <v>#N/A</v>
      </c>
      <c r="DZ89" s="398" t="e">
        <f t="shared" si="483"/>
        <v>#N/A</v>
      </c>
      <c r="EA89" s="402" t="e">
        <f t="shared" si="484"/>
        <v>#N/A</v>
      </c>
      <c r="EB89" s="398" t="e">
        <f t="shared" si="581"/>
        <v>#N/A</v>
      </c>
      <c r="EC89" s="401" t="e">
        <f t="shared" si="582"/>
        <v>#N/A</v>
      </c>
      <c r="ED89" s="399" t="e">
        <f t="shared" si="485"/>
        <v>#N/A</v>
      </c>
      <c r="EE89" s="47"/>
      <c r="EF89" s="47"/>
      <c r="EG89" s="396" t="e">
        <f t="shared" si="486"/>
        <v>#N/A</v>
      </c>
      <c r="EH89" s="397" t="e">
        <f t="shared" si="487"/>
        <v>#N/A</v>
      </c>
      <c r="EI89" s="400" t="e">
        <f t="shared" si="393"/>
        <v>#N/A</v>
      </c>
      <c r="EJ89" s="398" t="e">
        <f t="shared" si="488"/>
        <v>#N/A</v>
      </c>
      <c r="EK89" s="402" t="e">
        <f t="shared" si="489"/>
        <v>#N/A</v>
      </c>
      <c r="EL89" s="398" t="e">
        <f t="shared" si="583"/>
        <v>#N/A</v>
      </c>
      <c r="EM89" s="401" t="e">
        <f t="shared" si="584"/>
        <v>#N/A</v>
      </c>
      <c r="EN89" s="399" t="e">
        <f t="shared" si="490"/>
        <v>#N/A</v>
      </c>
      <c r="EO89" s="47"/>
      <c r="EP89" s="47"/>
      <c r="EQ89" s="396" t="e">
        <f t="shared" si="491"/>
        <v>#N/A</v>
      </c>
      <c r="ER89" s="397" t="e">
        <f t="shared" si="492"/>
        <v>#N/A</v>
      </c>
      <c r="ES89" s="400" t="e">
        <f t="shared" si="394"/>
        <v>#N/A</v>
      </c>
      <c r="ET89" s="398" t="e">
        <f t="shared" si="493"/>
        <v>#N/A</v>
      </c>
      <c r="EU89" s="402" t="e">
        <f t="shared" si="494"/>
        <v>#N/A</v>
      </c>
      <c r="EV89" s="398" t="e">
        <f t="shared" si="585"/>
        <v>#N/A</v>
      </c>
      <c r="EW89" s="401" t="e">
        <f t="shared" si="586"/>
        <v>#N/A</v>
      </c>
      <c r="EX89" s="399" t="e">
        <f t="shared" si="495"/>
        <v>#N/A</v>
      </c>
      <c r="EY89" s="47"/>
      <c r="EZ89" s="47"/>
      <c r="FA89" s="396" t="e">
        <f t="shared" si="496"/>
        <v>#N/A</v>
      </c>
      <c r="FB89" s="397" t="e">
        <f t="shared" si="497"/>
        <v>#N/A</v>
      </c>
      <c r="FC89" s="400" t="e">
        <f t="shared" si="395"/>
        <v>#N/A</v>
      </c>
      <c r="FD89" s="398" t="e">
        <f t="shared" si="498"/>
        <v>#N/A</v>
      </c>
      <c r="FE89" s="402" t="e">
        <f t="shared" si="499"/>
        <v>#N/A</v>
      </c>
      <c r="FF89" s="398" t="e">
        <f t="shared" si="587"/>
        <v>#N/A</v>
      </c>
      <c r="FG89" s="401" t="e">
        <f t="shared" si="588"/>
        <v>#N/A</v>
      </c>
      <c r="FH89" s="399" t="e">
        <f t="shared" si="500"/>
        <v>#N/A</v>
      </c>
      <c r="FI89" s="47"/>
      <c r="FJ89" s="49"/>
      <c r="FK89" s="396" t="e">
        <f t="shared" si="501"/>
        <v>#N/A</v>
      </c>
      <c r="FL89" s="397" t="e">
        <f t="shared" si="502"/>
        <v>#N/A</v>
      </c>
      <c r="FM89" s="400" t="e">
        <f t="shared" si="396"/>
        <v>#N/A</v>
      </c>
      <c r="FN89" s="398" t="e">
        <f t="shared" si="503"/>
        <v>#N/A</v>
      </c>
      <c r="FO89" s="402" t="e">
        <f t="shared" si="504"/>
        <v>#N/A</v>
      </c>
      <c r="FP89" s="398" t="e">
        <f t="shared" si="589"/>
        <v>#N/A</v>
      </c>
      <c r="FQ89" s="401" t="e">
        <f t="shared" si="590"/>
        <v>#N/A</v>
      </c>
      <c r="FR89" s="399" t="e">
        <f t="shared" si="505"/>
        <v>#N/A</v>
      </c>
      <c r="FS89" s="47"/>
      <c r="FT89" s="47"/>
      <c r="FU89" s="396" t="e">
        <f t="shared" si="506"/>
        <v>#N/A</v>
      </c>
      <c r="FV89" s="397" t="e">
        <f t="shared" si="507"/>
        <v>#N/A</v>
      </c>
      <c r="FW89" s="400" t="e">
        <f t="shared" si="397"/>
        <v>#N/A</v>
      </c>
      <c r="FX89" s="398" t="e">
        <f t="shared" si="508"/>
        <v>#N/A</v>
      </c>
      <c r="FY89" s="402" t="e">
        <f t="shared" si="509"/>
        <v>#N/A</v>
      </c>
      <c r="FZ89" s="398" t="e">
        <f t="shared" si="591"/>
        <v>#N/A</v>
      </c>
      <c r="GA89" s="401" t="e">
        <f t="shared" si="592"/>
        <v>#N/A</v>
      </c>
      <c r="GB89" s="399" t="e">
        <f t="shared" si="510"/>
        <v>#N/A</v>
      </c>
      <c r="GC89" s="47"/>
      <c r="GD89" s="47"/>
      <c r="GE89" s="396" t="e">
        <f t="shared" si="511"/>
        <v>#N/A</v>
      </c>
      <c r="GF89" s="397" t="e">
        <f t="shared" si="512"/>
        <v>#N/A</v>
      </c>
      <c r="GG89" s="400" t="e">
        <f t="shared" si="398"/>
        <v>#N/A</v>
      </c>
      <c r="GH89" s="398" t="e">
        <f t="shared" si="513"/>
        <v>#N/A</v>
      </c>
      <c r="GI89" s="402" t="e">
        <f t="shared" si="514"/>
        <v>#N/A</v>
      </c>
      <c r="GJ89" s="398" t="e">
        <f t="shared" si="593"/>
        <v>#N/A</v>
      </c>
      <c r="GK89" s="401" t="e">
        <f t="shared" si="594"/>
        <v>#N/A</v>
      </c>
      <c r="GL89" s="399" t="e">
        <f t="shared" si="515"/>
        <v>#N/A</v>
      </c>
      <c r="GM89" s="47"/>
      <c r="GN89" s="47"/>
      <c r="GO89" s="396" t="e">
        <f t="shared" si="516"/>
        <v>#N/A</v>
      </c>
      <c r="GP89" s="397" t="e">
        <f t="shared" si="517"/>
        <v>#N/A</v>
      </c>
      <c r="GQ89" s="400" t="e">
        <f t="shared" si="399"/>
        <v>#N/A</v>
      </c>
      <c r="GR89" s="398" t="e">
        <f t="shared" si="518"/>
        <v>#N/A</v>
      </c>
      <c r="GS89" s="402" t="e">
        <f t="shared" si="519"/>
        <v>#N/A</v>
      </c>
      <c r="GT89" s="398" t="e">
        <f t="shared" si="595"/>
        <v>#N/A</v>
      </c>
      <c r="GU89" s="401" t="e">
        <f t="shared" si="596"/>
        <v>#N/A</v>
      </c>
      <c r="GV89" s="399" t="e">
        <f t="shared" si="520"/>
        <v>#N/A</v>
      </c>
      <c r="GW89" s="47"/>
      <c r="GX89" s="47"/>
      <c r="GY89" s="396" t="e">
        <f t="shared" si="521"/>
        <v>#N/A</v>
      </c>
      <c r="GZ89" s="397" t="e">
        <f t="shared" si="522"/>
        <v>#N/A</v>
      </c>
      <c r="HA89" s="400" t="e">
        <f t="shared" si="400"/>
        <v>#N/A</v>
      </c>
      <c r="HB89" s="398" t="e">
        <f t="shared" si="523"/>
        <v>#N/A</v>
      </c>
      <c r="HC89" s="402" t="e">
        <f t="shared" si="524"/>
        <v>#N/A</v>
      </c>
      <c r="HD89" s="398" t="e">
        <f t="shared" si="597"/>
        <v>#N/A</v>
      </c>
      <c r="HE89" s="401" t="e">
        <f t="shared" si="598"/>
        <v>#N/A</v>
      </c>
      <c r="HF89" s="399" t="e">
        <f t="shared" si="525"/>
        <v>#N/A</v>
      </c>
      <c r="HH89" s="47"/>
      <c r="HI89" s="396" t="e">
        <f t="shared" si="526"/>
        <v>#N/A</v>
      </c>
      <c r="HJ89" s="397" t="e">
        <f t="shared" si="527"/>
        <v>#N/A</v>
      </c>
      <c r="HK89" s="400" t="e">
        <f t="shared" si="401"/>
        <v>#N/A</v>
      </c>
      <c r="HL89" s="398" t="e">
        <f t="shared" si="528"/>
        <v>#N/A</v>
      </c>
      <c r="HM89" s="402" t="e">
        <f t="shared" si="529"/>
        <v>#N/A</v>
      </c>
      <c r="HN89" s="398" t="e">
        <f t="shared" si="599"/>
        <v>#N/A</v>
      </c>
      <c r="HO89" s="401" t="e">
        <f t="shared" si="600"/>
        <v>#N/A</v>
      </c>
      <c r="HP89" s="399" t="e">
        <f t="shared" si="530"/>
        <v>#N/A</v>
      </c>
      <c r="HQ89" s="47"/>
      <c r="HR89" s="47"/>
      <c r="HS89" s="396" t="e">
        <f t="shared" si="531"/>
        <v>#N/A</v>
      </c>
      <c r="HT89" s="397" t="e">
        <f t="shared" si="532"/>
        <v>#N/A</v>
      </c>
      <c r="HU89" s="400" t="e">
        <f t="shared" si="402"/>
        <v>#N/A</v>
      </c>
      <c r="HV89" s="398" t="e">
        <f t="shared" si="533"/>
        <v>#N/A</v>
      </c>
      <c r="HW89" s="402" t="e">
        <f t="shared" si="534"/>
        <v>#N/A</v>
      </c>
      <c r="HX89" s="398" t="e">
        <f t="shared" si="601"/>
        <v>#N/A</v>
      </c>
      <c r="HY89" s="401" t="e">
        <f t="shared" si="602"/>
        <v>#N/A</v>
      </c>
      <c r="HZ89" s="399" t="e">
        <f t="shared" si="535"/>
        <v>#N/A</v>
      </c>
      <c r="IA89" s="47"/>
      <c r="IB89" s="49"/>
      <c r="IC89" s="396" t="e">
        <f t="shared" si="536"/>
        <v>#N/A</v>
      </c>
      <c r="ID89" s="397" t="e">
        <f t="shared" si="537"/>
        <v>#N/A</v>
      </c>
      <c r="IE89" s="400" t="e">
        <f t="shared" si="403"/>
        <v>#N/A</v>
      </c>
      <c r="IF89" s="398" t="e">
        <f t="shared" si="538"/>
        <v>#N/A</v>
      </c>
      <c r="IG89" s="402" t="e">
        <f t="shared" si="539"/>
        <v>#N/A</v>
      </c>
      <c r="IH89" s="398" t="e">
        <f t="shared" si="603"/>
        <v>#N/A</v>
      </c>
      <c r="II89" s="401" t="e">
        <f t="shared" si="604"/>
        <v>#N/A</v>
      </c>
      <c r="IJ89" s="399" t="e">
        <f t="shared" si="540"/>
        <v>#N/A</v>
      </c>
      <c r="IK89" s="47"/>
      <c r="IL89" s="47"/>
      <c r="IM89" s="396" t="e">
        <f t="shared" si="541"/>
        <v>#N/A</v>
      </c>
      <c r="IN89" s="397" t="e">
        <f t="shared" si="542"/>
        <v>#N/A</v>
      </c>
      <c r="IO89" s="400" t="e">
        <f t="shared" si="404"/>
        <v>#N/A</v>
      </c>
      <c r="IP89" s="398" t="e">
        <f t="shared" si="543"/>
        <v>#N/A</v>
      </c>
      <c r="IQ89" s="402" t="e">
        <f t="shared" si="544"/>
        <v>#N/A</v>
      </c>
      <c r="IR89" s="398" t="e">
        <f t="shared" si="605"/>
        <v>#N/A</v>
      </c>
      <c r="IS89" s="401" t="e">
        <f t="shared" si="606"/>
        <v>#N/A</v>
      </c>
      <c r="IT89" s="399" t="e">
        <f t="shared" si="545"/>
        <v>#N/A</v>
      </c>
      <c r="IU89" s="47"/>
      <c r="IV89" s="47"/>
      <c r="IW89" s="396" t="e">
        <f t="shared" si="405"/>
        <v>#N/A</v>
      </c>
      <c r="IX89" s="397" t="e">
        <f t="shared" si="406"/>
        <v>#N/A</v>
      </c>
      <c r="IY89" s="400" t="e">
        <f t="shared" si="407"/>
        <v>#N/A</v>
      </c>
      <c r="IZ89" s="398" t="e">
        <f t="shared" si="348"/>
        <v>#N/A</v>
      </c>
      <c r="JA89" s="402" t="e">
        <f t="shared" si="408"/>
        <v>#N/A</v>
      </c>
      <c r="JB89" s="398" t="e">
        <f t="shared" si="409"/>
        <v>#N/A</v>
      </c>
      <c r="JC89" s="401" t="e">
        <f t="shared" si="546"/>
        <v>#N/A</v>
      </c>
      <c r="JD89" s="399" t="e">
        <f t="shared" si="547"/>
        <v>#N/A</v>
      </c>
      <c r="JE89" s="47"/>
      <c r="JF89" s="47"/>
      <c r="JG89" s="396" t="e">
        <f t="shared" si="410"/>
        <v>#N/A</v>
      </c>
      <c r="JH89" s="397" t="e">
        <f t="shared" si="411"/>
        <v>#N/A</v>
      </c>
      <c r="JI89" s="400" t="e">
        <f t="shared" si="412"/>
        <v>#N/A</v>
      </c>
      <c r="JJ89" s="398" t="e">
        <f t="shared" si="349"/>
        <v>#N/A</v>
      </c>
      <c r="JK89" s="402" t="e">
        <f t="shared" si="413"/>
        <v>#N/A</v>
      </c>
      <c r="JL89" s="398" t="e">
        <f t="shared" si="414"/>
        <v>#N/A</v>
      </c>
      <c r="JM89" s="401" t="e">
        <f t="shared" si="548"/>
        <v>#N/A</v>
      </c>
      <c r="JN89" s="399" t="e">
        <f t="shared" si="549"/>
        <v>#N/A</v>
      </c>
      <c r="JO89" s="47"/>
      <c r="JP89" s="47"/>
      <c r="JQ89" s="396" t="e">
        <f t="shared" si="415"/>
        <v>#N/A</v>
      </c>
      <c r="JR89" s="397" t="e">
        <f t="shared" si="416"/>
        <v>#N/A</v>
      </c>
      <c r="JS89" s="400" t="e">
        <f t="shared" si="417"/>
        <v>#N/A</v>
      </c>
      <c r="JT89" s="398" t="e">
        <f t="shared" si="350"/>
        <v>#N/A</v>
      </c>
      <c r="JU89" s="402" t="e">
        <f t="shared" si="418"/>
        <v>#N/A</v>
      </c>
      <c r="JV89" s="398" t="e">
        <f t="shared" si="419"/>
        <v>#N/A</v>
      </c>
      <c r="JW89" s="401" t="e">
        <f t="shared" si="550"/>
        <v>#N/A</v>
      </c>
      <c r="JX89" s="399" t="e">
        <f t="shared" si="551"/>
        <v>#N/A</v>
      </c>
      <c r="JY89" s="47"/>
      <c r="JZ89" s="47"/>
      <c r="KA89" s="396" t="e">
        <f t="shared" si="420"/>
        <v>#N/A</v>
      </c>
      <c r="KB89" s="397" t="e">
        <f t="shared" si="421"/>
        <v>#N/A</v>
      </c>
      <c r="KC89" s="400" t="e">
        <f t="shared" si="422"/>
        <v>#N/A</v>
      </c>
      <c r="KD89" s="398" t="e">
        <f t="shared" si="351"/>
        <v>#N/A</v>
      </c>
      <c r="KE89" s="402" t="e">
        <f t="shared" si="423"/>
        <v>#N/A</v>
      </c>
      <c r="KF89" s="398" t="e">
        <f t="shared" si="424"/>
        <v>#N/A</v>
      </c>
      <c r="KG89" s="401" t="e">
        <f t="shared" si="552"/>
        <v>#N/A</v>
      </c>
      <c r="KH89" s="399" t="e">
        <f t="shared" si="553"/>
        <v>#N/A</v>
      </c>
      <c r="KI89" s="47"/>
      <c r="KJ89" s="47"/>
      <c r="KK89" s="396" t="e">
        <f t="shared" si="425"/>
        <v>#N/A</v>
      </c>
      <c r="KL89" s="397" t="e">
        <f t="shared" si="426"/>
        <v>#N/A</v>
      </c>
      <c r="KM89" s="400" t="e">
        <f t="shared" si="427"/>
        <v>#N/A</v>
      </c>
      <c r="KN89" s="398" t="e">
        <f t="shared" si="352"/>
        <v>#N/A</v>
      </c>
      <c r="KO89" s="402" t="e">
        <f t="shared" si="428"/>
        <v>#N/A</v>
      </c>
      <c r="KP89" s="398" t="e">
        <f t="shared" si="429"/>
        <v>#N/A</v>
      </c>
      <c r="KQ89" s="401" t="e">
        <f t="shared" si="554"/>
        <v>#N/A</v>
      </c>
      <c r="KR89" s="399" t="e">
        <f t="shared" si="555"/>
        <v>#N/A</v>
      </c>
      <c r="KS89" s="47"/>
      <c r="KT89" s="47"/>
      <c r="KU89" s="396" t="e">
        <f t="shared" si="556"/>
        <v>#N/A</v>
      </c>
      <c r="KV89" s="397" t="e">
        <f t="shared" si="557"/>
        <v>#N/A</v>
      </c>
      <c r="KW89" s="400" t="e">
        <f t="shared" si="430"/>
        <v>#N/A</v>
      </c>
      <c r="KX89" s="398" t="e">
        <f t="shared" si="558"/>
        <v>#N/A</v>
      </c>
      <c r="KY89" s="402" t="e">
        <f t="shared" si="559"/>
        <v>#N/A</v>
      </c>
      <c r="KZ89" s="398" t="e">
        <f t="shared" si="607"/>
        <v>#N/A</v>
      </c>
      <c r="LA89" s="401" t="e">
        <f t="shared" si="608"/>
        <v>#N/A</v>
      </c>
      <c r="LB89" s="399" t="e">
        <f t="shared" si="560"/>
        <v>#N/A</v>
      </c>
      <c r="LC89" s="47"/>
    </row>
    <row r="90" spans="26:315" x14ac:dyDescent="0.25">
      <c r="Z90" s="413"/>
      <c r="AA90" s="396" t="e">
        <f t="shared" si="431"/>
        <v>#N/A</v>
      </c>
      <c r="AB90" s="397" t="e">
        <f t="shared" si="432"/>
        <v>#N/A</v>
      </c>
      <c r="AC90" s="400" t="e">
        <f t="shared" si="382"/>
        <v>#N/A</v>
      </c>
      <c r="AD90" s="398" t="e">
        <f t="shared" si="433"/>
        <v>#N/A</v>
      </c>
      <c r="AE90" s="402" t="e">
        <f t="shared" si="434"/>
        <v>#N/A</v>
      </c>
      <c r="AF90" s="398" t="e">
        <f t="shared" si="561"/>
        <v>#N/A</v>
      </c>
      <c r="AG90" s="401" t="e">
        <f t="shared" si="562"/>
        <v>#N/A</v>
      </c>
      <c r="AH90" s="399" t="e">
        <f t="shared" si="435"/>
        <v>#N/A</v>
      </c>
      <c r="AI90" s="47"/>
      <c r="AJ90" s="47"/>
      <c r="AK90" s="396" t="e">
        <f t="shared" si="436"/>
        <v>#N/A</v>
      </c>
      <c r="AL90" s="397" t="e">
        <f t="shared" si="437"/>
        <v>#N/A</v>
      </c>
      <c r="AM90" s="400" t="e">
        <f t="shared" si="383"/>
        <v>#N/A</v>
      </c>
      <c r="AN90" s="398" t="e">
        <f t="shared" si="438"/>
        <v>#N/A</v>
      </c>
      <c r="AO90" s="402" t="e">
        <f t="shared" si="439"/>
        <v>#N/A</v>
      </c>
      <c r="AP90" s="398" t="e">
        <f t="shared" si="563"/>
        <v>#N/A</v>
      </c>
      <c r="AQ90" s="401" t="e">
        <f t="shared" si="564"/>
        <v>#N/A</v>
      </c>
      <c r="AR90" s="399" t="e">
        <f t="shared" si="440"/>
        <v>#N/A</v>
      </c>
      <c r="AS90" s="47"/>
      <c r="AT90" s="47"/>
      <c r="AU90" s="396" t="e">
        <f t="shared" si="441"/>
        <v>#N/A</v>
      </c>
      <c r="AV90" s="397" t="e">
        <f t="shared" si="442"/>
        <v>#N/A</v>
      </c>
      <c r="AW90" s="400" t="e">
        <f t="shared" si="384"/>
        <v>#N/A</v>
      </c>
      <c r="AX90" s="398" t="e">
        <f t="shared" si="443"/>
        <v>#N/A</v>
      </c>
      <c r="AY90" s="402" t="e">
        <f t="shared" si="444"/>
        <v>#N/A</v>
      </c>
      <c r="AZ90" s="398" t="e">
        <f t="shared" si="565"/>
        <v>#N/A</v>
      </c>
      <c r="BA90" s="401" t="e">
        <f t="shared" si="566"/>
        <v>#N/A</v>
      </c>
      <c r="BB90" s="399" t="e">
        <f t="shared" si="445"/>
        <v>#N/A</v>
      </c>
      <c r="BC90" s="47"/>
      <c r="BD90" s="47"/>
      <c r="BE90" s="396" t="e">
        <f t="shared" si="446"/>
        <v>#N/A</v>
      </c>
      <c r="BF90" s="397" t="e">
        <f t="shared" si="447"/>
        <v>#N/A</v>
      </c>
      <c r="BG90" s="400" t="e">
        <f t="shared" si="385"/>
        <v>#N/A</v>
      </c>
      <c r="BH90" s="398" t="e">
        <f t="shared" si="448"/>
        <v>#N/A</v>
      </c>
      <c r="BI90" s="402" t="e">
        <f t="shared" si="449"/>
        <v>#N/A</v>
      </c>
      <c r="BJ90" s="398" t="e">
        <f t="shared" si="567"/>
        <v>#N/A</v>
      </c>
      <c r="BK90" s="401" t="e">
        <f t="shared" si="568"/>
        <v>#N/A</v>
      </c>
      <c r="BL90" s="399" t="e">
        <f t="shared" si="450"/>
        <v>#N/A</v>
      </c>
      <c r="BM90" s="47"/>
      <c r="BN90" s="49"/>
      <c r="BO90" s="396" t="e">
        <f t="shared" si="451"/>
        <v>#N/A</v>
      </c>
      <c r="BP90" s="397" t="e">
        <f t="shared" si="452"/>
        <v>#N/A</v>
      </c>
      <c r="BQ90" s="400" t="e">
        <f t="shared" si="386"/>
        <v>#N/A</v>
      </c>
      <c r="BR90" s="398" t="e">
        <f t="shared" si="453"/>
        <v>#N/A</v>
      </c>
      <c r="BS90" s="402" t="e">
        <f t="shared" si="454"/>
        <v>#N/A</v>
      </c>
      <c r="BT90" s="398" t="e">
        <f t="shared" si="569"/>
        <v>#N/A</v>
      </c>
      <c r="BU90" s="401" t="e">
        <f t="shared" si="570"/>
        <v>#N/A</v>
      </c>
      <c r="BV90" s="399" t="e">
        <f t="shared" si="455"/>
        <v>#N/A</v>
      </c>
      <c r="BW90" s="47"/>
      <c r="BX90" s="47"/>
      <c r="BY90" s="396" t="e">
        <f t="shared" si="456"/>
        <v>#N/A</v>
      </c>
      <c r="BZ90" s="397" t="e">
        <f t="shared" si="457"/>
        <v>#N/A</v>
      </c>
      <c r="CA90" s="400" t="e">
        <f t="shared" si="387"/>
        <v>#N/A</v>
      </c>
      <c r="CB90" s="398" t="e">
        <f t="shared" si="458"/>
        <v>#N/A</v>
      </c>
      <c r="CC90" s="402" t="e">
        <f t="shared" si="459"/>
        <v>#N/A</v>
      </c>
      <c r="CD90" s="398" t="e">
        <f t="shared" si="571"/>
        <v>#N/A</v>
      </c>
      <c r="CE90" s="401" t="e">
        <f t="shared" si="572"/>
        <v>#N/A</v>
      </c>
      <c r="CF90" s="399" t="e">
        <f t="shared" si="460"/>
        <v>#N/A</v>
      </c>
      <c r="CG90" s="49"/>
      <c r="CH90" s="47"/>
      <c r="CI90" s="396" t="e">
        <f t="shared" si="461"/>
        <v>#N/A</v>
      </c>
      <c r="CJ90" s="397" t="e">
        <f t="shared" si="462"/>
        <v>#N/A</v>
      </c>
      <c r="CK90" s="400" t="e">
        <f t="shared" si="388"/>
        <v>#N/A</v>
      </c>
      <c r="CL90" s="398" t="e">
        <f t="shared" si="463"/>
        <v>#N/A</v>
      </c>
      <c r="CM90" s="402" t="e">
        <f t="shared" si="464"/>
        <v>#N/A</v>
      </c>
      <c r="CN90" s="398" t="e">
        <f t="shared" si="573"/>
        <v>#N/A</v>
      </c>
      <c r="CO90" s="401" t="e">
        <f t="shared" si="574"/>
        <v>#N/A</v>
      </c>
      <c r="CP90" s="399" t="e">
        <f t="shared" si="465"/>
        <v>#N/A</v>
      </c>
      <c r="CQ90" s="47"/>
      <c r="CS90" s="396" t="e">
        <f t="shared" si="466"/>
        <v>#N/A</v>
      </c>
      <c r="CT90" s="397" t="e">
        <f t="shared" si="467"/>
        <v>#N/A</v>
      </c>
      <c r="CU90" s="400" t="e">
        <f t="shared" si="389"/>
        <v>#N/A</v>
      </c>
      <c r="CV90" s="398" t="e">
        <f t="shared" si="468"/>
        <v>#N/A</v>
      </c>
      <c r="CW90" s="402" t="e">
        <f t="shared" si="469"/>
        <v>#N/A</v>
      </c>
      <c r="CX90" s="398" t="e">
        <f t="shared" si="575"/>
        <v>#N/A</v>
      </c>
      <c r="CY90" s="401" t="e">
        <f t="shared" si="576"/>
        <v>#N/A</v>
      </c>
      <c r="CZ90" s="399" t="e">
        <f t="shared" si="470"/>
        <v>#N/A</v>
      </c>
      <c r="DA90" s="47"/>
      <c r="DB90" s="47"/>
      <c r="DC90" s="396" t="e">
        <f t="shared" si="471"/>
        <v>#N/A</v>
      </c>
      <c r="DD90" s="397" t="e">
        <f t="shared" si="472"/>
        <v>#N/A</v>
      </c>
      <c r="DE90" s="400" t="e">
        <f t="shared" si="390"/>
        <v>#N/A</v>
      </c>
      <c r="DF90" s="398" t="e">
        <f t="shared" si="473"/>
        <v>#N/A</v>
      </c>
      <c r="DG90" s="402" t="e">
        <f t="shared" si="474"/>
        <v>#N/A</v>
      </c>
      <c r="DH90" s="398" t="e">
        <f t="shared" si="577"/>
        <v>#N/A</v>
      </c>
      <c r="DI90" s="401" t="e">
        <f t="shared" si="578"/>
        <v>#N/A</v>
      </c>
      <c r="DJ90" s="399" t="e">
        <f t="shared" si="475"/>
        <v>#N/A</v>
      </c>
      <c r="DK90" s="47"/>
      <c r="DM90" s="396" t="e">
        <f t="shared" si="476"/>
        <v>#N/A</v>
      </c>
      <c r="DN90" s="397" t="e">
        <f t="shared" si="477"/>
        <v>#N/A</v>
      </c>
      <c r="DO90" s="400" t="e">
        <f t="shared" si="391"/>
        <v>#N/A</v>
      </c>
      <c r="DP90" s="398" t="e">
        <f t="shared" si="478"/>
        <v>#N/A</v>
      </c>
      <c r="DQ90" s="402" t="e">
        <f t="shared" si="479"/>
        <v>#N/A</v>
      </c>
      <c r="DR90" s="398" t="e">
        <f t="shared" si="579"/>
        <v>#N/A</v>
      </c>
      <c r="DS90" s="401" t="e">
        <f t="shared" si="580"/>
        <v>#N/A</v>
      </c>
      <c r="DT90" s="399" t="e">
        <f t="shared" si="480"/>
        <v>#N/A</v>
      </c>
      <c r="DU90" s="47"/>
      <c r="DV90" s="49"/>
      <c r="DW90" s="396" t="e">
        <f t="shared" si="481"/>
        <v>#N/A</v>
      </c>
      <c r="DX90" s="397" t="e">
        <f t="shared" si="482"/>
        <v>#N/A</v>
      </c>
      <c r="DY90" s="400" t="e">
        <f t="shared" si="392"/>
        <v>#N/A</v>
      </c>
      <c r="DZ90" s="398" t="e">
        <f t="shared" si="483"/>
        <v>#N/A</v>
      </c>
      <c r="EA90" s="402" t="e">
        <f t="shared" si="484"/>
        <v>#N/A</v>
      </c>
      <c r="EB90" s="398" t="e">
        <f t="shared" si="581"/>
        <v>#N/A</v>
      </c>
      <c r="EC90" s="401" t="e">
        <f t="shared" si="582"/>
        <v>#N/A</v>
      </c>
      <c r="ED90" s="399" t="e">
        <f t="shared" si="485"/>
        <v>#N/A</v>
      </c>
      <c r="EE90" s="47"/>
      <c r="EF90" s="47"/>
      <c r="EG90" s="396" t="e">
        <f t="shared" si="486"/>
        <v>#N/A</v>
      </c>
      <c r="EH90" s="397" t="e">
        <f t="shared" si="487"/>
        <v>#N/A</v>
      </c>
      <c r="EI90" s="400" t="e">
        <f t="shared" si="393"/>
        <v>#N/A</v>
      </c>
      <c r="EJ90" s="398" t="e">
        <f t="shared" si="488"/>
        <v>#N/A</v>
      </c>
      <c r="EK90" s="402" t="e">
        <f t="shared" si="489"/>
        <v>#N/A</v>
      </c>
      <c r="EL90" s="398" t="e">
        <f t="shared" si="583"/>
        <v>#N/A</v>
      </c>
      <c r="EM90" s="401" t="e">
        <f t="shared" si="584"/>
        <v>#N/A</v>
      </c>
      <c r="EN90" s="399" t="e">
        <f t="shared" si="490"/>
        <v>#N/A</v>
      </c>
      <c r="EO90" s="47"/>
      <c r="EP90" s="47"/>
      <c r="EQ90" s="396" t="e">
        <f t="shared" si="491"/>
        <v>#N/A</v>
      </c>
      <c r="ER90" s="397" t="e">
        <f t="shared" si="492"/>
        <v>#N/A</v>
      </c>
      <c r="ES90" s="400" t="e">
        <f t="shared" si="394"/>
        <v>#N/A</v>
      </c>
      <c r="ET90" s="398" t="e">
        <f t="shared" si="493"/>
        <v>#N/A</v>
      </c>
      <c r="EU90" s="402" t="e">
        <f t="shared" si="494"/>
        <v>#N/A</v>
      </c>
      <c r="EV90" s="398" t="e">
        <f t="shared" si="585"/>
        <v>#N/A</v>
      </c>
      <c r="EW90" s="401" t="e">
        <f t="shared" si="586"/>
        <v>#N/A</v>
      </c>
      <c r="EX90" s="399" t="e">
        <f t="shared" si="495"/>
        <v>#N/A</v>
      </c>
      <c r="EY90" s="47"/>
      <c r="EZ90" s="47"/>
      <c r="FA90" s="396" t="e">
        <f t="shared" si="496"/>
        <v>#N/A</v>
      </c>
      <c r="FB90" s="397" t="e">
        <f t="shared" si="497"/>
        <v>#N/A</v>
      </c>
      <c r="FC90" s="400" t="e">
        <f t="shared" si="395"/>
        <v>#N/A</v>
      </c>
      <c r="FD90" s="398" t="e">
        <f t="shared" si="498"/>
        <v>#N/A</v>
      </c>
      <c r="FE90" s="402" t="e">
        <f t="shared" si="499"/>
        <v>#N/A</v>
      </c>
      <c r="FF90" s="398" t="e">
        <f t="shared" si="587"/>
        <v>#N/A</v>
      </c>
      <c r="FG90" s="401" t="e">
        <f t="shared" si="588"/>
        <v>#N/A</v>
      </c>
      <c r="FH90" s="399" t="e">
        <f t="shared" si="500"/>
        <v>#N/A</v>
      </c>
      <c r="FI90" s="47"/>
      <c r="FJ90" s="49"/>
      <c r="FK90" s="396" t="e">
        <f t="shared" si="501"/>
        <v>#N/A</v>
      </c>
      <c r="FL90" s="397" t="e">
        <f t="shared" si="502"/>
        <v>#N/A</v>
      </c>
      <c r="FM90" s="400" t="e">
        <f t="shared" si="396"/>
        <v>#N/A</v>
      </c>
      <c r="FN90" s="398" t="e">
        <f t="shared" si="503"/>
        <v>#N/A</v>
      </c>
      <c r="FO90" s="402" t="e">
        <f t="shared" si="504"/>
        <v>#N/A</v>
      </c>
      <c r="FP90" s="398" t="e">
        <f t="shared" si="589"/>
        <v>#N/A</v>
      </c>
      <c r="FQ90" s="401" t="e">
        <f t="shared" si="590"/>
        <v>#N/A</v>
      </c>
      <c r="FR90" s="399" t="e">
        <f t="shared" si="505"/>
        <v>#N/A</v>
      </c>
      <c r="FS90" s="47"/>
      <c r="FT90" s="47"/>
      <c r="FU90" s="396" t="e">
        <f t="shared" si="506"/>
        <v>#N/A</v>
      </c>
      <c r="FV90" s="397" t="e">
        <f t="shared" si="507"/>
        <v>#N/A</v>
      </c>
      <c r="FW90" s="400" t="e">
        <f t="shared" si="397"/>
        <v>#N/A</v>
      </c>
      <c r="FX90" s="398" t="e">
        <f t="shared" si="508"/>
        <v>#N/A</v>
      </c>
      <c r="FY90" s="402" t="e">
        <f t="shared" si="509"/>
        <v>#N/A</v>
      </c>
      <c r="FZ90" s="398" t="e">
        <f t="shared" si="591"/>
        <v>#N/A</v>
      </c>
      <c r="GA90" s="401" t="e">
        <f t="shared" si="592"/>
        <v>#N/A</v>
      </c>
      <c r="GB90" s="399" t="e">
        <f t="shared" si="510"/>
        <v>#N/A</v>
      </c>
      <c r="GC90" s="47"/>
      <c r="GD90" s="47"/>
      <c r="GE90" s="396" t="e">
        <f t="shared" si="511"/>
        <v>#N/A</v>
      </c>
      <c r="GF90" s="397" t="e">
        <f t="shared" si="512"/>
        <v>#N/A</v>
      </c>
      <c r="GG90" s="400" t="e">
        <f t="shared" si="398"/>
        <v>#N/A</v>
      </c>
      <c r="GH90" s="398" t="e">
        <f t="shared" si="513"/>
        <v>#N/A</v>
      </c>
      <c r="GI90" s="402" t="e">
        <f t="shared" si="514"/>
        <v>#N/A</v>
      </c>
      <c r="GJ90" s="398" t="e">
        <f t="shared" si="593"/>
        <v>#N/A</v>
      </c>
      <c r="GK90" s="401" t="e">
        <f t="shared" si="594"/>
        <v>#N/A</v>
      </c>
      <c r="GL90" s="399" t="e">
        <f t="shared" si="515"/>
        <v>#N/A</v>
      </c>
      <c r="GM90" s="47"/>
      <c r="GN90" s="47"/>
      <c r="GO90" s="396" t="e">
        <f t="shared" si="516"/>
        <v>#N/A</v>
      </c>
      <c r="GP90" s="397" t="e">
        <f t="shared" si="517"/>
        <v>#N/A</v>
      </c>
      <c r="GQ90" s="400" t="e">
        <f t="shared" si="399"/>
        <v>#N/A</v>
      </c>
      <c r="GR90" s="398" t="e">
        <f t="shared" si="518"/>
        <v>#N/A</v>
      </c>
      <c r="GS90" s="402" t="e">
        <f t="shared" si="519"/>
        <v>#N/A</v>
      </c>
      <c r="GT90" s="398" t="e">
        <f t="shared" si="595"/>
        <v>#N/A</v>
      </c>
      <c r="GU90" s="401" t="e">
        <f t="shared" si="596"/>
        <v>#N/A</v>
      </c>
      <c r="GV90" s="399" t="e">
        <f t="shared" si="520"/>
        <v>#N/A</v>
      </c>
      <c r="GW90" s="47"/>
      <c r="GX90" s="47"/>
      <c r="GY90" s="396" t="e">
        <f t="shared" si="521"/>
        <v>#N/A</v>
      </c>
      <c r="GZ90" s="397" t="e">
        <f t="shared" si="522"/>
        <v>#N/A</v>
      </c>
      <c r="HA90" s="400" t="e">
        <f t="shared" si="400"/>
        <v>#N/A</v>
      </c>
      <c r="HB90" s="398" t="e">
        <f t="shared" si="523"/>
        <v>#N/A</v>
      </c>
      <c r="HC90" s="402" t="e">
        <f t="shared" si="524"/>
        <v>#N/A</v>
      </c>
      <c r="HD90" s="398" t="e">
        <f t="shared" si="597"/>
        <v>#N/A</v>
      </c>
      <c r="HE90" s="401" t="e">
        <f t="shared" si="598"/>
        <v>#N/A</v>
      </c>
      <c r="HF90" s="399" t="e">
        <f t="shared" si="525"/>
        <v>#N/A</v>
      </c>
      <c r="HH90" s="47"/>
      <c r="HI90" s="396" t="e">
        <f t="shared" si="526"/>
        <v>#N/A</v>
      </c>
      <c r="HJ90" s="397" t="e">
        <f t="shared" si="527"/>
        <v>#N/A</v>
      </c>
      <c r="HK90" s="400" t="e">
        <f t="shared" si="401"/>
        <v>#N/A</v>
      </c>
      <c r="HL90" s="398" t="e">
        <f t="shared" si="528"/>
        <v>#N/A</v>
      </c>
      <c r="HM90" s="402" t="e">
        <f t="shared" si="529"/>
        <v>#N/A</v>
      </c>
      <c r="HN90" s="398" t="e">
        <f t="shared" si="599"/>
        <v>#N/A</v>
      </c>
      <c r="HO90" s="401" t="e">
        <f t="shared" si="600"/>
        <v>#N/A</v>
      </c>
      <c r="HP90" s="399" t="e">
        <f t="shared" si="530"/>
        <v>#N/A</v>
      </c>
      <c r="HQ90" s="47"/>
      <c r="HR90" s="47"/>
      <c r="HS90" s="396" t="e">
        <f t="shared" si="531"/>
        <v>#N/A</v>
      </c>
      <c r="HT90" s="397" t="e">
        <f t="shared" si="532"/>
        <v>#N/A</v>
      </c>
      <c r="HU90" s="400" t="e">
        <f t="shared" si="402"/>
        <v>#N/A</v>
      </c>
      <c r="HV90" s="398" t="e">
        <f t="shared" si="533"/>
        <v>#N/A</v>
      </c>
      <c r="HW90" s="402" t="e">
        <f t="shared" si="534"/>
        <v>#N/A</v>
      </c>
      <c r="HX90" s="398" t="e">
        <f t="shared" si="601"/>
        <v>#N/A</v>
      </c>
      <c r="HY90" s="401" t="e">
        <f t="shared" si="602"/>
        <v>#N/A</v>
      </c>
      <c r="HZ90" s="399" t="e">
        <f t="shared" si="535"/>
        <v>#N/A</v>
      </c>
      <c r="IA90" s="47"/>
      <c r="IB90" s="49"/>
      <c r="IC90" s="396" t="e">
        <f t="shared" si="536"/>
        <v>#N/A</v>
      </c>
      <c r="ID90" s="397" t="e">
        <f t="shared" si="537"/>
        <v>#N/A</v>
      </c>
      <c r="IE90" s="400" t="e">
        <f t="shared" si="403"/>
        <v>#N/A</v>
      </c>
      <c r="IF90" s="398" t="e">
        <f t="shared" si="538"/>
        <v>#N/A</v>
      </c>
      <c r="IG90" s="402" t="e">
        <f t="shared" si="539"/>
        <v>#N/A</v>
      </c>
      <c r="IH90" s="398" t="e">
        <f t="shared" si="603"/>
        <v>#N/A</v>
      </c>
      <c r="II90" s="401" t="e">
        <f t="shared" si="604"/>
        <v>#N/A</v>
      </c>
      <c r="IJ90" s="399" t="e">
        <f t="shared" si="540"/>
        <v>#N/A</v>
      </c>
      <c r="IK90" s="47"/>
      <c r="IL90" s="47"/>
      <c r="IM90" s="396" t="e">
        <f t="shared" si="541"/>
        <v>#N/A</v>
      </c>
      <c r="IN90" s="397" t="e">
        <f t="shared" si="542"/>
        <v>#N/A</v>
      </c>
      <c r="IO90" s="400" t="e">
        <f t="shared" si="404"/>
        <v>#N/A</v>
      </c>
      <c r="IP90" s="398" t="e">
        <f t="shared" si="543"/>
        <v>#N/A</v>
      </c>
      <c r="IQ90" s="402" t="e">
        <f t="shared" si="544"/>
        <v>#N/A</v>
      </c>
      <c r="IR90" s="398" t="e">
        <f t="shared" si="605"/>
        <v>#N/A</v>
      </c>
      <c r="IS90" s="401" t="e">
        <f t="shared" si="606"/>
        <v>#N/A</v>
      </c>
      <c r="IT90" s="399" t="e">
        <f t="shared" si="545"/>
        <v>#N/A</v>
      </c>
      <c r="IU90" s="47"/>
      <c r="IV90" s="47"/>
      <c r="IW90" s="396" t="e">
        <f t="shared" si="405"/>
        <v>#N/A</v>
      </c>
      <c r="IX90" s="397" t="e">
        <f t="shared" si="406"/>
        <v>#N/A</v>
      </c>
      <c r="IY90" s="400" t="e">
        <f t="shared" si="407"/>
        <v>#N/A</v>
      </c>
      <c r="IZ90" s="398" t="e">
        <f t="shared" si="348"/>
        <v>#N/A</v>
      </c>
      <c r="JA90" s="402" t="e">
        <f t="shared" si="408"/>
        <v>#N/A</v>
      </c>
      <c r="JB90" s="398" t="e">
        <f t="shared" si="409"/>
        <v>#N/A</v>
      </c>
      <c r="JC90" s="401" t="e">
        <f t="shared" si="546"/>
        <v>#N/A</v>
      </c>
      <c r="JD90" s="399" t="e">
        <f t="shared" si="547"/>
        <v>#N/A</v>
      </c>
      <c r="JE90" s="47"/>
      <c r="JF90" s="47"/>
      <c r="JG90" s="396" t="e">
        <f t="shared" si="410"/>
        <v>#N/A</v>
      </c>
      <c r="JH90" s="397" t="e">
        <f t="shared" si="411"/>
        <v>#N/A</v>
      </c>
      <c r="JI90" s="400" t="e">
        <f t="shared" si="412"/>
        <v>#N/A</v>
      </c>
      <c r="JJ90" s="398" t="e">
        <f t="shared" si="349"/>
        <v>#N/A</v>
      </c>
      <c r="JK90" s="402" t="e">
        <f t="shared" si="413"/>
        <v>#N/A</v>
      </c>
      <c r="JL90" s="398" t="e">
        <f t="shared" si="414"/>
        <v>#N/A</v>
      </c>
      <c r="JM90" s="401" t="e">
        <f t="shared" si="548"/>
        <v>#N/A</v>
      </c>
      <c r="JN90" s="399" t="e">
        <f t="shared" si="549"/>
        <v>#N/A</v>
      </c>
      <c r="JO90" s="47"/>
      <c r="JP90" s="47"/>
      <c r="JQ90" s="396" t="e">
        <f t="shared" si="415"/>
        <v>#N/A</v>
      </c>
      <c r="JR90" s="397" t="e">
        <f t="shared" si="416"/>
        <v>#N/A</v>
      </c>
      <c r="JS90" s="400" t="e">
        <f t="shared" si="417"/>
        <v>#N/A</v>
      </c>
      <c r="JT90" s="398" t="e">
        <f t="shared" si="350"/>
        <v>#N/A</v>
      </c>
      <c r="JU90" s="402" t="e">
        <f t="shared" si="418"/>
        <v>#N/A</v>
      </c>
      <c r="JV90" s="398" t="e">
        <f t="shared" si="419"/>
        <v>#N/A</v>
      </c>
      <c r="JW90" s="401" t="e">
        <f t="shared" si="550"/>
        <v>#N/A</v>
      </c>
      <c r="JX90" s="399" t="e">
        <f t="shared" si="551"/>
        <v>#N/A</v>
      </c>
      <c r="JY90" s="47"/>
      <c r="JZ90" s="47"/>
      <c r="KA90" s="396" t="e">
        <f t="shared" si="420"/>
        <v>#N/A</v>
      </c>
      <c r="KB90" s="397" t="e">
        <f t="shared" si="421"/>
        <v>#N/A</v>
      </c>
      <c r="KC90" s="400" t="e">
        <f t="shared" si="422"/>
        <v>#N/A</v>
      </c>
      <c r="KD90" s="398" t="e">
        <f t="shared" si="351"/>
        <v>#N/A</v>
      </c>
      <c r="KE90" s="402" t="e">
        <f t="shared" si="423"/>
        <v>#N/A</v>
      </c>
      <c r="KF90" s="398" t="e">
        <f t="shared" si="424"/>
        <v>#N/A</v>
      </c>
      <c r="KG90" s="401" t="e">
        <f t="shared" si="552"/>
        <v>#N/A</v>
      </c>
      <c r="KH90" s="399" t="e">
        <f t="shared" si="553"/>
        <v>#N/A</v>
      </c>
      <c r="KI90" s="47"/>
      <c r="KJ90" s="47"/>
      <c r="KK90" s="396" t="e">
        <f t="shared" si="425"/>
        <v>#N/A</v>
      </c>
      <c r="KL90" s="397" t="e">
        <f t="shared" si="426"/>
        <v>#N/A</v>
      </c>
      <c r="KM90" s="400" t="e">
        <f t="shared" si="427"/>
        <v>#N/A</v>
      </c>
      <c r="KN90" s="398" t="e">
        <f t="shared" si="352"/>
        <v>#N/A</v>
      </c>
      <c r="KO90" s="402" t="e">
        <f t="shared" si="428"/>
        <v>#N/A</v>
      </c>
      <c r="KP90" s="398" t="e">
        <f t="shared" si="429"/>
        <v>#N/A</v>
      </c>
      <c r="KQ90" s="401" t="e">
        <f t="shared" si="554"/>
        <v>#N/A</v>
      </c>
      <c r="KR90" s="399" t="e">
        <f t="shared" si="555"/>
        <v>#N/A</v>
      </c>
      <c r="KS90" s="47"/>
      <c r="KT90" s="47"/>
      <c r="KU90" s="396" t="e">
        <f t="shared" si="556"/>
        <v>#N/A</v>
      </c>
      <c r="KV90" s="397" t="e">
        <f t="shared" si="557"/>
        <v>#N/A</v>
      </c>
      <c r="KW90" s="400" t="e">
        <f t="shared" si="430"/>
        <v>#N/A</v>
      </c>
      <c r="KX90" s="398" t="e">
        <f t="shared" si="558"/>
        <v>#N/A</v>
      </c>
      <c r="KY90" s="402" t="e">
        <f t="shared" si="559"/>
        <v>#N/A</v>
      </c>
      <c r="KZ90" s="398" t="e">
        <f t="shared" si="607"/>
        <v>#N/A</v>
      </c>
      <c r="LA90" s="401" t="e">
        <f t="shared" si="608"/>
        <v>#N/A</v>
      </c>
      <c r="LB90" s="399" t="e">
        <f t="shared" si="560"/>
        <v>#N/A</v>
      </c>
      <c r="LC90" s="47"/>
    </row>
    <row r="91" spans="26:315" x14ac:dyDescent="0.25">
      <c r="Z91" s="413"/>
      <c r="AA91" s="396" t="e">
        <f t="shared" si="431"/>
        <v>#N/A</v>
      </c>
      <c r="AB91" s="397" t="e">
        <f t="shared" si="432"/>
        <v>#N/A</v>
      </c>
      <c r="AC91" s="400" t="e">
        <f t="shared" si="382"/>
        <v>#N/A</v>
      </c>
      <c r="AD91" s="398" t="e">
        <f t="shared" si="433"/>
        <v>#N/A</v>
      </c>
      <c r="AE91" s="402" t="e">
        <f t="shared" ref="AE91:AE100" si="609">IF(ISTEXT(AE90),AE$2,(AD90*AE90+(AD91-AD90)*IF(AE$2=AE$3,AE$2,IF(AE$2&gt;AE$3,AE$2-(AA91+AA90)/4,AE$2+(AA91+AA90)/4)))/AD91)</f>
        <v>#N/A</v>
      </c>
      <c r="AF91" s="398" t="e">
        <f t="shared" si="561"/>
        <v>#N/A</v>
      </c>
      <c r="AG91" s="401" t="e">
        <f t="shared" si="562"/>
        <v>#N/A</v>
      </c>
      <c r="AH91" s="399" t="e">
        <f t="shared" si="435"/>
        <v>#N/A</v>
      </c>
      <c r="AI91" s="47"/>
      <c r="AJ91" s="47"/>
      <c r="AK91" s="396" t="e">
        <f t="shared" si="436"/>
        <v>#N/A</v>
      </c>
      <c r="AL91" s="397" t="e">
        <f t="shared" si="437"/>
        <v>#N/A</v>
      </c>
      <c r="AM91" s="400" t="e">
        <f t="shared" si="383"/>
        <v>#N/A</v>
      </c>
      <c r="AN91" s="398" t="e">
        <f t="shared" si="438"/>
        <v>#N/A</v>
      </c>
      <c r="AO91" s="402" t="e">
        <f t="shared" si="439"/>
        <v>#N/A</v>
      </c>
      <c r="AP91" s="398" t="e">
        <f t="shared" si="563"/>
        <v>#N/A</v>
      </c>
      <c r="AQ91" s="401" t="e">
        <f t="shared" si="564"/>
        <v>#N/A</v>
      </c>
      <c r="AR91" s="399" t="e">
        <f t="shared" si="440"/>
        <v>#N/A</v>
      </c>
      <c r="AS91" s="47"/>
      <c r="AT91" s="47"/>
      <c r="AU91" s="396" t="e">
        <f t="shared" si="441"/>
        <v>#N/A</v>
      </c>
      <c r="AV91" s="397" t="e">
        <f t="shared" si="442"/>
        <v>#N/A</v>
      </c>
      <c r="AW91" s="400" t="e">
        <f t="shared" si="384"/>
        <v>#N/A</v>
      </c>
      <c r="AX91" s="398" t="e">
        <f t="shared" si="443"/>
        <v>#N/A</v>
      </c>
      <c r="AY91" s="402" t="e">
        <f t="shared" si="444"/>
        <v>#N/A</v>
      </c>
      <c r="AZ91" s="398" t="e">
        <f t="shared" si="565"/>
        <v>#N/A</v>
      </c>
      <c r="BA91" s="401" t="e">
        <f t="shared" si="566"/>
        <v>#N/A</v>
      </c>
      <c r="BB91" s="399" t="e">
        <f t="shared" si="445"/>
        <v>#N/A</v>
      </c>
      <c r="BC91" s="47"/>
      <c r="BD91" s="47"/>
      <c r="BE91" s="396" t="e">
        <f t="shared" si="446"/>
        <v>#N/A</v>
      </c>
      <c r="BF91" s="397" t="e">
        <f t="shared" si="447"/>
        <v>#N/A</v>
      </c>
      <c r="BG91" s="400" t="e">
        <f t="shared" si="385"/>
        <v>#N/A</v>
      </c>
      <c r="BH91" s="398" t="e">
        <f t="shared" si="448"/>
        <v>#N/A</v>
      </c>
      <c r="BI91" s="402" t="e">
        <f t="shared" si="449"/>
        <v>#N/A</v>
      </c>
      <c r="BJ91" s="398" t="e">
        <f t="shared" si="567"/>
        <v>#N/A</v>
      </c>
      <c r="BK91" s="401" t="e">
        <f t="shared" si="568"/>
        <v>#N/A</v>
      </c>
      <c r="BL91" s="399" t="e">
        <f t="shared" si="450"/>
        <v>#N/A</v>
      </c>
      <c r="BM91" s="47"/>
      <c r="BN91" s="49"/>
      <c r="BO91" s="396" t="e">
        <f t="shared" si="451"/>
        <v>#N/A</v>
      </c>
      <c r="BP91" s="397" t="e">
        <f t="shared" si="452"/>
        <v>#N/A</v>
      </c>
      <c r="BQ91" s="400" t="e">
        <f t="shared" si="386"/>
        <v>#N/A</v>
      </c>
      <c r="BR91" s="398" t="e">
        <f t="shared" si="453"/>
        <v>#N/A</v>
      </c>
      <c r="BS91" s="402" t="e">
        <f t="shared" si="454"/>
        <v>#N/A</v>
      </c>
      <c r="BT91" s="398" t="e">
        <f t="shared" si="569"/>
        <v>#N/A</v>
      </c>
      <c r="BU91" s="401" t="e">
        <f t="shared" si="570"/>
        <v>#N/A</v>
      </c>
      <c r="BV91" s="399" t="e">
        <f t="shared" si="455"/>
        <v>#N/A</v>
      </c>
      <c r="BW91" s="47"/>
      <c r="BX91" s="47"/>
      <c r="BY91" s="396" t="e">
        <f t="shared" si="456"/>
        <v>#N/A</v>
      </c>
      <c r="BZ91" s="397" t="e">
        <f t="shared" si="457"/>
        <v>#N/A</v>
      </c>
      <c r="CA91" s="400" t="e">
        <f t="shared" si="387"/>
        <v>#N/A</v>
      </c>
      <c r="CB91" s="398" t="e">
        <f t="shared" si="458"/>
        <v>#N/A</v>
      </c>
      <c r="CC91" s="402" t="e">
        <f t="shared" si="459"/>
        <v>#N/A</v>
      </c>
      <c r="CD91" s="398" t="e">
        <f t="shared" si="571"/>
        <v>#N/A</v>
      </c>
      <c r="CE91" s="401" t="e">
        <f t="shared" si="572"/>
        <v>#N/A</v>
      </c>
      <c r="CF91" s="399" t="e">
        <f t="shared" si="460"/>
        <v>#N/A</v>
      </c>
      <c r="CG91" s="49"/>
      <c r="CH91" s="47"/>
      <c r="CI91" s="396" t="e">
        <f t="shared" si="461"/>
        <v>#N/A</v>
      </c>
      <c r="CJ91" s="397" t="e">
        <f t="shared" si="462"/>
        <v>#N/A</v>
      </c>
      <c r="CK91" s="400" t="e">
        <f t="shared" si="388"/>
        <v>#N/A</v>
      </c>
      <c r="CL91" s="398" t="e">
        <f t="shared" si="463"/>
        <v>#N/A</v>
      </c>
      <c r="CM91" s="402" t="e">
        <f t="shared" si="464"/>
        <v>#N/A</v>
      </c>
      <c r="CN91" s="398" t="e">
        <f t="shared" si="573"/>
        <v>#N/A</v>
      </c>
      <c r="CO91" s="401" t="e">
        <f t="shared" si="574"/>
        <v>#N/A</v>
      </c>
      <c r="CP91" s="399" t="e">
        <f t="shared" si="465"/>
        <v>#N/A</v>
      </c>
      <c r="CQ91" s="47"/>
      <c r="CS91" s="396" t="e">
        <f t="shared" si="466"/>
        <v>#N/A</v>
      </c>
      <c r="CT91" s="397" t="e">
        <f t="shared" si="467"/>
        <v>#N/A</v>
      </c>
      <c r="CU91" s="400" t="e">
        <f t="shared" si="389"/>
        <v>#N/A</v>
      </c>
      <c r="CV91" s="398" t="e">
        <f t="shared" si="468"/>
        <v>#N/A</v>
      </c>
      <c r="CW91" s="402" t="e">
        <f t="shared" si="469"/>
        <v>#N/A</v>
      </c>
      <c r="CX91" s="398" t="e">
        <f t="shared" si="575"/>
        <v>#N/A</v>
      </c>
      <c r="CY91" s="401" t="e">
        <f t="shared" si="576"/>
        <v>#N/A</v>
      </c>
      <c r="CZ91" s="399" t="e">
        <f t="shared" si="470"/>
        <v>#N/A</v>
      </c>
      <c r="DA91" s="47"/>
      <c r="DB91" s="47"/>
      <c r="DC91" s="396" t="e">
        <f t="shared" si="471"/>
        <v>#N/A</v>
      </c>
      <c r="DD91" s="397" t="e">
        <f t="shared" si="472"/>
        <v>#N/A</v>
      </c>
      <c r="DE91" s="400" t="e">
        <f t="shared" si="390"/>
        <v>#N/A</v>
      </c>
      <c r="DF91" s="398" t="e">
        <f t="shared" si="473"/>
        <v>#N/A</v>
      </c>
      <c r="DG91" s="402" t="e">
        <f t="shared" si="474"/>
        <v>#N/A</v>
      </c>
      <c r="DH91" s="398" t="e">
        <f t="shared" si="577"/>
        <v>#N/A</v>
      </c>
      <c r="DI91" s="401" t="e">
        <f t="shared" si="578"/>
        <v>#N/A</v>
      </c>
      <c r="DJ91" s="399" t="e">
        <f t="shared" si="475"/>
        <v>#N/A</v>
      </c>
      <c r="DK91" s="47"/>
      <c r="DM91" s="396" t="e">
        <f t="shared" si="476"/>
        <v>#N/A</v>
      </c>
      <c r="DN91" s="397" t="e">
        <f t="shared" si="477"/>
        <v>#N/A</v>
      </c>
      <c r="DO91" s="400" t="e">
        <f t="shared" si="391"/>
        <v>#N/A</v>
      </c>
      <c r="DP91" s="398" t="e">
        <f t="shared" si="478"/>
        <v>#N/A</v>
      </c>
      <c r="DQ91" s="402" t="e">
        <f t="shared" si="479"/>
        <v>#N/A</v>
      </c>
      <c r="DR91" s="398" t="e">
        <f t="shared" si="579"/>
        <v>#N/A</v>
      </c>
      <c r="DS91" s="401" t="e">
        <f t="shared" si="580"/>
        <v>#N/A</v>
      </c>
      <c r="DT91" s="399" t="e">
        <f t="shared" si="480"/>
        <v>#N/A</v>
      </c>
      <c r="DU91" s="47"/>
      <c r="DV91" s="49"/>
      <c r="DW91" s="396" t="e">
        <f t="shared" si="481"/>
        <v>#N/A</v>
      </c>
      <c r="DX91" s="397" t="e">
        <f t="shared" si="482"/>
        <v>#N/A</v>
      </c>
      <c r="DY91" s="400" t="e">
        <f t="shared" si="392"/>
        <v>#N/A</v>
      </c>
      <c r="DZ91" s="398" t="e">
        <f t="shared" si="483"/>
        <v>#N/A</v>
      </c>
      <c r="EA91" s="402" t="e">
        <f t="shared" si="484"/>
        <v>#N/A</v>
      </c>
      <c r="EB91" s="398" t="e">
        <f t="shared" si="581"/>
        <v>#N/A</v>
      </c>
      <c r="EC91" s="401" t="e">
        <f t="shared" si="582"/>
        <v>#N/A</v>
      </c>
      <c r="ED91" s="399" t="e">
        <f t="shared" si="485"/>
        <v>#N/A</v>
      </c>
      <c r="EE91" s="47"/>
      <c r="EF91" s="47"/>
      <c r="EG91" s="396" t="e">
        <f t="shared" si="486"/>
        <v>#N/A</v>
      </c>
      <c r="EH91" s="397" t="e">
        <f t="shared" si="487"/>
        <v>#N/A</v>
      </c>
      <c r="EI91" s="400" t="e">
        <f t="shared" si="393"/>
        <v>#N/A</v>
      </c>
      <c r="EJ91" s="398" t="e">
        <f t="shared" si="488"/>
        <v>#N/A</v>
      </c>
      <c r="EK91" s="402" t="e">
        <f t="shared" si="489"/>
        <v>#N/A</v>
      </c>
      <c r="EL91" s="398" t="e">
        <f t="shared" si="583"/>
        <v>#N/A</v>
      </c>
      <c r="EM91" s="401" t="e">
        <f t="shared" si="584"/>
        <v>#N/A</v>
      </c>
      <c r="EN91" s="399" t="e">
        <f t="shared" si="490"/>
        <v>#N/A</v>
      </c>
      <c r="EO91" s="47"/>
      <c r="EP91" s="47"/>
      <c r="EQ91" s="396" t="e">
        <f t="shared" si="491"/>
        <v>#N/A</v>
      </c>
      <c r="ER91" s="397" t="e">
        <f t="shared" si="492"/>
        <v>#N/A</v>
      </c>
      <c r="ES91" s="400" t="e">
        <f t="shared" si="394"/>
        <v>#N/A</v>
      </c>
      <c r="ET91" s="398" t="e">
        <f t="shared" si="493"/>
        <v>#N/A</v>
      </c>
      <c r="EU91" s="402" t="e">
        <f t="shared" si="494"/>
        <v>#N/A</v>
      </c>
      <c r="EV91" s="398" t="e">
        <f t="shared" si="585"/>
        <v>#N/A</v>
      </c>
      <c r="EW91" s="401" t="e">
        <f t="shared" si="586"/>
        <v>#N/A</v>
      </c>
      <c r="EX91" s="399" t="e">
        <f t="shared" si="495"/>
        <v>#N/A</v>
      </c>
      <c r="EY91" s="47"/>
      <c r="EZ91" s="47"/>
      <c r="FA91" s="396" t="e">
        <f t="shared" si="496"/>
        <v>#N/A</v>
      </c>
      <c r="FB91" s="397" t="e">
        <f t="shared" si="497"/>
        <v>#N/A</v>
      </c>
      <c r="FC91" s="400" t="e">
        <f t="shared" si="395"/>
        <v>#N/A</v>
      </c>
      <c r="FD91" s="398" t="e">
        <f t="shared" si="498"/>
        <v>#N/A</v>
      </c>
      <c r="FE91" s="402" t="e">
        <f t="shared" si="499"/>
        <v>#N/A</v>
      </c>
      <c r="FF91" s="398" t="e">
        <f t="shared" si="587"/>
        <v>#N/A</v>
      </c>
      <c r="FG91" s="401" t="e">
        <f t="shared" si="588"/>
        <v>#N/A</v>
      </c>
      <c r="FH91" s="399" t="e">
        <f t="shared" si="500"/>
        <v>#N/A</v>
      </c>
      <c r="FI91" s="47"/>
      <c r="FJ91" s="49"/>
      <c r="FK91" s="396" t="e">
        <f t="shared" si="501"/>
        <v>#N/A</v>
      </c>
      <c r="FL91" s="397" t="e">
        <f t="shared" si="502"/>
        <v>#N/A</v>
      </c>
      <c r="FM91" s="400" t="e">
        <f t="shared" si="396"/>
        <v>#N/A</v>
      </c>
      <c r="FN91" s="398" t="e">
        <f t="shared" si="503"/>
        <v>#N/A</v>
      </c>
      <c r="FO91" s="402" t="e">
        <f t="shared" si="504"/>
        <v>#N/A</v>
      </c>
      <c r="FP91" s="398" t="e">
        <f t="shared" si="589"/>
        <v>#N/A</v>
      </c>
      <c r="FQ91" s="401" t="e">
        <f t="shared" si="590"/>
        <v>#N/A</v>
      </c>
      <c r="FR91" s="399" t="e">
        <f t="shared" si="505"/>
        <v>#N/A</v>
      </c>
      <c r="FS91" s="47"/>
      <c r="FT91" s="47"/>
      <c r="FU91" s="396" t="e">
        <f t="shared" si="506"/>
        <v>#N/A</v>
      </c>
      <c r="FV91" s="397" t="e">
        <f t="shared" si="507"/>
        <v>#N/A</v>
      </c>
      <c r="FW91" s="400" t="e">
        <f t="shared" si="397"/>
        <v>#N/A</v>
      </c>
      <c r="FX91" s="398" t="e">
        <f t="shared" si="508"/>
        <v>#N/A</v>
      </c>
      <c r="FY91" s="402" t="e">
        <f t="shared" si="509"/>
        <v>#N/A</v>
      </c>
      <c r="FZ91" s="398" t="e">
        <f t="shared" si="591"/>
        <v>#N/A</v>
      </c>
      <c r="GA91" s="401" t="e">
        <f t="shared" si="592"/>
        <v>#N/A</v>
      </c>
      <c r="GB91" s="399" t="e">
        <f t="shared" si="510"/>
        <v>#N/A</v>
      </c>
      <c r="GC91" s="47"/>
      <c r="GD91" s="47"/>
      <c r="GE91" s="396" t="e">
        <f t="shared" si="511"/>
        <v>#N/A</v>
      </c>
      <c r="GF91" s="397" t="e">
        <f t="shared" si="512"/>
        <v>#N/A</v>
      </c>
      <c r="GG91" s="400" t="e">
        <f t="shared" si="398"/>
        <v>#N/A</v>
      </c>
      <c r="GH91" s="398" t="e">
        <f t="shared" si="513"/>
        <v>#N/A</v>
      </c>
      <c r="GI91" s="402" t="e">
        <f t="shared" si="514"/>
        <v>#N/A</v>
      </c>
      <c r="GJ91" s="398" t="e">
        <f t="shared" si="593"/>
        <v>#N/A</v>
      </c>
      <c r="GK91" s="401" t="e">
        <f t="shared" si="594"/>
        <v>#N/A</v>
      </c>
      <c r="GL91" s="399" t="e">
        <f t="shared" si="515"/>
        <v>#N/A</v>
      </c>
      <c r="GM91" s="47"/>
      <c r="GN91" s="47"/>
      <c r="GO91" s="396" t="e">
        <f t="shared" si="516"/>
        <v>#N/A</v>
      </c>
      <c r="GP91" s="397" t="e">
        <f t="shared" si="517"/>
        <v>#N/A</v>
      </c>
      <c r="GQ91" s="400" t="e">
        <f t="shared" si="399"/>
        <v>#N/A</v>
      </c>
      <c r="GR91" s="398" t="e">
        <f t="shared" si="518"/>
        <v>#N/A</v>
      </c>
      <c r="GS91" s="402" t="e">
        <f t="shared" si="519"/>
        <v>#N/A</v>
      </c>
      <c r="GT91" s="398" t="e">
        <f t="shared" si="595"/>
        <v>#N/A</v>
      </c>
      <c r="GU91" s="401" t="e">
        <f t="shared" si="596"/>
        <v>#N/A</v>
      </c>
      <c r="GV91" s="399" t="e">
        <f t="shared" si="520"/>
        <v>#N/A</v>
      </c>
      <c r="GW91" s="47"/>
      <c r="GX91" s="47"/>
      <c r="GY91" s="396" t="e">
        <f t="shared" si="521"/>
        <v>#N/A</v>
      </c>
      <c r="GZ91" s="397" t="e">
        <f t="shared" si="522"/>
        <v>#N/A</v>
      </c>
      <c r="HA91" s="400" t="e">
        <f t="shared" si="400"/>
        <v>#N/A</v>
      </c>
      <c r="HB91" s="398" t="e">
        <f t="shared" si="523"/>
        <v>#N/A</v>
      </c>
      <c r="HC91" s="402" t="e">
        <f t="shared" si="524"/>
        <v>#N/A</v>
      </c>
      <c r="HD91" s="398" t="e">
        <f t="shared" si="597"/>
        <v>#N/A</v>
      </c>
      <c r="HE91" s="401" t="e">
        <f t="shared" si="598"/>
        <v>#N/A</v>
      </c>
      <c r="HF91" s="399" t="e">
        <f t="shared" si="525"/>
        <v>#N/A</v>
      </c>
      <c r="HH91" s="47"/>
      <c r="HI91" s="396" t="e">
        <f t="shared" si="526"/>
        <v>#N/A</v>
      </c>
      <c r="HJ91" s="397" t="e">
        <f t="shared" si="527"/>
        <v>#N/A</v>
      </c>
      <c r="HK91" s="400" t="e">
        <f t="shared" si="401"/>
        <v>#N/A</v>
      </c>
      <c r="HL91" s="398" t="e">
        <f t="shared" si="528"/>
        <v>#N/A</v>
      </c>
      <c r="HM91" s="402" t="e">
        <f t="shared" si="529"/>
        <v>#N/A</v>
      </c>
      <c r="HN91" s="398" t="e">
        <f t="shared" si="599"/>
        <v>#N/A</v>
      </c>
      <c r="HO91" s="401" t="e">
        <f t="shared" si="600"/>
        <v>#N/A</v>
      </c>
      <c r="HP91" s="399" t="e">
        <f t="shared" si="530"/>
        <v>#N/A</v>
      </c>
      <c r="HQ91" s="47"/>
      <c r="HR91" s="47"/>
      <c r="HS91" s="396" t="e">
        <f t="shared" si="531"/>
        <v>#N/A</v>
      </c>
      <c r="HT91" s="397" t="e">
        <f t="shared" si="532"/>
        <v>#N/A</v>
      </c>
      <c r="HU91" s="400" t="e">
        <f t="shared" si="402"/>
        <v>#N/A</v>
      </c>
      <c r="HV91" s="398" t="e">
        <f t="shared" si="533"/>
        <v>#N/A</v>
      </c>
      <c r="HW91" s="402" t="e">
        <f t="shared" si="534"/>
        <v>#N/A</v>
      </c>
      <c r="HX91" s="398" t="e">
        <f t="shared" si="601"/>
        <v>#N/A</v>
      </c>
      <c r="HY91" s="401" t="e">
        <f t="shared" si="602"/>
        <v>#N/A</v>
      </c>
      <c r="HZ91" s="399" t="e">
        <f t="shared" si="535"/>
        <v>#N/A</v>
      </c>
      <c r="IA91" s="47"/>
      <c r="IB91" s="49"/>
      <c r="IC91" s="396" t="e">
        <f t="shared" si="536"/>
        <v>#N/A</v>
      </c>
      <c r="ID91" s="397" t="e">
        <f t="shared" si="537"/>
        <v>#N/A</v>
      </c>
      <c r="IE91" s="400" t="e">
        <f t="shared" si="403"/>
        <v>#N/A</v>
      </c>
      <c r="IF91" s="398" t="e">
        <f t="shared" si="538"/>
        <v>#N/A</v>
      </c>
      <c r="IG91" s="402" t="e">
        <f t="shared" si="539"/>
        <v>#N/A</v>
      </c>
      <c r="IH91" s="398" t="e">
        <f t="shared" si="603"/>
        <v>#N/A</v>
      </c>
      <c r="II91" s="401" t="e">
        <f t="shared" si="604"/>
        <v>#N/A</v>
      </c>
      <c r="IJ91" s="399" t="e">
        <f t="shared" si="540"/>
        <v>#N/A</v>
      </c>
      <c r="IK91" s="47"/>
      <c r="IL91" s="47"/>
      <c r="IM91" s="396" t="e">
        <f t="shared" si="541"/>
        <v>#N/A</v>
      </c>
      <c r="IN91" s="397" t="e">
        <f t="shared" si="542"/>
        <v>#N/A</v>
      </c>
      <c r="IO91" s="400" t="e">
        <f t="shared" si="404"/>
        <v>#N/A</v>
      </c>
      <c r="IP91" s="398" t="e">
        <f t="shared" si="543"/>
        <v>#N/A</v>
      </c>
      <c r="IQ91" s="402" t="e">
        <f t="shared" si="544"/>
        <v>#N/A</v>
      </c>
      <c r="IR91" s="398" t="e">
        <f t="shared" si="605"/>
        <v>#N/A</v>
      </c>
      <c r="IS91" s="401" t="e">
        <f t="shared" si="606"/>
        <v>#N/A</v>
      </c>
      <c r="IT91" s="399" t="e">
        <f t="shared" si="545"/>
        <v>#N/A</v>
      </c>
      <c r="IU91" s="47"/>
      <c r="IV91" s="47"/>
      <c r="IW91" s="396" t="e">
        <f t="shared" si="405"/>
        <v>#N/A</v>
      </c>
      <c r="IX91" s="397" t="e">
        <f t="shared" si="406"/>
        <v>#N/A</v>
      </c>
      <c r="IY91" s="400" t="e">
        <f t="shared" si="407"/>
        <v>#N/A</v>
      </c>
      <c r="IZ91" s="398" t="e">
        <f t="shared" si="348"/>
        <v>#N/A</v>
      </c>
      <c r="JA91" s="402" t="e">
        <f t="shared" si="408"/>
        <v>#N/A</v>
      </c>
      <c r="JB91" s="398" t="e">
        <f t="shared" si="409"/>
        <v>#N/A</v>
      </c>
      <c r="JC91" s="401" t="e">
        <f t="shared" si="546"/>
        <v>#N/A</v>
      </c>
      <c r="JD91" s="399" t="e">
        <f t="shared" si="547"/>
        <v>#N/A</v>
      </c>
      <c r="JE91" s="47"/>
      <c r="JF91" s="47"/>
      <c r="JG91" s="396" t="e">
        <f t="shared" si="410"/>
        <v>#N/A</v>
      </c>
      <c r="JH91" s="397" t="e">
        <f t="shared" si="411"/>
        <v>#N/A</v>
      </c>
      <c r="JI91" s="400" t="e">
        <f t="shared" si="412"/>
        <v>#N/A</v>
      </c>
      <c r="JJ91" s="398" t="e">
        <f t="shared" si="349"/>
        <v>#N/A</v>
      </c>
      <c r="JK91" s="402" t="e">
        <f t="shared" si="413"/>
        <v>#N/A</v>
      </c>
      <c r="JL91" s="398" t="e">
        <f t="shared" si="414"/>
        <v>#N/A</v>
      </c>
      <c r="JM91" s="401" t="e">
        <f t="shared" si="548"/>
        <v>#N/A</v>
      </c>
      <c r="JN91" s="399" t="e">
        <f t="shared" si="549"/>
        <v>#N/A</v>
      </c>
      <c r="JO91" s="47"/>
      <c r="JP91" s="47"/>
      <c r="JQ91" s="396" t="e">
        <f t="shared" si="415"/>
        <v>#N/A</v>
      </c>
      <c r="JR91" s="397" t="e">
        <f t="shared" si="416"/>
        <v>#N/A</v>
      </c>
      <c r="JS91" s="400" t="e">
        <f t="shared" si="417"/>
        <v>#N/A</v>
      </c>
      <c r="JT91" s="398" t="e">
        <f t="shared" si="350"/>
        <v>#N/A</v>
      </c>
      <c r="JU91" s="402" t="e">
        <f t="shared" si="418"/>
        <v>#N/A</v>
      </c>
      <c r="JV91" s="398" t="e">
        <f t="shared" si="419"/>
        <v>#N/A</v>
      </c>
      <c r="JW91" s="401" t="e">
        <f t="shared" si="550"/>
        <v>#N/A</v>
      </c>
      <c r="JX91" s="399" t="e">
        <f t="shared" si="551"/>
        <v>#N/A</v>
      </c>
      <c r="JY91" s="47"/>
      <c r="JZ91" s="47"/>
      <c r="KA91" s="396" t="e">
        <f t="shared" si="420"/>
        <v>#N/A</v>
      </c>
      <c r="KB91" s="397" t="e">
        <f t="shared" si="421"/>
        <v>#N/A</v>
      </c>
      <c r="KC91" s="400" t="e">
        <f t="shared" si="422"/>
        <v>#N/A</v>
      </c>
      <c r="KD91" s="398" t="e">
        <f t="shared" si="351"/>
        <v>#N/A</v>
      </c>
      <c r="KE91" s="402" t="e">
        <f t="shared" si="423"/>
        <v>#N/A</v>
      </c>
      <c r="KF91" s="398" t="e">
        <f t="shared" si="424"/>
        <v>#N/A</v>
      </c>
      <c r="KG91" s="401" t="e">
        <f t="shared" si="552"/>
        <v>#N/A</v>
      </c>
      <c r="KH91" s="399" t="e">
        <f t="shared" si="553"/>
        <v>#N/A</v>
      </c>
      <c r="KI91" s="47"/>
      <c r="KJ91" s="47"/>
      <c r="KK91" s="396" t="e">
        <f t="shared" si="425"/>
        <v>#N/A</v>
      </c>
      <c r="KL91" s="397" t="e">
        <f t="shared" si="426"/>
        <v>#N/A</v>
      </c>
      <c r="KM91" s="400" t="e">
        <f t="shared" si="427"/>
        <v>#N/A</v>
      </c>
      <c r="KN91" s="398" t="e">
        <f t="shared" si="352"/>
        <v>#N/A</v>
      </c>
      <c r="KO91" s="402" t="e">
        <f t="shared" si="428"/>
        <v>#N/A</v>
      </c>
      <c r="KP91" s="398" t="e">
        <f t="shared" si="429"/>
        <v>#N/A</v>
      </c>
      <c r="KQ91" s="401" t="e">
        <f t="shared" si="554"/>
        <v>#N/A</v>
      </c>
      <c r="KR91" s="399" t="e">
        <f t="shared" si="555"/>
        <v>#N/A</v>
      </c>
      <c r="KS91" s="47"/>
      <c r="KT91" s="47"/>
      <c r="KU91" s="396" t="e">
        <f t="shared" si="556"/>
        <v>#N/A</v>
      </c>
      <c r="KV91" s="397" t="e">
        <f t="shared" si="557"/>
        <v>#N/A</v>
      </c>
      <c r="KW91" s="400" t="e">
        <f t="shared" si="430"/>
        <v>#N/A</v>
      </c>
      <c r="KX91" s="398" t="e">
        <f t="shared" si="558"/>
        <v>#N/A</v>
      </c>
      <c r="KY91" s="402" t="e">
        <f t="shared" si="559"/>
        <v>#N/A</v>
      </c>
      <c r="KZ91" s="398" t="e">
        <f t="shared" si="607"/>
        <v>#N/A</v>
      </c>
      <c r="LA91" s="401" t="e">
        <f t="shared" si="608"/>
        <v>#N/A</v>
      </c>
      <c r="LB91" s="399" t="e">
        <f t="shared" si="560"/>
        <v>#N/A</v>
      </c>
      <c r="LC91" s="47"/>
    </row>
    <row r="92" spans="26:315" x14ac:dyDescent="0.25">
      <c r="Z92" s="413"/>
      <c r="AA92" s="396" t="e">
        <f t="shared" si="431"/>
        <v>#N/A</v>
      </c>
      <c r="AB92" s="397" t="e">
        <f t="shared" si="432"/>
        <v>#N/A</v>
      </c>
      <c r="AC92" s="400" t="e">
        <f t="shared" si="382"/>
        <v>#N/A</v>
      </c>
      <c r="AD92" s="398" t="e">
        <f t="shared" si="433"/>
        <v>#N/A</v>
      </c>
      <c r="AE92" s="402" t="e">
        <f t="shared" si="609"/>
        <v>#N/A</v>
      </c>
      <c r="AF92" s="398" t="e">
        <f t="shared" si="561"/>
        <v>#N/A</v>
      </c>
      <c r="AG92" s="401" t="e">
        <f t="shared" si="562"/>
        <v>#N/A</v>
      </c>
      <c r="AH92" s="399" t="e">
        <f t="shared" si="435"/>
        <v>#N/A</v>
      </c>
      <c r="AI92" s="47"/>
      <c r="AJ92" s="47"/>
      <c r="AK92" s="396" t="e">
        <f t="shared" si="436"/>
        <v>#N/A</v>
      </c>
      <c r="AL92" s="397" t="e">
        <f t="shared" si="437"/>
        <v>#N/A</v>
      </c>
      <c r="AM92" s="400" t="e">
        <f t="shared" si="383"/>
        <v>#N/A</v>
      </c>
      <c r="AN92" s="398" t="e">
        <f t="shared" si="438"/>
        <v>#N/A</v>
      </c>
      <c r="AO92" s="402" t="e">
        <f t="shared" si="439"/>
        <v>#N/A</v>
      </c>
      <c r="AP92" s="398" t="e">
        <f t="shared" si="563"/>
        <v>#N/A</v>
      </c>
      <c r="AQ92" s="401" t="e">
        <f t="shared" si="564"/>
        <v>#N/A</v>
      </c>
      <c r="AR92" s="399" t="e">
        <f t="shared" si="440"/>
        <v>#N/A</v>
      </c>
      <c r="AS92" s="47"/>
      <c r="AT92" s="47"/>
      <c r="AU92" s="396" t="e">
        <f t="shared" si="441"/>
        <v>#N/A</v>
      </c>
      <c r="AV92" s="397" t="e">
        <f t="shared" si="442"/>
        <v>#N/A</v>
      </c>
      <c r="AW92" s="400" t="e">
        <f t="shared" si="384"/>
        <v>#N/A</v>
      </c>
      <c r="AX92" s="398" t="e">
        <f t="shared" si="443"/>
        <v>#N/A</v>
      </c>
      <c r="AY92" s="402" t="e">
        <f t="shared" si="444"/>
        <v>#N/A</v>
      </c>
      <c r="AZ92" s="398" t="e">
        <f t="shared" si="565"/>
        <v>#N/A</v>
      </c>
      <c r="BA92" s="401" t="e">
        <f t="shared" si="566"/>
        <v>#N/A</v>
      </c>
      <c r="BB92" s="399" t="e">
        <f t="shared" si="445"/>
        <v>#N/A</v>
      </c>
      <c r="BC92" s="47"/>
      <c r="BD92" s="47"/>
      <c r="BE92" s="396" t="e">
        <f t="shared" si="446"/>
        <v>#N/A</v>
      </c>
      <c r="BF92" s="397" t="e">
        <f t="shared" si="447"/>
        <v>#N/A</v>
      </c>
      <c r="BG92" s="400" t="e">
        <f t="shared" si="385"/>
        <v>#N/A</v>
      </c>
      <c r="BH92" s="398" t="e">
        <f t="shared" si="448"/>
        <v>#N/A</v>
      </c>
      <c r="BI92" s="402" t="e">
        <f t="shared" si="449"/>
        <v>#N/A</v>
      </c>
      <c r="BJ92" s="398" t="e">
        <f t="shared" si="567"/>
        <v>#N/A</v>
      </c>
      <c r="BK92" s="401" t="e">
        <f t="shared" si="568"/>
        <v>#N/A</v>
      </c>
      <c r="BL92" s="399" t="e">
        <f t="shared" si="450"/>
        <v>#N/A</v>
      </c>
      <c r="BM92" s="47"/>
      <c r="BN92" s="49"/>
      <c r="BO92" s="396" t="e">
        <f t="shared" si="451"/>
        <v>#N/A</v>
      </c>
      <c r="BP92" s="397" t="e">
        <f t="shared" si="452"/>
        <v>#N/A</v>
      </c>
      <c r="BQ92" s="400" t="e">
        <f t="shared" si="386"/>
        <v>#N/A</v>
      </c>
      <c r="BR92" s="398" t="e">
        <f t="shared" si="453"/>
        <v>#N/A</v>
      </c>
      <c r="BS92" s="402" t="e">
        <f t="shared" si="454"/>
        <v>#N/A</v>
      </c>
      <c r="BT92" s="398" t="e">
        <f t="shared" si="569"/>
        <v>#N/A</v>
      </c>
      <c r="BU92" s="401" t="e">
        <f t="shared" si="570"/>
        <v>#N/A</v>
      </c>
      <c r="BV92" s="399" t="e">
        <f t="shared" si="455"/>
        <v>#N/A</v>
      </c>
      <c r="BW92" s="47"/>
      <c r="BX92" s="47"/>
      <c r="BY92" s="396" t="e">
        <f t="shared" si="456"/>
        <v>#N/A</v>
      </c>
      <c r="BZ92" s="397" t="e">
        <f t="shared" si="457"/>
        <v>#N/A</v>
      </c>
      <c r="CA92" s="400" t="e">
        <f t="shared" si="387"/>
        <v>#N/A</v>
      </c>
      <c r="CB92" s="398" t="e">
        <f t="shared" si="458"/>
        <v>#N/A</v>
      </c>
      <c r="CC92" s="402" t="e">
        <f t="shared" si="459"/>
        <v>#N/A</v>
      </c>
      <c r="CD92" s="398" t="e">
        <f t="shared" si="571"/>
        <v>#N/A</v>
      </c>
      <c r="CE92" s="401" t="e">
        <f t="shared" si="572"/>
        <v>#N/A</v>
      </c>
      <c r="CF92" s="399" t="e">
        <f t="shared" si="460"/>
        <v>#N/A</v>
      </c>
      <c r="CG92" s="49"/>
      <c r="CH92" s="47"/>
      <c r="CI92" s="396" t="e">
        <f t="shared" si="461"/>
        <v>#N/A</v>
      </c>
      <c r="CJ92" s="397" t="e">
        <f t="shared" si="462"/>
        <v>#N/A</v>
      </c>
      <c r="CK92" s="400" t="e">
        <f t="shared" si="388"/>
        <v>#N/A</v>
      </c>
      <c r="CL92" s="398" t="e">
        <f t="shared" si="463"/>
        <v>#N/A</v>
      </c>
      <c r="CM92" s="402" t="e">
        <f t="shared" si="464"/>
        <v>#N/A</v>
      </c>
      <c r="CN92" s="398" t="e">
        <f t="shared" si="573"/>
        <v>#N/A</v>
      </c>
      <c r="CO92" s="401" t="e">
        <f t="shared" si="574"/>
        <v>#N/A</v>
      </c>
      <c r="CP92" s="399" t="e">
        <f t="shared" si="465"/>
        <v>#N/A</v>
      </c>
      <c r="CQ92" s="47"/>
      <c r="CS92" s="396" t="e">
        <f t="shared" si="466"/>
        <v>#N/A</v>
      </c>
      <c r="CT92" s="397" t="e">
        <f t="shared" si="467"/>
        <v>#N/A</v>
      </c>
      <c r="CU92" s="400" t="e">
        <f t="shared" si="389"/>
        <v>#N/A</v>
      </c>
      <c r="CV92" s="398" t="e">
        <f t="shared" si="468"/>
        <v>#N/A</v>
      </c>
      <c r="CW92" s="402" t="e">
        <f t="shared" si="469"/>
        <v>#N/A</v>
      </c>
      <c r="CX92" s="398" t="e">
        <f t="shared" si="575"/>
        <v>#N/A</v>
      </c>
      <c r="CY92" s="401" t="e">
        <f t="shared" si="576"/>
        <v>#N/A</v>
      </c>
      <c r="CZ92" s="399" t="e">
        <f t="shared" si="470"/>
        <v>#N/A</v>
      </c>
      <c r="DA92" s="47"/>
      <c r="DB92" s="47"/>
      <c r="DC92" s="396" t="e">
        <f t="shared" si="471"/>
        <v>#N/A</v>
      </c>
      <c r="DD92" s="397" t="e">
        <f t="shared" si="472"/>
        <v>#N/A</v>
      </c>
      <c r="DE92" s="400" t="e">
        <f t="shared" si="390"/>
        <v>#N/A</v>
      </c>
      <c r="DF92" s="398" t="e">
        <f t="shared" si="473"/>
        <v>#N/A</v>
      </c>
      <c r="DG92" s="402" t="e">
        <f t="shared" si="474"/>
        <v>#N/A</v>
      </c>
      <c r="DH92" s="398" t="e">
        <f t="shared" si="577"/>
        <v>#N/A</v>
      </c>
      <c r="DI92" s="401" t="e">
        <f t="shared" si="578"/>
        <v>#N/A</v>
      </c>
      <c r="DJ92" s="399" t="e">
        <f t="shared" si="475"/>
        <v>#N/A</v>
      </c>
      <c r="DK92" s="47"/>
      <c r="DM92" s="396" t="e">
        <f t="shared" si="476"/>
        <v>#N/A</v>
      </c>
      <c r="DN92" s="397" t="e">
        <f t="shared" si="477"/>
        <v>#N/A</v>
      </c>
      <c r="DO92" s="400" t="e">
        <f t="shared" si="391"/>
        <v>#N/A</v>
      </c>
      <c r="DP92" s="398" t="e">
        <f t="shared" si="478"/>
        <v>#N/A</v>
      </c>
      <c r="DQ92" s="402" t="e">
        <f t="shared" si="479"/>
        <v>#N/A</v>
      </c>
      <c r="DR92" s="398" t="e">
        <f t="shared" si="579"/>
        <v>#N/A</v>
      </c>
      <c r="DS92" s="401" t="e">
        <f t="shared" si="580"/>
        <v>#N/A</v>
      </c>
      <c r="DT92" s="399" t="e">
        <f t="shared" si="480"/>
        <v>#N/A</v>
      </c>
      <c r="DU92" s="47"/>
      <c r="DV92" s="49"/>
      <c r="DW92" s="396" t="e">
        <f t="shared" si="481"/>
        <v>#N/A</v>
      </c>
      <c r="DX92" s="397" t="e">
        <f t="shared" si="482"/>
        <v>#N/A</v>
      </c>
      <c r="DY92" s="400" t="e">
        <f t="shared" si="392"/>
        <v>#N/A</v>
      </c>
      <c r="DZ92" s="398" t="e">
        <f t="shared" si="483"/>
        <v>#N/A</v>
      </c>
      <c r="EA92" s="402" t="e">
        <f t="shared" si="484"/>
        <v>#N/A</v>
      </c>
      <c r="EB92" s="398" t="e">
        <f t="shared" si="581"/>
        <v>#N/A</v>
      </c>
      <c r="EC92" s="401" t="e">
        <f t="shared" si="582"/>
        <v>#N/A</v>
      </c>
      <c r="ED92" s="399" t="e">
        <f t="shared" si="485"/>
        <v>#N/A</v>
      </c>
      <c r="EE92" s="47"/>
      <c r="EF92" s="47"/>
      <c r="EG92" s="396" t="e">
        <f t="shared" si="486"/>
        <v>#N/A</v>
      </c>
      <c r="EH92" s="397" t="e">
        <f t="shared" si="487"/>
        <v>#N/A</v>
      </c>
      <c r="EI92" s="400" t="e">
        <f t="shared" si="393"/>
        <v>#N/A</v>
      </c>
      <c r="EJ92" s="398" t="e">
        <f t="shared" si="488"/>
        <v>#N/A</v>
      </c>
      <c r="EK92" s="402" t="e">
        <f t="shared" si="489"/>
        <v>#N/A</v>
      </c>
      <c r="EL92" s="398" t="e">
        <f t="shared" si="583"/>
        <v>#N/A</v>
      </c>
      <c r="EM92" s="401" t="e">
        <f t="shared" si="584"/>
        <v>#N/A</v>
      </c>
      <c r="EN92" s="399" t="e">
        <f t="shared" si="490"/>
        <v>#N/A</v>
      </c>
      <c r="EO92" s="47"/>
      <c r="EP92" s="47"/>
      <c r="EQ92" s="396" t="e">
        <f t="shared" si="491"/>
        <v>#N/A</v>
      </c>
      <c r="ER92" s="397" t="e">
        <f t="shared" si="492"/>
        <v>#N/A</v>
      </c>
      <c r="ES92" s="400" t="e">
        <f t="shared" si="394"/>
        <v>#N/A</v>
      </c>
      <c r="ET92" s="398" t="e">
        <f t="shared" si="493"/>
        <v>#N/A</v>
      </c>
      <c r="EU92" s="402" t="e">
        <f t="shared" si="494"/>
        <v>#N/A</v>
      </c>
      <c r="EV92" s="398" t="e">
        <f t="shared" si="585"/>
        <v>#N/A</v>
      </c>
      <c r="EW92" s="401" t="e">
        <f t="shared" si="586"/>
        <v>#N/A</v>
      </c>
      <c r="EX92" s="399" t="e">
        <f t="shared" si="495"/>
        <v>#N/A</v>
      </c>
      <c r="EY92" s="47"/>
      <c r="EZ92" s="47"/>
      <c r="FA92" s="396" t="e">
        <f t="shared" si="496"/>
        <v>#N/A</v>
      </c>
      <c r="FB92" s="397" t="e">
        <f t="shared" si="497"/>
        <v>#N/A</v>
      </c>
      <c r="FC92" s="400" t="e">
        <f t="shared" si="395"/>
        <v>#N/A</v>
      </c>
      <c r="FD92" s="398" t="e">
        <f t="shared" si="498"/>
        <v>#N/A</v>
      </c>
      <c r="FE92" s="402" t="e">
        <f t="shared" si="499"/>
        <v>#N/A</v>
      </c>
      <c r="FF92" s="398" t="e">
        <f t="shared" si="587"/>
        <v>#N/A</v>
      </c>
      <c r="FG92" s="401" t="e">
        <f t="shared" si="588"/>
        <v>#N/A</v>
      </c>
      <c r="FH92" s="399" t="e">
        <f t="shared" si="500"/>
        <v>#N/A</v>
      </c>
      <c r="FI92" s="47"/>
      <c r="FJ92" s="49"/>
      <c r="FK92" s="396" t="e">
        <f t="shared" si="501"/>
        <v>#N/A</v>
      </c>
      <c r="FL92" s="397" t="e">
        <f t="shared" si="502"/>
        <v>#N/A</v>
      </c>
      <c r="FM92" s="400" t="e">
        <f t="shared" si="396"/>
        <v>#N/A</v>
      </c>
      <c r="FN92" s="398" t="e">
        <f t="shared" si="503"/>
        <v>#N/A</v>
      </c>
      <c r="FO92" s="402" t="e">
        <f t="shared" si="504"/>
        <v>#N/A</v>
      </c>
      <c r="FP92" s="398" t="e">
        <f t="shared" si="589"/>
        <v>#N/A</v>
      </c>
      <c r="FQ92" s="401" t="e">
        <f t="shared" si="590"/>
        <v>#N/A</v>
      </c>
      <c r="FR92" s="399" t="e">
        <f t="shared" si="505"/>
        <v>#N/A</v>
      </c>
      <c r="FS92" s="47"/>
      <c r="FT92" s="47"/>
      <c r="FU92" s="396" t="e">
        <f t="shared" si="506"/>
        <v>#N/A</v>
      </c>
      <c r="FV92" s="397" t="e">
        <f t="shared" si="507"/>
        <v>#N/A</v>
      </c>
      <c r="FW92" s="400" t="e">
        <f t="shared" si="397"/>
        <v>#N/A</v>
      </c>
      <c r="FX92" s="398" t="e">
        <f t="shared" si="508"/>
        <v>#N/A</v>
      </c>
      <c r="FY92" s="402" t="e">
        <f t="shared" si="509"/>
        <v>#N/A</v>
      </c>
      <c r="FZ92" s="398" t="e">
        <f t="shared" si="591"/>
        <v>#N/A</v>
      </c>
      <c r="GA92" s="401" t="e">
        <f t="shared" si="592"/>
        <v>#N/A</v>
      </c>
      <c r="GB92" s="399" t="e">
        <f t="shared" si="510"/>
        <v>#N/A</v>
      </c>
      <c r="GC92" s="47"/>
      <c r="GD92" s="47"/>
      <c r="GE92" s="396" t="e">
        <f t="shared" si="511"/>
        <v>#N/A</v>
      </c>
      <c r="GF92" s="397" t="e">
        <f t="shared" si="512"/>
        <v>#N/A</v>
      </c>
      <c r="GG92" s="400" t="e">
        <f t="shared" si="398"/>
        <v>#N/A</v>
      </c>
      <c r="GH92" s="398" t="e">
        <f t="shared" si="513"/>
        <v>#N/A</v>
      </c>
      <c r="GI92" s="402" t="e">
        <f t="shared" si="514"/>
        <v>#N/A</v>
      </c>
      <c r="GJ92" s="398" t="e">
        <f t="shared" si="593"/>
        <v>#N/A</v>
      </c>
      <c r="GK92" s="401" t="e">
        <f t="shared" si="594"/>
        <v>#N/A</v>
      </c>
      <c r="GL92" s="399" t="e">
        <f t="shared" si="515"/>
        <v>#N/A</v>
      </c>
      <c r="GM92" s="47"/>
      <c r="GN92" s="47"/>
      <c r="GO92" s="396" t="e">
        <f t="shared" si="516"/>
        <v>#N/A</v>
      </c>
      <c r="GP92" s="397" t="e">
        <f t="shared" si="517"/>
        <v>#N/A</v>
      </c>
      <c r="GQ92" s="400" t="e">
        <f t="shared" si="399"/>
        <v>#N/A</v>
      </c>
      <c r="GR92" s="398" t="e">
        <f t="shared" si="518"/>
        <v>#N/A</v>
      </c>
      <c r="GS92" s="402" t="e">
        <f t="shared" si="519"/>
        <v>#N/A</v>
      </c>
      <c r="GT92" s="398" t="e">
        <f t="shared" si="595"/>
        <v>#N/A</v>
      </c>
      <c r="GU92" s="401" t="e">
        <f t="shared" si="596"/>
        <v>#N/A</v>
      </c>
      <c r="GV92" s="399" t="e">
        <f t="shared" si="520"/>
        <v>#N/A</v>
      </c>
      <c r="GW92" s="47"/>
      <c r="GX92" s="47"/>
      <c r="GY92" s="396" t="e">
        <f t="shared" si="521"/>
        <v>#N/A</v>
      </c>
      <c r="GZ92" s="397" t="e">
        <f t="shared" si="522"/>
        <v>#N/A</v>
      </c>
      <c r="HA92" s="400" t="e">
        <f t="shared" si="400"/>
        <v>#N/A</v>
      </c>
      <c r="HB92" s="398" t="e">
        <f t="shared" si="523"/>
        <v>#N/A</v>
      </c>
      <c r="HC92" s="402" t="e">
        <f t="shared" si="524"/>
        <v>#N/A</v>
      </c>
      <c r="HD92" s="398" t="e">
        <f t="shared" si="597"/>
        <v>#N/A</v>
      </c>
      <c r="HE92" s="401" t="e">
        <f t="shared" si="598"/>
        <v>#N/A</v>
      </c>
      <c r="HF92" s="399" t="e">
        <f t="shared" si="525"/>
        <v>#N/A</v>
      </c>
      <c r="HH92" s="47"/>
      <c r="HI92" s="396" t="e">
        <f t="shared" si="526"/>
        <v>#N/A</v>
      </c>
      <c r="HJ92" s="397" t="e">
        <f t="shared" si="527"/>
        <v>#N/A</v>
      </c>
      <c r="HK92" s="400" t="e">
        <f t="shared" si="401"/>
        <v>#N/A</v>
      </c>
      <c r="HL92" s="398" t="e">
        <f t="shared" si="528"/>
        <v>#N/A</v>
      </c>
      <c r="HM92" s="402" t="e">
        <f t="shared" si="529"/>
        <v>#N/A</v>
      </c>
      <c r="HN92" s="398" t="e">
        <f t="shared" si="599"/>
        <v>#N/A</v>
      </c>
      <c r="HO92" s="401" t="e">
        <f t="shared" si="600"/>
        <v>#N/A</v>
      </c>
      <c r="HP92" s="399" t="e">
        <f t="shared" si="530"/>
        <v>#N/A</v>
      </c>
      <c r="HQ92" s="47"/>
      <c r="HR92" s="47"/>
      <c r="HS92" s="396" t="e">
        <f t="shared" si="531"/>
        <v>#N/A</v>
      </c>
      <c r="HT92" s="397" t="e">
        <f t="shared" si="532"/>
        <v>#N/A</v>
      </c>
      <c r="HU92" s="400" t="e">
        <f t="shared" si="402"/>
        <v>#N/A</v>
      </c>
      <c r="HV92" s="398" t="e">
        <f t="shared" si="533"/>
        <v>#N/A</v>
      </c>
      <c r="HW92" s="402" t="e">
        <f t="shared" si="534"/>
        <v>#N/A</v>
      </c>
      <c r="HX92" s="398" t="e">
        <f t="shared" si="601"/>
        <v>#N/A</v>
      </c>
      <c r="HY92" s="401" t="e">
        <f t="shared" si="602"/>
        <v>#N/A</v>
      </c>
      <c r="HZ92" s="399" t="e">
        <f t="shared" si="535"/>
        <v>#N/A</v>
      </c>
      <c r="IA92" s="47"/>
      <c r="IB92" s="49"/>
      <c r="IC92" s="396" t="e">
        <f t="shared" si="536"/>
        <v>#N/A</v>
      </c>
      <c r="ID92" s="397" t="e">
        <f t="shared" si="537"/>
        <v>#N/A</v>
      </c>
      <c r="IE92" s="400" t="e">
        <f t="shared" si="403"/>
        <v>#N/A</v>
      </c>
      <c r="IF92" s="398" t="e">
        <f t="shared" si="538"/>
        <v>#N/A</v>
      </c>
      <c r="IG92" s="402" t="e">
        <f t="shared" si="539"/>
        <v>#N/A</v>
      </c>
      <c r="IH92" s="398" t="e">
        <f t="shared" si="603"/>
        <v>#N/A</v>
      </c>
      <c r="II92" s="401" t="e">
        <f t="shared" si="604"/>
        <v>#N/A</v>
      </c>
      <c r="IJ92" s="399" t="e">
        <f t="shared" si="540"/>
        <v>#N/A</v>
      </c>
      <c r="IK92" s="47"/>
      <c r="IL92" s="47"/>
      <c r="IM92" s="396" t="e">
        <f t="shared" si="541"/>
        <v>#N/A</v>
      </c>
      <c r="IN92" s="397" t="e">
        <f t="shared" si="542"/>
        <v>#N/A</v>
      </c>
      <c r="IO92" s="400" t="e">
        <f t="shared" si="404"/>
        <v>#N/A</v>
      </c>
      <c r="IP92" s="398" t="e">
        <f t="shared" si="543"/>
        <v>#N/A</v>
      </c>
      <c r="IQ92" s="402" t="e">
        <f t="shared" si="544"/>
        <v>#N/A</v>
      </c>
      <c r="IR92" s="398" t="e">
        <f t="shared" si="605"/>
        <v>#N/A</v>
      </c>
      <c r="IS92" s="401" t="e">
        <f t="shared" si="606"/>
        <v>#N/A</v>
      </c>
      <c r="IT92" s="399" t="e">
        <f t="shared" si="545"/>
        <v>#N/A</v>
      </c>
      <c r="IU92" s="47"/>
      <c r="IV92" s="47"/>
      <c r="IW92" s="396" t="e">
        <f t="shared" si="405"/>
        <v>#N/A</v>
      </c>
      <c r="IX92" s="397" t="e">
        <f t="shared" si="406"/>
        <v>#N/A</v>
      </c>
      <c r="IY92" s="400" t="e">
        <f t="shared" si="407"/>
        <v>#N/A</v>
      </c>
      <c r="IZ92" s="398" t="e">
        <f t="shared" si="348"/>
        <v>#N/A</v>
      </c>
      <c r="JA92" s="402" t="e">
        <f t="shared" si="408"/>
        <v>#N/A</v>
      </c>
      <c r="JB92" s="398" t="e">
        <f t="shared" si="409"/>
        <v>#N/A</v>
      </c>
      <c r="JC92" s="401" t="e">
        <f t="shared" si="546"/>
        <v>#N/A</v>
      </c>
      <c r="JD92" s="399" t="e">
        <f t="shared" si="547"/>
        <v>#N/A</v>
      </c>
      <c r="JE92" s="47"/>
      <c r="JF92" s="47"/>
      <c r="JG92" s="396" t="e">
        <f t="shared" si="410"/>
        <v>#N/A</v>
      </c>
      <c r="JH92" s="397" t="e">
        <f t="shared" si="411"/>
        <v>#N/A</v>
      </c>
      <c r="JI92" s="400" t="e">
        <f t="shared" si="412"/>
        <v>#N/A</v>
      </c>
      <c r="JJ92" s="398" t="e">
        <f t="shared" si="349"/>
        <v>#N/A</v>
      </c>
      <c r="JK92" s="402" t="e">
        <f t="shared" si="413"/>
        <v>#N/A</v>
      </c>
      <c r="JL92" s="398" t="e">
        <f t="shared" si="414"/>
        <v>#N/A</v>
      </c>
      <c r="JM92" s="401" t="e">
        <f t="shared" si="548"/>
        <v>#N/A</v>
      </c>
      <c r="JN92" s="399" t="e">
        <f t="shared" si="549"/>
        <v>#N/A</v>
      </c>
      <c r="JO92" s="47"/>
      <c r="JP92" s="47"/>
      <c r="JQ92" s="396" t="e">
        <f t="shared" si="415"/>
        <v>#N/A</v>
      </c>
      <c r="JR92" s="397" t="e">
        <f t="shared" si="416"/>
        <v>#N/A</v>
      </c>
      <c r="JS92" s="400" t="e">
        <f t="shared" si="417"/>
        <v>#N/A</v>
      </c>
      <c r="JT92" s="398" t="e">
        <f t="shared" si="350"/>
        <v>#N/A</v>
      </c>
      <c r="JU92" s="402" t="e">
        <f t="shared" si="418"/>
        <v>#N/A</v>
      </c>
      <c r="JV92" s="398" t="e">
        <f t="shared" si="419"/>
        <v>#N/A</v>
      </c>
      <c r="JW92" s="401" t="e">
        <f t="shared" si="550"/>
        <v>#N/A</v>
      </c>
      <c r="JX92" s="399" t="e">
        <f t="shared" si="551"/>
        <v>#N/A</v>
      </c>
      <c r="JY92" s="47"/>
      <c r="JZ92" s="47"/>
      <c r="KA92" s="396" t="e">
        <f t="shared" si="420"/>
        <v>#N/A</v>
      </c>
      <c r="KB92" s="397" t="e">
        <f t="shared" si="421"/>
        <v>#N/A</v>
      </c>
      <c r="KC92" s="400" t="e">
        <f t="shared" si="422"/>
        <v>#N/A</v>
      </c>
      <c r="KD92" s="398" t="e">
        <f t="shared" si="351"/>
        <v>#N/A</v>
      </c>
      <c r="KE92" s="402" t="e">
        <f t="shared" si="423"/>
        <v>#N/A</v>
      </c>
      <c r="KF92" s="398" t="e">
        <f t="shared" si="424"/>
        <v>#N/A</v>
      </c>
      <c r="KG92" s="401" t="e">
        <f t="shared" si="552"/>
        <v>#N/A</v>
      </c>
      <c r="KH92" s="399" t="e">
        <f t="shared" si="553"/>
        <v>#N/A</v>
      </c>
      <c r="KI92" s="47"/>
      <c r="KJ92" s="47"/>
      <c r="KK92" s="396" t="e">
        <f t="shared" si="425"/>
        <v>#N/A</v>
      </c>
      <c r="KL92" s="397" t="e">
        <f t="shared" si="426"/>
        <v>#N/A</v>
      </c>
      <c r="KM92" s="400" t="e">
        <f t="shared" si="427"/>
        <v>#N/A</v>
      </c>
      <c r="KN92" s="398" t="e">
        <f t="shared" si="352"/>
        <v>#N/A</v>
      </c>
      <c r="KO92" s="402" t="e">
        <f t="shared" si="428"/>
        <v>#N/A</v>
      </c>
      <c r="KP92" s="398" t="e">
        <f t="shared" si="429"/>
        <v>#N/A</v>
      </c>
      <c r="KQ92" s="401" t="e">
        <f t="shared" si="554"/>
        <v>#N/A</v>
      </c>
      <c r="KR92" s="399" t="e">
        <f t="shared" si="555"/>
        <v>#N/A</v>
      </c>
      <c r="KS92" s="47"/>
      <c r="KT92" s="47"/>
      <c r="KU92" s="396" t="e">
        <f t="shared" si="556"/>
        <v>#N/A</v>
      </c>
      <c r="KV92" s="397" t="e">
        <f t="shared" si="557"/>
        <v>#N/A</v>
      </c>
      <c r="KW92" s="400" t="e">
        <f t="shared" si="430"/>
        <v>#N/A</v>
      </c>
      <c r="KX92" s="398" t="e">
        <f t="shared" si="558"/>
        <v>#N/A</v>
      </c>
      <c r="KY92" s="402" t="e">
        <f t="shared" si="559"/>
        <v>#N/A</v>
      </c>
      <c r="KZ92" s="398" t="e">
        <f t="shared" si="607"/>
        <v>#N/A</v>
      </c>
      <c r="LA92" s="401" t="e">
        <f t="shared" si="608"/>
        <v>#N/A</v>
      </c>
      <c r="LB92" s="399" t="e">
        <f t="shared" si="560"/>
        <v>#N/A</v>
      </c>
      <c r="LC92" s="47"/>
    </row>
    <row r="93" spans="26:315" x14ac:dyDescent="0.25">
      <c r="AA93" s="396" t="e">
        <f t="shared" si="431"/>
        <v>#N/A</v>
      </c>
      <c r="AB93" s="397" t="e">
        <f t="shared" si="432"/>
        <v>#N/A</v>
      </c>
      <c r="AC93" s="400" t="e">
        <f t="shared" si="382"/>
        <v>#N/A</v>
      </c>
      <c r="AD93" s="398" t="e">
        <f t="shared" si="433"/>
        <v>#N/A</v>
      </c>
      <c r="AE93" s="402" t="e">
        <f t="shared" si="609"/>
        <v>#N/A</v>
      </c>
      <c r="AF93" s="398" t="e">
        <f t="shared" si="561"/>
        <v>#N/A</v>
      </c>
      <c r="AG93" s="401" t="e">
        <f t="shared" si="562"/>
        <v>#N/A</v>
      </c>
      <c r="AH93" s="399" t="e">
        <f t="shared" si="435"/>
        <v>#N/A</v>
      </c>
      <c r="AI93" s="47"/>
      <c r="AJ93" s="47"/>
      <c r="AK93" s="396" t="e">
        <f t="shared" si="436"/>
        <v>#N/A</v>
      </c>
      <c r="AL93" s="397" t="e">
        <f t="shared" si="437"/>
        <v>#N/A</v>
      </c>
      <c r="AM93" s="400" t="e">
        <f t="shared" si="383"/>
        <v>#N/A</v>
      </c>
      <c r="AN93" s="398" t="e">
        <f t="shared" si="438"/>
        <v>#N/A</v>
      </c>
      <c r="AO93" s="402" t="e">
        <f t="shared" si="439"/>
        <v>#N/A</v>
      </c>
      <c r="AP93" s="398" t="e">
        <f t="shared" si="563"/>
        <v>#N/A</v>
      </c>
      <c r="AQ93" s="401" t="e">
        <f t="shared" si="564"/>
        <v>#N/A</v>
      </c>
      <c r="AR93" s="399" t="e">
        <f t="shared" si="440"/>
        <v>#N/A</v>
      </c>
      <c r="AS93" s="47"/>
      <c r="AT93" s="47"/>
      <c r="AU93" s="396" t="e">
        <f t="shared" si="441"/>
        <v>#N/A</v>
      </c>
      <c r="AV93" s="397" t="e">
        <f t="shared" si="442"/>
        <v>#N/A</v>
      </c>
      <c r="AW93" s="400" t="e">
        <f t="shared" si="384"/>
        <v>#N/A</v>
      </c>
      <c r="AX93" s="398" t="e">
        <f t="shared" si="443"/>
        <v>#N/A</v>
      </c>
      <c r="AY93" s="402" t="e">
        <f t="shared" si="444"/>
        <v>#N/A</v>
      </c>
      <c r="AZ93" s="398" t="e">
        <f t="shared" si="565"/>
        <v>#N/A</v>
      </c>
      <c r="BA93" s="401" t="e">
        <f t="shared" si="566"/>
        <v>#N/A</v>
      </c>
      <c r="BB93" s="399" t="e">
        <f t="shared" si="445"/>
        <v>#N/A</v>
      </c>
      <c r="BC93" s="47"/>
      <c r="BD93" s="47"/>
      <c r="BE93" s="396" t="e">
        <f t="shared" si="446"/>
        <v>#N/A</v>
      </c>
      <c r="BF93" s="397" t="e">
        <f t="shared" si="447"/>
        <v>#N/A</v>
      </c>
      <c r="BG93" s="400" t="e">
        <f t="shared" si="385"/>
        <v>#N/A</v>
      </c>
      <c r="BH93" s="398" t="e">
        <f t="shared" si="448"/>
        <v>#N/A</v>
      </c>
      <c r="BI93" s="402" t="e">
        <f t="shared" si="449"/>
        <v>#N/A</v>
      </c>
      <c r="BJ93" s="398" t="e">
        <f t="shared" si="567"/>
        <v>#N/A</v>
      </c>
      <c r="BK93" s="401" t="e">
        <f t="shared" si="568"/>
        <v>#N/A</v>
      </c>
      <c r="BL93" s="399" t="e">
        <f t="shared" si="450"/>
        <v>#N/A</v>
      </c>
      <c r="BM93" s="47"/>
      <c r="BN93" s="49"/>
      <c r="BO93" s="396" t="e">
        <f t="shared" si="451"/>
        <v>#N/A</v>
      </c>
      <c r="BP93" s="397" t="e">
        <f t="shared" si="452"/>
        <v>#N/A</v>
      </c>
      <c r="BQ93" s="400" t="e">
        <f t="shared" si="386"/>
        <v>#N/A</v>
      </c>
      <c r="BR93" s="398" t="e">
        <f t="shared" si="453"/>
        <v>#N/A</v>
      </c>
      <c r="BS93" s="402" t="e">
        <f t="shared" si="454"/>
        <v>#N/A</v>
      </c>
      <c r="BT93" s="398" t="e">
        <f t="shared" si="569"/>
        <v>#N/A</v>
      </c>
      <c r="BU93" s="401" t="e">
        <f t="shared" si="570"/>
        <v>#N/A</v>
      </c>
      <c r="BV93" s="399" t="e">
        <f t="shared" si="455"/>
        <v>#N/A</v>
      </c>
      <c r="BW93" s="47"/>
      <c r="BX93" s="47"/>
      <c r="BY93" s="396" t="e">
        <f t="shared" si="456"/>
        <v>#N/A</v>
      </c>
      <c r="BZ93" s="397" t="e">
        <f t="shared" si="457"/>
        <v>#N/A</v>
      </c>
      <c r="CA93" s="400" t="e">
        <f t="shared" si="387"/>
        <v>#N/A</v>
      </c>
      <c r="CB93" s="398" t="e">
        <f t="shared" si="458"/>
        <v>#N/A</v>
      </c>
      <c r="CC93" s="402" t="e">
        <f t="shared" si="459"/>
        <v>#N/A</v>
      </c>
      <c r="CD93" s="398" t="e">
        <f t="shared" si="571"/>
        <v>#N/A</v>
      </c>
      <c r="CE93" s="401" t="e">
        <f t="shared" si="572"/>
        <v>#N/A</v>
      </c>
      <c r="CF93" s="399" t="e">
        <f t="shared" si="460"/>
        <v>#N/A</v>
      </c>
      <c r="CG93" s="49"/>
      <c r="CH93" s="47"/>
      <c r="CI93" s="396" t="e">
        <f t="shared" si="461"/>
        <v>#N/A</v>
      </c>
      <c r="CJ93" s="397" t="e">
        <f t="shared" si="462"/>
        <v>#N/A</v>
      </c>
      <c r="CK93" s="400" t="e">
        <f t="shared" si="388"/>
        <v>#N/A</v>
      </c>
      <c r="CL93" s="398" t="e">
        <f t="shared" si="463"/>
        <v>#N/A</v>
      </c>
      <c r="CM93" s="402" t="e">
        <f t="shared" si="464"/>
        <v>#N/A</v>
      </c>
      <c r="CN93" s="398" t="e">
        <f t="shared" si="573"/>
        <v>#N/A</v>
      </c>
      <c r="CO93" s="401" t="e">
        <f t="shared" si="574"/>
        <v>#N/A</v>
      </c>
      <c r="CP93" s="399" t="e">
        <f t="shared" si="465"/>
        <v>#N/A</v>
      </c>
      <c r="CQ93" s="47"/>
      <c r="CS93" s="396" t="e">
        <f t="shared" si="466"/>
        <v>#N/A</v>
      </c>
      <c r="CT93" s="397" t="e">
        <f t="shared" si="467"/>
        <v>#N/A</v>
      </c>
      <c r="CU93" s="400" t="e">
        <f t="shared" si="389"/>
        <v>#N/A</v>
      </c>
      <c r="CV93" s="398" t="e">
        <f t="shared" si="468"/>
        <v>#N/A</v>
      </c>
      <c r="CW93" s="402" t="e">
        <f t="shared" si="469"/>
        <v>#N/A</v>
      </c>
      <c r="CX93" s="398" t="e">
        <f t="shared" si="575"/>
        <v>#N/A</v>
      </c>
      <c r="CY93" s="401" t="e">
        <f t="shared" si="576"/>
        <v>#N/A</v>
      </c>
      <c r="CZ93" s="399" t="e">
        <f t="shared" si="470"/>
        <v>#N/A</v>
      </c>
      <c r="DA93" s="47"/>
      <c r="DB93" s="47"/>
      <c r="DC93" s="396" t="e">
        <f t="shared" si="471"/>
        <v>#N/A</v>
      </c>
      <c r="DD93" s="397" t="e">
        <f t="shared" si="472"/>
        <v>#N/A</v>
      </c>
      <c r="DE93" s="400" t="e">
        <f t="shared" si="390"/>
        <v>#N/A</v>
      </c>
      <c r="DF93" s="398" t="e">
        <f t="shared" si="473"/>
        <v>#N/A</v>
      </c>
      <c r="DG93" s="402" t="e">
        <f t="shared" si="474"/>
        <v>#N/A</v>
      </c>
      <c r="DH93" s="398" t="e">
        <f t="shared" si="577"/>
        <v>#N/A</v>
      </c>
      <c r="DI93" s="401" t="e">
        <f t="shared" si="578"/>
        <v>#N/A</v>
      </c>
      <c r="DJ93" s="399" t="e">
        <f t="shared" si="475"/>
        <v>#N/A</v>
      </c>
      <c r="DK93" s="47"/>
      <c r="DM93" s="396" t="e">
        <f t="shared" si="476"/>
        <v>#N/A</v>
      </c>
      <c r="DN93" s="397" t="e">
        <f t="shared" si="477"/>
        <v>#N/A</v>
      </c>
      <c r="DO93" s="400" t="e">
        <f t="shared" si="391"/>
        <v>#N/A</v>
      </c>
      <c r="DP93" s="398" t="e">
        <f t="shared" si="478"/>
        <v>#N/A</v>
      </c>
      <c r="DQ93" s="402" t="e">
        <f t="shared" si="479"/>
        <v>#N/A</v>
      </c>
      <c r="DR93" s="398" t="e">
        <f t="shared" si="579"/>
        <v>#N/A</v>
      </c>
      <c r="DS93" s="401" t="e">
        <f t="shared" si="580"/>
        <v>#N/A</v>
      </c>
      <c r="DT93" s="399" t="e">
        <f t="shared" si="480"/>
        <v>#N/A</v>
      </c>
      <c r="DU93" s="47"/>
      <c r="DV93" s="49"/>
      <c r="DW93" s="396" t="e">
        <f t="shared" si="481"/>
        <v>#N/A</v>
      </c>
      <c r="DX93" s="397" t="e">
        <f t="shared" si="482"/>
        <v>#N/A</v>
      </c>
      <c r="DY93" s="400" t="e">
        <f t="shared" si="392"/>
        <v>#N/A</v>
      </c>
      <c r="DZ93" s="398" t="e">
        <f t="shared" si="483"/>
        <v>#N/A</v>
      </c>
      <c r="EA93" s="402" t="e">
        <f t="shared" si="484"/>
        <v>#N/A</v>
      </c>
      <c r="EB93" s="398" t="e">
        <f t="shared" si="581"/>
        <v>#N/A</v>
      </c>
      <c r="EC93" s="401" t="e">
        <f t="shared" si="582"/>
        <v>#N/A</v>
      </c>
      <c r="ED93" s="399" t="e">
        <f t="shared" si="485"/>
        <v>#N/A</v>
      </c>
      <c r="EE93" s="47"/>
      <c r="EF93" s="47"/>
      <c r="EG93" s="396" t="e">
        <f t="shared" si="486"/>
        <v>#N/A</v>
      </c>
      <c r="EH93" s="397" t="e">
        <f t="shared" si="487"/>
        <v>#N/A</v>
      </c>
      <c r="EI93" s="400" t="e">
        <f t="shared" si="393"/>
        <v>#N/A</v>
      </c>
      <c r="EJ93" s="398" t="e">
        <f t="shared" si="488"/>
        <v>#N/A</v>
      </c>
      <c r="EK93" s="402" t="e">
        <f t="shared" si="489"/>
        <v>#N/A</v>
      </c>
      <c r="EL93" s="398" t="e">
        <f t="shared" si="583"/>
        <v>#N/A</v>
      </c>
      <c r="EM93" s="401" t="e">
        <f t="shared" si="584"/>
        <v>#N/A</v>
      </c>
      <c r="EN93" s="399" t="e">
        <f t="shared" si="490"/>
        <v>#N/A</v>
      </c>
      <c r="EO93" s="47"/>
      <c r="EP93" s="47"/>
      <c r="EQ93" s="396" t="e">
        <f t="shared" si="491"/>
        <v>#N/A</v>
      </c>
      <c r="ER93" s="397" t="e">
        <f t="shared" si="492"/>
        <v>#N/A</v>
      </c>
      <c r="ES93" s="400" t="e">
        <f t="shared" si="394"/>
        <v>#N/A</v>
      </c>
      <c r="ET93" s="398" t="e">
        <f t="shared" si="493"/>
        <v>#N/A</v>
      </c>
      <c r="EU93" s="402" t="e">
        <f t="shared" si="494"/>
        <v>#N/A</v>
      </c>
      <c r="EV93" s="398" t="e">
        <f t="shared" si="585"/>
        <v>#N/A</v>
      </c>
      <c r="EW93" s="401" t="e">
        <f t="shared" si="586"/>
        <v>#N/A</v>
      </c>
      <c r="EX93" s="399" t="e">
        <f t="shared" si="495"/>
        <v>#N/A</v>
      </c>
      <c r="EY93" s="47"/>
      <c r="EZ93" s="47"/>
      <c r="FA93" s="396" t="e">
        <f t="shared" si="496"/>
        <v>#N/A</v>
      </c>
      <c r="FB93" s="397" t="e">
        <f t="shared" si="497"/>
        <v>#N/A</v>
      </c>
      <c r="FC93" s="400" t="e">
        <f t="shared" si="395"/>
        <v>#N/A</v>
      </c>
      <c r="FD93" s="398" t="e">
        <f t="shared" si="498"/>
        <v>#N/A</v>
      </c>
      <c r="FE93" s="402" t="e">
        <f t="shared" si="499"/>
        <v>#N/A</v>
      </c>
      <c r="FF93" s="398" t="e">
        <f t="shared" si="587"/>
        <v>#N/A</v>
      </c>
      <c r="FG93" s="401" t="e">
        <f t="shared" si="588"/>
        <v>#N/A</v>
      </c>
      <c r="FH93" s="399" t="e">
        <f t="shared" si="500"/>
        <v>#N/A</v>
      </c>
      <c r="FI93" s="47"/>
      <c r="FJ93" s="49"/>
      <c r="FK93" s="396" t="e">
        <f t="shared" si="501"/>
        <v>#N/A</v>
      </c>
      <c r="FL93" s="397" t="e">
        <f t="shared" si="502"/>
        <v>#N/A</v>
      </c>
      <c r="FM93" s="400" t="e">
        <f t="shared" si="396"/>
        <v>#N/A</v>
      </c>
      <c r="FN93" s="398" t="e">
        <f t="shared" si="503"/>
        <v>#N/A</v>
      </c>
      <c r="FO93" s="402" t="e">
        <f t="shared" si="504"/>
        <v>#N/A</v>
      </c>
      <c r="FP93" s="398" t="e">
        <f t="shared" si="589"/>
        <v>#N/A</v>
      </c>
      <c r="FQ93" s="401" t="e">
        <f t="shared" si="590"/>
        <v>#N/A</v>
      </c>
      <c r="FR93" s="399" t="e">
        <f t="shared" si="505"/>
        <v>#N/A</v>
      </c>
      <c r="FS93" s="47"/>
      <c r="FT93" s="47"/>
      <c r="FU93" s="396" t="e">
        <f t="shared" si="506"/>
        <v>#N/A</v>
      </c>
      <c r="FV93" s="397" t="e">
        <f t="shared" si="507"/>
        <v>#N/A</v>
      </c>
      <c r="FW93" s="400" t="e">
        <f t="shared" si="397"/>
        <v>#N/A</v>
      </c>
      <c r="FX93" s="398" t="e">
        <f t="shared" si="508"/>
        <v>#N/A</v>
      </c>
      <c r="FY93" s="402" t="e">
        <f t="shared" si="509"/>
        <v>#N/A</v>
      </c>
      <c r="FZ93" s="398" t="e">
        <f t="shared" si="591"/>
        <v>#N/A</v>
      </c>
      <c r="GA93" s="401" t="e">
        <f t="shared" si="592"/>
        <v>#N/A</v>
      </c>
      <c r="GB93" s="399" t="e">
        <f t="shared" si="510"/>
        <v>#N/A</v>
      </c>
      <c r="GC93" s="47"/>
      <c r="GD93" s="47"/>
      <c r="GE93" s="396" t="e">
        <f t="shared" si="511"/>
        <v>#N/A</v>
      </c>
      <c r="GF93" s="397" t="e">
        <f t="shared" si="512"/>
        <v>#N/A</v>
      </c>
      <c r="GG93" s="400" t="e">
        <f t="shared" si="398"/>
        <v>#N/A</v>
      </c>
      <c r="GH93" s="398" t="e">
        <f t="shared" si="513"/>
        <v>#N/A</v>
      </c>
      <c r="GI93" s="402" t="e">
        <f t="shared" si="514"/>
        <v>#N/A</v>
      </c>
      <c r="GJ93" s="398" t="e">
        <f t="shared" si="593"/>
        <v>#N/A</v>
      </c>
      <c r="GK93" s="401" t="e">
        <f t="shared" si="594"/>
        <v>#N/A</v>
      </c>
      <c r="GL93" s="399" t="e">
        <f t="shared" si="515"/>
        <v>#N/A</v>
      </c>
      <c r="GM93" s="47"/>
      <c r="GN93" s="47"/>
      <c r="GO93" s="396" t="e">
        <f t="shared" si="516"/>
        <v>#N/A</v>
      </c>
      <c r="GP93" s="397" t="e">
        <f t="shared" si="517"/>
        <v>#N/A</v>
      </c>
      <c r="GQ93" s="400" t="e">
        <f t="shared" si="399"/>
        <v>#N/A</v>
      </c>
      <c r="GR93" s="398" t="e">
        <f t="shared" si="518"/>
        <v>#N/A</v>
      </c>
      <c r="GS93" s="402" t="e">
        <f t="shared" si="519"/>
        <v>#N/A</v>
      </c>
      <c r="GT93" s="398" t="e">
        <f t="shared" si="595"/>
        <v>#N/A</v>
      </c>
      <c r="GU93" s="401" t="e">
        <f t="shared" si="596"/>
        <v>#N/A</v>
      </c>
      <c r="GV93" s="399" t="e">
        <f t="shared" si="520"/>
        <v>#N/A</v>
      </c>
      <c r="GW93" s="47"/>
      <c r="GX93" s="47"/>
      <c r="GY93" s="396" t="e">
        <f t="shared" si="521"/>
        <v>#N/A</v>
      </c>
      <c r="GZ93" s="397" t="e">
        <f t="shared" si="522"/>
        <v>#N/A</v>
      </c>
      <c r="HA93" s="400" t="e">
        <f t="shared" si="400"/>
        <v>#N/A</v>
      </c>
      <c r="HB93" s="398" t="e">
        <f t="shared" si="523"/>
        <v>#N/A</v>
      </c>
      <c r="HC93" s="402" t="e">
        <f t="shared" si="524"/>
        <v>#N/A</v>
      </c>
      <c r="HD93" s="398" t="e">
        <f t="shared" si="597"/>
        <v>#N/A</v>
      </c>
      <c r="HE93" s="401" t="e">
        <f t="shared" si="598"/>
        <v>#N/A</v>
      </c>
      <c r="HF93" s="399" t="e">
        <f t="shared" si="525"/>
        <v>#N/A</v>
      </c>
      <c r="HH93" s="47"/>
      <c r="HI93" s="396" t="e">
        <f t="shared" si="526"/>
        <v>#N/A</v>
      </c>
      <c r="HJ93" s="397" t="e">
        <f t="shared" si="527"/>
        <v>#N/A</v>
      </c>
      <c r="HK93" s="400" t="e">
        <f t="shared" si="401"/>
        <v>#N/A</v>
      </c>
      <c r="HL93" s="398" t="e">
        <f t="shared" si="528"/>
        <v>#N/A</v>
      </c>
      <c r="HM93" s="402" t="e">
        <f t="shared" si="529"/>
        <v>#N/A</v>
      </c>
      <c r="HN93" s="398" t="e">
        <f t="shared" si="599"/>
        <v>#N/A</v>
      </c>
      <c r="HO93" s="401" t="e">
        <f t="shared" si="600"/>
        <v>#N/A</v>
      </c>
      <c r="HP93" s="399" t="e">
        <f t="shared" si="530"/>
        <v>#N/A</v>
      </c>
      <c r="HQ93" s="47"/>
      <c r="HR93" s="47"/>
      <c r="HS93" s="396" t="e">
        <f t="shared" si="531"/>
        <v>#N/A</v>
      </c>
      <c r="HT93" s="397" t="e">
        <f t="shared" si="532"/>
        <v>#N/A</v>
      </c>
      <c r="HU93" s="400" t="e">
        <f t="shared" si="402"/>
        <v>#N/A</v>
      </c>
      <c r="HV93" s="398" t="e">
        <f t="shared" si="533"/>
        <v>#N/A</v>
      </c>
      <c r="HW93" s="402" t="e">
        <f t="shared" si="534"/>
        <v>#N/A</v>
      </c>
      <c r="HX93" s="398" t="e">
        <f t="shared" si="601"/>
        <v>#N/A</v>
      </c>
      <c r="HY93" s="401" t="e">
        <f t="shared" si="602"/>
        <v>#N/A</v>
      </c>
      <c r="HZ93" s="399" t="e">
        <f t="shared" si="535"/>
        <v>#N/A</v>
      </c>
      <c r="IA93" s="47"/>
      <c r="IB93" s="49"/>
      <c r="IC93" s="396" t="e">
        <f t="shared" si="536"/>
        <v>#N/A</v>
      </c>
      <c r="ID93" s="397" t="e">
        <f t="shared" si="537"/>
        <v>#N/A</v>
      </c>
      <c r="IE93" s="400" t="e">
        <f t="shared" si="403"/>
        <v>#N/A</v>
      </c>
      <c r="IF93" s="398" t="e">
        <f t="shared" si="538"/>
        <v>#N/A</v>
      </c>
      <c r="IG93" s="402" t="e">
        <f t="shared" si="539"/>
        <v>#N/A</v>
      </c>
      <c r="IH93" s="398" t="e">
        <f t="shared" si="603"/>
        <v>#N/A</v>
      </c>
      <c r="II93" s="401" t="e">
        <f t="shared" si="604"/>
        <v>#N/A</v>
      </c>
      <c r="IJ93" s="399" t="e">
        <f t="shared" si="540"/>
        <v>#N/A</v>
      </c>
      <c r="IK93" s="47"/>
      <c r="IL93" s="47"/>
      <c r="IM93" s="396" t="e">
        <f t="shared" si="541"/>
        <v>#N/A</v>
      </c>
      <c r="IN93" s="397" t="e">
        <f t="shared" si="542"/>
        <v>#N/A</v>
      </c>
      <c r="IO93" s="400" t="e">
        <f t="shared" si="404"/>
        <v>#N/A</v>
      </c>
      <c r="IP93" s="398" t="e">
        <f t="shared" si="543"/>
        <v>#N/A</v>
      </c>
      <c r="IQ93" s="402" t="e">
        <f t="shared" si="544"/>
        <v>#N/A</v>
      </c>
      <c r="IR93" s="398" t="e">
        <f t="shared" si="605"/>
        <v>#N/A</v>
      </c>
      <c r="IS93" s="401" t="e">
        <f t="shared" si="606"/>
        <v>#N/A</v>
      </c>
      <c r="IT93" s="399" t="e">
        <f t="shared" si="545"/>
        <v>#N/A</v>
      </c>
      <c r="IU93" s="47"/>
      <c r="IV93" s="47"/>
      <c r="IW93" s="396" t="e">
        <f t="shared" si="405"/>
        <v>#N/A</v>
      </c>
      <c r="IX93" s="397" t="e">
        <f t="shared" si="406"/>
        <v>#N/A</v>
      </c>
      <c r="IY93" s="400" t="e">
        <f t="shared" si="407"/>
        <v>#N/A</v>
      </c>
      <c r="IZ93" s="398" t="e">
        <f t="shared" si="348"/>
        <v>#N/A</v>
      </c>
      <c r="JA93" s="402" t="e">
        <f t="shared" si="408"/>
        <v>#N/A</v>
      </c>
      <c r="JB93" s="398" t="e">
        <f t="shared" si="409"/>
        <v>#N/A</v>
      </c>
      <c r="JC93" s="401" t="e">
        <f t="shared" si="546"/>
        <v>#N/A</v>
      </c>
      <c r="JD93" s="399" t="e">
        <f t="shared" si="547"/>
        <v>#N/A</v>
      </c>
      <c r="JE93" s="47"/>
      <c r="JF93" s="47"/>
      <c r="JG93" s="396" t="e">
        <f t="shared" si="410"/>
        <v>#N/A</v>
      </c>
      <c r="JH93" s="397" t="e">
        <f t="shared" si="411"/>
        <v>#N/A</v>
      </c>
      <c r="JI93" s="400" t="e">
        <f t="shared" si="412"/>
        <v>#N/A</v>
      </c>
      <c r="JJ93" s="398" t="e">
        <f t="shared" si="349"/>
        <v>#N/A</v>
      </c>
      <c r="JK93" s="402" t="e">
        <f t="shared" si="413"/>
        <v>#N/A</v>
      </c>
      <c r="JL93" s="398" t="e">
        <f t="shared" si="414"/>
        <v>#N/A</v>
      </c>
      <c r="JM93" s="401" t="e">
        <f t="shared" si="548"/>
        <v>#N/A</v>
      </c>
      <c r="JN93" s="399" t="e">
        <f t="shared" si="549"/>
        <v>#N/A</v>
      </c>
      <c r="JO93" s="47"/>
      <c r="JP93" s="47"/>
      <c r="JQ93" s="396" t="e">
        <f t="shared" si="415"/>
        <v>#N/A</v>
      </c>
      <c r="JR93" s="397" t="e">
        <f t="shared" si="416"/>
        <v>#N/A</v>
      </c>
      <c r="JS93" s="400" t="e">
        <f t="shared" si="417"/>
        <v>#N/A</v>
      </c>
      <c r="JT93" s="398" t="e">
        <f t="shared" si="350"/>
        <v>#N/A</v>
      </c>
      <c r="JU93" s="402" t="e">
        <f t="shared" si="418"/>
        <v>#N/A</v>
      </c>
      <c r="JV93" s="398" t="e">
        <f t="shared" si="419"/>
        <v>#N/A</v>
      </c>
      <c r="JW93" s="401" t="e">
        <f t="shared" si="550"/>
        <v>#N/A</v>
      </c>
      <c r="JX93" s="399" t="e">
        <f t="shared" si="551"/>
        <v>#N/A</v>
      </c>
      <c r="JY93" s="47"/>
      <c r="JZ93" s="47"/>
      <c r="KA93" s="396" t="e">
        <f t="shared" si="420"/>
        <v>#N/A</v>
      </c>
      <c r="KB93" s="397" t="e">
        <f t="shared" si="421"/>
        <v>#N/A</v>
      </c>
      <c r="KC93" s="400" t="e">
        <f t="shared" si="422"/>
        <v>#N/A</v>
      </c>
      <c r="KD93" s="398" t="e">
        <f t="shared" si="351"/>
        <v>#N/A</v>
      </c>
      <c r="KE93" s="402" t="e">
        <f t="shared" si="423"/>
        <v>#N/A</v>
      </c>
      <c r="KF93" s="398" t="e">
        <f t="shared" si="424"/>
        <v>#N/A</v>
      </c>
      <c r="KG93" s="401" t="e">
        <f t="shared" si="552"/>
        <v>#N/A</v>
      </c>
      <c r="KH93" s="399" t="e">
        <f t="shared" si="553"/>
        <v>#N/A</v>
      </c>
      <c r="KI93" s="47"/>
      <c r="KJ93" s="47"/>
      <c r="KK93" s="396" t="e">
        <f t="shared" si="425"/>
        <v>#N/A</v>
      </c>
      <c r="KL93" s="397" t="e">
        <f t="shared" si="426"/>
        <v>#N/A</v>
      </c>
      <c r="KM93" s="400" t="e">
        <f t="shared" si="427"/>
        <v>#N/A</v>
      </c>
      <c r="KN93" s="398" t="e">
        <f t="shared" si="352"/>
        <v>#N/A</v>
      </c>
      <c r="KO93" s="402" t="e">
        <f t="shared" si="428"/>
        <v>#N/A</v>
      </c>
      <c r="KP93" s="398" t="e">
        <f t="shared" si="429"/>
        <v>#N/A</v>
      </c>
      <c r="KQ93" s="401" t="e">
        <f t="shared" si="554"/>
        <v>#N/A</v>
      </c>
      <c r="KR93" s="399" t="e">
        <f t="shared" si="555"/>
        <v>#N/A</v>
      </c>
      <c r="KS93" s="47"/>
      <c r="KT93" s="47"/>
      <c r="KU93" s="396" t="e">
        <f t="shared" si="556"/>
        <v>#N/A</v>
      </c>
      <c r="KV93" s="397" t="e">
        <f t="shared" si="557"/>
        <v>#N/A</v>
      </c>
      <c r="KW93" s="400" t="e">
        <f t="shared" si="430"/>
        <v>#N/A</v>
      </c>
      <c r="KX93" s="398" t="e">
        <f t="shared" si="558"/>
        <v>#N/A</v>
      </c>
      <c r="KY93" s="402" t="e">
        <f t="shared" si="559"/>
        <v>#N/A</v>
      </c>
      <c r="KZ93" s="398" t="e">
        <f t="shared" si="607"/>
        <v>#N/A</v>
      </c>
      <c r="LA93" s="401" t="e">
        <f t="shared" si="608"/>
        <v>#N/A</v>
      </c>
      <c r="LB93" s="399" t="e">
        <f t="shared" si="560"/>
        <v>#N/A</v>
      </c>
      <c r="LC93" s="47"/>
    </row>
    <row r="94" spans="26:315" x14ac:dyDescent="0.25">
      <c r="AA94" s="396" t="e">
        <f t="shared" si="431"/>
        <v>#N/A</v>
      </c>
      <c r="AB94" s="397" t="e">
        <f t="shared" si="432"/>
        <v>#N/A</v>
      </c>
      <c r="AC94" s="400" t="e">
        <f t="shared" si="382"/>
        <v>#N/A</v>
      </c>
      <c r="AD94" s="398" t="e">
        <f t="shared" si="433"/>
        <v>#N/A</v>
      </c>
      <c r="AE94" s="402" t="e">
        <f t="shared" si="609"/>
        <v>#N/A</v>
      </c>
      <c r="AF94" s="398" t="e">
        <f t="shared" si="561"/>
        <v>#N/A</v>
      </c>
      <c r="AG94" s="401" t="e">
        <f t="shared" si="562"/>
        <v>#N/A</v>
      </c>
      <c r="AH94" s="399" t="e">
        <f t="shared" si="435"/>
        <v>#N/A</v>
      </c>
      <c r="AI94" s="47"/>
      <c r="AJ94" s="47"/>
      <c r="AK94" s="396" t="e">
        <f t="shared" si="436"/>
        <v>#N/A</v>
      </c>
      <c r="AL94" s="397" t="e">
        <f t="shared" si="437"/>
        <v>#N/A</v>
      </c>
      <c r="AM94" s="400" t="e">
        <f t="shared" si="383"/>
        <v>#N/A</v>
      </c>
      <c r="AN94" s="398" t="e">
        <f t="shared" si="438"/>
        <v>#N/A</v>
      </c>
      <c r="AO94" s="402" t="e">
        <f t="shared" si="439"/>
        <v>#N/A</v>
      </c>
      <c r="AP94" s="398" t="e">
        <f t="shared" si="563"/>
        <v>#N/A</v>
      </c>
      <c r="AQ94" s="401" t="e">
        <f t="shared" si="564"/>
        <v>#N/A</v>
      </c>
      <c r="AR94" s="399" t="e">
        <f t="shared" si="440"/>
        <v>#N/A</v>
      </c>
      <c r="AS94" s="47"/>
      <c r="AT94" s="47"/>
      <c r="AU94" s="396" t="e">
        <f t="shared" si="441"/>
        <v>#N/A</v>
      </c>
      <c r="AV94" s="397" t="e">
        <f t="shared" si="442"/>
        <v>#N/A</v>
      </c>
      <c r="AW94" s="400" t="e">
        <f t="shared" si="384"/>
        <v>#N/A</v>
      </c>
      <c r="AX94" s="398" t="e">
        <f t="shared" si="443"/>
        <v>#N/A</v>
      </c>
      <c r="AY94" s="402" t="e">
        <f t="shared" si="444"/>
        <v>#N/A</v>
      </c>
      <c r="AZ94" s="398" t="e">
        <f t="shared" si="565"/>
        <v>#N/A</v>
      </c>
      <c r="BA94" s="401" t="e">
        <f t="shared" si="566"/>
        <v>#N/A</v>
      </c>
      <c r="BB94" s="399" t="e">
        <f t="shared" si="445"/>
        <v>#N/A</v>
      </c>
      <c r="BC94" s="47"/>
      <c r="BD94" s="47"/>
      <c r="BE94" s="396" t="e">
        <f t="shared" si="446"/>
        <v>#N/A</v>
      </c>
      <c r="BF94" s="397" t="e">
        <f t="shared" si="447"/>
        <v>#N/A</v>
      </c>
      <c r="BG94" s="400" t="e">
        <f t="shared" si="385"/>
        <v>#N/A</v>
      </c>
      <c r="BH94" s="398" t="e">
        <f t="shared" si="448"/>
        <v>#N/A</v>
      </c>
      <c r="BI94" s="402" t="e">
        <f t="shared" si="449"/>
        <v>#N/A</v>
      </c>
      <c r="BJ94" s="398" t="e">
        <f t="shared" si="567"/>
        <v>#N/A</v>
      </c>
      <c r="BK94" s="401" t="e">
        <f t="shared" si="568"/>
        <v>#N/A</v>
      </c>
      <c r="BL94" s="399" t="e">
        <f t="shared" si="450"/>
        <v>#N/A</v>
      </c>
      <c r="BM94" s="47"/>
      <c r="BN94" s="49"/>
      <c r="BO94" s="396" t="e">
        <f t="shared" si="451"/>
        <v>#N/A</v>
      </c>
      <c r="BP94" s="397" t="e">
        <f t="shared" si="452"/>
        <v>#N/A</v>
      </c>
      <c r="BQ94" s="400" t="e">
        <f t="shared" si="386"/>
        <v>#N/A</v>
      </c>
      <c r="BR94" s="398" t="e">
        <f t="shared" si="453"/>
        <v>#N/A</v>
      </c>
      <c r="BS94" s="402" t="e">
        <f t="shared" si="454"/>
        <v>#N/A</v>
      </c>
      <c r="BT94" s="398" t="e">
        <f t="shared" si="569"/>
        <v>#N/A</v>
      </c>
      <c r="BU94" s="401" t="e">
        <f t="shared" si="570"/>
        <v>#N/A</v>
      </c>
      <c r="BV94" s="399" t="e">
        <f t="shared" si="455"/>
        <v>#N/A</v>
      </c>
      <c r="BW94" s="47"/>
      <c r="BX94" s="47"/>
      <c r="BY94" s="396" t="e">
        <f t="shared" si="456"/>
        <v>#N/A</v>
      </c>
      <c r="BZ94" s="397" t="e">
        <f t="shared" si="457"/>
        <v>#N/A</v>
      </c>
      <c r="CA94" s="400" t="e">
        <f t="shared" si="387"/>
        <v>#N/A</v>
      </c>
      <c r="CB94" s="398" t="e">
        <f t="shared" si="458"/>
        <v>#N/A</v>
      </c>
      <c r="CC94" s="402" t="e">
        <f t="shared" si="459"/>
        <v>#N/A</v>
      </c>
      <c r="CD94" s="398" t="e">
        <f t="shared" si="571"/>
        <v>#N/A</v>
      </c>
      <c r="CE94" s="401" t="e">
        <f t="shared" si="572"/>
        <v>#N/A</v>
      </c>
      <c r="CF94" s="399" t="e">
        <f t="shared" si="460"/>
        <v>#N/A</v>
      </c>
      <c r="CG94" s="49"/>
      <c r="CH94" s="47"/>
      <c r="CI94" s="396" t="e">
        <f t="shared" si="461"/>
        <v>#N/A</v>
      </c>
      <c r="CJ94" s="397" t="e">
        <f t="shared" si="462"/>
        <v>#N/A</v>
      </c>
      <c r="CK94" s="400" t="e">
        <f t="shared" si="388"/>
        <v>#N/A</v>
      </c>
      <c r="CL94" s="398" t="e">
        <f t="shared" si="463"/>
        <v>#N/A</v>
      </c>
      <c r="CM94" s="402" t="e">
        <f t="shared" si="464"/>
        <v>#N/A</v>
      </c>
      <c r="CN94" s="398" t="e">
        <f t="shared" si="573"/>
        <v>#N/A</v>
      </c>
      <c r="CO94" s="401" t="e">
        <f t="shared" si="574"/>
        <v>#N/A</v>
      </c>
      <c r="CP94" s="399" t="e">
        <f t="shared" si="465"/>
        <v>#N/A</v>
      </c>
      <c r="CQ94" s="47"/>
      <c r="CS94" s="396" t="e">
        <f t="shared" si="466"/>
        <v>#N/A</v>
      </c>
      <c r="CT94" s="397" t="e">
        <f t="shared" si="467"/>
        <v>#N/A</v>
      </c>
      <c r="CU94" s="400" t="e">
        <f t="shared" si="389"/>
        <v>#N/A</v>
      </c>
      <c r="CV94" s="398" t="e">
        <f t="shared" si="468"/>
        <v>#N/A</v>
      </c>
      <c r="CW94" s="402" t="e">
        <f t="shared" si="469"/>
        <v>#N/A</v>
      </c>
      <c r="CX94" s="398" t="e">
        <f t="shared" si="575"/>
        <v>#N/A</v>
      </c>
      <c r="CY94" s="401" t="e">
        <f t="shared" si="576"/>
        <v>#N/A</v>
      </c>
      <c r="CZ94" s="399" t="e">
        <f t="shared" si="470"/>
        <v>#N/A</v>
      </c>
      <c r="DA94" s="47"/>
      <c r="DB94" s="47"/>
      <c r="DC94" s="396" t="e">
        <f t="shared" si="471"/>
        <v>#N/A</v>
      </c>
      <c r="DD94" s="397" t="e">
        <f t="shared" si="472"/>
        <v>#N/A</v>
      </c>
      <c r="DE94" s="400" t="e">
        <f t="shared" si="390"/>
        <v>#N/A</v>
      </c>
      <c r="DF94" s="398" t="e">
        <f t="shared" si="473"/>
        <v>#N/A</v>
      </c>
      <c r="DG94" s="402" t="e">
        <f t="shared" si="474"/>
        <v>#N/A</v>
      </c>
      <c r="DH94" s="398" t="e">
        <f t="shared" si="577"/>
        <v>#N/A</v>
      </c>
      <c r="DI94" s="401" t="e">
        <f t="shared" si="578"/>
        <v>#N/A</v>
      </c>
      <c r="DJ94" s="399" t="e">
        <f t="shared" si="475"/>
        <v>#N/A</v>
      </c>
      <c r="DK94" s="47"/>
      <c r="DM94" s="396" t="e">
        <f t="shared" si="476"/>
        <v>#N/A</v>
      </c>
      <c r="DN94" s="397" t="e">
        <f t="shared" si="477"/>
        <v>#N/A</v>
      </c>
      <c r="DO94" s="400" t="e">
        <f t="shared" si="391"/>
        <v>#N/A</v>
      </c>
      <c r="DP94" s="398" t="e">
        <f t="shared" si="478"/>
        <v>#N/A</v>
      </c>
      <c r="DQ94" s="402" t="e">
        <f t="shared" si="479"/>
        <v>#N/A</v>
      </c>
      <c r="DR94" s="398" t="e">
        <f t="shared" si="579"/>
        <v>#N/A</v>
      </c>
      <c r="DS94" s="401" t="e">
        <f t="shared" si="580"/>
        <v>#N/A</v>
      </c>
      <c r="DT94" s="399" t="e">
        <f t="shared" si="480"/>
        <v>#N/A</v>
      </c>
      <c r="DU94" s="47"/>
      <c r="DV94" s="49"/>
      <c r="DW94" s="396" t="e">
        <f t="shared" si="481"/>
        <v>#N/A</v>
      </c>
      <c r="DX94" s="397" t="e">
        <f t="shared" si="482"/>
        <v>#N/A</v>
      </c>
      <c r="DY94" s="400" t="e">
        <f t="shared" si="392"/>
        <v>#N/A</v>
      </c>
      <c r="DZ94" s="398" t="e">
        <f t="shared" si="483"/>
        <v>#N/A</v>
      </c>
      <c r="EA94" s="402" t="e">
        <f t="shared" si="484"/>
        <v>#N/A</v>
      </c>
      <c r="EB94" s="398" t="e">
        <f t="shared" si="581"/>
        <v>#N/A</v>
      </c>
      <c r="EC94" s="401" t="e">
        <f t="shared" si="582"/>
        <v>#N/A</v>
      </c>
      <c r="ED94" s="399" t="e">
        <f t="shared" si="485"/>
        <v>#N/A</v>
      </c>
      <c r="EE94" s="47"/>
      <c r="EF94" s="47"/>
      <c r="EG94" s="396" t="e">
        <f t="shared" si="486"/>
        <v>#N/A</v>
      </c>
      <c r="EH94" s="397" t="e">
        <f t="shared" si="487"/>
        <v>#N/A</v>
      </c>
      <c r="EI94" s="400" t="e">
        <f t="shared" si="393"/>
        <v>#N/A</v>
      </c>
      <c r="EJ94" s="398" t="e">
        <f t="shared" si="488"/>
        <v>#N/A</v>
      </c>
      <c r="EK94" s="402" t="e">
        <f t="shared" si="489"/>
        <v>#N/A</v>
      </c>
      <c r="EL94" s="398" t="e">
        <f t="shared" si="583"/>
        <v>#N/A</v>
      </c>
      <c r="EM94" s="401" t="e">
        <f t="shared" si="584"/>
        <v>#N/A</v>
      </c>
      <c r="EN94" s="399" t="e">
        <f t="shared" si="490"/>
        <v>#N/A</v>
      </c>
      <c r="EO94" s="47"/>
      <c r="EP94" s="47"/>
      <c r="EQ94" s="396" t="e">
        <f t="shared" si="491"/>
        <v>#N/A</v>
      </c>
      <c r="ER94" s="397" t="e">
        <f t="shared" si="492"/>
        <v>#N/A</v>
      </c>
      <c r="ES94" s="400" t="e">
        <f t="shared" si="394"/>
        <v>#N/A</v>
      </c>
      <c r="ET94" s="398" t="e">
        <f t="shared" si="493"/>
        <v>#N/A</v>
      </c>
      <c r="EU94" s="402" t="e">
        <f t="shared" si="494"/>
        <v>#N/A</v>
      </c>
      <c r="EV94" s="398" t="e">
        <f t="shared" si="585"/>
        <v>#N/A</v>
      </c>
      <c r="EW94" s="401" t="e">
        <f t="shared" si="586"/>
        <v>#N/A</v>
      </c>
      <c r="EX94" s="399" t="e">
        <f t="shared" si="495"/>
        <v>#N/A</v>
      </c>
      <c r="EY94" s="47"/>
      <c r="EZ94" s="47"/>
      <c r="FA94" s="396" t="e">
        <f t="shared" si="496"/>
        <v>#N/A</v>
      </c>
      <c r="FB94" s="397" t="e">
        <f t="shared" si="497"/>
        <v>#N/A</v>
      </c>
      <c r="FC94" s="400" t="e">
        <f t="shared" si="395"/>
        <v>#N/A</v>
      </c>
      <c r="FD94" s="398" t="e">
        <f t="shared" si="498"/>
        <v>#N/A</v>
      </c>
      <c r="FE94" s="402" t="e">
        <f t="shared" si="499"/>
        <v>#N/A</v>
      </c>
      <c r="FF94" s="398" t="e">
        <f t="shared" si="587"/>
        <v>#N/A</v>
      </c>
      <c r="FG94" s="401" t="e">
        <f t="shared" si="588"/>
        <v>#N/A</v>
      </c>
      <c r="FH94" s="399" t="e">
        <f t="shared" si="500"/>
        <v>#N/A</v>
      </c>
      <c r="FI94" s="47"/>
      <c r="FJ94" s="49"/>
      <c r="FK94" s="396" t="e">
        <f t="shared" si="501"/>
        <v>#N/A</v>
      </c>
      <c r="FL94" s="397" t="e">
        <f t="shared" si="502"/>
        <v>#N/A</v>
      </c>
      <c r="FM94" s="400" t="e">
        <f t="shared" si="396"/>
        <v>#N/A</v>
      </c>
      <c r="FN94" s="398" t="e">
        <f t="shared" si="503"/>
        <v>#N/A</v>
      </c>
      <c r="FO94" s="402" t="e">
        <f t="shared" si="504"/>
        <v>#N/A</v>
      </c>
      <c r="FP94" s="398" t="e">
        <f t="shared" si="589"/>
        <v>#N/A</v>
      </c>
      <c r="FQ94" s="401" t="e">
        <f t="shared" si="590"/>
        <v>#N/A</v>
      </c>
      <c r="FR94" s="399" t="e">
        <f t="shared" si="505"/>
        <v>#N/A</v>
      </c>
      <c r="FS94" s="47"/>
      <c r="FT94" s="47"/>
      <c r="FU94" s="396" t="e">
        <f t="shared" si="506"/>
        <v>#N/A</v>
      </c>
      <c r="FV94" s="397" t="e">
        <f t="shared" si="507"/>
        <v>#N/A</v>
      </c>
      <c r="FW94" s="400" t="e">
        <f t="shared" si="397"/>
        <v>#N/A</v>
      </c>
      <c r="FX94" s="398" t="e">
        <f t="shared" si="508"/>
        <v>#N/A</v>
      </c>
      <c r="FY94" s="402" t="e">
        <f t="shared" si="509"/>
        <v>#N/A</v>
      </c>
      <c r="FZ94" s="398" t="e">
        <f t="shared" si="591"/>
        <v>#N/A</v>
      </c>
      <c r="GA94" s="401" t="e">
        <f t="shared" si="592"/>
        <v>#N/A</v>
      </c>
      <c r="GB94" s="399" t="e">
        <f t="shared" si="510"/>
        <v>#N/A</v>
      </c>
      <c r="GC94" s="47"/>
      <c r="GD94" s="47"/>
      <c r="GE94" s="396" t="e">
        <f t="shared" si="511"/>
        <v>#N/A</v>
      </c>
      <c r="GF94" s="397" t="e">
        <f t="shared" si="512"/>
        <v>#N/A</v>
      </c>
      <c r="GG94" s="400" t="e">
        <f t="shared" si="398"/>
        <v>#N/A</v>
      </c>
      <c r="GH94" s="398" t="e">
        <f t="shared" si="513"/>
        <v>#N/A</v>
      </c>
      <c r="GI94" s="402" t="e">
        <f t="shared" si="514"/>
        <v>#N/A</v>
      </c>
      <c r="GJ94" s="398" t="e">
        <f t="shared" si="593"/>
        <v>#N/A</v>
      </c>
      <c r="GK94" s="401" t="e">
        <f t="shared" si="594"/>
        <v>#N/A</v>
      </c>
      <c r="GL94" s="399" t="e">
        <f t="shared" si="515"/>
        <v>#N/A</v>
      </c>
      <c r="GM94" s="47"/>
      <c r="GN94" s="47"/>
      <c r="GO94" s="396" t="e">
        <f t="shared" si="516"/>
        <v>#N/A</v>
      </c>
      <c r="GP94" s="397" t="e">
        <f t="shared" si="517"/>
        <v>#N/A</v>
      </c>
      <c r="GQ94" s="400" t="e">
        <f t="shared" si="399"/>
        <v>#N/A</v>
      </c>
      <c r="GR94" s="398" t="e">
        <f t="shared" si="518"/>
        <v>#N/A</v>
      </c>
      <c r="GS94" s="402" t="e">
        <f t="shared" si="519"/>
        <v>#N/A</v>
      </c>
      <c r="GT94" s="398" t="e">
        <f t="shared" si="595"/>
        <v>#N/A</v>
      </c>
      <c r="GU94" s="401" t="e">
        <f t="shared" si="596"/>
        <v>#N/A</v>
      </c>
      <c r="GV94" s="399" t="e">
        <f t="shared" si="520"/>
        <v>#N/A</v>
      </c>
      <c r="GW94" s="47"/>
      <c r="GX94" s="47"/>
      <c r="GY94" s="396" t="e">
        <f t="shared" si="521"/>
        <v>#N/A</v>
      </c>
      <c r="GZ94" s="397" t="e">
        <f t="shared" si="522"/>
        <v>#N/A</v>
      </c>
      <c r="HA94" s="400" t="e">
        <f t="shared" si="400"/>
        <v>#N/A</v>
      </c>
      <c r="HB94" s="398" t="e">
        <f t="shared" si="523"/>
        <v>#N/A</v>
      </c>
      <c r="HC94" s="402" t="e">
        <f t="shared" si="524"/>
        <v>#N/A</v>
      </c>
      <c r="HD94" s="398" t="e">
        <f t="shared" si="597"/>
        <v>#N/A</v>
      </c>
      <c r="HE94" s="401" t="e">
        <f t="shared" si="598"/>
        <v>#N/A</v>
      </c>
      <c r="HF94" s="399" t="e">
        <f t="shared" si="525"/>
        <v>#N/A</v>
      </c>
      <c r="HH94" s="47"/>
      <c r="HI94" s="396" t="e">
        <f t="shared" si="526"/>
        <v>#N/A</v>
      </c>
      <c r="HJ94" s="397" t="e">
        <f t="shared" si="527"/>
        <v>#N/A</v>
      </c>
      <c r="HK94" s="400" t="e">
        <f t="shared" si="401"/>
        <v>#N/A</v>
      </c>
      <c r="HL94" s="398" t="e">
        <f t="shared" si="528"/>
        <v>#N/A</v>
      </c>
      <c r="HM94" s="402" t="e">
        <f t="shared" si="529"/>
        <v>#N/A</v>
      </c>
      <c r="HN94" s="398" t="e">
        <f t="shared" si="599"/>
        <v>#N/A</v>
      </c>
      <c r="HO94" s="401" t="e">
        <f t="shared" si="600"/>
        <v>#N/A</v>
      </c>
      <c r="HP94" s="399" t="e">
        <f t="shared" si="530"/>
        <v>#N/A</v>
      </c>
      <c r="HQ94" s="47"/>
      <c r="HR94" s="47"/>
      <c r="HS94" s="396" t="e">
        <f t="shared" si="531"/>
        <v>#N/A</v>
      </c>
      <c r="HT94" s="397" t="e">
        <f t="shared" si="532"/>
        <v>#N/A</v>
      </c>
      <c r="HU94" s="400" t="e">
        <f t="shared" si="402"/>
        <v>#N/A</v>
      </c>
      <c r="HV94" s="398" t="e">
        <f t="shared" si="533"/>
        <v>#N/A</v>
      </c>
      <c r="HW94" s="402" t="e">
        <f t="shared" si="534"/>
        <v>#N/A</v>
      </c>
      <c r="HX94" s="398" t="e">
        <f t="shared" si="601"/>
        <v>#N/A</v>
      </c>
      <c r="HY94" s="401" t="e">
        <f t="shared" si="602"/>
        <v>#N/A</v>
      </c>
      <c r="HZ94" s="399" t="e">
        <f t="shared" si="535"/>
        <v>#N/A</v>
      </c>
      <c r="IA94" s="47"/>
      <c r="IB94" s="49"/>
      <c r="IC94" s="396" t="e">
        <f t="shared" si="536"/>
        <v>#N/A</v>
      </c>
      <c r="ID94" s="397" t="e">
        <f t="shared" si="537"/>
        <v>#N/A</v>
      </c>
      <c r="IE94" s="400" t="e">
        <f t="shared" si="403"/>
        <v>#N/A</v>
      </c>
      <c r="IF94" s="398" t="e">
        <f t="shared" si="538"/>
        <v>#N/A</v>
      </c>
      <c r="IG94" s="402" t="e">
        <f t="shared" si="539"/>
        <v>#N/A</v>
      </c>
      <c r="IH94" s="398" t="e">
        <f t="shared" si="603"/>
        <v>#N/A</v>
      </c>
      <c r="II94" s="401" t="e">
        <f t="shared" si="604"/>
        <v>#N/A</v>
      </c>
      <c r="IJ94" s="399" t="e">
        <f t="shared" si="540"/>
        <v>#N/A</v>
      </c>
      <c r="IK94" s="47"/>
      <c r="IL94" s="47"/>
      <c r="IM94" s="396" t="e">
        <f t="shared" si="541"/>
        <v>#N/A</v>
      </c>
      <c r="IN94" s="397" t="e">
        <f t="shared" si="542"/>
        <v>#N/A</v>
      </c>
      <c r="IO94" s="400" t="e">
        <f t="shared" si="404"/>
        <v>#N/A</v>
      </c>
      <c r="IP94" s="398" t="e">
        <f t="shared" si="543"/>
        <v>#N/A</v>
      </c>
      <c r="IQ94" s="402" t="e">
        <f t="shared" si="544"/>
        <v>#N/A</v>
      </c>
      <c r="IR94" s="398" t="e">
        <f t="shared" si="605"/>
        <v>#N/A</v>
      </c>
      <c r="IS94" s="401" t="e">
        <f t="shared" si="606"/>
        <v>#N/A</v>
      </c>
      <c r="IT94" s="399" t="e">
        <f t="shared" si="545"/>
        <v>#N/A</v>
      </c>
      <c r="IU94" s="47"/>
      <c r="IV94" s="47"/>
      <c r="IW94" s="396" t="e">
        <f t="shared" si="405"/>
        <v>#N/A</v>
      </c>
      <c r="IX94" s="397" t="e">
        <f t="shared" si="406"/>
        <v>#N/A</v>
      </c>
      <c r="IY94" s="400" t="e">
        <f t="shared" si="407"/>
        <v>#N/A</v>
      </c>
      <c r="IZ94" s="398" t="e">
        <f t="shared" si="348"/>
        <v>#N/A</v>
      </c>
      <c r="JA94" s="402" t="e">
        <f t="shared" si="408"/>
        <v>#N/A</v>
      </c>
      <c r="JB94" s="398" t="e">
        <f t="shared" si="409"/>
        <v>#N/A</v>
      </c>
      <c r="JC94" s="401" t="e">
        <f t="shared" si="546"/>
        <v>#N/A</v>
      </c>
      <c r="JD94" s="399" t="e">
        <f t="shared" si="547"/>
        <v>#N/A</v>
      </c>
      <c r="JE94" s="47"/>
      <c r="JF94" s="47"/>
      <c r="JG94" s="396" t="e">
        <f t="shared" si="410"/>
        <v>#N/A</v>
      </c>
      <c r="JH94" s="397" t="e">
        <f t="shared" si="411"/>
        <v>#N/A</v>
      </c>
      <c r="JI94" s="400" t="e">
        <f t="shared" si="412"/>
        <v>#N/A</v>
      </c>
      <c r="JJ94" s="398" t="e">
        <f t="shared" si="349"/>
        <v>#N/A</v>
      </c>
      <c r="JK94" s="402" t="e">
        <f t="shared" si="413"/>
        <v>#N/A</v>
      </c>
      <c r="JL94" s="398" t="e">
        <f t="shared" si="414"/>
        <v>#N/A</v>
      </c>
      <c r="JM94" s="401" t="e">
        <f t="shared" si="548"/>
        <v>#N/A</v>
      </c>
      <c r="JN94" s="399" t="e">
        <f t="shared" si="549"/>
        <v>#N/A</v>
      </c>
      <c r="JO94" s="47"/>
      <c r="JP94" s="47"/>
      <c r="JQ94" s="396" t="e">
        <f t="shared" si="415"/>
        <v>#N/A</v>
      </c>
      <c r="JR94" s="397" t="e">
        <f t="shared" si="416"/>
        <v>#N/A</v>
      </c>
      <c r="JS94" s="400" t="e">
        <f t="shared" si="417"/>
        <v>#N/A</v>
      </c>
      <c r="JT94" s="398" t="e">
        <f t="shared" si="350"/>
        <v>#N/A</v>
      </c>
      <c r="JU94" s="402" t="e">
        <f t="shared" si="418"/>
        <v>#N/A</v>
      </c>
      <c r="JV94" s="398" t="e">
        <f t="shared" si="419"/>
        <v>#N/A</v>
      </c>
      <c r="JW94" s="401" t="e">
        <f t="shared" si="550"/>
        <v>#N/A</v>
      </c>
      <c r="JX94" s="399" t="e">
        <f t="shared" si="551"/>
        <v>#N/A</v>
      </c>
      <c r="JY94" s="47"/>
      <c r="JZ94" s="47"/>
      <c r="KA94" s="396" t="e">
        <f t="shared" si="420"/>
        <v>#N/A</v>
      </c>
      <c r="KB94" s="397" t="e">
        <f t="shared" si="421"/>
        <v>#N/A</v>
      </c>
      <c r="KC94" s="400" t="e">
        <f t="shared" si="422"/>
        <v>#N/A</v>
      </c>
      <c r="KD94" s="398" t="e">
        <f t="shared" si="351"/>
        <v>#N/A</v>
      </c>
      <c r="KE94" s="402" t="e">
        <f t="shared" si="423"/>
        <v>#N/A</v>
      </c>
      <c r="KF94" s="398" t="e">
        <f t="shared" si="424"/>
        <v>#N/A</v>
      </c>
      <c r="KG94" s="401" t="e">
        <f t="shared" si="552"/>
        <v>#N/A</v>
      </c>
      <c r="KH94" s="399" t="e">
        <f t="shared" si="553"/>
        <v>#N/A</v>
      </c>
      <c r="KI94" s="47"/>
      <c r="KJ94" s="47"/>
      <c r="KK94" s="396" t="e">
        <f t="shared" si="425"/>
        <v>#N/A</v>
      </c>
      <c r="KL94" s="397" t="e">
        <f t="shared" si="426"/>
        <v>#N/A</v>
      </c>
      <c r="KM94" s="400" t="e">
        <f t="shared" si="427"/>
        <v>#N/A</v>
      </c>
      <c r="KN94" s="398" t="e">
        <f t="shared" si="352"/>
        <v>#N/A</v>
      </c>
      <c r="KO94" s="402" t="e">
        <f t="shared" si="428"/>
        <v>#N/A</v>
      </c>
      <c r="KP94" s="398" t="e">
        <f t="shared" si="429"/>
        <v>#N/A</v>
      </c>
      <c r="KQ94" s="401" t="e">
        <f t="shared" si="554"/>
        <v>#N/A</v>
      </c>
      <c r="KR94" s="399" t="e">
        <f t="shared" si="555"/>
        <v>#N/A</v>
      </c>
      <c r="KS94" s="47"/>
      <c r="KT94" s="47"/>
      <c r="KU94" s="396" t="e">
        <f t="shared" si="556"/>
        <v>#N/A</v>
      </c>
      <c r="KV94" s="397" t="e">
        <f t="shared" si="557"/>
        <v>#N/A</v>
      </c>
      <c r="KW94" s="400" t="e">
        <f t="shared" si="430"/>
        <v>#N/A</v>
      </c>
      <c r="KX94" s="398" t="e">
        <f t="shared" si="558"/>
        <v>#N/A</v>
      </c>
      <c r="KY94" s="402" t="e">
        <f t="shared" si="559"/>
        <v>#N/A</v>
      </c>
      <c r="KZ94" s="398" t="e">
        <f t="shared" si="607"/>
        <v>#N/A</v>
      </c>
      <c r="LA94" s="401" t="e">
        <f t="shared" si="608"/>
        <v>#N/A</v>
      </c>
      <c r="LB94" s="399" t="e">
        <f t="shared" si="560"/>
        <v>#N/A</v>
      </c>
      <c r="LC94" s="47"/>
    </row>
    <row r="95" spans="26:315" x14ac:dyDescent="0.25">
      <c r="AA95" s="396" t="e">
        <f t="shared" si="431"/>
        <v>#N/A</v>
      </c>
      <c r="AB95" s="397" t="e">
        <f t="shared" si="432"/>
        <v>#N/A</v>
      </c>
      <c r="AC95" s="400" t="e">
        <f t="shared" si="382"/>
        <v>#N/A</v>
      </c>
      <c r="AD95" s="398" t="e">
        <f t="shared" si="433"/>
        <v>#N/A</v>
      </c>
      <c r="AE95" s="402" t="e">
        <f t="shared" si="609"/>
        <v>#N/A</v>
      </c>
      <c r="AF95" s="398" t="e">
        <f t="shared" si="561"/>
        <v>#N/A</v>
      </c>
      <c r="AG95" s="401" t="e">
        <f t="shared" si="562"/>
        <v>#N/A</v>
      </c>
      <c r="AH95" s="399" t="e">
        <f t="shared" si="435"/>
        <v>#N/A</v>
      </c>
      <c r="AI95" s="47"/>
      <c r="AJ95" s="47"/>
      <c r="AK95" s="396" t="e">
        <f t="shared" si="436"/>
        <v>#N/A</v>
      </c>
      <c r="AL95" s="397" t="e">
        <f t="shared" si="437"/>
        <v>#N/A</v>
      </c>
      <c r="AM95" s="400" t="e">
        <f t="shared" si="383"/>
        <v>#N/A</v>
      </c>
      <c r="AN95" s="398" t="e">
        <f t="shared" si="438"/>
        <v>#N/A</v>
      </c>
      <c r="AO95" s="402" t="e">
        <f t="shared" si="439"/>
        <v>#N/A</v>
      </c>
      <c r="AP95" s="398" t="e">
        <f t="shared" si="563"/>
        <v>#N/A</v>
      </c>
      <c r="AQ95" s="401" t="e">
        <f t="shared" si="564"/>
        <v>#N/A</v>
      </c>
      <c r="AR95" s="399" t="e">
        <f t="shared" si="440"/>
        <v>#N/A</v>
      </c>
      <c r="AS95" s="47"/>
      <c r="AT95" s="47"/>
      <c r="AU95" s="396" t="e">
        <f t="shared" si="441"/>
        <v>#N/A</v>
      </c>
      <c r="AV95" s="397" t="e">
        <f t="shared" si="442"/>
        <v>#N/A</v>
      </c>
      <c r="AW95" s="400" t="e">
        <f t="shared" si="384"/>
        <v>#N/A</v>
      </c>
      <c r="AX95" s="398" t="e">
        <f t="shared" si="443"/>
        <v>#N/A</v>
      </c>
      <c r="AY95" s="402" t="e">
        <f t="shared" si="444"/>
        <v>#N/A</v>
      </c>
      <c r="AZ95" s="398" t="e">
        <f t="shared" si="565"/>
        <v>#N/A</v>
      </c>
      <c r="BA95" s="401" t="e">
        <f t="shared" si="566"/>
        <v>#N/A</v>
      </c>
      <c r="BB95" s="399" t="e">
        <f t="shared" si="445"/>
        <v>#N/A</v>
      </c>
      <c r="BC95" s="47"/>
      <c r="BD95" s="47"/>
      <c r="BE95" s="396" t="e">
        <f t="shared" si="446"/>
        <v>#N/A</v>
      </c>
      <c r="BF95" s="397" t="e">
        <f t="shared" si="447"/>
        <v>#N/A</v>
      </c>
      <c r="BG95" s="400" t="e">
        <f t="shared" si="385"/>
        <v>#N/A</v>
      </c>
      <c r="BH95" s="398" t="e">
        <f t="shared" si="448"/>
        <v>#N/A</v>
      </c>
      <c r="BI95" s="402" t="e">
        <f t="shared" si="449"/>
        <v>#N/A</v>
      </c>
      <c r="BJ95" s="398" t="e">
        <f t="shared" si="567"/>
        <v>#N/A</v>
      </c>
      <c r="BK95" s="401" t="e">
        <f t="shared" si="568"/>
        <v>#N/A</v>
      </c>
      <c r="BL95" s="399" t="e">
        <f t="shared" si="450"/>
        <v>#N/A</v>
      </c>
      <c r="BM95" s="47"/>
      <c r="BN95" s="49"/>
      <c r="BO95" s="396" t="e">
        <f t="shared" si="451"/>
        <v>#N/A</v>
      </c>
      <c r="BP95" s="397" t="e">
        <f t="shared" si="452"/>
        <v>#N/A</v>
      </c>
      <c r="BQ95" s="400" t="e">
        <f t="shared" si="386"/>
        <v>#N/A</v>
      </c>
      <c r="BR95" s="398" t="e">
        <f t="shared" si="453"/>
        <v>#N/A</v>
      </c>
      <c r="BS95" s="402" t="e">
        <f t="shared" si="454"/>
        <v>#N/A</v>
      </c>
      <c r="BT95" s="398" t="e">
        <f t="shared" si="569"/>
        <v>#N/A</v>
      </c>
      <c r="BU95" s="401" t="e">
        <f t="shared" si="570"/>
        <v>#N/A</v>
      </c>
      <c r="BV95" s="399" t="e">
        <f t="shared" si="455"/>
        <v>#N/A</v>
      </c>
      <c r="BW95" s="47"/>
      <c r="BX95" s="47"/>
      <c r="BY95" s="396" t="e">
        <f t="shared" si="456"/>
        <v>#N/A</v>
      </c>
      <c r="BZ95" s="397" t="e">
        <f t="shared" si="457"/>
        <v>#N/A</v>
      </c>
      <c r="CA95" s="400" t="e">
        <f t="shared" si="387"/>
        <v>#N/A</v>
      </c>
      <c r="CB95" s="398" t="e">
        <f t="shared" si="458"/>
        <v>#N/A</v>
      </c>
      <c r="CC95" s="402" t="e">
        <f t="shared" si="459"/>
        <v>#N/A</v>
      </c>
      <c r="CD95" s="398" t="e">
        <f t="shared" si="571"/>
        <v>#N/A</v>
      </c>
      <c r="CE95" s="401" t="e">
        <f t="shared" si="572"/>
        <v>#N/A</v>
      </c>
      <c r="CF95" s="399" t="e">
        <f t="shared" si="460"/>
        <v>#N/A</v>
      </c>
      <c r="CG95" s="49"/>
      <c r="CH95" s="47"/>
      <c r="CI95" s="396" t="e">
        <f t="shared" si="461"/>
        <v>#N/A</v>
      </c>
      <c r="CJ95" s="397" t="e">
        <f t="shared" si="462"/>
        <v>#N/A</v>
      </c>
      <c r="CK95" s="400" t="e">
        <f t="shared" si="388"/>
        <v>#N/A</v>
      </c>
      <c r="CL95" s="398" t="e">
        <f t="shared" si="463"/>
        <v>#N/A</v>
      </c>
      <c r="CM95" s="402" t="e">
        <f t="shared" si="464"/>
        <v>#N/A</v>
      </c>
      <c r="CN95" s="398" t="e">
        <f t="shared" si="573"/>
        <v>#N/A</v>
      </c>
      <c r="CO95" s="401" t="e">
        <f t="shared" si="574"/>
        <v>#N/A</v>
      </c>
      <c r="CP95" s="399" t="e">
        <f t="shared" si="465"/>
        <v>#N/A</v>
      </c>
      <c r="CQ95" s="47"/>
      <c r="CS95" s="396" t="e">
        <f t="shared" si="466"/>
        <v>#N/A</v>
      </c>
      <c r="CT95" s="397" t="e">
        <f t="shared" si="467"/>
        <v>#N/A</v>
      </c>
      <c r="CU95" s="400" t="e">
        <f t="shared" si="389"/>
        <v>#N/A</v>
      </c>
      <c r="CV95" s="398" t="e">
        <f t="shared" si="468"/>
        <v>#N/A</v>
      </c>
      <c r="CW95" s="402" t="e">
        <f t="shared" si="469"/>
        <v>#N/A</v>
      </c>
      <c r="CX95" s="398" t="e">
        <f t="shared" si="575"/>
        <v>#N/A</v>
      </c>
      <c r="CY95" s="401" t="e">
        <f t="shared" si="576"/>
        <v>#N/A</v>
      </c>
      <c r="CZ95" s="399" t="e">
        <f t="shared" si="470"/>
        <v>#N/A</v>
      </c>
      <c r="DA95" s="47"/>
      <c r="DB95" s="47"/>
      <c r="DC95" s="396" t="e">
        <f t="shared" si="471"/>
        <v>#N/A</v>
      </c>
      <c r="DD95" s="397" t="e">
        <f t="shared" si="472"/>
        <v>#N/A</v>
      </c>
      <c r="DE95" s="400" t="e">
        <f t="shared" si="390"/>
        <v>#N/A</v>
      </c>
      <c r="DF95" s="398" t="e">
        <f t="shared" si="473"/>
        <v>#N/A</v>
      </c>
      <c r="DG95" s="402" t="e">
        <f t="shared" si="474"/>
        <v>#N/A</v>
      </c>
      <c r="DH95" s="398" t="e">
        <f t="shared" si="577"/>
        <v>#N/A</v>
      </c>
      <c r="DI95" s="401" t="e">
        <f t="shared" si="578"/>
        <v>#N/A</v>
      </c>
      <c r="DJ95" s="399" t="e">
        <f t="shared" si="475"/>
        <v>#N/A</v>
      </c>
      <c r="DK95" s="47"/>
      <c r="DM95" s="396" t="e">
        <f t="shared" si="476"/>
        <v>#N/A</v>
      </c>
      <c r="DN95" s="397" t="e">
        <f t="shared" si="477"/>
        <v>#N/A</v>
      </c>
      <c r="DO95" s="400" t="e">
        <f t="shared" si="391"/>
        <v>#N/A</v>
      </c>
      <c r="DP95" s="398" t="e">
        <f t="shared" si="478"/>
        <v>#N/A</v>
      </c>
      <c r="DQ95" s="402" t="e">
        <f t="shared" si="479"/>
        <v>#N/A</v>
      </c>
      <c r="DR95" s="398" t="e">
        <f t="shared" si="579"/>
        <v>#N/A</v>
      </c>
      <c r="DS95" s="401" t="e">
        <f t="shared" si="580"/>
        <v>#N/A</v>
      </c>
      <c r="DT95" s="399" t="e">
        <f t="shared" si="480"/>
        <v>#N/A</v>
      </c>
      <c r="DU95" s="47"/>
      <c r="DV95" s="49"/>
      <c r="DW95" s="396" t="e">
        <f t="shared" si="481"/>
        <v>#N/A</v>
      </c>
      <c r="DX95" s="397" t="e">
        <f t="shared" si="482"/>
        <v>#N/A</v>
      </c>
      <c r="DY95" s="400" t="e">
        <f t="shared" si="392"/>
        <v>#N/A</v>
      </c>
      <c r="DZ95" s="398" t="e">
        <f t="shared" si="483"/>
        <v>#N/A</v>
      </c>
      <c r="EA95" s="402" t="e">
        <f t="shared" si="484"/>
        <v>#N/A</v>
      </c>
      <c r="EB95" s="398" t="e">
        <f t="shared" si="581"/>
        <v>#N/A</v>
      </c>
      <c r="EC95" s="401" t="e">
        <f t="shared" si="582"/>
        <v>#N/A</v>
      </c>
      <c r="ED95" s="399" t="e">
        <f t="shared" si="485"/>
        <v>#N/A</v>
      </c>
      <c r="EE95" s="47"/>
      <c r="EF95" s="47"/>
      <c r="EG95" s="396" t="e">
        <f t="shared" si="486"/>
        <v>#N/A</v>
      </c>
      <c r="EH95" s="397" t="e">
        <f t="shared" si="487"/>
        <v>#N/A</v>
      </c>
      <c r="EI95" s="400" t="e">
        <f t="shared" si="393"/>
        <v>#N/A</v>
      </c>
      <c r="EJ95" s="398" t="e">
        <f t="shared" si="488"/>
        <v>#N/A</v>
      </c>
      <c r="EK95" s="402" t="e">
        <f t="shared" si="489"/>
        <v>#N/A</v>
      </c>
      <c r="EL95" s="398" t="e">
        <f t="shared" si="583"/>
        <v>#N/A</v>
      </c>
      <c r="EM95" s="401" t="e">
        <f t="shared" si="584"/>
        <v>#N/A</v>
      </c>
      <c r="EN95" s="399" t="e">
        <f t="shared" si="490"/>
        <v>#N/A</v>
      </c>
      <c r="EO95" s="47"/>
      <c r="EP95" s="47"/>
      <c r="EQ95" s="396" t="e">
        <f t="shared" si="491"/>
        <v>#N/A</v>
      </c>
      <c r="ER95" s="397" t="e">
        <f t="shared" si="492"/>
        <v>#N/A</v>
      </c>
      <c r="ES95" s="400" t="e">
        <f t="shared" si="394"/>
        <v>#N/A</v>
      </c>
      <c r="ET95" s="398" t="e">
        <f t="shared" si="493"/>
        <v>#N/A</v>
      </c>
      <c r="EU95" s="402" t="e">
        <f t="shared" si="494"/>
        <v>#N/A</v>
      </c>
      <c r="EV95" s="398" t="e">
        <f t="shared" si="585"/>
        <v>#N/A</v>
      </c>
      <c r="EW95" s="401" t="e">
        <f t="shared" si="586"/>
        <v>#N/A</v>
      </c>
      <c r="EX95" s="399" t="e">
        <f t="shared" si="495"/>
        <v>#N/A</v>
      </c>
      <c r="EY95" s="47"/>
      <c r="EZ95" s="47"/>
      <c r="FA95" s="396" t="e">
        <f t="shared" si="496"/>
        <v>#N/A</v>
      </c>
      <c r="FB95" s="397" t="e">
        <f t="shared" si="497"/>
        <v>#N/A</v>
      </c>
      <c r="FC95" s="400" t="e">
        <f t="shared" si="395"/>
        <v>#N/A</v>
      </c>
      <c r="FD95" s="398" t="e">
        <f t="shared" si="498"/>
        <v>#N/A</v>
      </c>
      <c r="FE95" s="402" t="e">
        <f t="shared" si="499"/>
        <v>#N/A</v>
      </c>
      <c r="FF95" s="398" t="e">
        <f t="shared" si="587"/>
        <v>#N/A</v>
      </c>
      <c r="FG95" s="401" t="e">
        <f t="shared" si="588"/>
        <v>#N/A</v>
      </c>
      <c r="FH95" s="399" t="e">
        <f t="shared" si="500"/>
        <v>#N/A</v>
      </c>
      <c r="FI95" s="47"/>
      <c r="FJ95" s="49"/>
      <c r="FK95" s="396" t="e">
        <f t="shared" si="501"/>
        <v>#N/A</v>
      </c>
      <c r="FL95" s="397" t="e">
        <f t="shared" si="502"/>
        <v>#N/A</v>
      </c>
      <c r="FM95" s="400" t="e">
        <f t="shared" si="396"/>
        <v>#N/A</v>
      </c>
      <c r="FN95" s="398" t="e">
        <f t="shared" si="503"/>
        <v>#N/A</v>
      </c>
      <c r="FO95" s="402" t="e">
        <f t="shared" si="504"/>
        <v>#N/A</v>
      </c>
      <c r="FP95" s="398" t="e">
        <f t="shared" si="589"/>
        <v>#N/A</v>
      </c>
      <c r="FQ95" s="401" t="e">
        <f t="shared" si="590"/>
        <v>#N/A</v>
      </c>
      <c r="FR95" s="399" t="e">
        <f t="shared" si="505"/>
        <v>#N/A</v>
      </c>
      <c r="FS95" s="47"/>
      <c r="FT95" s="47"/>
      <c r="FU95" s="396" t="e">
        <f t="shared" si="506"/>
        <v>#N/A</v>
      </c>
      <c r="FV95" s="397" t="e">
        <f t="shared" si="507"/>
        <v>#N/A</v>
      </c>
      <c r="FW95" s="400" t="e">
        <f t="shared" si="397"/>
        <v>#N/A</v>
      </c>
      <c r="FX95" s="398" t="e">
        <f t="shared" si="508"/>
        <v>#N/A</v>
      </c>
      <c r="FY95" s="402" t="e">
        <f t="shared" si="509"/>
        <v>#N/A</v>
      </c>
      <c r="FZ95" s="398" t="e">
        <f t="shared" si="591"/>
        <v>#N/A</v>
      </c>
      <c r="GA95" s="401" t="e">
        <f t="shared" si="592"/>
        <v>#N/A</v>
      </c>
      <c r="GB95" s="399" t="e">
        <f t="shared" si="510"/>
        <v>#N/A</v>
      </c>
      <c r="GC95" s="47"/>
      <c r="GD95" s="47"/>
      <c r="GE95" s="396" t="e">
        <f t="shared" si="511"/>
        <v>#N/A</v>
      </c>
      <c r="GF95" s="397" t="e">
        <f t="shared" si="512"/>
        <v>#N/A</v>
      </c>
      <c r="GG95" s="400" t="e">
        <f t="shared" si="398"/>
        <v>#N/A</v>
      </c>
      <c r="GH95" s="398" t="e">
        <f t="shared" si="513"/>
        <v>#N/A</v>
      </c>
      <c r="GI95" s="402" t="e">
        <f t="shared" si="514"/>
        <v>#N/A</v>
      </c>
      <c r="GJ95" s="398" t="e">
        <f t="shared" si="593"/>
        <v>#N/A</v>
      </c>
      <c r="GK95" s="401" t="e">
        <f t="shared" si="594"/>
        <v>#N/A</v>
      </c>
      <c r="GL95" s="399" t="e">
        <f t="shared" si="515"/>
        <v>#N/A</v>
      </c>
      <c r="GM95" s="47"/>
      <c r="GN95" s="47"/>
      <c r="GO95" s="396" t="e">
        <f t="shared" si="516"/>
        <v>#N/A</v>
      </c>
      <c r="GP95" s="397" t="e">
        <f t="shared" si="517"/>
        <v>#N/A</v>
      </c>
      <c r="GQ95" s="400" t="e">
        <f t="shared" si="399"/>
        <v>#N/A</v>
      </c>
      <c r="GR95" s="398" t="e">
        <f t="shared" si="518"/>
        <v>#N/A</v>
      </c>
      <c r="GS95" s="402" t="e">
        <f t="shared" si="519"/>
        <v>#N/A</v>
      </c>
      <c r="GT95" s="398" t="e">
        <f t="shared" si="595"/>
        <v>#N/A</v>
      </c>
      <c r="GU95" s="401" t="e">
        <f t="shared" si="596"/>
        <v>#N/A</v>
      </c>
      <c r="GV95" s="399" t="e">
        <f t="shared" si="520"/>
        <v>#N/A</v>
      </c>
      <c r="GW95" s="47"/>
      <c r="GX95" s="47"/>
      <c r="GY95" s="396" t="e">
        <f t="shared" si="521"/>
        <v>#N/A</v>
      </c>
      <c r="GZ95" s="397" t="e">
        <f t="shared" si="522"/>
        <v>#N/A</v>
      </c>
      <c r="HA95" s="400" t="e">
        <f t="shared" si="400"/>
        <v>#N/A</v>
      </c>
      <c r="HB95" s="398" t="e">
        <f t="shared" si="523"/>
        <v>#N/A</v>
      </c>
      <c r="HC95" s="402" t="e">
        <f t="shared" si="524"/>
        <v>#N/A</v>
      </c>
      <c r="HD95" s="398" t="e">
        <f t="shared" si="597"/>
        <v>#N/A</v>
      </c>
      <c r="HE95" s="401" t="e">
        <f t="shared" si="598"/>
        <v>#N/A</v>
      </c>
      <c r="HF95" s="399" t="e">
        <f t="shared" si="525"/>
        <v>#N/A</v>
      </c>
      <c r="HH95" s="47"/>
      <c r="HI95" s="396" t="e">
        <f t="shared" si="526"/>
        <v>#N/A</v>
      </c>
      <c r="HJ95" s="397" t="e">
        <f t="shared" si="527"/>
        <v>#N/A</v>
      </c>
      <c r="HK95" s="400" t="e">
        <f t="shared" si="401"/>
        <v>#N/A</v>
      </c>
      <c r="HL95" s="398" t="e">
        <f t="shared" si="528"/>
        <v>#N/A</v>
      </c>
      <c r="HM95" s="402" t="e">
        <f t="shared" si="529"/>
        <v>#N/A</v>
      </c>
      <c r="HN95" s="398" t="e">
        <f t="shared" si="599"/>
        <v>#N/A</v>
      </c>
      <c r="HO95" s="401" t="e">
        <f t="shared" si="600"/>
        <v>#N/A</v>
      </c>
      <c r="HP95" s="399" t="e">
        <f t="shared" si="530"/>
        <v>#N/A</v>
      </c>
      <c r="HQ95" s="47"/>
      <c r="HR95" s="47"/>
      <c r="HS95" s="396" t="e">
        <f t="shared" si="531"/>
        <v>#N/A</v>
      </c>
      <c r="HT95" s="397" t="e">
        <f t="shared" si="532"/>
        <v>#N/A</v>
      </c>
      <c r="HU95" s="400" t="e">
        <f t="shared" si="402"/>
        <v>#N/A</v>
      </c>
      <c r="HV95" s="398" t="e">
        <f t="shared" si="533"/>
        <v>#N/A</v>
      </c>
      <c r="HW95" s="402" t="e">
        <f t="shared" si="534"/>
        <v>#N/A</v>
      </c>
      <c r="HX95" s="398" t="e">
        <f t="shared" si="601"/>
        <v>#N/A</v>
      </c>
      <c r="HY95" s="401" t="e">
        <f t="shared" si="602"/>
        <v>#N/A</v>
      </c>
      <c r="HZ95" s="399" t="e">
        <f t="shared" si="535"/>
        <v>#N/A</v>
      </c>
      <c r="IA95" s="47"/>
      <c r="IB95" s="49"/>
      <c r="IC95" s="396" t="e">
        <f t="shared" si="536"/>
        <v>#N/A</v>
      </c>
      <c r="ID95" s="397" t="e">
        <f t="shared" si="537"/>
        <v>#N/A</v>
      </c>
      <c r="IE95" s="400" t="e">
        <f t="shared" si="403"/>
        <v>#N/A</v>
      </c>
      <c r="IF95" s="398" t="e">
        <f t="shared" si="538"/>
        <v>#N/A</v>
      </c>
      <c r="IG95" s="402" t="e">
        <f t="shared" si="539"/>
        <v>#N/A</v>
      </c>
      <c r="IH95" s="398" t="e">
        <f t="shared" si="603"/>
        <v>#N/A</v>
      </c>
      <c r="II95" s="401" t="e">
        <f t="shared" si="604"/>
        <v>#N/A</v>
      </c>
      <c r="IJ95" s="399" t="e">
        <f t="shared" si="540"/>
        <v>#N/A</v>
      </c>
      <c r="IK95" s="47"/>
      <c r="IL95" s="47"/>
      <c r="IM95" s="396" t="e">
        <f t="shared" si="541"/>
        <v>#N/A</v>
      </c>
      <c r="IN95" s="397" t="e">
        <f t="shared" si="542"/>
        <v>#N/A</v>
      </c>
      <c r="IO95" s="400" t="e">
        <f t="shared" si="404"/>
        <v>#N/A</v>
      </c>
      <c r="IP95" s="398" t="e">
        <f t="shared" si="543"/>
        <v>#N/A</v>
      </c>
      <c r="IQ95" s="402" t="e">
        <f t="shared" si="544"/>
        <v>#N/A</v>
      </c>
      <c r="IR95" s="398" t="e">
        <f t="shared" si="605"/>
        <v>#N/A</v>
      </c>
      <c r="IS95" s="401" t="e">
        <f t="shared" si="606"/>
        <v>#N/A</v>
      </c>
      <c r="IT95" s="399" t="e">
        <f t="shared" si="545"/>
        <v>#N/A</v>
      </c>
      <c r="IU95" s="47"/>
      <c r="IV95" s="47"/>
      <c r="IW95" s="396" t="e">
        <f t="shared" si="405"/>
        <v>#N/A</v>
      </c>
      <c r="IX95" s="397" t="e">
        <f t="shared" si="406"/>
        <v>#N/A</v>
      </c>
      <c r="IY95" s="400" t="e">
        <f t="shared" si="407"/>
        <v>#N/A</v>
      </c>
      <c r="IZ95" s="398" t="e">
        <f t="shared" si="348"/>
        <v>#N/A</v>
      </c>
      <c r="JA95" s="402" t="e">
        <f t="shared" si="408"/>
        <v>#N/A</v>
      </c>
      <c r="JB95" s="398" t="e">
        <f t="shared" si="409"/>
        <v>#N/A</v>
      </c>
      <c r="JC95" s="401" t="e">
        <f t="shared" si="546"/>
        <v>#N/A</v>
      </c>
      <c r="JD95" s="399" t="e">
        <f t="shared" si="547"/>
        <v>#N/A</v>
      </c>
      <c r="JE95" s="47"/>
      <c r="JF95" s="47"/>
      <c r="JG95" s="396" t="e">
        <f t="shared" si="410"/>
        <v>#N/A</v>
      </c>
      <c r="JH95" s="397" t="e">
        <f t="shared" si="411"/>
        <v>#N/A</v>
      </c>
      <c r="JI95" s="400" t="e">
        <f t="shared" si="412"/>
        <v>#N/A</v>
      </c>
      <c r="JJ95" s="398" t="e">
        <f t="shared" si="349"/>
        <v>#N/A</v>
      </c>
      <c r="JK95" s="402" t="e">
        <f t="shared" si="413"/>
        <v>#N/A</v>
      </c>
      <c r="JL95" s="398" t="e">
        <f t="shared" si="414"/>
        <v>#N/A</v>
      </c>
      <c r="JM95" s="401" t="e">
        <f t="shared" si="548"/>
        <v>#N/A</v>
      </c>
      <c r="JN95" s="399" t="e">
        <f t="shared" si="549"/>
        <v>#N/A</v>
      </c>
      <c r="JO95" s="47"/>
      <c r="JP95" s="47"/>
      <c r="JQ95" s="396" t="e">
        <f t="shared" si="415"/>
        <v>#N/A</v>
      </c>
      <c r="JR95" s="397" t="e">
        <f t="shared" si="416"/>
        <v>#N/A</v>
      </c>
      <c r="JS95" s="400" t="e">
        <f t="shared" si="417"/>
        <v>#N/A</v>
      </c>
      <c r="JT95" s="398" t="e">
        <f t="shared" si="350"/>
        <v>#N/A</v>
      </c>
      <c r="JU95" s="402" t="e">
        <f t="shared" si="418"/>
        <v>#N/A</v>
      </c>
      <c r="JV95" s="398" t="e">
        <f t="shared" si="419"/>
        <v>#N/A</v>
      </c>
      <c r="JW95" s="401" t="e">
        <f t="shared" si="550"/>
        <v>#N/A</v>
      </c>
      <c r="JX95" s="399" t="e">
        <f t="shared" si="551"/>
        <v>#N/A</v>
      </c>
      <c r="JY95" s="47"/>
      <c r="JZ95" s="47"/>
      <c r="KA95" s="396" t="e">
        <f t="shared" si="420"/>
        <v>#N/A</v>
      </c>
      <c r="KB95" s="397" t="e">
        <f t="shared" si="421"/>
        <v>#N/A</v>
      </c>
      <c r="KC95" s="400" t="e">
        <f t="shared" si="422"/>
        <v>#N/A</v>
      </c>
      <c r="KD95" s="398" t="e">
        <f t="shared" si="351"/>
        <v>#N/A</v>
      </c>
      <c r="KE95" s="402" t="e">
        <f t="shared" si="423"/>
        <v>#N/A</v>
      </c>
      <c r="KF95" s="398" t="e">
        <f t="shared" si="424"/>
        <v>#N/A</v>
      </c>
      <c r="KG95" s="401" t="e">
        <f t="shared" si="552"/>
        <v>#N/A</v>
      </c>
      <c r="KH95" s="399" t="e">
        <f t="shared" si="553"/>
        <v>#N/A</v>
      </c>
      <c r="KI95" s="47"/>
      <c r="KJ95" s="47"/>
      <c r="KK95" s="396" t="e">
        <f t="shared" si="425"/>
        <v>#N/A</v>
      </c>
      <c r="KL95" s="397" t="e">
        <f t="shared" si="426"/>
        <v>#N/A</v>
      </c>
      <c r="KM95" s="400" t="e">
        <f t="shared" si="427"/>
        <v>#N/A</v>
      </c>
      <c r="KN95" s="398" t="e">
        <f t="shared" si="352"/>
        <v>#N/A</v>
      </c>
      <c r="KO95" s="402" t="e">
        <f t="shared" si="428"/>
        <v>#N/A</v>
      </c>
      <c r="KP95" s="398" t="e">
        <f t="shared" si="429"/>
        <v>#N/A</v>
      </c>
      <c r="KQ95" s="401" t="e">
        <f t="shared" si="554"/>
        <v>#N/A</v>
      </c>
      <c r="KR95" s="399" t="e">
        <f t="shared" si="555"/>
        <v>#N/A</v>
      </c>
      <c r="KS95" s="47"/>
      <c r="KT95" s="47"/>
      <c r="KU95" s="396" t="e">
        <f t="shared" si="556"/>
        <v>#N/A</v>
      </c>
      <c r="KV95" s="397" t="e">
        <f t="shared" si="557"/>
        <v>#N/A</v>
      </c>
      <c r="KW95" s="400" t="e">
        <f t="shared" si="430"/>
        <v>#N/A</v>
      </c>
      <c r="KX95" s="398" t="e">
        <f t="shared" si="558"/>
        <v>#N/A</v>
      </c>
      <c r="KY95" s="402" t="e">
        <f t="shared" si="559"/>
        <v>#N/A</v>
      </c>
      <c r="KZ95" s="398" t="e">
        <f t="shared" si="607"/>
        <v>#N/A</v>
      </c>
      <c r="LA95" s="401" t="e">
        <f t="shared" si="608"/>
        <v>#N/A</v>
      </c>
      <c r="LB95" s="399" t="e">
        <f t="shared" si="560"/>
        <v>#N/A</v>
      </c>
      <c r="LC95" s="47"/>
    </row>
    <row r="96" spans="26:315" x14ac:dyDescent="0.25">
      <c r="AA96" s="396" t="e">
        <f t="shared" si="431"/>
        <v>#N/A</v>
      </c>
      <c r="AB96" s="397" t="e">
        <f t="shared" si="432"/>
        <v>#N/A</v>
      </c>
      <c r="AC96" s="400" t="e">
        <f t="shared" si="382"/>
        <v>#N/A</v>
      </c>
      <c r="AD96" s="398" t="e">
        <f t="shared" si="433"/>
        <v>#N/A</v>
      </c>
      <c r="AE96" s="402" t="e">
        <f t="shared" si="609"/>
        <v>#N/A</v>
      </c>
      <c r="AF96" s="398" t="e">
        <f t="shared" si="561"/>
        <v>#N/A</v>
      </c>
      <c r="AG96" s="401" t="e">
        <f t="shared" si="562"/>
        <v>#N/A</v>
      </c>
      <c r="AH96" s="399" t="e">
        <f t="shared" si="435"/>
        <v>#N/A</v>
      </c>
      <c r="AI96" s="47"/>
      <c r="AJ96" s="47"/>
      <c r="AK96" s="396" t="e">
        <f t="shared" si="436"/>
        <v>#N/A</v>
      </c>
      <c r="AL96" s="397" t="e">
        <f t="shared" si="437"/>
        <v>#N/A</v>
      </c>
      <c r="AM96" s="400" t="e">
        <f t="shared" si="383"/>
        <v>#N/A</v>
      </c>
      <c r="AN96" s="398" t="e">
        <f t="shared" si="438"/>
        <v>#N/A</v>
      </c>
      <c r="AO96" s="402" t="e">
        <f t="shared" si="439"/>
        <v>#N/A</v>
      </c>
      <c r="AP96" s="398" t="e">
        <f t="shared" si="563"/>
        <v>#N/A</v>
      </c>
      <c r="AQ96" s="401" t="e">
        <f t="shared" si="564"/>
        <v>#N/A</v>
      </c>
      <c r="AR96" s="399" t="e">
        <f t="shared" si="440"/>
        <v>#N/A</v>
      </c>
      <c r="AS96" s="47"/>
      <c r="AT96" s="47"/>
      <c r="AU96" s="396" t="e">
        <f t="shared" si="441"/>
        <v>#N/A</v>
      </c>
      <c r="AV96" s="397" t="e">
        <f t="shared" si="442"/>
        <v>#N/A</v>
      </c>
      <c r="AW96" s="400" t="e">
        <f t="shared" si="384"/>
        <v>#N/A</v>
      </c>
      <c r="AX96" s="398" t="e">
        <f t="shared" si="443"/>
        <v>#N/A</v>
      </c>
      <c r="AY96" s="402" t="e">
        <f t="shared" si="444"/>
        <v>#N/A</v>
      </c>
      <c r="AZ96" s="398" t="e">
        <f t="shared" si="565"/>
        <v>#N/A</v>
      </c>
      <c r="BA96" s="401" t="e">
        <f t="shared" si="566"/>
        <v>#N/A</v>
      </c>
      <c r="BB96" s="399" t="e">
        <f t="shared" si="445"/>
        <v>#N/A</v>
      </c>
      <c r="BC96" s="47"/>
      <c r="BD96" s="47"/>
      <c r="BE96" s="396" t="e">
        <f t="shared" si="446"/>
        <v>#N/A</v>
      </c>
      <c r="BF96" s="397" t="e">
        <f t="shared" si="447"/>
        <v>#N/A</v>
      </c>
      <c r="BG96" s="400" t="e">
        <f t="shared" si="385"/>
        <v>#N/A</v>
      </c>
      <c r="BH96" s="398" t="e">
        <f t="shared" si="448"/>
        <v>#N/A</v>
      </c>
      <c r="BI96" s="402" t="e">
        <f t="shared" si="449"/>
        <v>#N/A</v>
      </c>
      <c r="BJ96" s="398" t="e">
        <f t="shared" si="567"/>
        <v>#N/A</v>
      </c>
      <c r="BK96" s="401" t="e">
        <f t="shared" si="568"/>
        <v>#N/A</v>
      </c>
      <c r="BL96" s="399" t="e">
        <f t="shared" si="450"/>
        <v>#N/A</v>
      </c>
      <c r="BM96" s="47"/>
      <c r="BN96" s="49"/>
      <c r="BO96" s="396" t="e">
        <f t="shared" si="451"/>
        <v>#N/A</v>
      </c>
      <c r="BP96" s="397" t="e">
        <f t="shared" si="452"/>
        <v>#N/A</v>
      </c>
      <c r="BQ96" s="400" t="e">
        <f t="shared" si="386"/>
        <v>#N/A</v>
      </c>
      <c r="BR96" s="398" t="e">
        <f t="shared" si="453"/>
        <v>#N/A</v>
      </c>
      <c r="BS96" s="402" t="e">
        <f t="shared" si="454"/>
        <v>#N/A</v>
      </c>
      <c r="BT96" s="398" t="e">
        <f t="shared" si="569"/>
        <v>#N/A</v>
      </c>
      <c r="BU96" s="401" t="e">
        <f t="shared" si="570"/>
        <v>#N/A</v>
      </c>
      <c r="BV96" s="399" t="e">
        <f t="shared" si="455"/>
        <v>#N/A</v>
      </c>
      <c r="BW96" s="47"/>
      <c r="BX96" s="47"/>
      <c r="BY96" s="396" t="e">
        <f t="shared" si="456"/>
        <v>#N/A</v>
      </c>
      <c r="BZ96" s="397" t="e">
        <f t="shared" si="457"/>
        <v>#N/A</v>
      </c>
      <c r="CA96" s="400" t="e">
        <f t="shared" si="387"/>
        <v>#N/A</v>
      </c>
      <c r="CB96" s="398" t="e">
        <f t="shared" si="458"/>
        <v>#N/A</v>
      </c>
      <c r="CC96" s="402" t="e">
        <f t="shared" si="459"/>
        <v>#N/A</v>
      </c>
      <c r="CD96" s="398" t="e">
        <f t="shared" si="571"/>
        <v>#N/A</v>
      </c>
      <c r="CE96" s="401" t="e">
        <f t="shared" si="572"/>
        <v>#N/A</v>
      </c>
      <c r="CF96" s="399" t="e">
        <f t="shared" si="460"/>
        <v>#N/A</v>
      </c>
      <c r="CG96" s="49"/>
      <c r="CH96" s="47"/>
      <c r="CI96" s="396" t="e">
        <f t="shared" si="461"/>
        <v>#N/A</v>
      </c>
      <c r="CJ96" s="397" t="e">
        <f t="shared" si="462"/>
        <v>#N/A</v>
      </c>
      <c r="CK96" s="400" t="e">
        <f t="shared" si="388"/>
        <v>#N/A</v>
      </c>
      <c r="CL96" s="398" t="e">
        <f t="shared" si="463"/>
        <v>#N/A</v>
      </c>
      <c r="CM96" s="402" t="e">
        <f t="shared" si="464"/>
        <v>#N/A</v>
      </c>
      <c r="CN96" s="398" t="e">
        <f t="shared" si="573"/>
        <v>#N/A</v>
      </c>
      <c r="CO96" s="401" t="e">
        <f t="shared" si="574"/>
        <v>#N/A</v>
      </c>
      <c r="CP96" s="399" t="e">
        <f t="shared" si="465"/>
        <v>#N/A</v>
      </c>
      <c r="CQ96" s="47"/>
      <c r="CS96" s="396" t="e">
        <f t="shared" si="466"/>
        <v>#N/A</v>
      </c>
      <c r="CT96" s="397" t="e">
        <f t="shared" si="467"/>
        <v>#N/A</v>
      </c>
      <c r="CU96" s="400" t="e">
        <f t="shared" si="389"/>
        <v>#N/A</v>
      </c>
      <c r="CV96" s="398" t="e">
        <f t="shared" si="468"/>
        <v>#N/A</v>
      </c>
      <c r="CW96" s="402" t="e">
        <f t="shared" si="469"/>
        <v>#N/A</v>
      </c>
      <c r="CX96" s="398" t="e">
        <f t="shared" si="575"/>
        <v>#N/A</v>
      </c>
      <c r="CY96" s="401" t="e">
        <f t="shared" si="576"/>
        <v>#N/A</v>
      </c>
      <c r="CZ96" s="399" t="e">
        <f t="shared" si="470"/>
        <v>#N/A</v>
      </c>
      <c r="DA96" s="47"/>
      <c r="DB96" s="47"/>
      <c r="DC96" s="396" t="e">
        <f t="shared" si="471"/>
        <v>#N/A</v>
      </c>
      <c r="DD96" s="397" t="e">
        <f t="shared" si="472"/>
        <v>#N/A</v>
      </c>
      <c r="DE96" s="400" t="e">
        <f t="shared" si="390"/>
        <v>#N/A</v>
      </c>
      <c r="DF96" s="398" t="e">
        <f t="shared" si="473"/>
        <v>#N/A</v>
      </c>
      <c r="DG96" s="402" t="e">
        <f t="shared" si="474"/>
        <v>#N/A</v>
      </c>
      <c r="DH96" s="398" t="e">
        <f t="shared" si="577"/>
        <v>#N/A</v>
      </c>
      <c r="DI96" s="401" t="e">
        <f t="shared" si="578"/>
        <v>#N/A</v>
      </c>
      <c r="DJ96" s="399" t="e">
        <f t="shared" si="475"/>
        <v>#N/A</v>
      </c>
      <c r="DK96" s="47"/>
      <c r="DM96" s="396" t="e">
        <f t="shared" si="476"/>
        <v>#N/A</v>
      </c>
      <c r="DN96" s="397" t="e">
        <f t="shared" si="477"/>
        <v>#N/A</v>
      </c>
      <c r="DO96" s="400" t="e">
        <f t="shared" si="391"/>
        <v>#N/A</v>
      </c>
      <c r="DP96" s="398" t="e">
        <f t="shared" si="478"/>
        <v>#N/A</v>
      </c>
      <c r="DQ96" s="402" t="e">
        <f t="shared" si="479"/>
        <v>#N/A</v>
      </c>
      <c r="DR96" s="398" t="e">
        <f t="shared" si="579"/>
        <v>#N/A</v>
      </c>
      <c r="DS96" s="401" t="e">
        <f t="shared" si="580"/>
        <v>#N/A</v>
      </c>
      <c r="DT96" s="399" t="e">
        <f t="shared" si="480"/>
        <v>#N/A</v>
      </c>
      <c r="DU96" s="47"/>
      <c r="DV96" s="49"/>
      <c r="DW96" s="396" t="e">
        <f t="shared" si="481"/>
        <v>#N/A</v>
      </c>
      <c r="DX96" s="397" t="e">
        <f t="shared" si="482"/>
        <v>#N/A</v>
      </c>
      <c r="DY96" s="400" t="e">
        <f t="shared" si="392"/>
        <v>#N/A</v>
      </c>
      <c r="DZ96" s="398" t="e">
        <f t="shared" si="483"/>
        <v>#N/A</v>
      </c>
      <c r="EA96" s="402" t="e">
        <f t="shared" si="484"/>
        <v>#N/A</v>
      </c>
      <c r="EB96" s="398" t="e">
        <f t="shared" si="581"/>
        <v>#N/A</v>
      </c>
      <c r="EC96" s="401" t="e">
        <f t="shared" si="582"/>
        <v>#N/A</v>
      </c>
      <c r="ED96" s="399" t="e">
        <f t="shared" si="485"/>
        <v>#N/A</v>
      </c>
      <c r="EE96" s="47"/>
      <c r="EF96" s="47"/>
      <c r="EG96" s="396" t="e">
        <f t="shared" si="486"/>
        <v>#N/A</v>
      </c>
      <c r="EH96" s="397" t="e">
        <f t="shared" si="487"/>
        <v>#N/A</v>
      </c>
      <c r="EI96" s="400" t="e">
        <f t="shared" si="393"/>
        <v>#N/A</v>
      </c>
      <c r="EJ96" s="398" t="e">
        <f t="shared" si="488"/>
        <v>#N/A</v>
      </c>
      <c r="EK96" s="402" t="e">
        <f t="shared" si="489"/>
        <v>#N/A</v>
      </c>
      <c r="EL96" s="398" t="e">
        <f t="shared" si="583"/>
        <v>#N/A</v>
      </c>
      <c r="EM96" s="401" t="e">
        <f t="shared" si="584"/>
        <v>#N/A</v>
      </c>
      <c r="EN96" s="399" t="e">
        <f t="shared" si="490"/>
        <v>#N/A</v>
      </c>
      <c r="EO96" s="47"/>
      <c r="EP96" s="47"/>
      <c r="EQ96" s="396" t="e">
        <f t="shared" si="491"/>
        <v>#N/A</v>
      </c>
      <c r="ER96" s="397" t="e">
        <f t="shared" si="492"/>
        <v>#N/A</v>
      </c>
      <c r="ES96" s="400" t="e">
        <f t="shared" si="394"/>
        <v>#N/A</v>
      </c>
      <c r="ET96" s="398" t="e">
        <f t="shared" si="493"/>
        <v>#N/A</v>
      </c>
      <c r="EU96" s="402" t="e">
        <f t="shared" si="494"/>
        <v>#N/A</v>
      </c>
      <c r="EV96" s="398" t="e">
        <f t="shared" si="585"/>
        <v>#N/A</v>
      </c>
      <c r="EW96" s="401" t="e">
        <f t="shared" si="586"/>
        <v>#N/A</v>
      </c>
      <c r="EX96" s="399" t="e">
        <f t="shared" si="495"/>
        <v>#N/A</v>
      </c>
      <c r="EY96" s="47"/>
      <c r="EZ96" s="47"/>
      <c r="FA96" s="396" t="e">
        <f t="shared" si="496"/>
        <v>#N/A</v>
      </c>
      <c r="FB96" s="397" t="e">
        <f t="shared" si="497"/>
        <v>#N/A</v>
      </c>
      <c r="FC96" s="400" t="e">
        <f t="shared" si="395"/>
        <v>#N/A</v>
      </c>
      <c r="FD96" s="398" t="e">
        <f t="shared" si="498"/>
        <v>#N/A</v>
      </c>
      <c r="FE96" s="402" t="e">
        <f t="shared" si="499"/>
        <v>#N/A</v>
      </c>
      <c r="FF96" s="398" t="e">
        <f t="shared" si="587"/>
        <v>#N/A</v>
      </c>
      <c r="FG96" s="401" t="e">
        <f t="shared" si="588"/>
        <v>#N/A</v>
      </c>
      <c r="FH96" s="399" t="e">
        <f t="shared" si="500"/>
        <v>#N/A</v>
      </c>
      <c r="FI96" s="47"/>
      <c r="FJ96" s="49"/>
      <c r="FK96" s="396" t="e">
        <f t="shared" si="501"/>
        <v>#N/A</v>
      </c>
      <c r="FL96" s="397" t="e">
        <f t="shared" si="502"/>
        <v>#N/A</v>
      </c>
      <c r="FM96" s="400" t="e">
        <f t="shared" si="396"/>
        <v>#N/A</v>
      </c>
      <c r="FN96" s="398" t="e">
        <f t="shared" si="503"/>
        <v>#N/A</v>
      </c>
      <c r="FO96" s="402" t="e">
        <f t="shared" si="504"/>
        <v>#N/A</v>
      </c>
      <c r="FP96" s="398" t="e">
        <f t="shared" si="589"/>
        <v>#N/A</v>
      </c>
      <c r="FQ96" s="401" t="e">
        <f t="shared" si="590"/>
        <v>#N/A</v>
      </c>
      <c r="FR96" s="399" t="e">
        <f t="shared" si="505"/>
        <v>#N/A</v>
      </c>
      <c r="FS96" s="47"/>
      <c r="FT96" s="47"/>
      <c r="FU96" s="396" t="e">
        <f t="shared" si="506"/>
        <v>#N/A</v>
      </c>
      <c r="FV96" s="397" t="e">
        <f t="shared" si="507"/>
        <v>#N/A</v>
      </c>
      <c r="FW96" s="400" t="e">
        <f t="shared" si="397"/>
        <v>#N/A</v>
      </c>
      <c r="FX96" s="398" t="e">
        <f t="shared" si="508"/>
        <v>#N/A</v>
      </c>
      <c r="FY96" s="402" t="e">
        <f t="shared" si="509"/>
        <v>#N/A</v>
      </c>
      <c r="FZ96" s="398" t="e">
        <f t="shared" si="591"/>
        <v>#N/A</v>
      </c>
      <c r="GA96" s="401" t="e">
        <f t="shared" si="592"/>
        <v>#N/A</v>
      </c>
      <c r="GB96" s="399" t="e">
        <f t="shared" si="510"/>
        <v>#N/A</v>
      </c>
      <c r="GC96" s="47"/>
      <c r="GD96" s="47"/>
      <c r="GE96" s="396" t="e">
        <f t="shared" si="511"/>
        <v>#N/A</v>
      </c>
      <c r="GF96" s="397" t="e">
        <f t="shared" si="512"/>
        <v>#N/A</v>
      </c>
      <c r="GG96" s="400" t="e">
        <f t="shared" si="398"/>
        <v>#N/A</v>
      </c>
      <c r="GH96" s="398" t="e">
        <f t="shared" si="513"/>
        <v>#N/A</v>
      </c>
      <c r="GI96" s="402" t="e">
        <f t="shared" si="514"/>
        <v>#N/A</v>
      </c>
      <c r="GJ96" s="398" t="e">
        <f t="shared" si="593"/>
        <v>#N/A</v>
      </c>
      <c r="GK96" s="401" t="e">
        <f t="shared" si="594"/>
        <v>#N/A</v>
      </c>
      <c r="GL96" s="399" t="e">
        <f t="shared" si="515"/>
        <v>#N/A</v>
      </c>
      <c r="GM96" s="47"/>
      <c r="GN96" s="47"/>
      <c r="GO96" s="396" t="e">
        <f t="shared" si="516"/>
        <v>#N/A</v>
      </c>
      <c r="GP96" s="397" t="e">
        <f t="shared" si="517"/>
        <v>#N/A</v>
      </c>
      <c r="GQ96" s="400" t="e">
        <f t="shared" si="399"/>
        <v>#N/A</v>
      </c>
      <c r="GR96" s="398" t="e">
        <f t="shared" si="518"/>
        <v>#N/A</v>
      </c>
      <c r="GS96" s="402" t="e">
        <f t="shared" si="519"/>
        <v>#N/A</v>
      </c>
      <c r="GT96" s="398" t="e">
        <f t="shared" si="595"/>
        <v>#N/A</v>
      </c>
      <c r="GU96" s="401" t="e">
        <f t="shared" si="596"/>
        <v>#N/A</v>
      </c>
      <c r="GV96" s="399" t="e">
        <f t="shared" si="520"/>
        <v>#N/A</v>
      </c>
      <c r="GW96" s="47"/>
      <c r="GX96" s="47"/>
      <c r="GY96" s="396" t="e">
        <f t="shared" si="521"/>
        <v>#N/A</v>
      </c>
      <c r="GZ96" s="397" t="e">
        <f t="shared" si="522"/>
        <v>#N/A</v>
      </c>
      <c r="HA96" s="400" t="e">
        <f t="shared" si="400"/>
        <v>#N/A</v>
      </c>
      <c r="HB96" s="398" t="e">
        <f t="shared" si="523"/>
        <v>#N/A</v>
      </c>
      <c r="HC96" s="402" t="e">
        <f t="shared" si="524"/>
        <v>#N/A</v>
      </c>
      <c r="HD96" s="398" t="e">
        <f t="shared" si="597"/>
        <v>#N/A</v>
      </c>
      <c r="HE96" s="401" t="e">
        <f t="shared" si="598"/>
        <v>#N/A</v>
      </c>
      <c r="HF96" s="399" t="e">
        <f t="shared" si="525"/>
        <v>#N/A</v>
      </c>
      <c r="HH96" s="47"/>
      <c r="HI96" s="396" t="e">
        <f t="shared" si="526"/>
        <v>#N/A</v>
      </c>
      <c r="HJ96" s="397" t="e">
        <f t="shared" si="527"/>
        <v>#N/A</v>
      </c>
      <c r="HK96" s="400" t="e">
        <f t="shared" si="401"/>
        <v>#N/A</v>
      </c>
      <c r="HL96" s="398" t="e">
        <f t="shared" si="528"/>
        <v>#N/A</v>
      </c>
      <c r="HM96" s="402" t="e">
        <f t="shared" si="529"/>
        <v>#N/A</v>
      </c>
      <c r="HN96" s="398" t="e">
        <f t="shared" si="599"/>
        <v>#N/A</v>
      </c>
      <c r="HO96" s="401" t="e">
        <f t="shared" si="600"/>
        <v>#N/A</v>
      </c>
      <c r="HP96" s="399" t="e">
        <f t="shared" si="530"/>
        <v>#N/A</v>
      </c>
      <c r="HQ96" s="47"/>
      <c r="HR96" s="47"/>
      <c r="HS96" s="396" t="e">
        <f t="shared" si="531"/>
        <v>#N/A</v>
      </c>
      <c r="HT96" s="397" t="e">
        <f t="shared" si="532"/>
        <v>#N/A</v>
      </c>
      <c r="HU96" s="400" t="e">
        <f t="shared" si="402"/>
        <v>#N/A</v>
      </c>
      <c r="HV96" s="398" t="e">
        <f t="shared" si="533"/>
        <v>#N/A</v>
      </c>
      <c r="HW96" s="402" t="e">
        <f t="shared" si="534"/>
        <v>#N/A</v>
      </c>
      <c r="HX96" s="398" t="e">
        <f t="shared" si="601"/>
        <v>#N/A</v>
      </c>
      <c r="HY96" s="401" t="e">
        <f t="shared" si="602"/>
        <v>#N/A</v>
      </c>
      <c r="HZ96" s="399" t="e">
        <f t="shared" si="535"/>
        <v>#N/A</v>
      </c>
      <c r="IA96" s="47"/>
      <c r="IB96" s="49"/>
      <c r="IC96" s="396" t="e">
        <f t="shared" si="536"/>
        <v>#N/A</v>
      </c>
      <c r="ID96" s="397" t="e">
        <f t="shared" si="537"/>
        <v>#N/A</v>
      </c>
      <c r="IE96" s="400" t="e">
        <f t="shared" si="403"/>
        <v>#N/A</v>
      </c>
      <c r="IF96" s="398" t="e">
        <f t="shared" si="538"/>
        <v>#N/A</v>
      </c>
      <c r="IG96" s="402" t="e">
        <f t="shared" si="539"/>
        <v>#N/A</v>
      </c>
      <c r="IH96" s="398" t="e">
        <f t="shared" si="603"/>
        <v>#N/A</v>
      </c>
      <c r="II96" s="401" t="e">
        <f t="shared" si="604"/>
        <v>#N/A</v>
      </c>
      <c r="IJ96" s="399" t="e">
        <f t="shared" si="540"/>
        <v>#N/A</v>
      </c>
      <c r="IK96" s="47"/>
      <c r="IL96" s="47"/>
      <c r="IM96" s="396" t="e">
        <f t="shared" si="541"/>
        <v>#N/A</v>
      </c>
      <c r="IN96" s="397" t="e">
        <f t="shared" si="542"/>
        <v>#N/A</v>
      </c>
      <c r="IO96" s="400" t="e">
        <f t="shared" si="404"/>
        <v>#N/A</v>
      </c>
      <c r="IP96" s="398" t="e">
        <f t="shared" si="543"/>
        <v>#N/A</v>
      </c>
      <c r="IQ96" s="402" t="e">
        <f t="shared" si="544"/>
        <v>#N/A</v>
      </c>
      <c r="IR96" s="398" t="e">
        <f t="shared" si="605"/>
        <v>#N/A</v>
      </c>
      <c r="IS96" s="401" t="e">
        <f t="shared" si="606"/>
        <v>#N/A</v>
      </c>
      <c r="IT96" s="399" t="e">
        <f t="shared" si="545"/>
        <v>#N/A</v>
      </c>
      <c r="IU96" s="47"/>
      <c r="IV96" s="47"/>
      <c r="IW96" s="396" t="e">
        <f t="shared" si="405"/>
        <v>#N/A</v>
      </c>
      <c r="IX96" s="397" t="e">
        <f t="shared" si="406"/>
        <v>#N/A</v>
      </c>
      <c r="IY96" s="400" t="e">
        <f t="shared" si="407"/>
        <v>#N/A</v>
      </c>
      <c r="IZ96" s="398" t="e">
        <f t="shared" si="348"/>
        <v>#N/A</v>
      </c>
      <c r="JA96" s="402" t="e">
        <f t="shared" si="408"/>
        <v>#N/A</v>
      </c>
      <c r="JB96" s="398" t="e">
        <f t="shared" si="409"/>
        <v>#N/A</v>
      </c>
      <c r="JC96" s="401" t="e">
        <f t="shared" si="546"/>
        <v>#N/A</v>
      </c>
      <c r="JD96" s="399" t="e">
        <f t="shared" si="547"/>
        <v>#N/A</v>
      </c>
      <c r="JE96" s="47"/>
      <c r="JF96" s="47"/>
      <c r="JG96" s="396" t="e">
        <f t="shared" si="410"/>
        <v>#N/A</v>
      </c>
      <c r="JH96" s="397" t="e">
        <f t="shared" si="411"/>
        <v>#N/A</v>
      </c>
      <c r="JI96" s="400" t="e">
        <f t="shared" si="412"/>
        <v>#N/A</v>
      </c>
      <c r="JJ96" s="398" t="e">
        <f t="shared" si="349"/>
        <v>#N/A</v>
      </c>
      <c r="JK96" s="402" t="e">
        <f t="shared" si="413"/>
        <v>#N/A</v>
      </c>
      <c r="JL96" s="398" t="e">
        <f t="shared" si="414"/>
        <v>#N/A</v>
      </c>
      <c r="JM96" s="401" t="e">
        <f t="shared" si="548"/>
        <v>#N/A</v>
      </c>
      <c r="JN96" s="399" t="e">
        <f t="shared" si="549"/>
        <v>#N/A</v>
      </c>
      <c r="JO96" s="47"/>
      <c r="JP96" s="47"/>
      <c r="JQ96" s="396" t="e">
        <f t="shared" si="415"/>
        <v>#N/A</v>
      </c>
      <c r="JR96" s="397" t="e">
        <f t="shared" si="416"/>
        <v>#N/A</v>
      </c>
      <c r="JS96" s="400" t="e">
        <f t="shared" si="417"/>
        <v>#N/A</v>
      </c>
      <c r="JT96" s="398" t="e">
        <f t="shared" si="350"/>
        <v>#N/A</v>
      </c>
      <c r="JU96" s="402" t="e">
        <f t="shared" si="418"/>
        <v>#N/A</v>
      </c>
      <c r="JV96" s="398" t="e">
        <f t="shared" si="419"/>
        <v>#N/A</v>
      </c>
      <c r="JW96" s="401" t="e">
        <f t="shared" si="550"/>
        <v>#N/A</v>
      </c>
      <c r="JX96" s="399" t="e">
        <f t="shared" si="551"/>
        <v>#N/A</v>
      </c>
      <c r="JY96" s="47"/>
      <c r="JZ96" s="47"/>
      <c r="KA96" s="396" t="e">
        <f t="shared" si="420"/>
        <v>#N/A</v>
      </c>
      <c r="KB96" s="397" t="e">
        <f t="shared" si="421"/>
        <v>#N/A</v>
      </c>
      <c r="KC96" s="400" t="e">
        <f t="shared" si="422"/>
        <v>#N/A</v>
      </c>
      <c r="KD96" s="398" t="e">
        <f t="shared" si="351"/>
        <v>#N/A</v>
      </c>
      <c r="KE96" s="402" t="e">
        <f t="shared" si="423"/>
        <v>#N/A</v>
      </c>
      <c r="KF96" s="398" t="e">
        <f t="shared" si="424"/>
        <v>#N/A</v>
      </c>
      <c r="KG96" s="401" t="e">
        <f t="shared" si="552"/>
        <v>#N/A</v>
      </c>
      <c r="KH96" s="399" t="e">
        <f t="shared" si="553"/>
        <v>#N/A</v>
      </c>
      <c r="KI96" s="47"/>
      <c r="KJ96" s="47"/>
      <c r="KK96" s="396" t="e">
        <f t="shared" si="425"/>
        <v>#N/A</v>
      </c>
      <c r="KL96" s="397" t="e">
        <f t="shared" si="426"/>
        <v>#N/A</v>
      </c>
      <c r="KM96" s="400" t="e">
        <f t="shared" si="427"/>
        <v>#N/A</v>
      </c>
      <c r="KN96" s="398" t="e">
        <f t="shared" si="352"/>
        <v>#N/A</v>
      </c>
      <c r="KO96" s="402" t="e">
        <f t="shared" si="428"/>
        <v>#N/A</v>
      </c>
      <c r="KP96" s="398" t="e">
        <f t="shared" si="429"/>
        <v>#N/A</v>
      </c>
      <c r="KQ96" s="401" t="e">
        <f t="shared" si="554"/>
        <v>#N/A</v>
      </c>
      <c r="KR96" s="399" t="e">
        <f t="shared" si="555"/>
        <v>#N/A</v>
      </c>
      <c r="KS96" s="47"/>
      <c r="KT96" s="47"/>
      <c r="KU96" s="396" t="e">
        <f t="shared" si="556"/>
        <v>#N/A</v>
      </c>
      <c r="KV96" s="397" t="e">
        <f t="shared" si="557"/>
        <v>#N/A</v>
      </c>
      <c r="KW96" s="400" t="e">
        <f t="shared" si="430"/>
        <v>#N/A</v>
      </c>
      <c r="KX96" s="398" t="e">
        <f t="shared" si="558"/>
        <v>#N/A</v>
      </c>
      <c r="KY96" s="402" t="e">
        <f t="shared" si="559"/>
        <v>#N/A</v>
      </c>
      <c r="KZ96" s="398" t="e">
        <f t="shared" si="607"/>
        <v>#N/A</v>
      </c>
      <c r="LA96" s="401" t="e">
        <f t="shared" si="608"/>
        <v>#N/A</v>
      </c>
      <c r="LB96" s="399" t="e">
        <f t="shared" si="560"/>
        <v>#N/A</v>
      </c>
      <c r="LC96" s="47"/>
    </row>
    <row r="97" spans="27:315" x14ac:dyDescent="0.25">
      <c r="AA97" s="396" t="e">
        <f t="shared" si="431"/>
        <v>#N/A</v>
      </c>
      <c r="AB97" s="397" t="e">
        <f t="shared" si="432"/>
        <v>#N/A</v>
      </c>
      <c r="AC97" s="400" t="e">
        <f t="shared" si="382"/>
        <v>#N/A</v>
      </c>
      <c r="AD97" s="398" t="e">
        <f t="shared" si="433"/>
        <v>#N/A</v>
      </c>
      <c r="AE97" s="402" t="e">
        <f t="shared" si="609"/>
        <v>#N/A</v>
      </c>
      <c r="AF97" s="398" t="e">
        <f t="shared" si="561"/>
        <v>#N/A</v>
      </c>
      <c r="AG97" s="401" t="e">
        <f t="shared" si="562"/>
        <v>#N/A</v>
      </c>
      <c r="AH97" s="399" t="e">
        <f t="shared" si="435"/>
        <v>#N/A</v>
      </c>
      <c r="AI97" s="47"/>
      <c r="AJ97" s="47"/>
      <c r="AK97" s="396" t="e">
        <f t="shared" si="436"/>
        <v>#N/A</v>
      </c>
      <c r="AL97" s="397" t="e">
        <f t="shared" si="437"/>
        <v>#N/A</v>
      </c>
      <c r="AM97" s="400" t="e">
        <f t="shared" si="383"/>
        <v>#N/A</v>
      </c>
      <c r="AN97" s="398" t="e">
        <f t="shared" si="438"/>
        <v>#N/A</v>
      </c>
      <c r="AO97" s="402" t="e">
        <f t="shared" si="439"/>
        <v>#N/A</v>
      </c>
      <c r="AP97" s="398" t="e">
        <f t="shared" si="563"/>
        <v>#N/A</v>
      </c>
      <c r="AQ97" s="401" t="e">
        <f t="shared" si="564"/>
        <v>#N/A</v>
      </c>
      <c r="AR97" s="399" t="e">
        <f t="shared" si="440"/>
        <v>#N/A</v>
      </c>
      <c r="AS97" s="47"/>
      <c r="AT97" s="47"/>
      <c r="AU97" s="396" t="e">
        <f t="shared" si="441"/>
        <v>#N/A</v>
      </c>
      <c r="AV97" s="397" t="e">
        <f t="shared" si="442"/>
        <v>#N/A</v>
      </c>
      <c r="AW97" s="400" t="e">
        <f t="shared" si="384"/>
        <v>#N/A</v>
      </c>
      <c r="AX97" s="398" t="e">
        <f t="shared" si="443"/>
        <v>#N/A</v>
      </c>
      <c r="AY97" s="402" t="e">
        <f t="shared" si="444"/>
        <v>#N/A</v>
      </c>
      <c r="AZ97" s="398" t="e">
        <f t="shared" si="565"/>
        <v>#N/A</v>
      </c>
      <c r="BA97" s="401" t="e">
        <f t="shared" si="566"/>
        <v>#N/A</v>
      </c>
      <c r="BB97" s="399" t="e">
        <f t="shared" si="445"/>
        <v>#N/A</v>
      </c>
      <c r="BC97" s="47"/>
      <c r="BD97" s="47"/>
      <c r="BE97" s="396" t="e">
        <f t="shared" si="446"/>
        <v>#N/A</v>
      </c>
      <c r="BF97" s="397" t="e">
        <f t="shared" si="447"/>
        <v>#N/A</v>
      </c>
      <c r="BG97" s="400" t="e">
        <f t="shared" si="385"/>
        <v>#N/A</v>
      </c>
      <c r="BH97" s="398" t="e">
        <f t="shared" si="448"/>
        <v>#N/A</v>
      </c>
      <c r="BI97" s="402" t="e">
        <f t="shared" si="449"/>
        <v>#N/A</v>
      </c>
      <c r="BJ97" s="398" t="e">
        <f t="shared" si="567"/>
        <v>#N/A</v>
      </c>
      <c r="BK97" s="401" t="e">
        <f t="shared" si="568"/>
        <v>#N/A</v>
      </c>
      <c r="BL97" s="399" t="e">
        <f t="shared" si="450"/>
        <v>#N/A</v>
      </c>
      <c r="BM97" s="47"/>
      <c r="BN97" s="49"/>
      <c r="BO97" s="396" t="e">
        <f t="shared" si="451"/>
        <v>#N/A</v>
      </c>
      <c r="BP97" s="397" t="e">
        <f t="shared" si="452"/>
        <v>#N/A</v>
      </c>
      <c r="BQ97" s="400" t="e">
        <f t="shared" si="386"/>
        <v>#N/A</v>
      </c>
      <c r="BR97" s="398" t="e">
        <f t="shared" si="453"/>
        <v>#N/A</v>
      </c>
      <c r="BS97" s="402" t="e">
        <f t="shared" si="454"/>
        <v>#N/A</v>
      </c>
      <c r="BT97" s="398" t="e">
        <f t="shared" si="569"/>
        <v>#N/A</v>
      </c>
      <c r="BU97" s="401" t="e">
        <f t="shared" si="570"/>
        <v>#N/A</v>
      </c>
      <c r="BV97" s="399" t="e">
        <f t="shared" si="455"/>
        <v>#N/A</v>
      </c>
      <c r="BW97" s="47"/>
      <c r="BX97" s="47"/>
      <c r="BY97" s="396" t="e">
        <f t="shared" si="456"/>
        <v>#N/A</v>
      </c>
      <c r="BZ97" s="397" t="e">
        <f t="shared" si="457"/>
        <v>#N/A</v>
      </c>
      <c r="CA97" s="400" t="e">
        <f t="shared" si="387"/>
        <v>#N/A</v>
      </c>
      <c r="CB97" s="398" t="e">
        <f t="shared" si="458"/>
        <v>#N/A</v>
      </c>
      <c r="CC97" s="402" t="e">
        <f t="shared" si="459"/>
        <v>#N/A</v>
      </c>
      <c r="CD97" s="398" t="e">
        <f t="shared" si="571"/>
        <v>#N/A</v>
      </c>
      <c r="CE97" s="401" t="e">
        <f t="shared" si="572"/>
        <v>#N/A</v>
      </c>
      <c r="CF97" s="399" t="e">
        <f t="shared" si="460"/>
        <v>#N/A</v>
      </c>
      <c r="CG97" s="49"/>
      <c r="CH97" s="47"/>
      <c r="CI97" s="396" t="e">
        <f t="shared" si="461"/>
        <v>#N/A</v>
      </c>
      <c r="CJ97" s="397" t="e">
        <f t="shared" si="462"/>
        <v>#N/A</v>
      </c>
      <c r="CK97" s="400" t="e">
        <f t="shared" si="388"/>
        <v>#N/A</v>
      </c>
      <c r="CL97" s="398" t="e">
        <f t="shared" si="463"/>
        <v>#N/A</v>
      </c>
      <c r="CM97" s="402" t="e">
        <f t="shared" si="464"/>
        <v>#N/A</v>
      </c>
      <c r="CN97" s="398" t="e">
        <f t="shared" si="573"/>
        <v>#N/A</v>
      </c>
      <c r="CO97" s="401" t="e">
        <f t="shared" si="574"/>
        <v>#N/A</v>
      </c>
      <c r="CP97" s="399" t="e">
        <f t="shared" si="465"/>
        <v>#N/A</v>
      </c>
      <c r="CQ97" s="47"/>
      <c r="CS97" s="396" t="e">
        <f t="shared" si="466"/>
        <v>#N/A</v>
      </c>
      <c r="CT97" s="397" t="e">
        <f t="shared" si="467"/>
        <v>#N/A</v>
      </c>
      <c r="CU97" s="400" t="e">
        <f t="shared" si="389"/>
        <v>#N/A</v>
      </c>
      <c r="CV97" s="398" t="e">
        <f t="shared" si="468"/>
        <v>#N/A</v>
      </c>
      <c r="CW97" s="402" t="e">
        <f t="shared" si="469"/>
        <v>#N/A</v>
      </c>
      <c r="CX97" s="398" t="e">
        <f t="shared" si="575"/>
        <v>#N/A</v>
      </c>
      <c r="CY97" s="401" t="e">
        <f t="shared" si="576"/>
        <v>#N/A</v>
      </c>
      <c r="CZ97" s="399" t="e">
        <f t="shared" si="470"/>
        <v>#N/A</v>
      </c>
      <c r="DA97" s="47"/>
      <c r="DB97" s="47"/>
      <c r="DC97" s="396" t="e">
        <f t="shared" si="471"/>
        <v>#N/A</v>
      </c>
      <c r="DD97" s="397" t="e">
        <f t="shared" si="472"/>
        <v>#N/A</v>
      </c>
      <c r="DE97" s="400" t="e">
        <f t="shared" si="390"/>
        <v>#N/A</v>
      </c>
      <c r="DF97" s="398" t="e">
        <f t="shared" si="473"/>
        <v>#N/A</v>
      </c>
      <c r="DG97" s="402" t="e">
        <f t="shared" si="474"/>
        <v>#N/A</v>
      </c>
      <c r="DH97" s="398" t="e">
        <f t="shared" si="577"/>
        <v>#N/A</v>
      </c>
      <c r="DI97" s="401" t="e">
        <f t="shared" si="578"/>
        <v>#N/A</v>
      </c>
      <c r="DJ97" s="399" t="e">
        <f t="shared" si="475"/>
        <v>#N/A</v>
      </c>
      <c r="DK97" s="47"/>
      <c r="DM97" s="396" t="e">
        <f t="shared" si="476"/>
        <v>#N/A</v>
      </c>
      <c r="DN97" s="397" t="e">
        <f t="shared" si="477"/>
        <v>#N/A</v>
      </c>
      <c r="DO97" s="400" t="e">
        <f t="shared" si="391"/>
        <v>#N/A</v>
      </c>
      <c r="DP97" s="398" t="e">
        <f t="shared" si="478"/>
        <v>#N/A</v>
      </c>
      <c r="DQ97" s="402" t="e">
        <f t="shared" si="479"/>
        <v>#N/A</v>
      </c>
      <c r="DR97" s="398" t="e">
        <f t="shared" si="579"/>
        <v>#N/A</v>
      </c>
      <c r="DS97" s="401" t="e">
        <f t="shared" si="580"/>
        <v>#N/A</v>
      </c>
      <c r="DT97" s="399" t="e">
        <f t="shared" si="480"/>
        <v>#N/A</v>
      </c>
      <c r="DU97" s="47"/>
      <c r="DV97" s="49"/>
      <c r="DW97" s="396" t="e">
        <f t="shared" si="481"/>
        <v>#N/A</v>
      </c>
      <c r="DX97" s="397" t="e">
        <f t="shared" si="482"/>
        <v>#N/A</v>
      </c>
      <c r="DY97" s="400" t="e">
        <f t="shared" si="392"/>
        <v>#N/A</v>
      </c>
      <c r="DZ97" s="398" t="e">
        <f t="shared" si="483"/>
        <v>#N/A</v>
      </c>
      <c r="EA97" s="402" t="e">
        <f t="shared" si="484"/>
        <v>#N/A</v>
      </c>
      <c r="EB97" s="398" t="e">
        <f t="shared" si="581"/>
        <v>#N/A</v>
      </c>
      <c r="EC97" s="401" t="e">
        <f t="shared" si="582"/>
        <v>#N/A</v>
      </c>
      <c r="ED97" s="399" t="e">
        <f t="shared" si="485"/>
        <v>#N/A</v>
      </c>
      <c r="EE97" s="47"/>
      <c r="EF97" s="47"/>
      <c r="EG97" s="396" t="e">
        <f t="shared" si="486"/>
        <v>#N/A</v>
      </c>
      <c r="EH97" s="397" t="e">
        <f t="shared" si="487"/>
        <v>#N/A</v>
      </c>
      <c r="EI97" s="400" t="e">
        <f t="shared" si="393"/>
        <v>#N/A</v>
      </c>
      <c r="EJ97" s="398" t="e">
        <f t="shared" si="488"/>
        <v>#N/A</v>
      </c>
      <c r="EK97" s="402" t="e">
        <f t="shared" si="489"/>
        <v>#N/A</v>
      </c>
      <c r="EL97" s="398" t="e">
        <f t="shared" si="583"/>
        <v>#N/A</v>
      </c>
      <c r="EM97" s="401" t="e">
        <f t="shared" si="584"/>
        <v>#N/A</v>
      </c>
      <c r="EN97" s="399" t="e">
        <f t="shared" si="490"/>
        <v>#N/A</v>
      </c>
      <c r="EO97" s="47"/>
      <c r="EP97" s="47"/>
      <c r="EQ97" s="396" t="e">
        <f t="shared" si="491"/>
        <v>#N/A</v>
      </c>
      <c r="ER97" s="397" t="e">
        <f t="shared" si="492"/>
        <v>#N/A</v>
      </c>
      <c r="ES97" s="400" t="e">
        <f t="shared" si="394"/>
        <v>#N/A</v>
      </c>
      <c r="ET97" s="398" t="e">
        <f t="shared" si="493"/>
        <v>#N/A</v>
      </c>
      <c r="EU97" s="402" t="e">
        <f t="shared" si="494"/>
        <v>#N/A</v>
      </c>
      <c r="EV97" s="398" t="e">
        <f t="shared" si="585"/>
        <v>#N/A</v>
      </c>
      <c r="EW97" s="401" t="e">
        <f t="shared" si="586"/>
        <v>#N/A</v>
      </c>
      <c r="EX97" s="399" t="e">
        <f t="shared" si="495"/>
        <v>#N/A</v>
      </c>
      <c r="EY97" s="47"/>
      <c r="EZ97" s="47"/>
      <c r="FA97" s="396" t="e">
        <f t="shared" si="496"/>
        <v>#N/A</v>
      </c>
      <c r="FB97" s="397" t="e">
        <f t="shared" si="497"/>
        <v>#N/A</v>
      </c>
      <c r="FC97" s="400" t="e">
        <f t="shared" si="395"/>
        <v>#N/A</v>
      </c>
      <c r="FD97" s="398" t="e">
        <f t="shared" si="498"/>
        <v>#N/A</v>
      </c>
      <c r="FE97" s="402" t="e">
        <f t="shared" si="499"/>
        <v>#N/A</v>
      </c>
      <c r="FF97" s="398" t="e">
        <f t="shared" si="587"/>
        <v>#N/A</v>
      </c>
      <c r="FG97" s="401" t="e">
        <f t="shared" si="588"/>
        <v>#N/A</v>
      </c>
      <c r="FH97" s="399" t="e">
        <f t="shared" si="500"/>
        <v>#N/A</v>
      </c>
      <c r="FI97" s="47"/>
      <c r="FJ97" s="49"/>
      <c r="FK97" s="396" t="e">
        <f t="shared" si="501"/>
        <v>#N/A</v>
      </c>
      <c r="FL97" s="397" t="e">
        <f t="shared" si="502"/>
        <v>#N/A</v>
      </c>
      <c r="FM97" s="400" t="e">
        <f t="shared" si="396"/>
        <v>#N/A</v>
      </c>
      <c r="FN97" s="398" t="e">
        <f t="shared" si="503"/>
        <v>#N/A</v>
      </c>
      <c r="FO97" s="402" t="e">
        <f t="shared" si="504"/>
        <v>#N/A</v>
      </c>
      <c r="FP97" s="398" t="e">
        <f t="shared" si="589"/>
        <v>#N/A</v>
      </c>
      <c r="FQ97" s="401" t="e">
        <f t="shared" si="590"/>
        <v>#N/A</v>
      </c>
      <c r="FR97" s="399" t="e">
        <f t="shared" si="505"/>
        <v>#N/A</v>
      </c>
      <c r="FS97" s="47"/>
      <c r="FT97" s="47"/>
      <c r="FU97" s="396" t="e">
        <f t="shared" si="506"/>
        <v>#N/A</v>
      </c>
      <c r="FV97" s="397" t="e">
        <f t="shared" si="507"/>
        <v>#N/A</v>
      </c>
      <c r="FW97" s="400" t="e">
        <f t="shared" si="397"/>
        <v>#N/A</v>
      </c>
      <c r="FX97" s="398" t="e">
        <f t="shared" si="508"/>
        <v>#N/A</v>
      </c>
      <c r="FY97" s="402" t="e">
        <f t="shared" si="509"/>
        <v>#N/A</v>
      </c>
      <c r="FZ97" s="398" t="e">
        <f t="shared" si="591"/>
        <v>#N/A</v>
      </c>
      <c r="GA97" s="401" t="e">
        <f t="shared" si="592"/>
        <v>#N/A</v>
      </c>
      <c r="GB97" s="399" t="e">
        <f t="shared" si="510"/>
        <v>#N/A</v>
      </c>
      <c r="GC97" s="47"/>
      <c r="GD97" s="47"/>
      <c r="GE97" s="396" t="e">
        <f t="shared" si="511"/>
        <v>#N/A</v>
      </c>
      <c r="GF97" s="397" t="e">
        <f t="shared" si="512"/>
        <v>#N/A</v>
      </c>
      <c r="GG97" s="400" t="e">
        <f t="shared" si="398"/>
        <v>#N/A</v>
      </c>
      <c r="GH97" s="398" t="e">
        <f t="shared" si="513"/>
        <v>#N/A</v>
      </c>
      <c r="GI97" s="402" t="e">
        <f t="shared" si="514"/>
        <v>#N/A</v>
      </c>
      <c r="GJ97" s="398" t="e">
        <f t="shared" si="593"/>
        <v>#N/A</v>
      </c>
      <c r="GK97" s="401" t="e">
        <f t="shared" si="594"/>
        <v>#N/A</v>
      </c>
      <c r="GL97" s="399" t="e">
        <f t="shared" si="515"/>
        <v>#N/A</v>
      </c>
      <c r="GM97" s="47"/>
      <c r="GN97" s="47"/>
      <c r="GO97" s="396" t="e">
        <f t="shared" si="516"/>
        <v>#N/A</v>
      </c>
      <c r="GP97" s="397" t="e">
        <f t="shared" si="517"/>
        <v>#N/A</v>
      </c>
      <c r="GQ97" s="400" t="e">
        <f t="shared" si="399"/>
        <v>#N/A</v>
      </c>
      <c r="GR97" s="398" t="e">
        <f t="shared" si="518"/>
        <v>#N/A</v>
      </c>
      <c r="GS97" s="402" t="e">
        <f t="shared" si="519"/>
        <v>#N/A</v>
      </c>
      <c r="GT97" s="398" t="e">
        <f t="shared" si="595"/>
        <v>#N/A</v>
      </c>
      <c r="GU97" s="401" t="e">
        <f t="shared" si="596"/>
        <v>#N/A</v>
      </c>
      <c r="GV97" s="399" t="e">
        <f t="shared" si="520"/>
        <v>#N/A</v>
      </c>
      <c r="GW97" s="47"/>
      <c r="GX97" s="47"/>
      <c r="GY97" s="396" t="e">
        <f t="shared" si="521"/>
        <v>#N/A</v>
      </c>
      <c r="GZ97" s="397" t="e">
        <f t="shared" si="522"/>
        <v>#N/A</v>
      </c>
      <c r="HA97" s="400" t="e">
        <f t="shared" si="400"/>
        <v>#N/A</v>
      </c>
      <c r="HB97" s="398" t="e">
        <f t="shared" si="523"/>
        <v>#N/A</v>
      </c>
      <c r="HC97" s="402" t="e">
        <f t="shared" si="524"/>
        <v>#N/A</v>
      </c>
      <c r="HD97" s="398" t="e">
        <f t="shared" si="597"/>
        <v>#N/A</v>
      </c>
      <c r="HE97" s="401" t="e">
        <f t="shared" si="598"/>
        <v>#N/A</v>
      </c>
      <c r="HF97" s="399" t="e">
        <f t="shared" si="525"/>
        <v>#N/A</v>
      </c>
      <c r="HH97" s="47"/>
      <c r="HI97" s="396" t="e">
        <f t="shared" si="526"/>
        <v>#N/A</v>
      </c>
      <c r="HJ97" s="397" t="e">
        <f t="shared" si="527"/>
        <v>#N/A</v>
      </c>
      <c r="HK97" s="400" t="e">
        <f t="shared" si="401"/>
        <v>#N/A</v>
      </c>
      <c r="HL97" s="398" t="e">
        <f t="shared" si="528"/>
        <v>#N/A</v>
      </c>
      <c r="HM97" s="402" t="e">
        <f t="shared" si="529"/>
        <v>#N/A</v>
      </c>
      <c r="HN97" s="398" t="e">
        <f t="shared" si="599"/>
        <v>#N/A</v>
      </c>
      <c r="HO97" s="401" t="e">
        <f t="shared" si="600"/>
        <v>#N/A</v>
      </c>
      <c r="HP97" s="399" t="e">
        <f t="shared" si="530"/>
        <v>#N/A</v>
      </c>
      <c r="HQ97" s="47"/>
      <c r="HR97" s="47"/>
      <c r="HS97" s="396" t="e">
        <f t="shared" si="531"/>
        <v>#N/A</v>
      </c>
      <c r="HT97" s="397" t="e">
        <f t="shared" si="532"/>
        <v>#N/A</v>
      </c>
      <c r="HU97" s="400" t="e">
        <f t="shared" si="402"/>
        <v>#N/A</v>
      </c>
      <c r="HV97" s="398" t="e">
        <f t="shared" si="533"/>
        <v>#N/A</v>
      </c>
      <c r="HW97" s="402" t="e">
        <f t="shared" si="534"/>
        <v>#N/A</v>
      </c>
      <c r="HX97" s="398" t="e">
        <f t="shared" si="601"/>
        <v>#N/A</v>
      </c>
      <c r="HY97" s="401" t="e">
        <f t="shared" si="602"/>
        <v>#N/A</v>
      </c>
      <c r="HZ97" s="399" t="e">
        <f t="shared" si="535"/>
        <v>#N/A</v>
      </c>
      <c r="IA97" s="47"/>
      <c r="IB97" s="49"/>
      <c r="IC97" s="396" t="e">
        <f t="shared" si="536"/>
        <v>#N/A</v>
      </c>
      <c r="ID97" s="397" t="e">
        <f t="shared" si="537"/>
        <v>#N/A</v>
      </c>
      <c r="IE97" s="400" t="e">
        <f t="shared" si="403"/>
        <v>#N/A</v>
      </c>
      <c r="IF97" s="398" t="e">
        <f t="shared" si="538"/>
        <v>#N/A</v>
      </c>
      <c r="IG97" s="402" t="e">
        <f t="shared" si="539"/>
        <v>#N/A</v>
      </c>
      <c r="IH97" s="398" t="e">
        <f t="shared" si="603"/>
        <v>#N/A</v>
      </c>
      <c r="II97" s="401" t="e">
        <f t="shared" si="604"/>
        <v>#N/A</v>
      </c>
      <c r="IJ97" s="399" t="e">
        <f t="shared" si="540"/>
        <v>#N/A</v>
      </c>
      <c r="IK97" s="47"/>
      <c r="IL97" s="47"/>
      <c r="IM97" s="396" t="e">
        <f t="shared" si="541"/>
        <v>#N/A</v>
      </c>
      <c r="IN97" s="397" t="e">
        <f t="shared" si="542"/>
        <v>#N/A</v>
      </c>
      <c r="IO97" s="400" t="e">
        <f t="shared" si="404"/>
        <v>#N/A</v>
      </c>
      <c r="IP97" s="398" t="e">
        <f t="shared" si="543"/>
        <v>#N/A</v>
      </c>
      <c r="IQ97" s="402" t="e">
        <f t="shared" si="544"/>
        <v>#N/A</v>
      </c>
      <c r="IR97" s="398" t="e">
        <f t="shared" si="605"/>
        <v>#N/A</v>
      </c>
      <c r="IS97" s="401" t="e">
        <f t="shared" si="606"/>
        <v>#N/A</v>
      </c>
      <c r="IT97" s="399" t="e">
        <f t="shared" si="545"/>
        <v>#N/A</v>
      </c>
      <c r="IU97" s="47"/>
      <c r="IV97" s="47"/>
      <c r="IW97" s="396" t="e">
        <f t="shared" si="405"/>
        <v>#N/A</v>
      </c>
      <c r="IX97" s="397" t="e">
        <f t="shared" si="406"/>
        <v>#N/A</v>
      </c>
      <c r="IY97" s="400" t="e">
        <f t="shared" si="407"/>
        <v>#N/A</v>
      </c>
      <c r="IZ97" s="398" t="e">
        <f t="shared" si="348"/>
        <v>#N/A</v>
      </c>
      <c r="JA97" s="402" t="e">
        <f t="shared" si="408"/>
        <v>#N/A</v>
      </c>
      <c r="JB97" s="398" t="e">
        <f t="shared" si="409"/>
        <v>#N/A</v>
      </c>
      <c r="JC97" s="401" t="e">
        <f t="shared" si="546"/>
        <v>#N/A</v>
      </c>
      <c r="JD97" s="399" t="e">
        <f t="shared" si="547"/>
        <v>#N/A</v>
      </c>
      <c r="JE97" s="47"/>
      <c r="JF97" s="47"/>
      <c r="JG97" s="396" t="e">
        <f t="shared" si="410"/>
        <v>#N/A</v>
      </c>
      <c r="JH97" s="397" t="e">
        <f t="shared" si="411"/>
        <v>#N/A</v>
      </c>
      <c r="JI97" s="400" t="e">
        <f t="shared" si="412"/>
        <v>#N/A</v>
      </c>
      <c r="JJ97" s="398" t="e">
        <f t="shared" si="349"/>
        <v>#N/A</v>
      </c>
      <c r="JK97" s="402" t="e">
        <f t="shared" si="413"/>
        <v>#N/A</v>
      </c>
      <c r="JL97" s="398" t="e">
        <f t="shared" si="414"/>
        <v>#N/A</v>
      </c>
      <c r="JM97" s="401" t="e">
        <f t="shared" si="548"/>
        <v>#N/A</v>
      </c>
      <c r="JN97" s="399" t="e">
        <f t="shared" si="549"/>
        <v>#N/A</v>
      </c>
      <c r="JO97" s="47"/>
      <c r="JP97" s="47"/>
      <c r="JQ97" s="396" t="e">
        <f t="shared" si="415"/>
        <v>#N/A</v>
      </c>
      <c r="JR97" s="397" t="e">
        <f t="shared" si="416"/>
        <v>#N/A</v>
      </c>
      <c r="JS97" s="400" t="e">
        <f t="shared" si="417"/>
        <v>#N/A</v>
      </c>
      <c r="JT97" s="398" t="e">
        <f t="shared" si="350"/>
        <v>#N/A</v>
      </c>
      <c r="JU97" s="402" t="e">
        <f t="shared" si="418"/>
        <v>#N/A</v>
      </c>
      <c r="JV97" s="398" t="e">
        <f t="shared" si="419"/>
        <v>#N/A</v>
      </c>
      <c r="JW97" s="401" t="e">
        <f t="shared" si="550"/>
        <v>#N/A</v>
      </c>
      <c r="JX97" s="399" t="e">
        <f t="shared" si="551"/>
        <v>#N/A</v>
      </c>
      <c r="JY97" s="47"/>
      <c r="JZ97" s="47"/>
      <c r="KA97" s="396" t="e">
        <f t="shared" si="420"/>
        <v>#N/A</v>
      </c>
      <c r="KB97" s="397" t="e">
        <f t="shared" si="421"/>
        <v>#N/A</v>
      </c>
      <c r="KC97" s="400" t="e">
        <f t="shared" si="422"/>
        <v>#N/A</v>
      </c>
      <c r="KD97" s="398" t="e">
        <f t="shared" si="351"/>
        <v>#N/A</v>
      </c>
      <c r="KE97" s="402" t="e">
        <f t="shared" si="423"/>
        <v>#N/A</v>
      </c>
      <c r="KF97" s="398" t="e">
        <f t="shared" si="424"/>
        <v>#N/A</v>
      </c>
      <c r="KG97" s="401" t="e">
        <f t="shared" si="552"/>
        <v>#N/A</v>
      </c>
      <c r="KH97" s="399" t="e">
        <f t="shared" si="553"/>
        <v>#N/A</v>
      </c>
      <c r="KI97" s="47"/>
      <c r="KJ97" s="47"/>
      <c r="KK97" s="396" t="e">
        <f t="shared" si="425"/>
        <v>#N/A</v>
      </c>
      <c r="KL97" s="397" t="e">
        <f t="shared" si="426"/>
        <v>#N/A</v>
      </c>
      <c r="KM97" s="400" t="e">
        <f t="shared" si="427"/>
        <v>#N/A</v>
      </c>
      <c r="KN97" s="398" t="e">
        <f t="shared" si="352"/>
        <v>#N/A</v>
      </c>
      <c r="KO97" s="402" t="e">
        <f t="shared" si="428"/>
        <v>#N/A</v>
      </c>
      <c r="KP97" s="398" t="e">
        <f t="shared" si="429"/>
        <v>#N/A</v>
      </c>
      <c r="KQ97" s="401" t="e">
        <f t="shared" si="554"/>
        <v>#N/A</v>
      </c>
      <c r="KR97" s="399" t="e">
        <f t="shared" si="555"/>
        <v>#N/A</v>
      </c>
      <c r="KS97" s="47"/>
      <c r="KT97" s="47"/>
      <c r="KU97" s="396" t="e">
        <f t="shared" si="556"/>
        <v>#N/A</v>
      </c>
      <c r="KV97" s="397" t="e">
        <f t="shared" si="557"/>
        <v>#N/A</v>
      </c>
      <c r="KW97" s="400" t="e">
        <f t="shared" si="430"/>
        <v>#N/A</v>
      </c>
      <c r="KX97" s="398" t="e">
        <f t="shared" si="558"/>
        <v>#N/A</v>
      </c>
      <c r="KY97" s="402" t="e">
        <f t="shared" si="559"/>
        <v>#N/A</v>
      </c>
      <c r="KZ97" s="398" t="e">
        <f t="shared" si="607"/>
        <v>#N/A</v>
      </c>
      <c r="LA97" s="401" t="e">
        <f t="shared" si="608"/>
        <v>#N/A</v>
      </c>
      <c r="LB97" s="399" t="e">
        <f t="shared" si="560"/>
        <v>#N/A</v>
      </c>
      <c r="LC97" s="47"/>
    </row>
    <row r="98" spans="27:315" x14ac:dyDescent="0.25">
      <c r="AA98" s="396" t="e">
        <f t="shared" si="431"/>
        <v>#N/A</v>
      </c>
      <c r="AB98" s="397" t="e">
        <f t="shared" si="432"/>
        <v>#N/A</v>
      </c>
      <c r="AC98" s="400" t="e">
        <f t="shared" si="382"/>
        <v>#N/A</v>
      </c>
      <c r="AD98" s="398" t="e">
        <f t="shared" si="433"/>
        <v>#N/A</v>
      </c>
      <c r="AE98" s="402" t="e">
        <f t="shared" si="609"/>
        <v>#N/A</v>
      </c>
      <c r="AF98" s="398" t="e">
        <f t="shared" si="561"/>
        <v>#N/A</v>
      </c>
      <c r="AG98" s="401" t="e">
        <f t="shared" si="562"/>
        <v>#N/A</v>
      </c>
      <c r="AH98" s="399" t="e">
        <f t="shared" si="435"/>
        <v>#N/A</v>
      </c>
      <c r="AI98" s="47"/>
      <c r="AJ98" s="47"/>
      <c r="AK98" s="396" t="e">
        <f t="shared" si="436"/>
        <v>#N/A</v>
      </c>
      <c r="AL98" s="397" t="e">
        <f t="shared" si="437"/>
        <v>#N/A</v>
      </c>
      <c r="AM98" s="400" t="e">
        <f t="shared" si="383"/>
        <v>#N/A</v>
      </c>
      <c r="AN98" s="398" t="e">
        <f t="shared" si="438"/>
        <v>#N/A</v>
      </c>
      <c r="AO98" s="402" t="e">
        <f t="shared" si="439"/>
        <v>#N/A</v>
      </c>
      <c r="AP98" s="398" t="e">
        <f t="shared" si="563"/>
        <v>#N/A</v>
      </c>
      <c r="AQ98" s="401" t="e">
        <f t="shared" si="564"/>
        <v>#N/A</v>
      </c>
      <c r="AR98" s="399" t="e">
        <f t="shared" si="440"/>
        <v>#N/A</v>
      </c>
      <c r="AS98" s="47"/>
      <c r="AT98" s="47"/>
      <c r="AU98" s="396" t="e">
        <f t="shared" si="441"/>
        <v>#N/A</v>
      </c>
      <c r="AV98" s="397" t="e">
        <f t="shared" si="442"/>
        <v>#N/A</v>
      </c>
      <c r="AW98" s="400" t="e">
        <f t="shared" si="384"/>
        <v>#N/A</v>
      </c>
      <c r="AX98" s="398" t="e">
        <f t="shared" si="443"/>
        <v>#N/A</v>
      </c>
      <c r="AY98" s="402" t="e">
        <f t="shared" si="444"/>
        <v>#N/A</v>
      </c>
      <c r="AZ98" s="398" t="e">
        <f t="shared" si="565"/>
        <v>#N/A</v>
      </c>
      <c r="BA98" s="401" t="e">
        <f t="shared" si="566"/>
        <v>#N/A</v>
      </c>
      <c r="BB98" s="399" t="e">
        <f t="shared" si="445"/>
        <v>#N/A</v>
      </c>
      <c r="BC98" s="47"/>
      <c r="BD98" s="47"/>
      <c r="BE98" s="396" t="e">
        <f t="shared" si="446"/>
        <v>#N/A</v>
      </c>
      <c r="BF98" s="397" t="e">
        <f t="shared" si="447"/>
        <v>#N/A</v>
      </c>
      <c r="BG98" s="400" t="e">
        <f t="shared" si="385"/>
        <v>#N/A</v>
      </c>
      <c r="BH98" s="398" t="e">
        <f t="shared" si="448"/>
        <v>#N/A</v>
      </c>
      <c r="BI98" s="402" t="e">
        <f t="shared" si="449"/>
        <v>#N/A</v>
      </c>
      <c r="BJ98" s="398" t="e">
        <f t="shared" si="567"/>
        <v>#N/A</v>
      </c>
      <c r="BK98" s="401" t="e">
        <f t="shared" si="568"/>
        <v>#N/A</v>
      </c>
      <c r="BL98" s="399" t="e">
        <f t="shared" si="450"/>
        <v>#N/A</v>
      </c>
      <c r="BM98" s="47"/>
      <c r="BN98" s="49"/>
      <c r="BO98" s="396" t="e">
        <f t="shared" si="451"/>
        <v>#N/A</v>
      </c>
      <c r="BP98" s="397" t="e">
        <f t="shared" si="452"/>
        <v>#N/A</v>
      </c>
      <c r="BQ98" s="400" t="e">
        <f t="shared" si="386"/>
        <v>#N/A</v>
      </c>
      <c r="BR98" s="398" t="e">
        <f t="shared" si="453"/>
        <v>#N/A</v>
      </c>
      <c r="BS98" s="402" t="e">
        <f t="shared" si="454"/>
        <v>#N/A</v>
      </c>
      <c r="BT98" s="398" t="e">
        <f t="shared" si="569"/>
        <v>#N/A</v>
      </c>
      <c r="BU98" s="401" t="e">
        <f t="shared" si="570"/>
        <v>#N/A</v>
      </c>
      <c r="BV98" s="399" t="e">
        <f t="shared" si="455"/>
        <v>#N/A</v>
      </c>
      <c r="BW98" s="47"/>
      <c r="BX98" s="47"/>
      <c r="BY98" s="396" t="e">
        <f t="shared" si="456"/>
        <v>#N/A</v>
      </c>
      <c r="BZ98" s="397" t="e">
        <f t="shared" si="457"/>
        <v>#N/A</v>
      </c>
      <c r="CA98" s="400" t="e">
        <f t="shared" si="387"/>
        <v>#N/A</v>
      </c>
      <c r="CB98" s="398" t="e">
        <f t="shared" si="458"/>
        <v>#N/A</v>
      </c>
      <c r="CC98" s="402" t="e">
        <f t="shared" si="459"/>
        <v>#N/A</v>
      </c>
      <c r="CD98" s="398" t="e">
        <f t="shared" si="571"/>
        <v>#N/A</v>
      </c>
      <c r="CE98" s="401" t="e">
        <f t="shared" si="572"/>
        <v>#N/A</v>
      </c>
      <c r="CF98" s="399" t="e">
        <f t="shared" si="460"/>
        <v>#N/A</v>
      </c>
      <c r="CG98" s="49"/>
      <c r="CH98" s="47"/>
      <c r="CI98" s="396" t="e">
        <f t="shared" si="461"/>
        <v>#N/A</v>
      </c>
      <c r="CJ98" s="397" t="e">
        <f t="shared" si="462"/>
        <v>#N/A</v>
      </c>
      <c r="CK98" s="400" t="e">
        <f t="shared" si="388"/>
        <v>#N/A</v>
      </c>
      <c r="CL98" s="398" t="e">
        <f t="shared" si="463"/>
        <v>#N/A</v>
      </c>
      <c r="CM98" s="402" t="e">
        <f t="shared" si="464"/>
        <v>#N/A</v>
      </c>
      <c r="CN98" s="398" t="e">
        <f t="shared" si="573"/>
        <v>#N/A</v>
      </c>
      <c r="CO98" s="401" t="e">
        <f t="shared" si="574"/>
        <v>#N/A</v>
      </c>
      <c r="CP98" s="399" t="e">
        <f t="shared" si="465"/>
        <v>#N/A</v>
      </c>
      <c r="CQ98" s="47"/>
      <c r="CS98" s="396" t="e">
        <f t="shared" si="466"/>
        <v>#N/A</v>
      </c>
      <c r="CT98" s="397" t="e">
        <f t="shared" si="467"/>
        <v>#N/A</v>
      </c>
      <c r="CU98" s="400" t="e">
        <f t="shared" si="389"/>
        <v>#N/A</v>
      </c>
      <c r="CV98" s="398" t="e">
        <f t="shared" si="468"/>
        <v>#N/A</v>
      </c>
      <c r="CW98" s="402" t="e">
        <f t="shared" si="469"/>
        <v>#N/A</v>
      </c>
      <c r="CX98" s="398" t="e">
        <f t="shared" si="575"/>
        <v>#N/A</v>
      </c>
      <c r="CY98" s="401" t="e">
        <f t="shared" si="576"/>
        <v>#N/A</v>
      </c>
      <c r="CZ98" s="399" t="e">
        <f t="shared" si="470"/>
        <v>#N/A</v>
      </c>
      <c r="DA98" s="47"/>
      <c r="DB98" s="47"/>
      <c r="DC98" s="396" t="e">
        <f t="shared" si="471"/>
        <v>#N/A</v>
      </c>
      <c r="DD98" s="397" t="e">
        <f t="shared" si="472"/>
        <v>#N/A</v>
      </c>
      <c r="DE98" s="400" t="e">
        <f t="shared" si="390"/>
        <v>#N/A</v>
      </c>
      <c r="DF98" s="398" t="e">
        <f t="shared" si="473"/>
        <v>#N/A</v>
      </c>
      <c r="DG98" s="402" t="e">
        <f t="shared" si="474"/>
        <v>#N/A</v>
      </c>
      <c r="DH98" s="398" t="e">
        <f t="shared" si="577"/>
        <v>#N/A</v>
      </c>
      <c r="DI98" s="401" t="e">
        <f t="shared" si="578"/>
        <v>#N/A</v>
      </c>
      <c r="DJ98" s="399" t="e">
        <f t="shared" si="475"/>
        <v>#N/A</v>
      </c>
      <c r="DK98" s="47"/>
      <c r="DM98" s="396" t="e">
        <f t="shared" si="476"/>
        <v>#N/A</v>
      </c>
      <c r="DN98" s="397" t="e">
        <f t="shared" si="477"/>
        <v>#N/A</v>
      </c>
      <c r="DO98" s="400" t="e">
        <f t="shared" si="391"/>
        <v>#N/A</v>
      </c>
      <c r="DP98" s="398" t="e">
        <f t="shared" si="478"/>
        <v>#N/A</v>
      </c>
      <c r="DQ98" s="402" t="e">
        <f t="shared" si="479"/>
        <v>#N/A</v>
      </c>
      <c r="DR98" s="398" t="e">
        <f t="shared" si="579"/>
        <v>#N/A</v>
      </c>
      <c r="DS98" s="401" t="e">
        <f t="shared" si="580"/>
        <v>#N/A</v>
      </c>
      <c r="DT98" s="399" t="e">
        <f t="shared" si="480"/>
        <v>#N/A</v>
      </c>
      <c r="DU98" s="47"/>
      <c r="DV98" s="49"/>
      <c r="DW98" s="396" t="e">
        <f t="shared" si="481"/>
        <v>#N/A</v>
      </c>
      <c r="DX98" s="397" t="e">
        <f t="shared" si="482"/>
        <v>#N/A</v>
      </c>
      <c r="DY98" s="400" t="e">
        <f t="shared" si="392"/>
        <v>#N/A</v>
      </c>
      <c r="DZ98" s="398" t="e">
        <f t="shared" si="483"/>
        <v>#N/A</v>
      </c>
      <c r="EA98" s="402" t="e">
        <f t="shared" si="484"/>
        <v>#N/A</v>
      </c>
      <c r="EB98" s="398" t="e">
        <f t="shared" si="581"/>
        <v>#N/A</v>
      </c>
      <c r="EC98" s="401" t="e">
        <f t="shared" si="582"/>
        <v>#N/A</v>
      </c>
      <c r="ED98" s="399" t="e">
        <f t="shared" si="485"/>
        <v>#N/A</v>
      </c>
      <c r="EE98" s="47"/>
      <c r="EF98" s="47"/>
      <c r="EG98" s="396" t="e">
        <f t="shared" si="486"/>
        <v>#N/A</v>
      </c>
      <c r="EH98" s="397" t="e">
        <f t="shared" si="487"/>
        <v>#N/A</v>
      </c>
      <c r="EI98" s="400" t="e">
        <f t="shared" si="393"/>
        <v>#N/A</v>
      </c>
      <c r="EJ98" s="398" t="e">
        <f t="shared" si="488"/>
        <v>#N/A</v>
      </c>
      <c r="EK98" s="402" t="e">
        <f t="shared" si="489"/>
        <v>#N/A</v>
      </c>
      <c r="EL98" s="398" t="e">
        <f t="shared" si="583"/>
        <v>#N/A</v>
      </c>
      <c r="EM98" s="401" t="e">
        <f t="shared" si="584"/>
        <v>#N/A</v>
      </c>
      <c r="EN98" s="399" t="e">
        <f t="shared" si="490"/>
        <v>#N/A</v>
      </c>
      <c r="EO98" s="47"/>
      <c r="EP98" s="47"/>
      <c r="EQ98" s="396" t="e">
        <f t="shared" si="491"/>
        <v>#N/A</v>
      </c>
      <c r="ER98" s="397" t="e">
        <f t="shared" si="492"/>
        <v>#N/A</v>
      </c>
      <c r="ES98" s="400" t="e">
        <f t="shared" si="394"/>
        <v>#N/A</v>
      </c>
      <c r="ET98" s="398" t="e">
        <f t="shared" si="493"/>
        <v>#N/A</v>
      </c>
      <c r="EU98" s="402" t="e">
        <f t="shared" si="494"/>
        <v>#N/A</v>
      </c>
      <c r="EV98" s="398" t="e">
        <f t="shared" si="585"/>
        <v>#N/A</v>
      </c>
      <c r="EW98" s="401" t="e">
        <f t="shared" si="586"/>
        <v>#N/A</v>
      </c>
      <c r="EX98" s="399" t="e">
        <f t="shared" si="495"/>
        <v>#N/A</v>
      </c>
      <c r="EY98" s="47"/>
      <c r="EZ98" s="47"/>
      <c r="FA98" s="396" t="e">
        <f t="shared" si="496"/>
        <v>#N/A</v>
      </c>
      <c r="FB98" s="397" t="e">
        <f t="shared" si="497"/>
        <v>#N/A</v>
      </c>
      <c r="FC98" s="400" t="e">
        <f t="shared" si="395"/>
        <v>#N/A</v>
      </c>
      <c r="FD98" s="398" t="e">
        <f t="shared" si="498"/>
        <v>#N/A</v>
      </c>
      <c r="FE98" s="402" t="e">
        <f t="shared" si="499"/>
        <v>#N/A</v>
      </c>
      <c r="FF98" s="398" t="e">
        <f t="shared" si="587"/>
        <v>#N/A</v>
      </c>
      <c r="FG98" s="401" t="e">
        <f t="shared" si="588"/>
        <v>#N/A</v>
      </c>
      <c r="FH98" s="399" t="e">
        <f t="shared" si="500"/>
        <v>#N/A</v>
      </c>
      <c r="FI98" s="47"/>
      <c r="FJ98" s="49"/>
      <c r="FK98" s="396" t="e">
        <f t="shared" si="501"/>
        <v>#N/A</v>
      </c>
      <c r="FL98" s="397" t="e">
        <f t="shared" si="502"/>
        <v>#N/A</v>
      </c>
      <c r="FM98" s="400" t="e">
        <f t="shared" si="396"/>
        <v>#N/A</v>
      </c>
      <c r="FN98" s="398" t="e">
        <f t="shared" si="503"/>
        <v>#N/A</v>
      </c>
      <c r="FO98" s="402" t="e">
        <f t="shared" si="504"/>
        <v>#N/A</v>
      </c>
      <c r="FP98" s="398" t="e">
        <f t="shared" si="589"/>
        <v>#N/A</v>
      </c>
      <c r="FQ98" s="401" t="e">
        <f t="shared" si="590"/>
        <v>#N/A</v>
      </c>
      <c r="FR98" s="399" t="e">
        <f t="shared" si="505"/>
        <v>#N/A</v>
      </c>
      <c r="FS98" s="47"/>
      <c r="FT98" s="47"/>
      <c r="FU98" s="396" t="e">
        <f t="shared" si="506"/>
        <v>#N/A</v>
      </c>
      <c r="FV98" s="397" t="e">
        <f t="shared" si="507"/>
        <v>#N/A</v>
      </c>
      <c r="FW98" s="400" t="e">
        <f t="shared" si="397"/>
        <v>#N/A</v>
      </c>
      <c r="FX98" s="398" t="e">
        <f t="shared" si="508"/>
        <v>#N/A</v>
      </c>
      <c r="FY98" s="402" t="e">
        <f t="shared" si="509"/>
        <v>#N/A</v>
      </c>
      <c r="FZ98" s="398" t="e">
        <f t="shared" si="591"/>
        <v>#N/A</v>
      </c>
      <c r="GA98" s="401" t="e">
        <f t="shared" si="592"/>
        <v>#N/A</v>
      </c>
      <c r="GB98" s="399" t="e">
        <f t="shared" si="510"/>
        <v>#N/A</v>
      </c>
      <c r="GC98" s="47"/>
      <c r="GD98" s="47"/>
      <c r="GE98" s="396" t="e">
        <f t="shared" si="511"/>
        <v>#N/A</v>
      </c>
      <c r="GF98" s="397" t="e">
        <f t="shared" si="512"/>
        <v>#N/A</v>
      </c>
      <c r="GG98" s="400" t="e">
        <f t="shared" si="398"/>
        <v>#N/A</v>
      </c>
      <c r="GH98" s="398" t="e">
        <f t="shared" si="513"/>
        <v>#N/A</v>
      </c>
      <c r="GI98" s="402" t="e">
        <f t="shared" si="514"/>
        <v>#N/A</v>
      </c>
      <c r="GJ98" s="398" t="e">
        <f t="shared" si="593"/>
        <v>#N/A</v>
      </c>
      <c r="GK98" s="401" t="e">
        <f t="shared" si="594"/>
        <v>#N/A</v>
      </c>
      <c r="GL98" s="399" t="e">
        <f t="shared" si="515"/>
        <v>#N/A</v>
      </c>
      <c r="GM98" s="47"/>
      <c r="GN98" s="47"/>
      <c r="GO98" s="396" t="e">
        <f t="shared" si="516"/>
        <v>#N/A</v>
      </c>
      <c r="GP98" s="397" t="e">
        <f t="shared" si="517"/>
        <v>#N/A</v>
      </c>
      <c r="GQ98" s="400" t="e">
        <f t="shared" si="399"/>
        <v>#N/A</v>
      </c>
      <c r="GR98" s="398" t="e">
        <f t="shared" si="518"/>
        <v>#N/A</v>
      </c>
      <c r="GS98" s="402" t="e">
        <f t="shared" si="519"/>
        <v>#N/A</v>
      </c>
      <c r="GT98" s="398" t="e">
        <f t="shared" si="595"/>
        <v>#N/A</v>
      </c>
      <c r="GU98" s="401" t="e">
        <f t="shared" si="596"/>
        <v>#N/A</v>
      </c>
      <c r="GV98" s="399" t="e">
        <f t="shared" si="520"/>
        <v>#N/A</v>
      </c>
      <c r="GW98" s="47"/>
      <c r="GX98" s="47"/>
      <c r="GY98" s="396" t="e">
        <f t="shared" si="521"/>
        <v>#N/A</v>
      </c>
      <c r="GZ98" s="397" t="e">
        <f t="shared" si="522"/>
        <v>#N/A</v>
      </c>
      <c r="HA98" s="400" t="e">
        <f t="shared" si="400"/>
        <v>#N/A</v>
      </c>
      <c r="HB98" s="398" t="e">
        <f t="shared" si="523"/>
        <v>#N/A</v>
      </c>
      <c r="HC98" s="402" t="e">
        <f t="shared" si="524"/>
        <v>#N/A</v>
      </c>
      <c r="HD98" s="398" t="e">
        <f t="shared" si="597"/>
        <v>#N/A</v>
      </c>
      <c r="HE98" s="401" t="e">
        <f t="shared" si="598"/>
        <v>#N/A</v>
      </c>
      <c r="HF98" s="399" t="e">
        <f t="shared" si="525"/>
        <v>#N/A</v>
      </c>
      <c r="HH98" s="47"/>
      <c r="HI98" s="396" t="e">
        <f t="shared" si="526"/>
        <v>#N/A</v>
      </c>
      <c r="HJ98" s="397" t="e">
        <f t="shared" si="527"/>
        <v>#N/A</v>
      </c>
      <c r="HK98" s="400" t="e">
        <f t="shared" si="401"/>
        <v>#N/A</v>
      </c>
      <c r="HL98" s="398" t="e">
        <f t="shared" si="528"/>
        <v>#N/A</v>
      </c>
      <c r="HM98" s="402" t="e">
        <f t="shared" si="529"/>
        <v>#N/A</v>
      </c>
      <c r="HN98" s="398" t="e">
        <f t="shared" si="599"/>
        <v>#N/A</v>
      </c>
      <c r="HO98" s="401" t="e">
        <f t="shared" si="600"/>
        <v>#N/A</v>
      </c>
      <c r="HP98" s="399" t="e">
        <f t="shared" si="530"/>
        <v>#N/A</v>
      </c>
      <c r="HQ98" s="47"/>
      <c r="HR98" s="47"/>
      <c r="HS98" s="396" t="e">
        <f t="shared" si="531"/>
        <v>#N/A</v>
      </c>
      <c r="HT98" s="397" t="e">
        <f t="shared" si="532"/>
        <v>#N/A</v>
      </c>
      <c r="HU98" s="400" t="e">
        <f t="shared" si="402"/>
        <v>#N/A</v>
      </c>
      <c r="HV98" s="398" t="e">
        <f t="shared" si="533"/>
        <v>#N/A</v>
      </c>
      <c r="HW98" s="402" t="e">
        <f t="shared" si="534"/>
        <v>#N/A</v>
      </c>
      <c r="HX98" s="398" t="e">
        <f t="shared" si="601"/>
        <v>#N/A</v>
      </c>
      <c r="HY98" s="401" t="e">
        <f t="shared" si="602"/>
        <v>#N/A</v>
      </c>
      <c r="HZ98" s="399" t="e">
        <f t="shared" si="535"/>
        <v>#N/A</v>
      </c>
      <c r="IA98" s="47"/>
      <c r="IB98" s="49"/>
      <c r="IC98" s="396" t="e">
        <f t="shared" si="536"/>
        <v>#N/A</v>
      </c>
      <c r="ID98" s="397" t="e">
        <f t="shared" si="537"/>
        <v>#N/A</v>
      </c>
      <c r="IE98" s="400" t="e">
        <f t="shared" si="403"/>
        <v>#N/A</v>
      </c>
      <c r="IF98" s="398" t="e">
        <f t="shared" si="538"/>
        <v>#N/A</v>
      </c>
      <c r="IG98" s="402" t="e">
        <f t="shared" si="539"/>
        <v>#N/A</v>
      </c>
      <c r="IH98" s="398" t="e">
        <f t="shared" si="603"/>
        <v>#N/A</v>
      </c>
      <c r="II98" s="401" t="e">
        <f t="shared" si="604"/>
        <v>#N/A</v>
      </c>
      <c r="IJ98" s="399" t="e">
        <f t="shared" si="540"/>
        <v>#N/A</v>
      </c>
      <c r="IK98" s="47"/>
      <c r="IL98" s="47"/>
      <c r="IM98" s="396" t="e">
        <f t="shared" si="541"/>
        <v>#N/A</v>
      </c>
      <c r="IN98" s="397" t="e">
        <f t="shared" si="542"/>
        <v>#N/A</v>
      </c>
      <c r="IO98" s="400" t="e">
        <f t="shared" si="404"/>
        <v>#N/A</v>
      </c>
      <c r="IP98" s="398" t="e">
        <f t="shared" si="543"/>
        <v>#N/A</v>
      </c>
      <c r="IQ98" s="402" t="e">
        <f t="shared" si="544"/>
        <v>#N/A</v>
      </c>
      <c r="IR98" s="398" t="e">
        <f t="shared" si="605"/>
        <v>#N/A</v>
      </c>
      <c r="IS98" s="401" t="e">
        <f t="shared" si="606"/>
        <v>#N/A</v>
      </c>
      <c r="IT98" s="399" t="e">
        <f t="shared" si="545"/>
        <v>#N/A</v>
      </c>
      <c r="IU98" s="47"/>
      <c r="IV98" s="47"/>
      <c r="IW98" s="396" t="e">
        <f t="shared" si="405"/>
        <v>#N/A</v>
      </c>
      <c r="IX98" s="397" t="e">
        <f t="shared" si="406"/>
        <v>#N/A</v>
      </c>
      <c r="IY98" s="400" t="e">
        <f t="shared" si="407"/>
        <v>#N/A</v>
      </c>
      <c r="IZ98" s="398" t="e">
        <f t="shared" si="348"/>
        <v>#N/A</v>
      </c>
      <c r="JA98" s="402" t="e">
        <f t="shared" si="408"/>
        <v>#N/A</v>
      </c>
      <c r="JB98" s="398" t="e">
        <f t="shared" si="409"/>
        <v>#N/A</v>
      </c>
      <c r="JC98" s="401" t="e">
        <f t="shared" si="546"/>
        <v>#N/A</v>
      </c>
      <c r="JD98" s="399" t="e">
        <f t="shared" si="547"/>
        <v>#N/A</v>
      </c>
      <c r="JE98" s="47"/>
      <c r="JF98" s="47"/>
      <c r="JG98" s="396" t="e">
        <f t="shared" si="410"/>
        <v>#N/A</v>
      </c>
      <c r="JH98" s="397" t="e">
        <f t="shared" si="411"/>
        <v>#N/A</v>
      </c>
      <c r="JI98" s="400" t="e">
        <f t="shared" si="412"/>
        <v>#N/A</v>
      </c>
      <c r="JJ98" s="398" t="e">
        <f t="shared" si="349"/>
        <v>#N/A</v>
      </c>
      <c r="JK98" s="402" t="e">
        <f t="shared" si="413"/>
        <v>#N/A</v>
      </c>
      <c r="JL98" s="398" t="e">
        <f t="shared" si="414"/>
        <v>#N/A</v>
      </c>
      <c r="JM98" s="401" t="e">
        <f t="shared" si="548"/>
        <v>#N/A</v>
      </c>
      <c r="JN98" s="399" t="e">
        <f t="shared" si="549"/>
        <v>#N/A</v>
      </c>
      <c r="JO98" s="47"/>
      <c r="JP98" s="47"/>
      <c r="JQ98" s="396" t="e">
        <f t="shared" si="415"/>
        <v>#N/A</v>
      </c>
      <c r="JR98" s="397" t="e">
        <f t="shared" si="416"/>
        <v>#N/A</v>
      </c>
      <c r="JS98" s="400" t="e">
        <f t="shared" si="417"/>
        <v>#N/A</v>
      </c>
      <c r="JT98" s="398" t="e">
        <f t="shared" si="350"/>
        <v>#N/A</v>
      </c>
      <c r="JU98" s="402" t="e">
        <f t="shared" si="418"/>
        <v>#N/A</v>
      </c>
      <c r="JV98" s="398" t="e">
        <f t="shared" si="419"/>
        <v>#N/A</v>
      </c>
      <c r="JW98" s="401" t="e">
        <f t="shared" si="550"/>
        <v>#N/A</v>
      </c>
      <c r="JX98" s="399" t="e">
        <f t="shared" si="551"/>
        <v>#N/A</v>
      </c>
      <c r="JY98" s="47"/>
      <c r="JZ98" s="47"/>
      <c r="KA98" s="396" t="e">
        <f t="shared" si="420"/>
        <v>#N/A</v>
      </c>
      <c r="KB98" s="397" t="e">
        <f t="shared" si="421"/>
        <v>#N/A</v>
      </c>
      <c r="KC98" s="400" t="e">
        <f t="shared" si="422"/>
        <v>#N/A</v>
      </c>
      <c r="KD98" s="398" t="e">
        <f t="shared" si="351"/>
        <v>#N/A</v>
      </c>
      <c r="KE98" s="402" t="e">
        <f t="shared" si="423"/>
        <v>#N/A</v>
      </c>
      <c r="KF98" s="398" t="e">
        <f t="shared" si="424"/>
        <v>#N/A</v>
      </c>
      <c r="KG98" s="401" t="e">
        <f t="shared" si="552"/>
        <v>#N/A</v>
      </c>
      <c r="KH98" s="399" t="e">
        <f t="shared" si="553"/>
        <v>#N/A</v>
      </c>
      <c r="KI98" s="47"/>
      <c r="KJ98" s="47"/>
      <c r="KK98" s="396" t="e">
        <f t="shared" si="425"/>
        <v>#N/A</v>
      </c>
      <c r="KL98" s="397" t="e">
        <f t="shared" si="426"/>
        <v>#N/A</v>
      </c>
      <c r="KM98" s="400" t="e">
        <f t="shared" si="427"/>
        <v>#N/A</v>
      </c>
      <c r="KN98" s="398" t="e">
        <f t="shared" si="352"/>
        <v>#N/A</v>
      </c>
      <c r="KO98" s="402" t="e">
        <f t="shared" si="428"/>
        <v>#N/A</v>
      </c>
      <c r="KP98" s="398" t="e">
        <f t="shared" si="429"/>
        <v>#N/A</v>
      </c>
      <c r="KQ98" s="401" t="e">
        <f t="shared" si="554"/>
        <v>#N/A</v>
      </c>
      <c r="KR98" s="399" t="e">
        <f t="shared" si="555"/>
        <v>#N/A</v>
      </c>
      <c r="KS98" s="47"/>
      <c r="KT98" s="47"/>
      <c r="KU98" s="396" t="e">
        <f t="shared" si="556"/>
        <v>#N/A</v>
      </c>
      <c r="KV98" s="397" t="e">
        <f t="shared" si="557"/>
        <v>#N/A</v>
      </c>
      <c r="KW98" s="400" t="e">
        <f t="shared" si="430"/>
        <v>#N/A</v>
      </c>
      <c r="KX98" s="398" t="e">
        <f t="shared" si="558"/>
        <v>#N/A</v>
      </c>
      <c r="KY98" s="402" t="e">
        <f t="shared" si="559"/>
        <v>#N/A</v>
      </c>
      <c r="KZ98" s="398" t="e">
        <f t="shared" si="607"/>
        <v>#N/A</v>
      </c>
      <c r="LA98" s="401" t="e">
        <f t="shared" si="608"/>
        <v>#N/A</v>
      </c>
      <c r="LB98" s="399" t="e">
        <f t="shared" si="560"/>
        <v>#N/A</v>
      </c>
      <c r="LC98" s="47"/>
    </row>
    <row r="99" spans="27:315" x14ac:dyDescent="0.25">
      <c r="AA99" s="396" t="e">
        <f t="shared" si="431"/>
        <v>#N/A</v>
      </c>
      <c r="AB99" s="397" t="e">
        <f t="shared" si="432"/>
        <v>#N/A</v>
      </c>
      <c r="AC99" s="400" t="e">
        <f t="shared" si="382"/>
        <v>#N/A</v>
      </c>
      <c r="AD99" s="398" t="e">
        <f t="shared" si="433"/>
        <v>#N/A</v>
      </c>
      <c r="AE99" s="402" t="e">
        <f t="shared" si="609"/>
        <v>#N/A</v>
      </c>
      <c r="AF99" s="398" t="e">
        <f t="shared" si="561"/>
        <v>#N/A</v>
      </c>
      <c r="AG99" s="401" t="e">
        <f t="shared" si="562"/>
        <v>#N/A</v>
      </c>
      <c r="AH99" s="399" t="e">
        <f t="shared" si="435"/>
        <v>#N/A</v>
      </c>
      <c r="AI99" s="47"/>
      <c r="AJ99" s="47"/>
      <c r="AK99" s="396" t="e">
        <f t="shared" si="436"/>
        <v>#N/A</v>
      </c>
      <c r="AL99" s="397" t="e">
        <f t="shared" si="437"/>
        <v>#N/A</v>
      </c>
      <c r="AM99" s="400" t="e">
        <f t="shared" si="383"/>
        <v>#N/A</v>
      </c>
      <c r="AN99" s="398" t="e">
        <f t="shared" si="438"/>
        <v>#N/A</v>
      </c>
      <c r="AO99" s="402" t="e">
        <f t="shared" si="439"/>
        <v>#N/A</v>
      </c>
      <c r="AP99" s="398" t="e">
        <f t="shared" si="563"/>
        <v>#N/A</v>
      </c>
      <c r="AQ99" s="401" t="e">
        <f t="shared" si="564"/>
        <v>#N/A</v>
      </c>
      <c r="AR99" s="399" t="e">
        <f t="shared" si="440"/>
        <v>#N/A</v>
      </c>
      <c r="AS99" s="47"/>
      <c r="AT99" s="47"/>
      <c r="AU99" s="396" t="e">
        <f t="shared" si="441"/>
        <v>#N/A</v>
      </c>
      <c r="AV99" s="397" t="e">
        <f t="shared" si="442"/>
        <v>#N/A</v>
      </c>
      <c r="AW99" s="400" t="e">
        <f t="shared" si="384"/>
        <v>#N/A</v>
      </c>
      <c r="AX99" s="398" t="e">
        <f t="shared" si="443"/>
        <v>#N/A</v>
      </c>
      <c r="AY99" s="402" t="e">
        <f t="shared" si="444"/>
        <v>#N/A</v>
      </c>
      <c r="AZ99" s="398" t="e">
        <f t="shared" si="565"/>
        <v>#N/A</v>
      </c>
      <c r="BA99" s="401" t="e">
        <f t="shared" si="566"/>
        <v>#N/A</v>
      </c>
      <c r="BB99" s="399" t="e">
        <f t="shared" si="445"/>
        <v>#N/A</v>
      </c>
      <c r="BC99" s="47"/>
      <c r="BD99" s="47"/>
      <c r="BE99" s="396" t="e">
        <f t="shared" si="446"/>
        <v>#N/A</v>
      </c>
      <c r="BF99" s="397" t="e">
        <f t="shared" si="447"/>
        <v>#N/A</v>
      </c>
      <c r="BG99" s="400" t="e">
        <f t="shared" si="385"/>
        <v>#N/A</v>
      </c>
      <c r="BH99" s="398" t="e">
        <f t="shared" si="448"/>
        <v>#N/A</v>
      </c>
      <c r="BI99" s="402" t="e">
        <f t="shared" si="449"/>
        <v>#N/A</v>
      </c>
      <c r="BJ99" s="398" t="e">
        <f t="shared" si="567"/>
        <v>#N/A</v>
      </c>
      <c r="BK99" s="401" t="e">
        <f t="shared" si="568"/>
        <v>#N/A</v>
      </c>
      <c r="BL99" s="399" t="e">
        <f t="shared" si="450"/>
        <v>#N/A</v>
      </c>
      <c r="BM99" s="47"/>
      <c r="BN99" s="49"/>
      <c r="BO99" s="396" t="e">
        <f t="shared" si="451"/>
        <v>#N/A</v>
      </c>
      <c r="BP99" s="397" t="e">
        <f t="shared" si="452"/>
        <v>#N/A</v>
      </c>
      <c r="BQ99" s="400" t="e">
        <f t="shared" si="386"/>
        <v>#N/A</v>
      </c>
      <c r="BR99" s="398" t="e">
        <f t="shared" si="453"/>
        <v>#N/A</v>
      </c>
      <c r="BS99" s="402" t="e">
        <f t="shared" si="454"/>
        <v>#N/A</v>
      </c>
      <c r="BT99" s="398" t="e">
        <f t="shared" si="569"/>
        <v>#N/A</v>
      </c>
      <c r="BU99" s="401" t="e">
        <f t="shared" si="570"/>
        <v>#N/A</v>
      </c>
      <c r="BV99" s="399" t="e">
        <f t="shared" si="455"/>
        <v>#N/A</v>
      </c>
      <c r="BW99" s="47"/>
      <c r="BX99" s="47"/>
      <c r="BY99" s="396" t="e">
        <f t="shared" si="456"/>
        <v>#N/A</v>
      </c>
      <c r="BZ99" s="397" t="e">
        <f t="shared" si="457"/>
        <v>#N/A</v>
      </c>
      <c r="CA99" s="400" t="e">
        <f t="shared" si="387"/>
        <v>#N/A</v>
      </c>
      <c r="CB99" s="398" t="e">
        <f t="shared" si="458"/>
        <v>#N/A</v>
      </c>
      <c r="CC99" s="402" t="e">
        <f t="shared" si="459"/>
        <v>#N/A</v>
      </c>
      <c r="CD99" s="398" t="e">
        <f t="shared" si="571"/>
        <v>#N/A</v>
      </c>
      <c r="CE99" s="401" t="e">
        <f t="shared" si="572"/>
        <v>#N/A</v>
      </c>
      <c r="CF99" s="399" t="e">
        <f t="shared" si="460"/>
        <v>#N/A</v>
      </c>
      <c r="CG99" s="49"/>
      <c r="CH99" s="47"/>
      <c r="CI99" s="396" t="e">
        <f t="shared" si="461"/>
        <v>#N/A</v>
      </c>
      <c r="CJ99" s="397" t="e">
        <f t="shared" si="462"/>
        <v>#N/A</v>
      </c>
      <c r="CK99" s="400" t="e">
        <f t="shared" si="388"/>
        <v>#N/A</v>
      </c>
      <c r="CL99" s="398" t="e">
        <f t="shared" si="463"/>
        <v>#N/A</v>
      </c>
      <c r="CM99" s="402" t="e">
        <f t="shared" si="464"/>
        <v>#N/A</v>
      </c>
      <c r="CN99" s="398" t="e">
        <f t="shared" si="573"/>
        <v>#N/A</v>
      </c>
      <c r="CO99" s="401" t="e">
        <f t="shared" si="574"/>
        <v>#N/A</v>
      </c>
      <c r="CP99" s="399" t="e">
        <f t="shared" si="465"/>
        <v>#N/A</v>
      </c>
      <c r="CQ99" s="47"/>
      <c r="CS99" s="396" t="e">
        <f t="shared" si="466"/>
        <v>#N/A</v>
      </c>
      <c r="CT99" s="397" t="e">
        <f t="shared" si="467"/>
        <v>#N/A</v>
      </c>
      <c r="CU99" s="400" t="e">
        <f t="shared" si="389"/>
        <v>#N/A</v>
      </c>
      <c r="CV99" s="398" t="e">
        <f t="shared" si="468"/>
        <v>#N/A</v>
      </c>
      <c r="CW99" s="402" t="e">
        <f t="shared" si="469"/>
        <v>#N/A</v>
      </c>
      <c r="CX99" s="398" t="e">
        <f t="shared" si="575"/>
        <v>#N/A</v>
      </c>
      <c r="CY99" s="401" t="e">
        <f t="shared" si="576"/>
        <v>#N/A</v>
      </c>
      <c r="CZ99" s="399" t="e">
        <f t="shared" si="470"/>
        <v>#N/A</v>
      </c>
      <c r="DA99" s="47"/>
      <c r="DB99" s="47"/>
      <c r="DC99" s="396" t="e">
        <f t="shared" si="471"/>
        <v>#N/A</v>
      </c>
      <c r="DD99" s="397" t="e">
        <f t="shared" si="472"/>
        <v>#N/A</v>
      </c>
      <c r="DE99" s="400" t="e">
        <f t="shared" si="390"/>
        <v>#N/A</v>
      </c>
      <c r="DF99" s="398" t="e">
        <f t="shared" si="473"/>
        <v>#N/A</v>
      </c>
      <c r="DG99" s="402" t="e">
        <f t="shared" si="474"/>
        <v>#N/A</v>
      </c>
      <c r="DH99" s="398" t="e">
        <f t="shared" si="577"/>
        <v>#N/A</v>
      </c>
      <c r="DI99" s="401" t="e">
        <f t="shared" si="578"/>
        <v>#N/A</v>
      </c>
      <c r="DJ99" s="399" t="e">
        <f t="shared" si="475"/>
        <v>#N/A</v>
      </c>
      <c r="DK99" s="47"/>
      <c r="DM99" s="396" t="e">
        <f t="shared" si="476"/>
        <v>#N/A</v>
      </c>
      <c r="DN99" s="397" t="e">
        <f t="shared" si="477"/>
        <v>#N/A</v>
      </c>
      <c r="DO99" s="400" t="e">
        <f t="shared" si="391"/>
        <v>#N/A</v>
      </c>
      <c r="DP99" s="398" t="e">
        <f t="shared" si="478"/>
        <v>#N/A</v>
      </c>
      <c r="DQ99" s="402" t="e">
        <f t="shared" si="479"/>
        <v>#N/A</v>
      </c>
      <c r="DR99" s="398" t="e">
        <f t="shared" si="579"/>
        <v>#N/A</v>
      </c>
      <c r="DS99" s="401" t="e">
        <f t="shared" si="580"/>
        <v>#N/A</v>
      </c>
      <c r="DT99" s="399" t="e">
        <f t="shared" si="480"/>
        <v>#N/A</v>
      </c>
      <c r="DU99" s="47"/>
      <c r="DV99" s="49"/>
      <c r="DW99" s="396" t="e">
        <f t="shared" si="481"/>
        <v>#N/A</v>
      </c>
      <c r="DX99" s="397" t="e">
        <f t="shared" si="482"/>
        <v>#N/A</v>
      </c>
      <c r="DY99" s="400" t="e">
        <f t="shared" si="392"/>
        <v>#N/A</v>
      </c>
      <c r="DZ99" s="398" t="e">
        <f t="shared" si="483"/>
        <v>#N/A</v>
      </c>
      <c r="EA99" s="402" t="e">
        <f t="shared" si="484"/>
        <v>#N/A</v>
      </c>
      <c r="EB99" s="398" t="e">
        <f t="shared" si="581"/>
        <v>#N/A</v>
      </c>
      <c r="EC99" s="401" t="e">
        <f t="shared" si="582"/>
        <v>#N/A</v>
      </c>
      <c r="ED99" s="399" t="e">
        <f t="shared" si="485"/>
        <v>#N/A</v>
      </c>
      <c r="EE99" s="47"/>
      <c r="EF99" s="47"/>
      <c r="EG99" s="396" t="e">
        <f t="shared" si="486"/>
        <v>#N/A</v>
      </c>
      <c r="EH99" s="397" t="e">
        <f t="shared" si="487"/>
        <v>#N/A</v>
      </c>
      <c r="EI99" s="400" t="e">
        <f t="shared" si="393"/>
        <v>#N/A</v>
      </c>
      <c r="EJ99" s="398" t="e">
        <f t="shared" si="488"/>
        <v>#N/A</v>
      </c>
      <c r="EK99" s="402" t="e">
        <f t="shared" si="489"/>
        <v>#N/A</v>
      </c>
      <c r="EL99" s="398" t="e">
        <f t="shared" si="583"/>
        <v>#N/A</v>
      </c>
      <c r="EM99" s="401" t="e">
        <f t="shared" si="584"/>
        <v>#N/A</v>
      </c>
      <c r="EN99" s="399" t="e">
        <f t="shared" si="490"/>
        <v>#N/A</v>
      </c>
      <c r="EO99" s="47"/>
      <c r="EP99" s="47"/>
      <c r="EQ99" s="396" t="e">
        <f t="shared" si="491"/>
        <v>#N/A</v>
      </c>
      <c r="ER99" s="397" t="e">
        <f t="shared" si="492"/>
        <v>#N/A</v>
      </c>
      <c r="ES99" s="400" t="e">
        <f t="shared" si="394"/>
        <v>#N/A</v>
      </c>
      <c r="ET99" s="398" t="e">
        <f t="shared" si="493"/>
        <v>#N/A</v>
      </c>
      <c r="EU99" s="402" t="e">
        <f t="shared" si="494"/>
        <v>#N/A</v>
      </c>
      <c r="EV99" s="398" t="e">
        <f t="shared" si="585"/>
        <v>#N/A</v>
      </c>
      <c r="EW99" s="401" t="e">
        <f t="shared" si="586"/>
        <v>#N/A</v>
      </c>
      <c r="EX99" s="399" t="e">
        <f t="shared" si="495"/>
        <v>#N/A</v>
      </c>
      <c r="EY99" s="47"/>
      <c r="EZ99" s="47"/>
      <c r="FA99" s="396" t="e">
        <f t="shared" si="496"/>
        <v>#N/A</v>
      </c>
      <c r="FB99" s="397" t="e">
        <f t="shared" si="497"/>
        <v>#N/A</v>
      </c>
      <c r="FC99" s="400" t="e">
        <f t="shared" si="395"/>
        <v>#N/A</v>
      </c>
      <c r="FD99" s="398" t="e">
        <f t="shared" si="498"/>
        <v>#N/A</v>
      </c>
      <c r="FE99" s="402" t="e">
        <f t="shared" si="499"/>
        <v>#N/A</v>
      </c>
      <c r="FF99" s="398" t="e">
        <f t="shared" si="587"/>
        <v>#N/A</v>
      </c>
      <c r="FG99" s="401" t="e">
        <f t="shared" si="588"/>
        <v>#N/A</v>
      </c>
      <c r="FH99" s="399" t="e">
        <f t="shared" si="500"/>
        <v>#N/A</v>
      </c>
      <c r="FI99" s="47"/>
      <c r="FJ99" s="49"/>
      <c r="FK99" s="396" t="e">
        <f t="shared" si="501"/>
        <v>#N/A</v>
      </c>
      <c r="FL99" s="397" t="e">
        <f t="shared" si="502"/>
        <v>#N/A</v>
      </c>
      <c r="FM99" s="400" t="e">
        <f t="shared" si="396"/>
        <v>#N/A</v>
      </c>
      <c r="FN99" s="398" t="e">
        <f t="shared" si="503"/>
        <v>#N/A</v>
      </c>
      <c r="FO99" s="402" t="e">
        <f t="shared" si="504"/>
        <v>#N/A</v>
      </c>
      <c r="FP99" s="398" t="e">
        <f t="shared" si="589"/>
        <v>#N/A</v>
      </c>
      <c r="FQ99" s="401" t="e">
        <f t="shared" si="590"/>
        <v>#N/A</v>
      </c>
      <c r="FR99" s="399" t="e">
        <f t="shared" si="505"/>
        <v>#N/A</v>
      </c>
      <c r="FS99" s="47"/>
      <c r="FT99" s="47"/>
      <c r="FU99" s="396" t="e">
        <f t="shared" si="506"/>
        <v>#N/A</v>
      </c>
      <c r="FV99" s="397" t="e">
        <f t="shared" si="507"/>
        <v>#N/A</v>
      </c>
      <c r="FW99" s="400" t="e">
        <f t="shared" si="397"/>
        <v>#N/A</v>
      </c>
      <c r="FX99" s="398" t="e">
        <f t="shared" si="508"/>
        <v>#N/A</v>
      </c>
      <c r="FY99" s="402" t="e">
        <f t="shared" si="509"/>
        <v>#N/A</v>
      </c>
      <c r="FZ99" s="398" t="e">
        <f t="shared" si="591"/>
        <v>#N/A</v>
      </c>
      <c r="GA99" s="401" t="e">
        <f t="shared" si="592"/>
        <v>#N/A</v>
      </c>
      <c r="GB99" s="399" t="e">
        <f t="shared" si="510"/>
        <v>#N/A</v>
      </c>
      <c r="GC99" s="47"/>
      <c r="GD99" s="47"/>
      <c r="GE99" s="396" t="e">
        <f t="shared" si="511"/>
        <v>#N/A</v>
      </c>
      <c r="GF99" s="397" t="e">
        <f t="shared" si="512"/>
        <v>#N/A</v>
      </c>
      <c r="GG99" s="400" t="e">
        <f t="shared" si="398"/>
        <v>#N/A</v>
      </c>
      <c r="GH99" s="398" t="e">
        <f t="shared" si="513"/>
        <v>#N/A</v>
      </c>
      <c r="GI99" s="402" t="e">
        <f t="shared" si="514"/>
        <v>#N/A</v>
      </c>
      <c r="GJ99" s="398" t="e">
        <f t="shared" si="593"/>
        <v>#N/A</v>
      </c>
      <c r="GK99" s="401" t="e">
        <f t="shared" si="594"/>
        <v>#N/A</v>
      </c>
      <c r="GL99" s="399" t="e">
        <f t="shared" si="515"/>
        <v>#N/A</v>
      </c>
      <c r="GM99" s="47"/>
      <c r="GN99" s="47"/>
      <c r="GO99" s="396" t="e">
        <f t="shared" si="516"/>
        <v>#N/A</v>
      </c>
      <c r="GP99" s="397" t="e">
        <f t="shared" si="517"/>
        <v>#N/A</v>
      </c>
      <c r="GQ99" s="400" t="e">
        <f t="shared" si="399"/>
        <v>#N/A</v>
      </c>
      <c r="GR99" s="398" t="e">
        <f t="shared" si="518"/>
        <v>#N/A</v>
      </c>
      <c r="GS99" s="402" t="e">
        <f t="shared" si="519"/>
        <v>#N/A</v>
      </c>
      <c r="GT99" s="398" t="e">
        <f t="shared" si="595"/>
        <v>#N/A</v>
      </c>
      <c r="GU99" s="401" t="e">
        <f t="shared" si="596"/>
        <v>#N/A</v>
      </c>
      <c r="GV99" s="399" t="e">
        <f t="shared" si="520"/>
        <v>#N/A</v>
      </c>
      <c r="GW99" s="47"/>
      <c r="GX99" s="47"/>
      <c r="GY99" s="396" t="e">
        <f t="shared" si="521"/>
        <v>#N/A</v>
      </c>
      <c r="GZ99" s="397" t="e">
        <f t="shared" si="522"/>
        <v>#N/A</v>
      </c>
      <c r="HA99" s="400" t="e">
        <f t="shared" si="400"/>
        <v>#N/A</v>
      </c>
      <c r="HB99" s="398" t="e">
        <f t="shared" si="523"/>
        <v>#N/A</v>
      </c>
      <c r="HC99" s="402" t="e">
        <f t="shared" si="524"/>
        <v>#N/A</v>
      </c>
      <c r="HD99" s="398" t="e">
        <f t="shared" si="597"/>
        <v>#N/A</v>
      </c>
      <c r="HE99" s="401" t="e">
        <f t="shared" si="598"/>
        <v>#N/A</v>
      </c>
      <c r="HF99" s="399" t="e">
        <f t="shared" si="525"/>
        <v>#N/A</v>
      </c>
      <c r="HI99" s="396" t="e">
        <f t="shared" si="526"/>
        <v>#N/A</v>
      </c>
      <c r="HJ99" s="397" t="e">
        <f t="shared" si="527"/>
        <v>#N/A</v>
      </c>
      <c r="HK99" s="400" t="e">
        <f t="shared" si="401"/>
        <v>#N/A</v>
      </c>
      <c r="HL99" s="398" t="e">
        <f t="shared" si="528"/>
        <v>#N/A</v>
      </c>
      <c r="HM99" s="402" t="e">
        <f t="shared" si="529"/>
        <v>#N/A</v>
      </c>
      <c r="HN99" s="398" t="e">
        <f t="shared" si="599"/>
        <v>#N/A</v>
      </c>
      <c r="HO99" s="401" t="e">
        <f t="shared" si="600"/>
        <v>#N/A</v>
      </c>
      <c r="HP99" s="399" t="e">
        <f t="shared" si="530"/>
        <v>#N/A</v>
      </c>
      <c r="HS99" s="396" t="e">
        <f t="shared" si="531"/>
        <v>#N/A</v>
      </c>
      <c r="HT99" s="397" t="e">
        <f t="shared" si="532"/>
        <v>#N/A</v>
      </c>
      <c r="HU99" s="400" t="e">
        <f t="shared" si="402"/>
        <v>#N/A</v>
      </c>
      <c r="HV99" s="398" t="e">
        <f t="shared" si="533"/>
        <v>#N/A</v>
      </c>
      <c r="HW99" s="402" t="e">
        <f t="shared" si="534"/>
        <v>#N/A</v>
      </c>
      <c r="HX99" s="398" t="e">
        <f t="shared" si="601"/>
        <v>#N/A</v>
      </c>
      <c r="HY99" s="401" t="e">
        <f t="shared" si="602"/>
        <v>#N/A</v>
      </c>
      <c r="HZ99" s="399" t="e">
        <f t="shared" si="535"/>
        <v>#N/A</v>
      </c>
      <c r="IC99" s="396" t="e">
        <f t="shared" si="536"/>
        <v>#N/A</v>
      </c>
      <c r="ID99" s="397" t="e">
        <f t="shared" si="537"/>
        <v>#N/A</v>
      </c>
      <c r="IE99" s="400" t="e">
        <f t="shared" si="403"/>
        <v>#N/A</v>
      </c>
      <c r="IF99" s="398" t="e">
        <f t="shared" si="538"/>
        <v>#N/A</v>
      </c>
      <c r="IG99" s="402" t="e">
        <f t="shared" si="539"/>
        <v>#N/A</v>
      </c>
      <c r="IH99" s="398" t="e">
        <f t="shared" si="603"/>
        <v>#N/A</v>
      </c>
      <c r="II99" s="401" t="e">
        <f t="shared" si="604"/>
        <v>#N/A</v>
      </c>
      <c r="IJ99" s="399" t="e">
        <f t="shared" si="540"/>
        <v>#N/A</v>
      </c>
      <c r="IM99" s="396" t="e">
        <f t="shared" si="541"/>
        <v>#N/A</v>
      </c>
      <c r="IN99" s="397" t="e">
        <f t="shared" si="542"/>
        <v>#N/A</v>
      </c>
      <c r="IO99" s="400" t="e">
        <f t="shared" si="404"/>
        <v>#N/A</v>
      </c>
      <c r="IP99" s="398" t="e">
        <f t="shared" si="543"/>
        <v>#N/A</v>
      </c>
      <c r="IQ99" s="402" t="e">
        <f t="shared" si="544"/>
        <v>#N/A</v>
      </c>
      <c r="IR99" s="398" t="e">
        <f t="shared" si="605"/>
        <v>#N/A</v>
      </c>
      <c r="IS99" s="401" t="e">
        <f t="shared" si="606"/>
        <v>#N/A</v>
      </c>
      <c r="IT99" s="399" t="e">
        <f t="shared" si="545"/>
        <v>#N/A</v>
      </c>
      <c r="IW99" s="396" t="e">
        <f t="shared" si="405"/>
        <v>#N/A</v>
      </c>
      <c r="IX99" s="397" t="e">
        <f t="shared" si="406"/>
        <v>#N/A</v>
      </c>
      <c r="IY99" s="400" t="e">
        <f t="shared" si="407"/>
        <v>#N/A</v>
      </c>
      <c r="IZ99" s="398" t="e">
        <f t="shared" si="348"/>
        <v>#N/A</v>
      </c>
      <c r="JA99" s="402" t="e">
        <f t="shared" si="408"/>
        <v>#N/A</v>
      </c>
      <c r="JB99" s="398" t="e">
        <f t="shared" si="409"/>
        <v>#N/A</v>
      </c>
      <c r="JC99" s="401" t="e">
        <f t="shared" si="546"/>
        <v>#N/A</v>
      </c>
      <c r="JD99" s="399" t="e">
        <f t="shared" si="547"/>
        <v>#N/A</v>
      </c>
      <c r="JG99" s="396" t="e">
        <f t="shared" si="410"/>
        <v>#N/A</v>
      </c>
      <c r="JH99" s="397" t="e">
        <f t="shared" si="411"/>
        <v>#N/A</v>
      </c>
      <c r="JI99" s="400" t="e">
        <f t="shared" si="412"/>
        <v>#N/A</v>
      </c>
      <c r="JJ99" s="398" t="e">
        <f t="shared" si="349"/>
        <v>#N/A</v>
      </c>
      <c r="JK99" s="402" t="e">
        <f t="shared" si="413"/>
        <v>#N/A</v>
      </c>
      <c r="JL99" s="398" t="e">
        <f t="shared" si="414"/>
        <v>#N/A</v>
      </c>
      <c r="JM99" s="401" t="e">
        <f t="shared" si="548"/>
        <v>#N/A</v>
      </c>
      <c r="JN99" s="399" t="e">
        <f t="shared" si="549"/>
        <v>#N/A</v>
      </c>
      <c r="JQ99" s="396" t="e">
        <f t="shared" si="415"/>
        <v>#N/A</v>
      </c>
      <c r="JR99" s="397" t="e">
        <f t="shared" si="416"/>
        <v>#N/A</v>
      </c>
      <c r="JS99" s="400" t="e">
        <f t="shared" si="417"/>
        <v>#N/A</v>
      </c>
      <c r="JT99" s="398" t="e">
        <f t="shared" si="350"/>
        <v>#N/A</v>
      </c>
      <c r="JU99" s="402" t="e">
        <f t="shared" si="418"/>
        <v>#N/A</v>
      </c>
      <c r="JV99" s="398" t="e">
        <f t="shared" si="419"/>
        <v>#N/A</v>
      </c>
      <c r="JW99" s="401" t="e">
        <f t="shared" si="550"/>
        <v>#N/A</v>
      </c>
      <c r="JX99" s="399" t="e">
        <f t="shared" si="551"/>
        <v>#N/A</v>
      </c>
      <c r="KA99" s="396" t="e">
        <f t="shared" si="420"/>
        <v>#N/A</v>
      </c>
      <c r="KB99" s="397" t="e">
        <f t="shared" si="421"/>
        <v>#N/A</v>
      </c>
      <c r="KC99" s="400" t="e">
        <f t="shared" si="422"/>
        <v>#N/A</v>
      </c>
      <c r="KD99" s="398" t="e">
        <f t="shared" si="351"/>
        <v>#N/A</v>
      </c>
      <c r="KE99" s="402" t="e">
        <f t="shared" si="423"/>
        <v>#N/A</v>
      </c>
      <c r="KF99" s="398" t="e">
        <f t="shared" si="424"/>
        <v>#N/A</v>
      </c>
      <c r="KG99" s="401" t="e">
        <f t="shared" si="552"/>
        <v>#N/A</v>
      </c>
      <c r="KH99" s="399" t="e">
        <f t="shared" si="553"/>
        <v>#N/A</v>
      </c>
      <c r="KK99" s="396" t="e">
        <f t="shared" si="425"/>
        <v>#N/A</v>
      </c>
      <c r="KL99" s="397" t="e">
        <f t="shared" si="426"/>
        <v>#N/A</v>
      </c>
      <c r="KM99" s="400" t="e">
        <f t="shared" si="427"/>
        <v>#N/A</v>
      </c>
      <c r="KN99" s="398" t="e">
        <f t="shared" si="352"/>
        <v>#N/A</v>
      </c>
      <c r="KO99" s="402" t="e">
        <f t="shared" si="428"/>
        <v>#N/A</v>
      </c>
      <c r="KP99" s="398" t="e">
        <f t="shared" si="429"/>
        <v>#N/A</v>
      </c>
      <c r="KQ99" s="401" t="e">
        <f t="shared" si="554"/>
        <v>#N/A</v>
      </c>
      <c r="KR99" s="399" t="e">
        <f t="shared" si="555"/>
        <v>#N/A</v>
      </c>
      <c r="KU99" s="396" t="e">
        <f t="shared" si="556"/>
        <v>#N/A</v>
      </c>
      <c r="KV99" s="397" t="e">
        <f t="shared" si="557"/>
        <v>#N/A</v>
      </c>
      <c r="KW99" s="400" t="e">
        <f t="shared" si="430"/>
        <v>#N/A</v>
      </c>
      <c r="KX99" s="398" t="e">
        <f t="shared" si="558"/>
        <v>#N/A</v>
      </c>
      <c r="KY99" s="402" t="e">
        <f t="shared" si="559"/>
        <v>#N/A</v>
      </c>
      <c r="KZ99" s="398" t="e">
        <f t="shared" si="607"/>
        <v>#N/A</v>
      </c>
      <c r="LA99" s="401" t="e">
        <f t="shared" si="608"/>
        <v>#N/A</v>
      </c>
      <c r="LB99" s="399" t="e">
        <f t="shared" si="560"/>
        <v>#N/A</v>
      </c>
    </row>
    <row r="100" spans="27:315" x14ac:dyDescent="0.25">
      <c r="AA100" s="396" t="e">
        <f t="shared" si="431"/>
        <v>#N/A</v>
      </c>
      <c r="AB100" s="397" t="e">
        <f t="shared" si="432"/>
        <v>#N/A</v>
      </c>
      <c r="AC100" s="400" t="e">
        <f t="shared" si="382"/>
        <v>#N/A</v>
      </c>
      <c r="AD100" s="398" t="e">
        <f t="shared" si="433"/>
        <v>#N/A</v>
      </c>
      <c r="AE100" s="402" t="e">
        <f t="shared" si="609"/>
        <v>#N/A</v>
      </c>
      <c r="AF100" s="398" t="e">
        <f t="shared" si="561"/>
        <v>#N/A</v>
      </c>
      <c r="AG100" s="401" t="e">
        <f t="shared" si="562"/>
        <v>#N/A</v>
      </c>
      <c r="AH100" s="399">
        <f t="shared" si="435"/>
        <v>0</v>
      </c>
      <c r="AI100" s="47"/>
      <c r="AJ100" s="47"/>
      <c r="AK100" s="396" t="e">
        <f t="shared" si="436"/>
        <v>#N/A</v>
      </c>
      <c r="AL100" s="397" t="e">
        <f t="shared" si="437"/>
        <v>#N/A</v>
      </c>
      <c r="AM100" s="400" t="e">
        <f t="shared" si="383"/>
        <v>#N/A</v>
      </c>
      <c r="AN100" s="398" t="e">
        <f t="shared" si="438"/>
        <v>#N/A</v>
      </c>
      <c r="AO100" s="402" t="e">
        <f t="shared" si="439"/>
        <v>#N/A</v>
      </c>
      <c r="AP100" s="398" t="e">
        <f t="shared" si="563"/>
        <v>#N/A</v>
      </c>
      <c r="AQ100" s="401" t="e">
        <f t="shared" si="564"/>
        <v>#N/A</v>
      </c>
      <c r="AR100" s="399">
        <f t="shared" si="440"/>
        <v>0</v>
      </c>
      <c r="AS100" s="47"/>
      <c r="AT100" s="47"/>
      <c r="AU100" s="396" t="e">
        <f t="shared" si="441"/>
        <v>#N/A</v>
      </c>
      <c r="AV100" s="397" t="e">
        <f t="shared" si="442"/>
        <v>#N/A</v>
      </c>
      <c r="AW100" s="400" t="e">
        <f t="shared" si="384"/>
        <v>#N/A</v>
      </c>
      <c r="AX100" s="398" t="e">
        <f t="shared" si="443"/>
        <v>#N/A</v>
      </c>
      <c r="AY100" s="402" t="e">
        <f t="shared" si="444"/>
        <v>#N/A</v>
      </c>
      <c r="AZ100" s="398" t="e">
        <f t="shared" si="565"/>
        <v>#N/A</v>
      </c>
      <c r="BA100" s="401" t="e">
        <f t="shared" si="566"/>
        <v>#N/A</v>
      </c>
      <c r="BB100" s="399">
        <f t="shared" si="445"/>
        <v>0</v>
      </c>
      <c r="BC100" s="47"/>
      <c r="BD100" s="47"/>
      <c r="BE100" s="396" t="e">
        <f t="shared" si="446"/>
        <v>#N/A</v>
      </c>
      <c r="BF100" s="397" t="e">
        <f t="shared" si="447"/>
        <v>#N/A</v>
      </c>
      <c r="BG100" s="400" t="e">
        <f t="shared" si="385"/>
        <v>#N/A</v>
      </c>
      <c r="BH100" s="398" t="e">
        <f t="shared" si="448"/>
        <v>#N/A</v>
      </c>
      <c r="BI100" s="402" t="e">
        <f t="shared" si="449"/>
        <v>#N/A</v>
      </c>
      <c r="BJ100" s="398" t="e">
        <f t="shared" si="567"/>
        <v>#N/A</v>
      </c>
      <c r="BK100" s="401" t="e">
        <f t="shared" si="568"/>
        <v>#N/A</v>
      </c>
      <c r="BL100" s="399">
        <f t="shared" si="450"/>
        <v>0</v>
      </c>
      <c r="BM100" s="47"/>
      <c r="BN100" s="49"/>
      <c r="BO100" s="396" t="e">
        <f t="shared" si="451"/>
        <v>#N/A</v>
      </c>
      <c r="BP100" s="397" t="e">
        <f t="shared" si="452"/>
        <v>#N/A</v>
      </c>
      <c r="BQ100" s="400" t="e">
        <f t="shared" si="386"/>
        <v>#N/A</v>
      </c>
      <c r="BR100" s="398" t="e">
        <f t="shared" si="453"/>
        <v>#N/A</v>
      </c>
      <c r="BS100" s="402" t="e">
        <f t="shared" si="454"/>
        <v>#N/A</v>
      </c>
      <c r="BT100" s="398" t="e">
        <f t="shared" si="569"/>
        <v>#N/A</v>
      </c>
      <c r="BU100" s="401" t="e">
        <f t="shared" si="570"/>
        <v>#N/A</v>
      </c>
      <c r="BV100" s="399">
        <f t="shared" si="455"/>
        <v>0</v>
      </c>
      <c r="BW100" s="47"/>
      <c r="BX100" s="47"/>
      <c r="BY100" s="396" t="e">
        <f t="shared" si="456"/>
        <v>#N/A</v>
      </c>
      <c r="BZ100" s="397" t="e">
        <f t="shared" si="457"/>
        <v>#N/A</v>
      </c>
      <c r="CA100" s="400" t="e">
        <f t="shared" si="387"/>
        <v>#N/A</v>
      </c>
      <c r="CB100" s="398" t="e">
        <f t="shared" si="458"/>
        <v>#N/A</v>
      </c>
      <c r="CC100" s="402" t="e">
        <f t="shared" si="459"/>
        <v>#N/A</v>
      </c>
      <c r="CD100" s="398" t="e">
        <f t="shared" si="571"/>
        <v>#N/A</v>
      </c>
      <c r="CE100" s="401" t="e">
        <f t="shared" si="572"/>
        <v>#N/A</v>
      </c>
      <c r="CF100" s="399">
        <f t="shared" si="460"/>
        <v>0</v>
      </c>
      <c r="CG100" s="49"/>
      <c r="CH100" s="47"/>
      <c r="CI100" s="396" t="e">
        <f t="shared" si="461"/>
        <v>#N/A</v>
      </c>
      <c r="CJ100" s="397" t="e">
        <f t="shared" si="462"/>
        <v>#N/A</v>
      </c>
      <c r="CK100" s="400" t="e">
        <f t="shared" si="388"/>
        <v>#N/A</v>
      </c>
      <c r="CL100" s="398" t="e">
        <f t="shared" si="463"/>
        <v>#N/A</v>
      </c>
      <c r="CM100" s="402" t="e">
        <f t="shared" si="464"/>
        <v>#N/A</v>
      </c>
      <c r="CN100" s="398" t="e">
        <f t="shared" si="573"/>
        <v>#N/A</v>
      </c>
      <c r="CO100" s="401" t="e">
        <f t="shared" si="574"/>
        <v>#N/A</v>
      </c>
      <c r="CP100" s="399">
        <f t="shared" si="465"/>
        <v>0</v>
      </c>
      <c r="CQ100" s="47"/>
      <c r="CS100" s="396" t="e">
        <f t="shared" si="466"/>
        <v>#N/A</v>
      </c>
      <c r="CT100" s="397" t="e">
        <f t="shared" si="467"/>
        <v>#N/A</v>
      </c>
      <c r="CU100" s="400" t="e">
        <f t="shared" si="389"/>
        <v>#N/A</v>
      </c>
      <c r="CV100" s="398" t="e">
        <f t="shared" si="468"/>
        <v>#N/A</v>
      </c>
      <c r="CW100" s="402" t="e">
        <f t="shared" si="469"/>
        <v>#N/A</v>
      </c>
      <c r="CX100" s="398" t="e">
        <f t="shared" si="575"/>
        <v>#N/A</v>
      </c>
      <c r="CY100" s="401" t="e">
        <f t="shared" si="576"/>
        <v>#N/A</v>
      </c>
      <c r="CZ100" s="399">
        <f t="shared" si="470"/>
        <v>0</v>
      </c>
      <c r="DA100" s="47"/>
      <c r="DB100" s="47"/>
      <c r="DC100" s="396" t="e">
        <f t="shared" si="471"/>
        <v>#N/A</v>
      </c>
      <c r="DD100" s="397" t="e">
        <f t="shared" si="472"/>
        <v>#N/A</v>
      </c>
      <c r="DE100" s="400" t="e">
        <f t="shared" si="390"/>
        <v>#N/A</v>
      </c>
      <c r="DF100" s="398" t="e">
        <f t="shared" si="473"/>
        <v>#N/A</v>
      </c>
      <c r="DG100" s="402" t="e">
        <f t="shared" si="474"/>
        <v>#N/A</v>
      </c>
      <c r="DH100" s="398" t="e">
        <f t="shared" si="577"/>
        <v>#N/A</v>
      </c>
      <c r="DI100" s="401" t="e">
        <f t="shared" si="578"/>
        <v>#N/A</v>
      </c>
      <c r="DJ100" s="399">
        <f t="shared" si="475"/>
        <v>0</v>
      </c>
      <c r="DK100" s="47"/>
      <c r="DM100" s="396" t="e">
        <f t="shared" si="476"/>
        <v>#N/A</v>
      </c>
      <c r="DN100" s="397" t="e">
        <f t="shared" si="477"/>
        <v>#N/A</v>
      </c>
      <c r="DO100" s="400" t="e">
        <f t="shared" si="391"/>
        <v>#N/A</v>
      </c>
      <c r="DP100" s="398" t="e">
        <f t="shared" si="478"/>
        <v>#N/A</v>
      </c>
      <c r="DQ100" s="402" t="e">
        <f t="shared" si="479"/>
        <v>#N/A</v>
      </c>
      <c r="DR100" s="398" t="e">
        <f t="shared" si="579"/>
        <v>#N/A</v>
      </c>
      <c r="DS100" s="401" t="e">
        <f t="shared" si="580"/>
        <v>#N/A</v>
      </c>
      <c r="DT100" s="399">
        <f t="shared" si="480"/>
        <v>0</v>
      </c>
      <c r="DU100" s="47"/>
      <c r="DV100" s="49"/>
      <c r="DW100" s="396" t="e">
        <f t="shared" si="481"/>
        <v>#N/A</v>
      </c>
      <c r="DX100" s="397" t="e">
        <f t="shared" si="482"/>
        <v>#N/A</v>
      </c>
      <c r="DY100" s="400" t="e">
        <f t="shared" si="392"/>
        <v>#N/A</v>
      </c>
      <c r="DZ100" s="398" t="e">
        <f t="shared" si="483"/>
        <v>#N/A</v>
      </c>
      <c r="EA100" s="402" t="e">
        <f t="shared" si="484"/>
        <v>#N/A</v>
      </c>
      <c r="EB100" s="398" t="e">
        <f t="shared" si="581"/>
        <v>#N/A</v>
      </c>
      <c r="EC100" s="401" t="e">
        <f t="shared" si="582"/>
        <v>#N/A</v>
      </c>
      <c r="ED100" s="399">
        <f t="shared" si="485"/>
        <v>0</v>
      </c>
      <c r="EE100" s="47"/>
      <c r="EF100" s="47"/>
      <c r="EG100" s="396" t="e">
        <f t="shared" si="486"/>
        <v>#N/A</v>
      </c>
      <c r="EH100" s="397" t="e">
        <f t="shared" si="487"/>
        <v>#N/A</v>
      </c>
      <c r="EI100" s="400" t="e">
        <f t="shared" si="393"/>
        <v>#N/A</v>
      </c>
      <c r="EJ100" s="398" t="e">
        <f t="shared" si="488"/>
        <v>#N/A</v>
      </c>
      <c r="EK100" s="402" t="e">
        <f t="shared" si="489"/>
        <v>#N/A</v>
      </c>
      <c r="EL100" s="398" t="e">
        <f t="shared" si="583"/>
        <v>#N/A</v>
      </c>
      <c r="EM100" s="401" t="e">
        <f t="shared" si="584"/>
        <v>#N/A</v>
      </c>
      <c r="EN100" s="399">
        <f t="shared" si="490"/>
        <v>0</v>
      </c>
      <c r="EO100" s="47"/>
      <c r="EP100" s="47"/>
      <c r="EQ100" s="396" t="e">
        <f t="shared" si="491"/>
        <v>#N/A</v>
      </c>
      <c r="ER100" s="397" t="e">
        <f t="shared" si="492"/>
        <v>#N/A</v>
      </c>
      <c r="ES100" s="400" t="e">
        <f t="shared" si="394"/>
        <v>#N/A</v>
      </c>
      <c r="ET100" s="398" t="e">
        <f t="shared" si="493"/>
        <v>#N/A</v>
      </c>
      <c r="EU100" s="402" t="e">
        <f t="shared" si="494"/>
        <v>#N/A</v>
      </c>
      <c r="EV100" s="398" t="e">
        <f t="shared" si="585"/>
        <v>#N/A</v>
      </c>
      <c r="EW100" s="401" t="e">
        <f t="shared" si="586"/>
        <v>#N/A</v>
      </c>
      <c r="EX100" s="399">
        <f t="shared" si="495"/>
        <v>0</v>
      </c>
      <c r="EY100" s="47"/>
      <c r="EZ100" s="47"/>
      <c r="FA100" s="396" t="e">
        <f t="shared" si="496"/>
        <v>#N/A</v>
      </c>
      <c r="FB100" s="397" t="e">
        <f t="shared" si="497"/>
        <v>#N/A</v>
      </c>
      <c r="FC100" s="400" t="e">
        <f t="shared" si="395"/>
        <v>#N/A</v>
      </c>
      <c r="FD100" s="398" t="e">
        <f t="shared" si="498"/>
        <v>#N/A</v>
      </c>
      <c r="FE100" s="402" t="e">
        <f t="shared" si="499"/>
        <v>#N/A</v>
      </c>
      <c r="FF100" s="398" t="e">
        <f t="shared" si="587"/>
        <v>#N/A</v>
      </c>
      <c r="FG100" s="401" t="e">
        <f t="shared" si="588"/>
        <v>#N/A</v>
      </c>
      <c r="FH100" s="399">
        <f t="shared" si="500"/>
        <v>0</v>
      </c>
      <c r="FI100" s="47"/>
      <c r="FJ100" s="49"/>
      <c r="FK100" s="396" t="e">
        <f t="shared" si="501"/>
        <v>#N/A</v>
      </c>
      <c r="FL100" s="397" t="e">
        <f t="shared" si="502"/>
        <v>#N/A</v>
      </c>
      <c r="FM100" s="400" t="e">
        <f t="shared" si="396"/>
        <v>#N/A</v>
      </c>
      <c r="FN100" s="398" t="e">
        <f t="shared" si="503"/>
        <v>#N/A</v>
      </c>
      <c r="FO100" s="402" t="e">
        <f t="shared" si="504"/>
        <v>#N/A</v>
      </c>
      <c r="FP100" s="398" t="e">
        <f t="shared" si="589"/>
        <v>#N/A</v>
      </c>
      <c r="FQ100" s="401" t="e">
        <f t="shared" si="590"/>
        <v>#N/A</v>
      </c>
      <c r="FR100" s="399">
        <f t="shared" si="505"/>
        <v>0</v>
      </c>
      <c r="FS100" s="47"/>
      <c r="FT100" s="47"/>
      <c r="FU100" s="396" t="e">
        <f t="shared" si="506"/>
        <v>#N/A</v>
      </c>
      <c r="FV100" s="397" t="e">
        <f t="shared" si="507"/>
        <v>#N/A</v>
      </c>
      <c r="FW100" s="400" t="e">
        <f t="shared" si="397"/>
        <v>#N/A</v>
      </c>
      <c r="FX100" s="398" t="e">
        <f t="shared" si="508"/>
        <v>#N/A</v>
      </c>
      <c r="FY100" s="402" t="e">
        <f t="shared" si="509"/>
        <v>#N/A</v>
      </c>
      <c r="FZ100" s="398" t="e">
        <f t="shared" si="591"/>
        <v>#N/A</v>
      </c>
      <c r="GA100" s="401" t="e">
        <f t="shared" si="592"/>
        <v>#N/A</v>
      </c>
      <c r="GB100" s="399">
        <f t="shared" si="510"/>
        <v>0</v>
      </c>
      <c r="GC100" s="47"/>
      <c r="GD100" s="47"/>
      <c r="GE100" s="396" t="e">
        <f t="shared" si="511"/>
        <v>#N/A</v>
      </c>
      <c r="GF100" s="397" t="e">
        <f t="shared" si="512"/>
        <v>#N/A</v>
      </c>
      <c r="GG100" s="400" t="e">
        <f t="shared" si="398"/>
        <v>#N/A</v>
      </c>
      <c r="GH100" s="398" t="e">
        <f t="shared" si="513"/>
        <v>#N/A</v>
      </c>
      <c r="GI100" s="402" t="e">
        <f t="shared" si="514"/>
        <v>#N/A</v>
      </c>
      <c r="GJ100" s="398" t="e">
        <f t="shared" si="593"/>
        <v>#N/A</v>
      </c>
      <c r="GK100" s="401" t="e">
        <f t="shared" si="594"/>
        <v>#N/A</v>
      </c>
      <c r="GL100" s="399">
        <f t="shared" si="515"/>
        <v>0</v>
      </c>
      <c r="GM100" s="47"/>
      <c r="GN100" s="47"/>
      <c r="GO100" s="396" t="e">
        <f t="shared" si="516"/>
        <v>#N/A</v>
      </c>
      <c r="GP100" s="397" t="e">
        <f t="shared" si="517"/>
        <v>#N/A</v>
      </c>
      <c r="GQ100" s="400" t="e">
        <f t="shared" si="399"/>
        <v>#N/A</v>
      </c>
      <c r="GR100" s="398" t="e">
        <f t="shared" si="518"/>
        <v>#N/A</v>
      </c>
      <c r="GS100" s="402" t="e">
        <f t="shared" si="519"/>
        <v>#N/A</v>
      </c>
      <c r="GT100" s="398" t="e">
        <f t="shared" si="595"/>
        <v>#N/A</v>
      </c>
      <c r="GU100" s="401" t="e">
        <f t="shared" si="596"/>
        <v>#N/A</v>
      </c>
      <c r="GV100" s="399">
        <f t="shared" si="520"/>
        <v>0</v>
      </c>
      <c r="GW100" s="47"/>
      <c r="GX100" s="47"/>
      <c r="GY100" s="396" t="e">
        <f t="shared" si="521"/>
        <v>#N/A</v>
      </c>
      <c r="GZ100" s="397" t="e">
        <f t="shared" si="522"/>
        <v>#N/A</v>
      </c>
      <c r="HA100" s="400" t="e">
        <f t="shared" si="400"/>
        <v>#N/A</v>
      </c>
      <c r="HB100" s="398" t="e">
        <f t="shared" si="523"/>
        <v>#N/A</v>
      </c>
      <c r="HC100" s="402" t="e">
        <f t="shared" si="524"/>
        <v>#N/A</v>
      </c>
      <c r="HD100" s="398" t="e">
        <f t="shared" si="597"/>
        <v>#N/A</v>
      </c>
      <c r="HE100" s="401" t="e">
        <f t="shared" si="598"/>
        <v>#N/A</v>
      </c>
      <c r="HF100" s="399">
        <f t="shared" si="525"/>
        <v>0</v>
      </c>
      <c r="HI100" s="396" t="e">
        <f t="shared" si="526"/>
        <v>#N/A</v>
      </c>
      <c r="HJ100" s="397" t="e">
        <f t="shared" si="527"/>
        <v>#N/A</v>
      </c>
      <c r="HK100" s="400" t="e">
        <f t="shared" si="401"/>
        <v>#N/A</v>
      </c>
      <c r="HL100" s="398" t="e">
        <f t="shared" si="528"/>
        <v>#N/A</v>
      </c>
      <c r="HM100" s="402" t="e">
        <f t="shared" si="529"/>
        <v>#N/A</v>
      </c>
      <c r="HN100" s="398" t="e">
        <f t="shared" si="599"/>
        <v>#N/A</v>
      </c>
      <c r="HO100" s="401" t="e">
        <f t="shared" si="600"/>
        <v>#N/A</v>
      </c>
      <c r="HP100" s="399">
        <f t="shared" si="530"/>
        <v>0</v>
      </c>
      <c r="HS100" s="396" t="e">
        <f t="shared" si="531"/>
        <v>#N/A</v>
      </c>
      <c r="HT100" s="397" t="e">
        <f t="shared" si="532"/>
        <v>#N/A</v>
      </c>
      <c r="HU100" s="400" t="e">
        <f t="shared" si="402"/>
        <v>#N/A</v>
      </c>
      <c r="HV100" s="398" t="e">
        <f t="shared" si="533"/>
        <v>#N/A</v>
      </c>
      <c r="HW100" s="402" t="e">
        <f t="shared" si="534"/>
        <v>#N/A</v>
      </c>
      <c r="HX100" s="398" t="e">
        <f t="shared" si="601"/>
        <v>#N/A</v>
      </c>
      <c r="HY100" s="401" t="e">
        <f t="shared" si="602"/>
        <v>#N/A</v>
      </c>
      <c r="HZ100" s="399">
        <f t="shared" si="535"/>
        <v>0</v>
      </c>
      <c r="IC100" s="396" t="e">
        <f t="shared" si="536"/>
        <v>#N/A</v>
      </c>
      <c r="ID100" s="397" t="e">
        <f t="shared" si="537"/>
        <v>#N/A</v>
      </c>
      <c r="IE100" s="400" t="e">
        <f t="shared" si="403"/>
        <v>#N/A</v>
      </c>
      <c r="IF100" s="398" t="e">
        <f t="shared" si="538"/>
        <v>#N/A</v>
      </c>
      <c r="IG100" s="402" t="e">
        <f t="shared" si="539"/>
        <v>#N/A</v>
      </c>
      <c r="IH100" s="398" t="e">
        <f t="shared" si="603"/>
        <v>#N/A</v>
      </c>
      <c r="II100" s="401" t="e">
        <f t="shared" si="604"/>
        <v>#N/A</v>
      </c>
      <c r="IJ100" s="399">
        <f t="shared" si="540"/>
        <v>0</v>
      </c>
      <c r="IM100" s="396" t="e">
        <f t="shared" si="541"/>
        <v>#N/A</v>
      </c>
      <c r="IN100" s="397" t="e">
        <f t="shared" si="542"/>
        <v>#N/A</v>
      </c>
      <c r="IO100" s="400" t="e">
        <f t="shared" si="404"/>
        <v>#N/A</v>
      </c>
      <c r="IP100" s="398" t="e">
        <f t="shared" si="543"/>
        <v>#N/A</v>
      </c>
      <c r="IQ100" s="402" t="e">
        <f t="shared" si="544"/>
        <v>#N/A</v>
      </c>
      <c r="IR100" s="398" t="e">
        <f t="shared" si="605"/>
        <v>#N/A</v>
      </c>
      <c r="IS100" s="401" t="e">
        <f t="shared" si="606"/>
        <v>#N/A</v>
      </c>
      <c r="IT100" s="399">
        <f t="shared" si="545"/>
        <v>0</v>
      </c>
      <c r="IW100" s="396" t="e">
        <f t="shared" si="405"/>
        <v>#N/A</v>
      </c>
      <c r="IX100" s="397" t="e">
        <f t="shared" si="406"/>
        <v>#N/A</v>
      </c>
      <c r="IY100" s="400" t="e">
        <f t="shared" si="407"/>
        <v>#N/A</v>
      </c>
      <c r="IZ100" s="398" t="e">
        <f t="shared" si="348"/>
        <v>#N/A</v>
      </c>
      <c r="JA100" s="402" t="e">
        <f t="shared" si="408"/>
        <v>#N/A</v>
      </c>
      <c r="JB100" s="398" t="e">
        <f t="shared" si="409"/>
        <v>#N/A</v>
      </c>
      <c r="JC100" s="401" t="e">
        <f t="shared" si="546"/>
        <v>#N/A</v>
      </c>
      <c r="JD100" s="399">
        <f t="shared" si="547"/>
        <v>0</v>
      </c>
      <c r="JG100" s="396" t="e">
        <f t="shared" si="410"/>
        <v>#N/A</v>
      </c>
      <c r="JH100" s="397" t="e">
        <f t="shared" si="411"/>
        <v>#N/A</v>
      </c>
      <c r="JI100" s="400" t="e">
        <f t="shared" si="412"/>
        <v>#N/A</v>
      </c>
      <c r="JJ100" s="398" t="e">
        <f t="shared" si="349"/>
        <v>#N/A</v>
      </c>
      <c r="JK100" s="402" t="e">
        <f t="shared" si="413"/>
        <v>#N/A</v>
      </c>
      <c r="JL100" s="398" t="e">
        <f t="shared" si="414"/>
        <v>#N/A</v>
      </c>
      <c r="JM100" s="401" t="e">
        <f t="shared" si="548"/>
        <v>#N/A</v>
      </c>
      <c r="JN100" s="399">
        <f t="shared" si="549"/>
        <v>0</v>
      </c>
      <c r="JQ100" s="396" t="e">
        <f t="shared" si="415"/>
        <v>#N/A</v>
      </c>
      <c r="JR100" s="397" t="e">
        <f t="shared" si="416"/>
        <v>#N/A</v>
      </c>
      <c r="JS100" s="400" t="e">
        <f t="shared" si="417"/>
        <v>#N/A</v>
      </c>
      <c r="JT100" s="398" t="e">
        <f t="shared" si="350"/>
        <v>#N/A</v>
      </c>
      <c r="JU100" s="402" t="e">
        <f t="shared" si="418"/>
        <v>#N/A</v>
      </c>
      <c r="JV100" s="398" t="e">
        <f t="shared" si="419"/>
        <v>#N/A</v>
      </c>
      <c r="JW100" s="401" t="e">
        <f t="shared" si="550"/>
        <v>#N/A</v>
      </c>
      <c r="JX100" s="399">
        <f t="shared" si="551"/>
        <v>0</v>
      </c>
      <c r="KA100" s="396" t="e">
        <f t="shared" si="420"/>
        <v>#N/A</v>
      </c>
      <c r="KB100" s="397" t="e">
        <f t="shared" si="421"/>
        <v>#N/A</v>
      </c>
      <c r="KC100" s="400" t="e">
        <f t="shared" si="422"/>
        <v>#N/A</v>
      </c>
      <c r="KD100" s="398" t="e">
        <f t="shared" si="351"/>
        <v>#N/A</v>
      </c>
      <c r="KE100" s="402" t="e">
        <f t="shared" si="423"/>
        <v>#N/A</v>
      </c>
      <c r="KF100" s="398" t="e">
        <f t="shared" si="424"/>
        <v>#N/A</v>
      </c>
      <c r="KG100" s="401" t="e">
        <f t="shared" si="552"/>
        <v>#N/A</v>
      </c>
      <c r="KH100" s="399">
        <f t="shared" si="553"/>
        <v>0</v>
      </c>
      <c r="KK100" s="396" t="e">
        <f t="shared" si="425"/>
        <v>#N/A</v>
      </c>
      <c r="KL100" s="397" t="e">
        <f t="shared" si="426"/>
        <v>#N/A</v>
      </c>
      <c r="KM100" s="400" t="e">
        <f t="shared" si="427"/>
        <v>#N/A</v>
      </c>
      <c r="KN100" s="398" t="e">
        <f t="shared" si="352"/>
        <v>#N/A</v>
      </c>
      <c r="KO100" s="402" t="e">
        <f t="shared" si="428"/>
        <v>#N/A</v>
      </c>
      <c r="KP100" s="398" t="e">
        <f t="shared" si="429"/>
        <v>#N/A</v>
      </c>
      <c r="KQ100" s="401" t="e">
        <f t="shared" si="554"/>
        <v>#N/A</v>
      </c>
      <c r="KR100" s="399">
        <f t="shared" si="555"/>
        <v>0</v>
      </c>
      <c r="KU100" s="396" t="e">
        <f t="shared" si="556"/>
        <v>#N/A</v>
      </c>
      <c r="KV100" s="397" t="e">
        <f t="shared" si="557"/>
        <v>#N/A</v>
      </c>
      <c r="KW100" s="400" t="e">
        <f t="shared" si="430"/>
        <v>#N/A</v>
      </c>
      <c r="KX100" s="398" t="e">
        <f t="shared" si="558"/>
        <v>#N/A</v>
      </c>
      <c r="KY100" s="402" t="e">
        <f t="shared" si="559"/>
        <v>#N/A</v>
      </c>
      <c r="KZ100" s="398" t="e">
        <f t="shared" si="607"/>
        <v>#N/A</v>
      </c>
      <c r="LA100" s="401" t="e">
        <f t="shared" si="608"/>
        <v>#N/A</v>
      </c>
      <c r="LB100" s="399">
        <f t="shared" si="560"/>
        <v>0</v>
      </c>
    </row>
    <row r="101" spans="27:315" x14ac:dyDescent="0.25">
      <c r="AA101" s="359"/>
      <c r="AB101" s="359"/>
      <c r="AC101" s="47"/>
      <c r="AD101" s="47"/>
      <c r="AF101" s="47"/>
      <c r="AG101" s="49"/>
      <c r="AH101" s="47"/>
      <c r="AI101" s="47"/>
      <c r="AJ101" s="47"/>
      <c r="AK101" s="47"/>
      <c r="AL101" s="47"/>
      <c r="AM101" s="47"/>
      <c r="AN101" s="47"/>
      <c r="AO101" s="47"/>
      <c r="AP101" s="47"/>
      <c r="AQ101" s="47"/>
      <c r="AR101" s="47"/>
      <c r="AS101" s="47"/>
      <c r="AT101" s="47"/>
      <c r="AU101" s="47"/>
      <c r="AV101" s="47"/>
      <c r="AW101" s="47"/>
      <c r="AX101" s="47"/>
      <c r="AY101" s="47"/>
      <c r="AZ101" s="47"/>
      <c r="BA101" s="47"/>
      <c r="BB101" s="47"/>
      <c r="BC101" s="47"/>
      <c r="BD101" s="47"/>
      <c r="BE101" s="47"/>
      <c r="BF101" s="47"/>
      <c r="BG101" s="47"/>
      <c r="BH101" s="47"/>
      <c r="BI101" s="47"/>
      <c r="BJ101" s="47"/>
      <c r="BK101" s="47"/>
      <c r="BL101" s="47"/>
      <c r="BM101" s="47"/>
      <c r="BN101" s="49"/>
      <c r="BO101" s="47"/>
      <c r="BP101" s="47"/>
      <c r="BQ101" s="47"/>
      <c r="BR101" s="47"/>
      <c r="BS101" s="47"/>
      <c r="BT101" s="47"/>
      <c r="BU101" s="47"/>
      <c r="BV101" s="47"/>
      <c r="BW101" s="47"/>
      <c r="BX101" s="47"/>
      <c r="BY101" s="47"/>
      <c r="BZ101" s="47"/>
      <c r="CA101" s="47"/>
      <c r="CB101" s="47"/>
      <c r="CC101" s="47"/>
      <c r="CD101" s="47"/>
      <c r="CE101" s="47"/>
      <c r="CF101" s="47"/>
      <c r="CG101" s="49"/>
      <c r="CH101" s="47"/>
      <c r="CI101" s="47"/>
      <c r="CJ101" s="47"/>
      <c r="CK101" s="47"/>
      <c r="CL101" s="47"/>
      <c r="CM101" s="47"/>
      <c r="CN101" s="47"/>
      <c r="CO101" s="47"/>
      <c r="CP101" s="47"/>
      <c r="CQ101" s="47"/>
      <c r="CS101" s="47"/>
      <c r="CT101" s="47"/>
      <c r="CU101" s="47"/>
      <c r="CV101" s="47"/>
      <c r="CW101" s="47"/>
      <c r="CX101" s="47"/>
      <c r="CY101" s="47"/>
      <c r="CZ101" s="47"/>
      <c r="DA101" s="47"/>
      <c r="DB101" s="47"/>
      <c r="DC101" s="47"/>
      <c r="DD101" s="47"/>
      <c r="DE101" s="47"/>
      <c r="DF101" s="47"/>
      <c r="DG101" s="47"/>
      <c r="DH101" s="47"/>
      <c r="DI101" s="47"/>
      <c r="DJ101" s="47"/>
      <c r="DK101" s="47"/>
      <c r="DM101" s="47"/>
      <c r="DN101" s="47"/>
      <c r="DO101" s="47"/>
      <c r="DP101" s="47"/>
      <c r="DQ101" s="47"/>
      <c r="DR101" s="47"/>
      <c r="DS101" s="47"/>
      <c r="DT101" s="47"/>
      <c r="DU101" s="47"/>
      <c r="DV101" s="49"/>
      <c r="DW101" s="47"/>
      <c r="DX101" s="47"/>
      <c r="DY101" s="47"/>
      <c r="DZ101" s="47"/>
      <c r="EA101" s="47"/>
      <c r="EB101" s="47"/>
      <c r="EC101" s="47"/>
      <c r="ED101" s="47"/>
      <c r="EE101" s="47"/>
      <c r="EF101" s="47"/>
      <c r="EG101" s="47"/>
      <c r="EH101" s="47"/>
      <c r="EI101" s="47"/>
      <c r="EJ101" s="47"/>
      <c r="EK101" s="47"/>
      <c r="EL101" s="47"/>
      <c r="EM101" s="47"/>
      <c r="EN101" s="47"/>
      <c r="EO101" s="47"/>
      <c r="EP101" s="47"/>
      <c r="EQ101" s="47"/>
      <c r="ER101" s="47"/>
      <c r="ES101" s="47"/>
      <c r="ET101" s="47"/>
      <c r="EU101" s="47"/>
      <c r="EV101" s="47"/>
      <c r="EW101" s="47"/>
      <c r="EX101" s="47"/>
      <c r="EY101" s="47"/>
      <c r="EZ101" s="47"/>
      <c r="FA101" s="47"/>
      <c r="FB101" s="47"/>
      <c r="FC101" s="47"/>
      <c r="FD101" s="47"/>
      <c r="FE101" s="47"/>
      <c r="FF101" s="47"/>
      <c r="FG101" s="47"/>
      <c r="FH101" s="47"/>
      <c r="FI101" s="47"/>
      <c r="FJ101" s="49"/>
      <c r="FK101" s="47"/>
      <c r="FL101" s="47"/>
      <c r="FM101" s="47"/>
      <c r="FN101" s="47"/>
      <c r="FO101" s="47"/>
      <c r="FP101" s="47"/>
      <c r="FQ101" s="47"/>
      <c r="FR101" s="47"/>
      <c r="FS101" s="47"/>
      <c r="FT101" s="47"/>
      <c r="FU101" s="47"/>
      <c r="FV101" s="47"/>
      <c r="FW101" s="47"/>
      <c r="FX101" s="47"/>
      <c r="FY101" s="47"/>
      <c r="FZ101" s="47"/>
      <c r="GA101" s="47"/>
      <c r="GB101" s="47"/>
      <c r="GC101" s="47"/>
      <c r="GD101" s="47"/>
      <c r="GE101" s="47"/>
      <c r="GF101" s="47"/>
      <c r="GG101" s="47"/>
      <c r="GH101" s="47"/>
      <c r="GI101" s="47"/>
      <c r="GJ101" s="47"/>
      <c r="GK101" s="47"/>
      <c r="GL101" s="47"/>
      <c r="GM101" s="47"/>
      <c r="GN101" s="47"/>
      <c r="GO101" s="47"/>
      <c r="GP101" s="47"/>
      <c r="GQ101" s="47"/>
      <c r="GR101" s="47"/>
      <c r="GS101" s="47"/>
      <c r="GT101" s="47"/>
      <c r="GU101" s="47"/>
      <c r="GV101" s="47"/>
      <c r="GW101" s="47"/>
      <c r="GX101" s="47"/>
      <c r="GY101" s="47"/>
      <c r="GZ101" s="47"/>
      <c r="HA101" s="47"/>
      <c r="HB101" s="47"/>
      <c r="HC101" s="47"/>
      <c r="HD101" s="47"/>
      <c r="HE101" s="47"/>
      <c r="HF101" s="47"/>
      <c r="HI101" s="47"/>
      <c r="HJ101" s="47"/>
      <c r="HK101" s="47"/>
      <c r="HL101" s="47"/>
      <c r="HM101" s="47"/>
      <c r="HN101" s="47"/>
      <c r="HO101" s="47"/>
      <c r="HP101" s="47"/>
      <c r="HS101" s="47"/>
      <c r="HT101" s="47"/>
      <c r="HU101" s="47"/>
      <c r="HV101" s="47"/>
      <c r="HW101" s="47"/>
      <c r="HX101" s="47"/>
      <c r="HY101" s="47"/>
      <c r="HZ101" s="47"/>
      <c r="IC101" s="47"/>
      <c r="ID101" s="47"/>
      <c r="IE101" s="47"/>
      <c r="IF101" s="47"/>
      <c r="IG101" s="47"/>
      <c r="IH101" s="47"/>
      <c r="II101" s="47"/>
      <c r="IJ101" s="47"/>
      <c r="IM101" s="47"/>
      <c r="IN101" s="47"/>
      <c r="IO101" s="47"/>
      <c r="IP101" s="47"/>
      <c r="IQ101" s="47"/>
      <c r="IR101" s="47"/>
      <c r="IS101" s="47"/>
      <c r="IT101" s="47"/>
      <c r="IW101" s="47"/>
      <c r="IX101" s="47"/>
      <c r="IY101" s="47"/>
      <c r="IZ101" s="47"/>
      <c r="JA101" s="47"/>
      <c r="JB101" s="47"/>
      <c r="JC101" s="47"/>
      <c r="JD101" s="47"/>
      <c r="JG101" s="47"/>
      <c r="JH101" s="47"/>
      <c r="JI101" s="47"/>
      <c r="JJ101" s="47"/>
      <c r="JK101" s="47"/>
      <c r="JL101" s="47"/>
      <c r="JM101" s="47"/>
      <c r="JN101" s="47"/>
      <c r="JQ101" s="47"/>
      <c r="JR101" s="47"/>
      <c r="JS101" s="47"/>
      <c r="JT101" s="47"/>
      <c r="JU101" s="47"/>
      <c r="JV101" s="47"/>
      <c r="JW101" s="47"/>
      <c r="JX101" s="47"/>
      <c r="KA101" s="47"/>
      <c r="KB101" s="47"/>
      <c r="KC101" s="47"/>
      <c r="KD101" s="47"/>
      <c r="KE101" s="47"/>
      <c r="KF101" s="47"/>
      <c r="KG101" s="47"/>
      <c r="KH101" s="47"/>
      <c r="KK101" s="47"/>
      <c r="KL101" s="47"/>
      <c r="KM101" s="47"/>
      <c r="KN101" s="47"/>
      <c r="KO101" s="47"/>
      <c r="KP101" s="47"/>
      <c r="KQ101" s="47"/>
      <c r="KR101" s="47"/>
      <c r="KU101" s="47"/>
      <c r="KV101" s="47"/>
      <c r="KW101" s="47"/>
      <c r="KX101" s="47"/>
      <c r="KY101" s="47"/>
      <c r="KZ101" s="47"/>
      <c r="LA101" s="47"/>
      <c r="LB101" s="47"/>
    </row>
    <row r="102" spans="27:315" x14ac:dyDescent="0.25">
      <c r="AC102" s="47"/>
      <c r="AD102" s="47"/>
      <c r="AF102" s="47"/>
      <c r="AG102" s="49"/>
      <c r="AH102" s="47"/>
      <c r="AI102" s="47"/>
      <c r="AJ102" s="47"/>
      <c r="AK102" s="47"/>
      <c r="AL102" s="47"/>
      <c r="AM102" s="47"/>
      <c r="AN102" s="47"/>
      <c r="AO102" s="47"/>
      <c r="AP102" s="47"/>
      <c r="AQ102" s="47"/>
      <c r="AR102" s="47"/>
      <c r="AS102" s="47"/>
      <c r="AT102" s="47"/>
      <c r="AU102" s="47"/>
      <c r="AV102" s="47"/>
      <c r="AW102" s="47"/>
      <c r="AX102" s="47"/>
      <c r="AY102" s="47"/>
      <c r="AZ102" s="47"/>
      <c r="BA102" s="47"/>
      <c r="BB102" s="47"/>
      <c r="BC102" s="47"/>
      <c r="BD102" s="47"/>
      <c r="BE102" s="47"/>
      <c r="BF102" s="47"/>
      <c r="BG102" s="47"/>
      <c r="BH102" s="47"/>
      <c r="BI102" s="47"/>
      <c r="BJ102" s="47"/>
      <c r="BK102" s="47"/>
      <c r="BL102" s="47"/>
      <c r="BM102" s="47"/>
      <c r="BN102" s="49"/>
      <c r="BO102" s="47"/>
      <c r="BP102" s="47"/>
      <c r="BQ102" s="47"/>
      <c r="BR102" s="47"/>
      <c r="BS102" s="47"/>
      <c r="BT102" s="47"/>
      <c r="BU102" s="47"/>
      <c r="BV102" s="47"/>
      <c r="BW102" s="47"/>
      <c r="BX102" s="47"/>
      <c r="BY102" s="47"/>
      <c r="BZ102" s="47"/>
      <c r="CA102" s="47"/>
      <c r="CB102" s="47"/>
      <c r="CC102" s="47"/>
      <c r="CD102" s="47"/>
      <c r="CE102" s="47"/>
      <c r="CF102" s="47"/>
      <c r="CG102" s="49"/>
      <c r="CH102" s="47"/>
      <c r="CI102" s="47"/>
      <c r="CJ102" s="47"/>
      <c r="CK102" s="47"/>
      <c r="CL102" s="47"/>
      <c r="CM102" s="47"/>
      <c r="CN102" s="47"/>
      <c r="CO102" s="47"/>
      <c r="CP102" s="47"/>
      <c r="CQ102" s="47"/>
      <c r="CS102" s="47"/>
      <c r="CT102" s="47"/>
      <c r="CU102" s="47"/>
      <c r="CV102" s="47"/>
      <c r="CW102" s="47"/>
      <c r="CX102" s="47"/>
      <c r="CY102" s="47"/>
      <c r="CZ102" s="47"/>
      <c r="DA102" s="47"/>
      <c r="DB102" s="47"/>
      <c r="DC102" s="47"/>
      <c r="DD102" s="47"/>
      <c r="DE102" s="47"/>
      <c r="DF102" s="47"/>
      <c r="DG102" s="47"/>
      <c r="DH102" s="47"/>
      <c r="DI102" s="47"/>
      <c r="DJ102" s="47"/>
      <c r="DK102" s="47"/>
      <c r="DM102" s="47"/>
      <c r="DN102" s="47"/>
      <c r="DO102" s="47"/>
      <c r="DP102" s="47"/>
      <c r="DQ102" s="47"/>
      <c r="DR102" s="47"/>
      <c r="DS102" s="47"/>
      <c r="DT102" s="47"/>
      <c r="DU102" s="47"/>
      <c r="DV102" s="49"/>
      <c r="DW102" s="47"/>
      <c r="DX102" s="47"/>
      <c r="DY102" s="47"/>
      <c r="DZ102" s="47"/>
      <c r="EA102" s="47"/>
      <c r="EB102" s="47"/>
      <c r="EC102" s="47"/>
      <c r="ED102" s="47"/>
      <c r="EE102" s="47"/>
      <c r="EF102" s="47"/>
      <c r="EG102" s="47"/>
      <c r="EH102" s="47"/>
      <c r="EI102" s="47"/>
      <c r="EJ102" s="47"/>
      <c r="EK102" s="47"/>
      <c r="EL102" s="47"/>
      <c r="EM102" s="47"/>
      <c r="EN102" s="47"/>
      <c r="EO102" s="47"/>
      <c r="EP102" s="47"/>
      <c r="EQ102" s="47"/>
      <c r="ER102" s="47"/>
      <c r="ES102" s="47"/>
      <c r="ET102" s="47"/>
      <c r="EU102" s="47"/>
      <c r="EV102" s="47"/>
      <c r="EW102" s="47"/>
      <c r="EX102" s="47"/>
      <c r="EY102" s="47"/>
      <c r="EZ102" s="47"/>
      <c r="FA102" s="47"/>
      <c r="FB102" s="47"/>
      <c r="FC102" s="47"/>
      <c r="FD102" s="47"/>
      <c r="FE102" s="47"/>
      <c r="FF102" s="47"/>
      <c r="FG102" s="47"/>
      <c r="FH102" s="47"/>
      <c r="FI102" s="47"/>
      <c r="FJ102" s="49"/>
      <c r="FK102" s="47"/>
      <c r="FL102" s="47"/>
      <c r="FM102" s="47"/>
      <c r="FN102" s="47"/>
      <c r="FO102" s="47"/>
      <c r="FP102" s="47"/>
      <c r="FQ102" s="47"/>
      <c r="FR102" s="47"/>
      <c r="FS102" s="47"/>
      <c r="FT102" s="47"/>
      <c r="FU102" s="47"/>
      <c r="FV102" s="47"/>
      <c r="FW102" s="47"/>
      <c r="FX102" s="47"/>
      <c r="FY102" s="47"/>
      <c r="FZ102" s="47"/>
      <c r="GA102" s="47"/>
      <c r="GB102" s="47"/>
      <c r="GC102" s="47"/>
      <c r="GD102" s="47"/>
      <c r="GE102" s="47"/>
      <c r="GF102" s="47"/>
      <c r="GG102" s="47"/>
      <c r="GH102" s="47"/>
      <c r="GI102" s="47"/>
      <c r="GJ102" s="47"/>
      <c r="GK102" s="47"/>
      <c r="GL102" s="47"/>
      <c r="GM102" s="47"/>
      <c r="GN102" s="47"/>
      <c r="GO102" s="47"/>
      <c r="GP102" s="47"/>
      <c r="GQ102" s="47"/>
      <c r="GR102" s="47"/>
      <c r="GS102" s="47"/>
      <c r="GT102" s="47"/>
      <c r="GU102" s="47"/>
      <c r="GV102" s="47"/>
      <c r="GW102" s="47"/>
      <c r="GX102" s="47"/>
      <c r="GY102" s="47"/>
      <c r="GZ102" s="47"/>
      <c r="HA102" s="47"/>
      <c r="HB102" s="47"/>
      <c r="HC102" s="47"/>
      <c r="HD102" s="47"/>
      <c r="HE102" s="47"/>
      <c r="HF102" s="47"/>
      <c r="HI102" s="47"/>
      <c r="HJ102" s="47"/>
      <c r="HK102" s="47"/>
      <c r="HL102" s="47"/>
      <c r="HM102" s="47"/>
      <c r="HN102" s="47"/>
      <c r="HO102" s="47"/>
      <c r="HP102" s="47"/>
      <c r="HS102" s="47"/>
      <c r="HT102" s="47"/>
      <c r="HU102" s="47"/>
      <c r="HV102" s="47"/>
      <c r="HW102" s="47"/>
      <c r="HX102" s="47"/>
      <c r="HY102" s="47"/>
      <c r="HZ102" s="47"/>
      <c r="IC102" s="47"/>
      <c r="ID102" s="47"/>
      <c r="IE102" s="47"/>
      <c r="IF102" s="47"/>
      <c r="IG102" s="47"/>
      <c r="IH102" s="47"/>
      <c r="II102" s="47"/>
      <c r="IJ102" s="47"/>
      <c r="IM102" s="47"/>
      <c r="IN102" s="47"/>
      <c r="IO102" s="47"/>
      <c r="IP102" s="47"/>
      <c r="IQ102" s="47"/>
      <c r="IR102" s="47"/>
      <c r="IS102" s="47"/>
      <c r="IT102" s="47"/>
      <c r="IW102" s="47"/>
      <c r="IX102" s="47"/>
      <c r="IY102" s="47"/>
      <c r="IZ102" s="47"/>
      <c r="JA102" s="47"/>
      <c r="JB102" s="47"/>
      <c r="JC102" s="47"/>
      <c r="JD102" s="47"/>
      <c r="JG102" s="47"/>
      <c r="JH102" s="47"/>
      <c r="JI102" s="47"/>
      <c r="JJ102" s="47"/>
      <c r="JK102" s="47"/>
      <c r="JL102" s="47"/>
      <c r="JM102" s="47"/>
      <c r="JN102" s="47"/>
      <c r="JQ102" s="47"/>
      <c r="JR102" s="47"/>
      <c r="JS102" s="47"/>
      <c r="JT102" s="47"/>
      <c r="JU102" s="47"/>
      <c r="JV102" s="47"/>
      <c r="JW102" s="47"/>
      <c r="JX102" s="47"/>
      <c r="KA102" s="47"/>
      <c r="KB102" s="47"/>
      <c r="KC102" s="47"/>
      <c r="KD102" s="47"/>
      <c r="KE102" s="47"/>
      <c r="KF102" s="47"/>
      <c r="KG102" s="47"/>
      <c r="KH102" s="47"/>
      <c r="KK102" s="47"/>
      <c r="KL102" s="47"/>
      <c r="KM102" s="47"/>
      <c r="KN102" s="47"/>
      <c r="KO102" s="47"/>
      <c r="KP102" s="47"/>
      <c r="KQ102" s="47"/>
      <c r="KR102" s="47"/>
      <c r="KU102" s="47"/>
      <c r="KV102" s="47"/>
      <c r="KW102" s="47"/>
      <c r="KX102" s="47"/>
      <c r="KY102" s="47"/>
      <c r="KZ102" s="47"/>
      <c r="LA102" s="47"/>
      <c r="LB102" s="47"/>
    </row>
    <row r="103" spans="27:315" x14ac:dyDescent="0.25">
      <c r="AC103" s="47"/>
      <c r="AD103" s="47"/>
      <c r="AF103" s="47"/>
      <c r="AG103" s="49"/>
      <c r="AH103" s="47"/>
      <c r="AI103" s="47"/>
      <c r="AJ103" s="47"/>
      <c r="AK103" s="47"/>
      <c r="AL103" s="47"/>
      <c r="AM103" s="47"/>
      <c r="AN103" s="47"/>
      <c r="AO103" s="47"/>
      <c r="AP103" s="47"/>
      <c r="AQ103" s="47"/>
      <c r="AR103" s="47"/>
      <c r="AS103" s="47"/>
      <c r="AT103" s="47"/>
      <c r="AU103" s="47"/>
      <c r="AV103" s="47"/>
      <c r="AW103" s="47"/>
      <c r="AX103" s="47"/>
      <c r="AY103" s="47"/>
      <c r="AZ103" s="47"/>
      <c r="BA103" s="47"/>
      <c r="BB103" s="47"/>
      <c r="BC103" s="47"/>
      <c r="BD103" s="47"/>
      <c r="BE103" s="47"/>
      <c r="BF103" s="47"/>
      <c r="BG103" s="47"/>
      <c r="BH103" s="47"/>
      <c r="BI103" s="47"/>
      <c r="BJ103" s="47"/>
      <c r="BK103" s="47"/>
      <c r="BL103" s="47"/>
      <c r="BM103" s="47"/>
      <c r="BN103" s="49"/>
      <c r="BO103" s="47"/>
      <c r="BP103" s="47"/>
      <c r="BQ103" s="47"/>
      <c r="BR103" s="47"/>
      <c r="BS103" s="47"/>
      <c r="BT103" s="47"/>
      <c r="BU103" s="47"/>
      <c r="BV103" s="47"/>
      <c r="BW103" s="47"/>
      <c r="BX103" s="47"/>
      <c r="BY103" s="47"/>
      <c r="BZ103" s="47"/>
      <c r="CA103" s="47"/>
      <c r="CB103" s="47"/>
      <c r="CC103" s="47"/>
      <c r="CD103" s="47"/>
      <c r="CE103" s="47"/>
      <c r="CF103" s="47"/>
      <c r="CG103" s="49"/>
      <c r="CH103" s="47"/>
      <c r="CI103" s="47"/>
      <c r="CJ103" s="47"/>
      <c r="CK103" s="47"/>
      <c r="CL103" s="47"/>
      <c r="CM103" s="47"/>
      <c r="CN103" s="47"/>
      <c r="CO103" s="47"/>
      <c r="CP103" s="47"/>
      <c r="CQ103" s="47"/>
      <c r="CS103" s="47"/>
      <c r="CT103" s="47"/>
      <c r="CU103" s="47"/>
      <c r="CV103" s="47"/>
      <c r="CW103" s="47"/>
      <c r="CX103" s="47"/>
      <c r="CY103" s="47"/>
      <c r="CZ103" s="47"/>
      <c r="DA103" s="47"/>
      <c r="DB103" s="47"/>
      <c r="DC103" s="47"/>
      <c r="DD103" s="47"/>
      <c r="DE103" s="47"/>
      <c r="DF103" s="47"/>
      <c r="DG103" s="47"/>
      <c r="DH103" s="47"/>
      <c r="DI103" s="47"/>
      <c r="DJ103" s="47"/>
      <c r="DK103" s="47"/>
      <c r="DM103" s="47"/>
      <c r="DN103" s="47"/>
      <c r="DO103" s="47"/>
      <c r="DP103" s="47"/>
      <c r="DQ103" s="47"/>
      <c r="DR103" s="47"/>
      <c r="DS103" s="47"/>
      <c r="DT103" s="47"/>
      <c r="DU103" s="47"/>
      <c r="DV103" s="49"/>
      <c r="DW103" s="47"/>
      <c r="DX103" s="47"/>
      <c r="DY103" s="47"/>
      <c r="DZ103" s="47"/>
      <c r="EA103" s="47"/>
      <c r="EB103" s="47"/>
      <c r="EC103" s="47"/>
      <c r="ED103" s="47"/>
      <c r="EE103" s="47"/>
      <c r="EF103" s="47"/>
      <c r="EG103" s="47"/>
      <c r="EH103" s="47"/>
      <c r="EI103" s="47"/>
      <c r="EJ103" s="47"/>
      <c r="EK103" s="47"/>
      <c r="EL103" s="47"/>
      <c r="EM103" s="47"/>
      <c r="EN103" s="47"/>
      <c r="EO103" s="47"/>
      <c r="EP103" s="47"/>
      <c r="EQ103" s="47"/>
      <c r="ER103" s="47"/>
      <c r="ES103" s="47"/>
      <c r="ET103" s="47"/>
      <c r="EU103" s="47"/>
      <c r="EV103" s="47"/>
      <c r="EW103" s="47"/>
      <c r="EX103" s="47"/>
      <c r="EY103" s="47"/>
      <c r="EZ103" s="47"/>
      <c r="FA103" s="47"/>
      <c r="FB103" s="47"/>
      <c r="FC103" s="47"/>
      <c r="FD103" s="47"/>
      <c r="FE103" s="47"/>
      <c r="FF103" s="47"/>
      <c r="FG103" s="47"/>
      <c r="FH103" s="47"/>
      <c r="FI103" s="47"/>
      <c r="FJ103" s="49"/>
      <c r="FK103" s="47"/>
      <c r="FL103" s="47"/>
      <c r="FM103" s="47"/>
      <c r="FN103" s="47"/>
      <c r="FO103" s="47"/>
      <c r="FP103" s="47"/>
      <c r="FQ103" s="47"/>
      <c r="FR103" s="47"/>
      <c r="FS103" s="47"/>
      <c r="FT103" s="47"/>
      <c r="FU103" s="47"/>
      <c r="FV103" s="47"/>
      <c r="FW103" s="47"/>
      <c r="FX103" s="47"/>
      <c r="FY103" s="47"/>
      <c r="FZ103" s="47"/>
      <c r="GA103" s="47"/>
      <c r="GB103" s="47"/>
      <c r="GC103" s="47"/>
      <c r="GD103" s="47"/>
      <c r="GE103" s="47"/>
      <c r="GF103" s="47"/>
      <c r="GG103" s="47"/>
      <c r="GH103" s="47"/>
      <c r="GI103" s="47"/>
      <c r="GJ103" s="47"/>
      <c r="GK103" s="47"/>
      <c r="GL103" s="47"/>
      <c r="GM103" s="47"/>
      <c r="GN103" s="47"/>
      <c r="GO103" s="47"/>
      <c r="GP103" s="47"/>
      <c r="GQ103" s="47"/>
      <c r="GR103" s="47"/>
      <c r="GS103" s="47"/>
      <c r="GT103" s="47"/>
      <c r="GU103" s="47"/>
      <c r="GV103" s="47"/>
      <c r="GW103" s="47"/>
      <c r="GX103" s="47"/>
      <c r="GY103" s="47"/>
      <c r="GZ103" s="47"/>
      <c r="HA103" s="47"/>
      <c r="HB103" s="47"/>
      <c r="HC103" s="47"/>
      <c r="HD103" s="47"/>
      <c r="HE103" s="47"/>
      <c r="HF103" s="47"/>
      <c r="HI103" s="47"/>
      <c r="HJ103" s="47"/>
      <c r="HK103" s="47"/>
      <c r="HL103" s="47"/>
      <c r="HM103" s="47"/>
      <c r="HN103" s="47"/>
      <c r="HO103" s="47"/>
      <c r="HP103" s="47"/>
      <c r="HS103" s="47"/>
      <c r="HT103" s="47"/>
      <c r="HU103" s="47"/>
      <c r="HV103" s="47"/>
      <c r="HW103" s="47"/>
      <c r="HX103" s="47"/>
      <c r="HY103" s="47"/>
      <c r="HZ103" s="47"/>
      <c r="IC103" s="47"/>
      <c r="ID103" s="47"/>
      <c r="IE103" s="47"/>
      <c r="IF103" s="47"/>
      <c r="IG103" s="47"/>
      <c r="IH103" s="47"/>
      <c r="II103" s="47"/>
      <c r="IJ103" s="47"/>
      <c r="IM103" s="47"/>
      <c r="IN103" s="47"/>
      <c r="IO103" s="47"/>
      <c r="IP103" s="47"/>
      <c r="IQ103" s="47"/>
      <c r="IR103" s="47"/>
      <c r="IS103" s="47"/>
      <c r="IT103" s="47"/>
      <c r="IW103" s="47"/>
      <c r="IX103" s="47"/>
      <c r="IY103" s="47"/>
      <c r="IZ103" s="47"/>
      <c r="JA103" s="47"/>
      <c r="JB103" s="47"/>
      <c r="JC103" s="47"/>
      <c r="JD103" s="47"/>
      <c r="JG103" s="47"/>
      <c r="JH103" s="47"/>
      <c r="JI103" s="47"/>
      <c r="JJ103" s="47"/>
      <c r="JK103" s="47"/>
      <c r="JL103" s="47"/>
      <c r="JM103" s="47"/>
      <c r="JN103" s="47"/>
      <c r="JQ103" s="47"/>
      <c r="JR103" s="47"/>
      <c r="JS103" s="47"/>
      <c r="JT103" s="47"/>
      <c r="JU103" s="47"/>
      <c r="JV103" s="47"/>
      <c r="JW103" s="47"/>
      <c r="JX103" s="47"/>
      <c r="KA103" s="47"/>
      <c r="KB103" s="47"/>
      <c r="KC103" s="47"/>
      <c r="KD103" s="47"/>
      <c r="KE103" s="47"/>
      <c r="KF103" s="47"/>
      <c r="KG103" s="47"/>
      <c r="KH103" s="47"/>
      <c r="KK103" s="47"/>
      <c r="KL103" s="47"/>
      <c r="KM103" s="47"/>
      <c r="KN103" s="47"/>
      <c r="KO103" s="47"/>
      <c r="KP103" s="47"/>
      <c r="KQ103" s="47"/>
      <c r="KR103" s="47"/>
      <c r="KU103" s="47"/>
      <c r="KV103" s="47"/>
      <c r="KW103" s="47"/>
      <c r="KX103" s="47"/>
      <c r="KY103" s="47"/>
      <c r="KZ103" s="47"/>
      <c r="LA103" s="47"/>
      <c r="LB103" s="47"/>
    </row>
    <row r="104" spans="27:315" x14ac:dyDescent="0.25">
      <c r="AC104" s="47"/>
      <c r="AD104" s="47"/>
      <c r="AF104" s="47"/>
      <c r="AG104" s="49"/>
      <c r="AH104" s="47"/>
      <c r="AI104" s="47"/>
      <c r="AJ104" s="47"/>
      <c r="AK104" s="47"/>
      <c r="AL104" s="47"/>
      <c r="AM104" s="47"/>
      <c r="AN104" s="47"/>
      <c r="AO104" s="47"/>
      <c r="AP104" s="47"/>
      <c r="AQ104" s="47"/>
      <c r="AR104" s="47"/>
      <c r="AS104" s="47"/>
      <c r="AT104" s="47"/>
      <c r="AU104" s="47"/>
      <c r="AV104" s="47"/>
      <c r="AW104" s="47"/>
      <c r="AX104" s="47"/>
      <c r="AY104" s="47"/>
      <c r="AZ104" s="47"/>
      <c r="BA104" s="47"/>
      <c r="BB104" s="47"/>
      <c r="BC104" s="47"/>
      <c r="BD104" s="47"/>
      <c r="BE104" s="47"/>
      <c r="BF104" s="47"/>
      <c r="BG104" s="47"/>
      <c r="BH104" s="47"/>
      <c r="BI104" s="47"/>
      <c r="BJ104" s="47"/>
      <c r="BK104" s="47"/>
      <c r="BL104" s="47"/>
      <c r="BM104" s="47"/>
      <c r="BN104" s="49"/>
      <c r="BO104" s="47"/>
      <c r="BP104" s="47"/>
      <c r="BQ104" s="47"/>
      <c r="BR104" s="47"/>
      <c r="BS104" s="47"/>
      <c r="BT104" s="47"/>
      <c r="BU104" s="47"/>
      <c r="BV104" s="47"/>
      <c r="BW104" s="47"/>
      <c r="BX104" s="47"/>
      <c r="BY104" s="47"/>
      <c r="BZ104" s="47"/>
      <c r="CA104" s="47"/>
      <c r="CB104" s="47"/>
      <c r="CC104" s="47"/>
      <c r="CD104" s="47"/>
      <c r="CE104" s="47"/>
      <c r="CF104" s="47"/>
      <c r="CG104" s="49"/>
      <c r="CH104" s="47"/>
      <c r="CI104" s="47"/>
      <c r="CJ104" s="47"/>
      <c r="CK104" s="47"/>
      <c r="CL104" s="47"/>
      <c r="CM104" s="47"/>
      <c r="CN104" s="47"/>
      <c r="CO104" s="47"/>
      <c r="CP104" s="47"/>
      <c r="CQ104" s="47"/>
      <c r="CS104" s="47"/>
      <c r="CT104" s="47"/>
      <c r="CU104" s="47"/>
      <c r="CV104" s="47"/>
      <c r="CW104" s="47"/>
      <c r="CX104" s="47"/>
      <c r="CY104" s="47"/>
      <c r="CZ104" s="47"/>
      <c r="DA104" s="47"/>
      <c r="DB104" s="47"/>
      <c r="DC104" s="47"/>
      <c r="DD104" s="47"/>
      <c r="DE104" s="47"/>
      <c r="DF104" s="47"/>
      <c r="DG104" s="47"/>
      <c r="DH104" s="47"/>
      <c r="DI104" s="47"/>
      <c r="DJ104" s="47"/>
      <c r="DK104" s="47"/>
      <c r="DM104" s="47"/>
      <c r="DN104" s="47"/>
      <c r="DO104" s="47"/>
      <c r="DP104" s="47"/>
      <c r="DQ104" s="47"/>
      <c r="DR104" s="47"/>
      <c r="DS104" s="47"/>
      <c r="DT104" s="47"/>
      <c r="DU104" s="47"/>
      <c r="DV104" s="49"/>
      <c r="DW104" s="47"/>
      <c r="DX104" s="47"/>
      <c r="DY104" s="47"/>
      <c r="DZ104" s="47"/>
      <c r="EA104" s="47"/>
      <c r="EB104" s="47"/>
      <c r="EC104" s="47"/>
      <c r="ED104" s="47"/>
      <c r="EE104" s="47"/>
      <c r="EF104" s="47"/>
      <c r="EG104" s="47"/>
      <c r="EH104" s="47"/>
      <c r="EI104" s="47"/>
      <c r="EJ104" s="47"/>
      <c r="EK104" s="47"/>
      <c r="EL104" s="47"/>
      <c r="EM104" s="47"/>
      <c r="EN104" s="47"/>
      <c r="EO104" s="47"/>
      <c r="EP104" s="47"/>
      <c r="EQ104" s="47"/>
      <c r="ER104" s="47"/>
      <c r="ES104" s="47"/>
      <c r="ET104" s="47"/>
      <c r="EU104" s="47"/>
      <c r="EV104" s="47"/>
      <c r="EW104" s="47"/>
      <c r="EX104" s="47"/>
      <c r="EY104" s="47"/>
      <c r="EZ104" s="47"/>
      <c r="FA104" s="47"/>
      <c r="FB104" s="47"/>
      <c r="FC104" s="47"/>
      <c r="FD104" s="47"/>
      <c r="FE104" s="47"/>
      <c r="FF104" s="47"/>
      <c r="FG104" s="47"/>
      <c r="FH104" s="47"/>
      <c r="FI104" s="47"/>
      <c r="FJ104" s="49"/>
      <c r="FK104" s="47"/>
      <c r="FL104" s="47"/>
      <c r="FM104" s="47"/>
      <c r="FN104" s="47"/>
      <c r="FO104" s="47"/>
      <c r="FP104" s="47"/>
      <c r="FQ104" s="47"/>
      <c r="FR104" s="47"/>
      <c r="FS104" s="47"/>
      <c r="FT104" s="47"/>
      <c r="FU104" s="47"/>
      <c r="FV104" s="47"/>
      <c r="FW104" s="47"/>
      <c r="FX104" s="47"/>
      <c r="FY104" s="47"/>
      <c r="FZ104" s="47"/>
      <c r="GA104" s="47"/>
      <c r="GB104" s="47"/>
      <c r="GC104" s="47"/>
      <c r="GD104" s="47"/>
      <c r="GE104" s="47"/>
      <c r="GF104" s="47"/>
      <c r="GG104" s="47"/>
      <c r="GH104" s="47"/>
      <c r="GI104" s="47"/>
      <c r="GJ104" s="47"/>
      <c r="GK104" s="47"/>
      <c r="GL104" s="47"/>
      <c r="GM104" s="47"/>
      <c r="GN104" s="47"/>
      <c r="GO104" s="47"/>
      <c r="GP104" s="47"/>
      <c r="GQ104" s="47"/>
      <c r="GR104" s="47"/>
      <c r="GS104" s="47"/>
      <c r="GT104" s="47"/>
      <c r="GU104" s="47"/>
      <c r="GV104" s="47"/>
      <c r="GW104" s="47"/>
      <c r="GX104" s="47"/>
      <c r="GY104" s="47"/>
      <c r="GZ104" s="47"/>
      <c r="HA104" s="47"/>
      <c r="HB104" s="47"/>
      <c r="HC104" s="47"/>
      <c r="HD104" s="47"/>
      <c r="HE104" s="47"/>
      <c r="HF104" s="47"/>
      <c r="HI104" s="47"/>
      <c r="HJ104" s="47"/>
      <c r="HK104" s="47"/>
      <c r="HL104" s="47"/>
      <c r="HM104" s="47"/>
      <c r="HN104" s="47"/>
      <c r="HO104" s="47"/>
      <c r="HP104" s="47"/>
      <c r="HS104" s="47"/>
      <c r="HT104" s="47"/>
      <c r="HU104" s="47"/>
      <c r="HV104" s="47"/>
      <c r="HW104" s="47"/>
      <c r="HX104" s="47"/>
      <c r="HY104" s="47"/>
      <c r="HZ104" s="47"/>
      <c r="IC104" s="47"/>
      <c r="ID104" s="47"/>
      <c r="IE104" s="47"/>
      <c r="IF104" s="47"/>
      <c r="IG104" s="47"/>
      <c r="IH104" s="47"/>
      <c r="II104" s="47"/>
      <c r="IJ104" s="47"/>
      <c r="IM104" s="47"/>
      <c r="IN104" s="47"/>
      <c r="IO104" s="47"/>
      <c r="IP104" s="47"/>
      <c r="IQ104" s="47"/>
      <c r="IR104" s="47"/>
      <c r="IS104" s="47"/>
      <c r="IT104" s="47"/>
      <c r="IW104" s="47"/>
      <c r="IX104" s="47"/>
      <c r="IY104" s="47"/>
      <c r="IZ104" s="47"/>
      <c r="JA104" s="47"/>
      <c r="JB104" s="47"/>
      <c r="JC104" s="47"/>
      <c r="JD104" s="47"/>
      <c r="JG104" s="47"/>
      <c r="JH104" s="47"/>
      <c r="JI104" s="47"/>
      <c r="JJ104" s="47"/>
      <c r="JK104" s="47"/>
      <c r="JL104" s="47"/>
      <c r="JM104" s="47"/>
      <c r="JN104" s="47"/>
      <c r="JQ104" s="47"/>
      <c r="JR104" s="47"/>
      <c r="JS104" s="47"/>
      <c r="JT104" s="47"/>
      <c r="JU104" s="47"/>
      <c r="JV104" s="47"/>
      <c r="JW104" s="47"/>
      <c r="JX104" s="47"/>
      <c r="KA104" s="47"/>
      <c r="KB104" s="47"/>
      <c r="KC104" s="47"/>
      <c r="KD104" s="47"/>
      <c r="KE104" s="47"/>
      <c r="KF104" s="47"/>
      <c r="KG104" s="47"/>
      <c r="KH104" s="47"/>
      <c r="KK104" s="47"/>
      <c r="KL104" s="47"/>
      <c r="KM104" s="47"/>
      <c r="KN104" s="47"/>
      <c r="KO104" s="47"/>
      <c r="KP104" s="47"/>
      <c r="KQ104" s="47"/>
      <c r="KR104" s="47"/>
      <c r="KU104" s="47"/>
      <c r="KV104" s="47"/>
      <c r="KW104" s="47"/>
      <c r="KX104" s="47"/>
      <c r="KY104" s="47"/>
      <c r="KZ104" s="47"/>
      <c r="LA104" s="47"/>
      <c r="LB104" s="47"/>
    </row>
    <row r="105" spans="27:315" x14ac:dyDescent="0.25">
      <c r="AC105" s="47"/>
      <c r="AD105" s="47"/>
      <c r="AF105" s="47"/>
      <c r="AG105" s="49"/>
      <c r="AH105" s="47"/>
      <c r="AI105" s="47"/>
      <c r="AJ105" s="47"/>
      <c r="AK105" s="47"/>
      <c r="AL105" s="47"/>
      <c r="AM105" s="47"/>
      <c r="AN105" s="47"/>
      <c r="AO105" s="47"/>
      <c r="AP105" s="47"/>
      <c r="AQ105" s="47"/>
      <c r="AR105" s="47"/>
      <c r="AS105" s="47"/>
      <c r="AT105" s="47"/>
      <c r="AU105" s="47"/>
      <c r="AV105" s="47"/>
      <c r="AW105" s="47"/>
      <c r="AX105" s="47"/>
      <c r="AY105" s="47"/>
      <c r="AZ105" s="47"/>
      <c r="BA105" s="47"/>
      <c r="BB105" s="47"/>
      <c r="BC105" s="47"/>
      <c r="BD105" s="47"/>
      <c r="BE105" s="47"/>
      <c r="BF105" s="47"/>
      <c r="BG105" s="47"/>
      <c r="BH105" s="47"/>
      <c r="BI105" s="47"/>
      <c r="BJ105" s="47"/>
      <c r="BK105" s="47"/>
      <c r="BL105" s="47"/>
      <c r="BM105" s="47"/>
      <c r="BN105" s="49"/>
      <c r="BO105" s="47"/>
      <c r="BP105" s="47"/>
      <c r="BQ105" s="47"/>
      <c r="BR105" s="47"/>
      <c r="BS105" s="47"/>
      <c r="BT105" s="47"/>
      <c r="BU105" s="47"/>
      <c r="BV105" s="47"/>
      <c r="BW105" s="47"/>
      <c r="BX105" s="47"/>
      <c r="BY105" s="47"/>
      <c r="BZ105" s="47"/>
      <c r="CA105" s="47"/>
      <c r="CB105" s="47"/>
      <c r="CC105" s="47"/>
      <c r="CD105" s="47"/>
      <c r="CE105" s="47"/>
      <c r="CF105" s="47"/>
      <c r="CG105" s="49"/>
      <c r="CH105" s="47"/>
      <c r="CI105" s="47"/>
      <c r="CJ105" s="47"/>
      <c r="CK105" s="47"/>
      <c r="CL105" s="47"/>
      <c r="CM105" s="47"/>
      <c r="CN105" s="47"/>
      <c r="CO105" s="47"/>
      <c r="CP105" s="47"/>
      <c r="CQ105" s="47"/>
      <c r="CS105" s="47"/>
      <c r="CT105" s="47"/>
      <c r="CU105" s="47"/>
      <c r="CV105" s="47"/>
      <c r="CW105" s="47"/>
      <c r="CX105" s="47"/>
      <c r="CY105" s="47"/>
      <c r="CZ105" s="47"/>
      <c r="DA105" s="47"/>
      <c r="DB105" s="47"/>
      <c r="DC105" s="47"/>
      <c r="DD105" s="47"/>
      <c r="DE105" s="47"/>
      <c r="DF105" s="47"/>
      <c r="DG105" s="47"/>
      <c r="DH105" s="47"/>
      <c r="DI105" s="47"/>
      <c r="DJ105" s="47"/>
      <c r="DK105" s="47"/>
      <c r="DM105" s="47"/>
      <c r="DN105" s="47"/>
      <c r="DO105" s="47"/>
      <c r="DP105" s="47"/>
      <c r="DQ105" s="47"/>
      <c r="DR105" s="47"/>
      <c r="DS105" s="47"/>
      <c r="DT105" s="47"/>
      <c r="DU105" s="47"/>
      <c r="DV105" s="49"/>
      <c r="DW105" s="47"/>
      <c r="DX105" s="47"/>
      <c r="DY105" s="47"/>
      <c r="DZ105" s="47"/>
      <c r="EA105" s="47"/>
      <c r="EB105" s="47"/>
      <c r="EC105" s="47"/>
      <c r="ED105" s="47"/>
      <c r="EE105" s="47"/>
      <c r="EF105" s="47"/>
      <c r="EG105" s="47"/>
      <c r="EH105" s="47"/>
      <c r="EI105" s="47"/>
      <c r="EJ105" s="47"/>
      <c r="EK105" s="47"/>
      <c r="EL105" s="47"/>
      <c r="EM105" s="47"/>
      <c r="EN105" s="47"/>
      <c r="EO105" s="47"/>
      <c r="EP105" s="47"/>
      <c r="EQ105" s="47"/>
      <c r="ER105" s="47"/>
      <c r="ES105" s="47"/>
      <c r="ET105" s="47"/>
      <c r="EU105" s="47"/>
      <c r="EV105" s="47"/>
      <c r="EW105" s="47"/>
      <c r="EX105" s="47"/>
      <c r="EY105" s="47"/>
      <c r="EZ105" s="47"/>
      <c r="FA105" s="47"/>
      <c r="FB105" s="47"/>
      <c r="FC105" s="47"/>
      <c r="FD105" s="47"/>
      <c r="FE105" s="47"/>
      <c r="FF105" s="47"/>
      <c r="FG105" s="47"/>
      <c r="FH105" s="47"/>
      <c r="FI105" s="47"/>
      <c r="FJ105" s="49"/>
      <c r="FK105" s="47"/>
      <c r="FL105" s="47"/>
      <c r="FM105" s="47"/>
      <c r="FN105" s="47"/>
      <c r="FO105" s="47"/>
      <c r="FP105" s="47"/>
      <c r="FQ105" s="47"/>
      <c r="FR105" s="47"/>
      <c r="FS105" s="47"/>
      <c r="FT105" s="47"/>
      <c r="FU105" s="47"/>
      <c r="FV105" s="47"/>
      <c r="FW105" s="47"/>
      <c r="FX105" s="47"/>
      <c r="FY105" s="47"/>
      <c r="FZ105" s="47"/>
      <c r="GA105" s="47"/>
      <c r="GB105" s="47"/>
      <c r="GC105" s="47"/>
      <c r="GD105" s="47"/>
      <c r="GE105" s="47"/>
      <c r="GF105" s="47"/>
      <c r="GG105" s="47"/>
      <c r="GH105" s="47"/>
      <c r="GI105" s="47"/>
      <c r="GJ105" s="47"/>
      <c r="GK105" s="47"/>
      <c r="GL105" s="47"/>
      <c r="GM105" s="47"/>
      <c r="GN105" s="47"/>
      <c r="GO105" s="47"/>
      <c r="GP105" s="47"/>
      <c r="GQ105" s="47"/>
      <c r="GR105" s="47"/>
      <c r="GS105" s="47"/>
      <c r="GT105" s="47"/>
      <c r="GU105" s="47"/>
      <c r="GV105" s="47"/>
      <c r="GW105" s="47"/>
      <c r="GX105" s="47"/>
      <c r="GY105" s="47"/>
      <c r="GZ105" s="47"/>
      <c r="HA105" s="47"/>
      <c r="HB105" s="47"/>
      <c r="HC105" s="47"/>
      <c r="HD105" s="47"/>
      <c r="HE105" s="47"/>
      <c r="HF105" s="47"/>
      <c r="HI105" s="47"/>
      <c r="HJ105" s="47"/>
      <c r="HK105" s="47"/>
      <c r="HL105" s="47"/>
      <c r="HM105" s="47"/>
      <c r="HN105" s="47"/>
      <c r="HO105" s="47"/>
      <c r="HP105" s="47"/>
      <c r="HS105" s="47"/>
      <c r="HT105" s="47"/>
      <c r="HU105" s="47"/>
      <c r="HV105" s="47"/>
      <c r="HW105" s="47"/>
      <c r="HX105" s="47"/>
      <c r="HY105" s="47"/>
      <c r="HZ105" s="47"/>
      <c r="IC105" s="47"/>
      <c r="ID105" s="47"/>
      <c r="IE105" s="47"/>
      <c r="IF105" s="47"/>
      <c r="IG105" s="47"/>
      <c r="IH105" s="47"/>
      <c r="II105" s="47"/>
      <c r="IJ105" s="47"/>
      <c r="IM105" s="47"/>
      <c r="IN105" s="47"/>
      <c r="IO105" s="47"/>
      <c r="IP105" s="47"/>
      <c r="IQ105" s="47"/>
      <c r="IR105" s="47"/>
      <c r="IS105" s="47"/>
      <c r="IT105" s="47"/>
      <c r="IW105" s="47"/>
      <c r="IX105" s="47"/>
      <c r="IY105" s="47"/>
      <c r="IZ105" s="47"/>
      <c r="JA105" s="47"/>
      <c r="JB105" s="47"/>
      <c r="JC105" s="47"/>
      <c r="JD105" s="47"/>
      <c r="JG105" s="47"/>
      <c r="JH105" s="47"/>
      <c r="JI105" s="47"/>
      <c r="JJ105" s="47"/>
      <c r="JK105" s="47"/>
      <c r="JL105" s="47"/>
      <c r="JM105" s="47"/>
      <c r="JN105" s="47"/>
      <c r="JQ105" s="47"/>
      <c r="JR105" s="47"/>
      <c r="JS105" s="47"/>
      <c r="JT105" s="47"/>
      <c r="JU105" s="47"/>
      <c r="JV105" s="47"/>
      <c r="JW105" s="47"/>
      <c r="JX105" s="47"/>
      <c r="KA105" s="47"/>
      <c r="KB105" s="47"/>
      <c r="KC105" s="47"/>
      <c r="KD105" s="47"/>
      <c r="KE105" s="47"/>
      <c r="KF105" s="47"/>
      <c r="KG105" s="47"/>
      <c r="KH105" s="47"/>
      <c r="KK105" s="47"/>
      <c r="KL105" s="47"/>
      <c r="KM105" s="47"/>
      <c r="KN105" s="47"/>
      <c r="KO105" s="47"/>
      <c r="KP105" s="47"/>
      <c r="KQ105" s="47"/>
      <c r="KR105" s="47"/>
      <c r="KU105" s="47"/>
      <c r="KV105" s="47"/>
      <c r="KW105" s="47"/>
      <c r="KX105" s="47"/>
      <c r="KY105" s="47"/>
      <c r="KZ105" s="47"/>
      <c r="LA105" s="47"/>
      <c r="LB105" s="47"/>
    </row>
    <row r="106" spans="27:315" x14ac:dyDescent="0.25">
      <c r="AC106" s="47"/>
      <c r="AD106" s="47"/>
      <c r="AF106" s="47"/>
      <c r="AG106" s="49"/>
      <c r="AH106" s="47"/>
      <c r="AI106" s="47"/>
      <c r="AJ106" s="47"/>
      <c r="AK106" s="47"/>
      <c r="AL106" s="47"/>
      <c r="AM106" s="47"/>
      <c r="AN106" s="47"/>
      <c r="AO106" s="47"/>
      <c r="AP106" s="47"/>
      <c r="AQ106" s="47"/>
      <c r="AR106" s="47"/>
      <c r="AS106" s="47"/>
      <c r="AT106" s="47"/>
      <c r="AU106" s="47"/>
      <c r="AV106" s="47"/>
      <c r="AW106" s="47"/>
      <c r="AX106" s="47"/>
      <c r="AY106" s="47"/>
      <c r="AZ106" s="47"/>
      <c r="BA106" s="47"/>
      <c r="BB106" s="47"/>
      <c r="BC106" s="47"/>
      <c r="BD106" s="47"/>
      <c r="BE106" s="47"/>
      <c r="BF106" s="47"/>
      <c r="BG106" s="47"/>
      <c r="BH106" s="47"/>
      <c r="BI106" s="47"/>
      <c r="BJ106" s="47"/>
      <c r="BK106" s="47"/>
      <c r="BL106" s="47"/>
      <c r="BM106" s="47"/>
      <c r="BN106" s="49"/>
      <c r="BO106" s="47"/>
      <c r="BP106" s="47"/>
      <c r="BQ106" s="47"/>
      <c r="BR106" s="47"/>
      <c r="BS106" s="47"/>
      <c r="BT106" s="47"/>
      <c r="BU106" s="47"/>
      <c r="BV106" s="47"/>
      <c r="BW106" s="47"/>
      <c r="BX106" s="47"/>
      <c r="BY106" s="47"/>
      <c r="BZ106" s="47"/>
      <c r="CA106" s="47"/>
      <c r="CB106" s="47"/>
      <c r="CC106" s="47"/>
      <c r="CD106" s="47"/>
      <c r="CE106" s="47"/>
      <c r="CF106" s="47"/>
      <c r="CG106" s="49"/>
      <c r="CH106" s="47"/>
      <c r="CI106" s="47"/>
      <c r="CJ106" s="47"/>
      <c r="CK106" s="47"/>
      <c r="CL106" s="47"/>
      <c r="CM106" s="47"/>
      <c r="CN106" s="47"/>
      <c r="CO106" s="47"/>
      <c r="CP106" s="47"/>
      <c r="CQ106" s="47"/>
      <c r="CS106" s="47"/>
      <c r="CT106" s="47"/>
      <c r="CU106" s="47"/>
      <c r="CV106" s="47"/>
      <c r="CW106" s="47"/>
      <c r="CX106" s="47"/>
      <c r="CY106" s="47"/>
      <c r="CZ106" s="47"/>
      <c r="DA106" s="47"/>
      <c r="DB106" s="47"/>
      <c r="DC106" s="47"/>
      <c r="DD106" s="47"/>
      <c r="DE106" s="47"/>
      <c r="DF106" s="47"/>
      <c r="DG106" s="47"/>
      <c r="DH106" s="47"/>
      <c r="DI106" s="47"/>
      <c r="DJ106" s="47"/>
      <c r="DK106" s="47"/>
      <c r="DM106" s="47"/>
      <c r="DN106" s="47"/>
      <c r="DO106" s="47"/>
      <c r="DP106" s="47"/>
      <c r="DQ106" s="47"/>
      <c r="DR106" s="47"/>
      <c r="DS106" s="47"/>
      <c r="DT106" s="47"/>
      <c r="DU106" s="47"/>
      <c r="DV106" s="49"/>
      <c r="DW106" s="47"/>
      <c r="DX106" s="47"/>
      <c r="DY106" s="47"/>
      <c r="DZ106" s="47"/>
      <c r="EA106" s="47"/>
      <c r="EB106" s="47"/>
      <c r="EC106" s="47"/>
      <c r="ED106" s="47"/>
      <c r="EE106" s="47"/>
      <c r="EF106" s="47"/>
      <c r="EG106" s="47"/>
      <c r="EH106" s="47"/>
      <c r="EI106" s="47"/>
      <c r="EJ106" s="47"/>
      <c r="EK106" s="47"/>
      <c r="EL106" s="47"/>
      <c r="EM106" s="47"/>
      <c r="EN106" s="47"/>
      <c r="EO106" s="47"/>
      <c r="EP106" s="47"/>
      <c r="EQ106" s="47"/>
      <c r="ER106" s="47"/>
      <c r="ES106" s="47"/>
      <c r="ET106" s="47"/>
      <c r="EU106" s="47"/>
      <c r="EV106" s="47"/>
      <c r="EW106" s="47"/>
      <c r="EX106" s="47"/>
      <c r="EY106" s="47"/>
      <c r="EZ106" s="47"/>
      <c r="FA106" s="47"/>
      <c r="FB106" s="47"/>
      <c r="FC106" s="47"/>
      <c r="FD106" s="47"/>
      <c r="FE106" s="47"/>
      <c r="FF106" s="47"/>
      <c r="FG106" s="47"/>
      <c r="FH106" s="47"/>
      <c r="FI106" s="47"/>
      <c r="FJ106" s="49"/>
      <c r="FK106" s="47"/>
      <c r="FL106" s="47"/>
      <c r="FM106" s="47"/>
      <c r="FN106" s="47"/>
      <c r="FO106" s="47"/>
      <c r="FP106" s="47"/>
      <c r="FQ106" s="47"/>
      <c r="FR106" s="47"/>
      <c r="FS106" s="47"/>
      <c r="FT106" s="47"/>
      <c r="FU106" s="47"/>
      <c r="FV106" s="47"/>
      <c r="FW106" s="47"/>
      <c r="FX106" s="47"/>
      <c r="FY106" s="47"/>
      <c r="FZ106" s="47"/>
      <c r="GA106" s="47"/>
      <c r="GB106" s="47"/>
      <c r="GC106" s="47"/>
      <c r="GD106" s="47"/>
      <c r="GE106" s="47"/>
      <c r="GF106" s="47"/>
      <c r="GG106" s="47"/>
      <c r="GH106" s="47"/>
      <c r="GI106" s="47"/>
      <c r="GJ106" s="47"/>
      <c r="GK106" s="47"/>
      <c r="GL106" s="47"/>
      <c r="GM106" s="47"/>
      <c r="GN106" s="47"/>
      <c r="GO106" s="47"/>
      <c r="GP106" s="47"/>
      <c r="GQ106" s="47"/>
      <c r="GR106" s="47"/>
      <c r="GS106" s="47"/>
      <c r="GT106" s="47"/>
      <c r="GU106" s="47"/>
      <c r="GV106" s="47"/>
      <c r="GW106" s="47"/>
      <c r="GX106" s="47"/>
      <c r="GY106" s="47"/>
      <c r="GZ106" s="47"/>
      <c r="HA106" s="47"/>
      <c r="HB106" s="47"/>
      <c r="HC106" s="47"/>
      <c r="HD106" s="47"/>
      <c r="HE106" s="47"/>
      <c r="HF106" s="47"/>
      <c r="HI106" s="47"/>
      <c r="HJ106" s="47"/>
      <c r="HK106" s="47"/>
      <c r="HL106" s="47"/>
      <c r="HM106" s="47"/>
      <c r="HN106" s="47"/>
      <c r="HO106" s="47"/>
      <c r="HP106" s="47"/>
      <c r="HS106" s="47"/>
      <c r="HT106" s="47"/>
      <c r="HU106" s="47"/>
      <c r="HV106" s="47"/>
      <c r="HW106" s="47"/>
      <c r="HX106" s="47"/>
      <c r="HY106" s="47"/>
      <c r="HZ106" s="47"/>
      <c r="IC106" s="47"/>
      <c r="ID106" s="47"/>
      <c r="IE106" s="47"/>
      <c r="IF106" s="47"/>
      <c r="IG106" s="47"/>
      <c r="IH106" s="47"/>
      <c r="II106" s="47"/>
      <c r="IJ106" s="47"/>
      <c r="IM106" s="47"/>
      <c r="IN106" s="47"/>
      <c r="IO106" s="47"/>
      <c r="IP106" s="47"/>
      <c r="IQ106" s="47"/>
      <c r="IR106" s="47"/>
      <c r="IS106" s="47"/>
      <c r="IT106" s="47"/>
      <c r="IW106" s="47"/>
      <c r="IX106" s="47"/>
      <c r="IY106" s="47"/>
      <c r="IZ106" s="47"/>
      <c r="JA106" s="47"/>
      <c r="JB106" s="47"/>
      <c r="JC106" s="47"/>
      <c r="JD106" s="47"/>
      <c r="JG106" s="47"/>
      <c r="JH106" s="47"/>
      <c r="JI106" s="47"/>
      <c r="JJ106" s="47"/>
      <c r="JK106" s="47"/>
      <c r="JL106" s="47"/>
      <c r="JM106" s="47"/>
      <c r="JN106" s="47"/>
      <c r="JQ106" s="47"/>
      <c r="JR106" s="47"/>
      <c r="JS106" s="47"/>
      <c r="JT106" s="47"/>
      <c r="JU106" s="47"/>
      <c r="JV106" s="47"/>
      <c r="JW106" s="47"/>
      <c r="JX106" s="47"/>
      <c r="KA106" s="47"/>
      <c r="KB106" s="47"/>
      <c r="KC106" s="47"/>
      <c r="KD106" s="47"/>
      <c r="KE106" s="47"/>
      <c r="KF106" s="47"/>
      <c r="KG106" s="47"/>
      <c r="KH106" s="47"/>
      <c r="KK106" s="47"/>
      <c r="KL106" s="47"/>
      <c r="KM106" s="47"/>
      <c r="KN106" s="47"/>
      <c r="KO106" s="47"/>
      <c r="KP106" s="47"/>
      <c r="KQ106" s="47"/>
      <c r="KR106" s="47"/>
      <c r="KU106" s="47"/>
      <c r="KV106" s="47"/>
      <c r="KW106" s="47"/>
      <c r="KX106" s="47"/>
      <c r="KY106" s="47"/>
      <c r="KZ106" s="47"/>
      <c r="LA106" s="47"/>
      <c r="LB106" s="47"/>
    </row>
    <row r="107" spans="27:315" x14ac:dyDescent="0.25">
      <c r="AC107" s="47"/>
      <c r="AD107" s="47"/>
      <c r="AF107" s="47"/>
      <c r="AG107" s="49"/>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9"/>
      <c r="BO107" s="47"/>
      <c r="BP107" s="47"/>
      <c r="BQ107" s="47"/>
      <c r="BR107" s="47"/>
      <c r="BS107" s="47"/>
      <c r="BT107" s="47"/>
      <c r="BU107" s="47"/>
      <c r="BV107" s="47"/>
      <c r="BW107" s="47"/>
      <c r="BX107" s="47"/>
      <c r="BY107" s="47"/>
      <c r="BZ107" s="47"/>
      <c r="CA107" s="47"/>
      <c r="CB107" s="47"/>
      <c r="CC107" s="47"/>
      <c r="CD107" s="47"/>
      <c r="CE107" s="47"/>
      <c r="CF107" s="47"/>
      <c r="CG107" s="49"/>
      <c r="CH107" s="47"/>
      <c r="CI107" s="47"/>
      <c r="CJ107" s="47"/>
      <c r="CK107" s="47"/>
      <c r="CL107" s="47"/>
      <c r="CM107" s="47"/>
      <c r="CN107" s="47"/>
      <c r="CO107" s="47"/>
      <c r="CP107" s="47"/>
      <c r="CQ107" s="47"/>
      <c r="CS107" s="47"/>
      <c r="CT107" s="47"/>
      <c r="CU107" s="47"/>
      <c r="CV107" s="47"/>
      <c r="CW107" s="47"/>
      <c r="CX107" s="47"/>
      <c r="CY107" s="47"/>
      <c r="CZ107" s="47"/>
      <c r="DA107" s="47"/>
      <c r="DB107" s="47"/>
      <c r="DC107" s="47"/>
      <c r="DD107" s="47"/>
      <c r="DE107" s="47"/>
      <c r="DF107" s="47"/>
      <c r="DG107" s="47"/>
      <c r="DH107" s="47"/>
      <c r="DI107" s="47"/>
      <c r="DJ107" s="47"/>
      <c r="DK107" s="47"/>
      <c r="DM107" s="47"/>
      <c r="DN107" s="47"/>
      <c r="DO107" s="47"/>
      <c r="DP107" s="47"/>
      <c r="DQ107" s="47"/>
      <c r="DR107" s="47"/>
      <c r="DS107" s="47"/>
      <c r="DT107" s="47"/>
      <c r="DU107" s="47"/>
      <c r="DV107" s="49"/>
      <c r="DW107" s="47"/>
      <c r="DX107" s="47"/>
      <c r="DY107" s="47"/>
      <c r="DZ107" s="47"/>
      <c r="EA107" s="47"/>
      <c r="EB107" s="47"/>
      <c r="EC107" s="47"/>
      <c r="ED107" s="47"/>
      <c r="EE107" s="47"/>
      <c r="EF107" s="47"/>
      <c r="EG107" s="47"/>
      <c r="EH107" s="47"/>
      <c r="EI107" s="47"/>
      <c r="EJ107" s="47"/>
      <c r="EK107" s="47"/>
      <c r="EL107" s="47"/>
      <c r="EM107" s="47"/>
      <c r="EN107" s="47"/>
      <c r="EO107" s="47"/>
      <c r="EP107" s="47"/>
      <c r="EQ107" s="47"/>
      <c r="ER107" s="47"/>
      <c r="ES107" s="47"/>
      <c r="ET107" s="47"/>
      <c r="EU107" s="47"/>
      <c r="EV107" s="47"/>
      <c r="EW107" s="47"/>
      <c r="EX107" s="47"/>
      <c r="EY107" s="47"/>
      <c r="EZ107" s="47"/>
      <c r="FA107" s="47"/>
      <c r="FB107" s="47"/>
      <c r="FC107" s="47"/>
      <c r="FD107" s="47"/>
      <c r="FE107" s="47"/>
      <c r="FF107" s="47"/>
      <c r="FG107" s="47"/>
      <c r="FH107" s="47"/>
      <c r="FI107" s="47"/>
      <c r="FJ107" s="49"/>
      <c r="FK107" s="47"/>
      <c r="FL107" s="47"/>
      <c r="FM107" s="47"/>
      <c r="FN107" s="47"/>
      <c r="FO107" s="47"/>
      <c r="FP107" s="47"/>
      <c r="FQ107" s="47"/>
      <c r="FR107" s="47"/>
      <c r="FS107" s="47"/>
      <c r="FT107" s="47"/>
      <c r="FU107" s="47"/>
      <c r="FV107" s="47"/>
      <c r="FW107" s="47"/>
      <c r="FX107" s="47"/>
      <c r="FY107" s="47"/>
      <c r="FZ107" s="47"/>
      <c r="GA107" s="47"/>
      <c r="GB107" s="47"/>
      <c r="GC107" s="47"/>
      <c r="GD107" s="47"/>
      <c r="GE107" s="47"/>
      <c r="GF107" s="47"/>
      <c r="GG107" s="47"/>
      <c r="GH107" s="47"/>
      <c r="GI107" s="47"/>
      <c r="GJ107" s="47"/>
      <c r="GK107" s="47"/>
      <c r="GL107" s="47"/>
      <c r="GM107" s="47"/>
      <c r="GN107" s="47"/>
      <c r="GO107" s="47"/>
      <c r="GP107" s="47"/>
      <c r="GQ107" s="47"/>
      <c r="GR107" s="47"/>
      <c r="GS107" s="47"/>
      <c r="GT107" s="47"/>
      <c r="GU107" s="47"/>
      <c r="GV107" s="47"/>
      <c r="GW107" s="47"/>
      <c r="GX107" s="47"/>
      <c r="GY107" s="47"/>
      <c r="GZ107" s="47"/>
      <c r="HA107" s="47"/>
      <c r="HB107" s="47"/>
      <c r="HC107" s="47"/>
      <c r="HD107" s="47"/>
      <c r="HE107" s="47"/>
      <c r="HF107" s="47"/>
      <c r="HI107" s="47"/>
      <c r="HJ107" s="47"/>
      <c r="HK107" s="47"/>
      <c r="HL107" s="47"/>
      <c r="HM107" s="47"/>
      <c r="HN107" s="47"/>
      <c r="HO107" s="47"/>
      <c r="HP107" s="47"/>
      <c r="HS107" s="47"/>
      <c r="HT107" s="47"/>
      <c r="HU107" s="47"/>
      <c r="HV107" s="47"/>
      <c r="HW107" s="47"/>
      <c r="HX107" s="47"/>
      <c r="HY107" s="47"/>
      <c r="HZ107" s="47"/>
      <c r="IC107" s="47"/>
      <c r="ID107" s="47"/>
      <c r="IE107" s="47"/>
      <c r="IF107" s="47"/>
      <c r="IG107" s="47"/>
      <c r="IH107" s="47"/>
      <c r="II107" s="47"/>
      <c r="IJ107" s="47"/>
      <c r="IM107" s="47"/>
      <c r="IN107" s="47"/>
      <c r="IO107" s="47"/>
      <c r="IP107" s="47"/>
      <c r="IQ107" s="47"/>
      <c r="IR107" s="47"/>
      <c r="IS107" s="47"/>
      <c r="IT107" s="47"/>
      <c r="IW107" s="47"/>
      <c r="IX107" s="47"/>
      <c r="IY107" s="47"/>
      <c r="IZ107" s="47"/>
      <c r="JA107" s="47"/>
      <c r="JB107" s="47"/>
      <c r="JC107" s="47"/>
      <c r="JD107" s="47"/>
      <c r="JG107" s="47"/>
      <c r="JH107" s="47"/>
      <c r="JI107" s="47"/>
      <c r="JJ107" s="47"/>
      <c r="JK107" s="47"/>
      <c r="JL107" s="47"/>
      <c r="JM107" s="47"/>
      <c r="JN107" s="47"/>
      <c r="JQ107" s="47"/>
      <c r="JR107" s="47"/>
      <c r="JS107" s="47"/>
      <c r="JT107" s="47"/>
      <c r="JU107" s="47"/>
      <c r="JV107" s="47"/>
      <c r="JW107" s="47"/>
      <c r="JX107" s="47"/>
      <c r="KA107" s="47"/>
      <c r="KB107" s="47"/>
      <c r="KC107" s="47"/>
      <c r="KD107" s="47"/>
      <c r="KE107" s="47"/>
      <c r="KF107" s="47"/>
      <c r="KG107" s="47"/>
      <c r="KH107" s="47"/>
      <c r="KK107" s="47"/>
      <c r="KL107" s="47"/>
      <c r="KM107" s="47"/>
      <c r="KN107" s="47"/>
      <c r="KO107" s="47"/>
      <c r="KP107" s="47"/>
      <c r="KQ107" s="47"/>
      <c r="KR107" s="47"/>
      <c r="KU107" s="47"/>
      <c r="KV107" s="47"/>
      <c r="KW107" s="47"/>
      <c r="KX107" s="47"/>
      <c r="KY107" s="47"/>
      <c r="KZ107" s="47"/>
      <c r="LA107" s="47"/>
      <c r="LB107" s="47"/>
    </row>
    <row r="108" spans="27:315" x14ac:dyDescent="0.25">
      <c r="AC108" s="47"/>
      <c r="AD108" s="47"/>
      <c r="AF108" s="47"/>
      <c r="AG108" s="49"/>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9"/>
      <c r="BO108" s="47"/>
      <c r="BP108" s="47"/>
      <c r="BQ108" s="47"/>
      <c r="BR108" s="47"/>
      <c r="BS108" s="47"/>
      <c r="BT108" s="47"/>
      <c r="BU108" s="47"/>
      <c r="BV108" s="47"/>
      <c r="BW108" s="47"/>
      <c r="BX108" s="47"/>
      <c r="BY108" s="47"/>
      <c r="BZ108" s="47"/>
      <c r="CA108" s="47"/>
      <c r="CB108" s="47"/>
      <c r="CC108" s="47"/>
      <c r="CD108" s="47"/>
      <c r="CE108" s="47"/>
      <c r="CF108" s="47"/>
      <c r="CG108" s="49"/>
      <c r="CH108" s="47"/>
      <c r="CI108" s="47"/>
      <c r="CJ108" s="47"/>
      <c r="CK108" s="47"/>
      <c r="CL108" s="47"/>
      <c r="CM108" s="47"/>
      <c r="CN108" s="47"/>
      <c r="CO108" s="47"/>
      <c r="CP108" s="47"/>
      <c r="CQ108" s="47"/>
      <c r="CS108" s="47"/>
      <c r="CT108" s="47"/>
      <c r="CU108" s="47"/>
      <c r="CV108" s="47"/>
      <c r="CW108" s="47"/>
      <c r="CX108" s="47"/>
      <c r="CY108" s="47"/>
      <c r="CZ108" s="47"/>
      <c r="DA108" s="47"/>
      <c r="DB108" s="47"/>
      <c r="DC108" s="47"/>
      <c r="DD108" s="47"/>
      <c r="DE108" s="47"/>
      <c r="DF108" s="47"/>
      <c r="DG108" s="47"/>
      <c r="DH108" s="47"/>
      <c r="DI108" s="47"/>
      <c r="DJ108" s="47"/>
      <c r="DK108" s="47"/>
      <c r="DM108" s="47"/>
      <c r="DN108" s="47"/>
      <c r="DO108" s="47"/>
      <c r="DP108" s="47"/>
      <c r="DQ108" s="47"/>
      <c r="DR108" s="47"/>
      <c r="DS108" s="47"/>
      <c r="DT108" s="47"/>
      <c r="DU108" s="47"/>
      <c r="DV108" s="49"/>
      <c r="DW108" s="47"/>
      <c r="DX108" s="47"/>
      <c r="DY108" s="47"/>
      <c r="DZ108" s="47"/>
      <c r="EA108" s="47"/>
      <c r="EB108" s="47"/>
      <c r="EC108" s="47"/>
      <c r="ED108" s="47"/>
      <c r="EE108" s="47"/>
      <c r="EF108" s="47"/>
      <c r="EG108" s="47"/>
      <c r="EH108" s="47"/>
      <c r="EI108" s="47"/>
      <c r="EJ108" s="47"/>
      <c r="EK108" s="47"/>
      <c r="EL108" s="47"/>
      <c r="EM108" s="47"/>
      <c r="EN108" s="47"/>
      <c r="EO108" s="47"/>
      <c r="EP108" s="47"/>
      <c r="EQ108" s="47"/>
      <c r="ER108" s="47"/>
      <c r="ES108" s="47"/>
      <c r="ET108" s="47"/>
      <c r="EU108" s="47"/>
      <c r="EV108" s="47"/>
      <c r="EW108" s="47"/>
      <c r="EX108" s="47"/>
      <c r="EY108" s="47"/>
      <c r="EZ108" s="47"/>
      <c r="FA108" s="47"/>
      <c r="FB108" s="47"/>
      <c r="FC108" s="47"/>
      <c r="FD108" s="47"/>
      <c r="FE108" s="47"/>
      <c r="FF108" s="47"/>
      <c r="FG108" s="47"/>
      <c r="FH108" s="47"/>
      <c r="FI108" s="47"/>
      <c r="FJ108" s="49"/>
      <c r="FK108" s="47"/>
      <c r="FL108" s="47"/>
      <c r="FM108" s="47"/>
      <c r="FN108" s="47"/>
      <c r="FO108" s="47"/>
      <c r="FP108" s="47"/>
      <c r="FQ108" s="47"/>
      <c r="FR108" s="47"/>
      <c r="FS108" s="47"/>
      <c r="FT108" s="47"/>
      <c r="FU108" s="47"/>
      <c r="FV108" s="47"/>
      <c r="FW108" s="47"/>
      <c r="FX108" s="47"/>
      <c r="FY108" s="47"/>
      <c r="FZ108" s="47"/>
      <c r="GA108" s="47"/>
      <c r="GB108" s="47"/>
      <c r="GC108" s="47"/>
      <c r="GD108" s="47"/>
      <c r="GE108" s="47"/>
      <c r="GF108" s="47"/>
      <c r="GG108" s="47"/>
      <c r="GH108" s="47"/>
      <c r="GI108" s="47"/>
      <c r="GJ108" s="47"/>
      <c r="GK108" s="47"/>
      <c r="GL108" s="47"/>
      <c r="GM108" s="47"/>
      <c r="GN108" s="47"/>
      <c r="GO108" s="47"/>
      <c r="GP108" s="47"/>
      <c r="GQ108" s="47"/>
      <c r="GR108" s="47"/>
      <c r="GS108" s="47"/>
      <c r="GT108" s="47"/>
      <c r="GU108" s="47"/>
      <c r="GV108" s="47"/>
      <c r="GW108" s="47"/>
      <c r="GX108" s="47"/>
      <c r="GY108" s="47"/>
      <c r="GZ108" s="47"/>
      <c r="HA108" s="47"/>
      <c r="HB108" s="47"/>
      <c r="HC108" s="47"/>
      <c r="HD108" s="47"/>
      <c r="HE108" s="47"/>
      <c r="HF108" s="47"/>
      <c r="HI108" s="47"/>
      <c r="HJ108" s="47"/>
      <c r="HK108" s="47"/>
      <c r="HL108" s="47"/>
      <c r="HM108" s="47"/>
      <c r="HN108" s="47"/>
      <c r="HO108" s="47"/>
      <c r="HP108" s="47"/>
      <c r="HS108" s="47"/>
      <c r="HT108" s="47"/>
      <c r="HU108" s="47"/>
      <c r="HV108" s="47"/>
      <c r="HW108" s="47"/>
      <c r="HX108" s="47"/>
      <c r="HY108" s="47"/>
      <c r="HZ108" s="47"/>
      <c r="IC108" s="47"/>
      <c r="ID108" s="47"/>
      <c r="IE108" s="47"/>
      <c r="IF108" s="47"/>
      <c r="IG108" s="47"/>
      <c r="IH108" s="47"/>
      <c r="II108" s="47"/>
      <c r="IJ108" s="47"/>
      <c r="IM108" s="47"/>
      <c r="IN108" s="47"/>
      <c r="IO108" s="47"/>
      <c r="IP108" s="47"/>
      <c r="IQ108" s="47"/>
      <c r="IR108" s="47"/>
      <c r="IS108" s="47"/>
      <c r="IT108" s="47"/>
      <c r="IW108" s="47"/>
      <c r="IX108" s="47"/>
      <c r="IY108" s="47"/>
      <c r="IZ108" s="47"/>
      <c r="JA108" s="47"/>
      <c r="JB108" s="47"/>
      <c r="JC108" s="47"/>
      <c r="JD108" s="47"/>
      <c r="JG108" s="47"/>
      <c r="JH108" s="47"/>
      <c r="JI108" s="47"/>
      <c r="JJ108" s="47"/>
      <c r="JK108" s="47"/>
      <c r="JL108" s="47"/>
      <c r="JM108" s="47"/>
      <c r="JN108" s="47"/>
      <c r="JQ108" s="47"/>
      <c r="JR108" s="47"/>
      <c r="JS108" s="47"/>
      <c r="JT108" s="47"/>
      <c r="JU108" s="47"/>
      <c r="JV108" s="47"/>
      <c r="JW108" s="47"/>
      <c r="JX108" s="47"/>
      <c r="KA108" s="47"/>
      <c r="KB108" s="47"/>
      <c r="KC108" s="47"/>
      <c r="KD108" s="47"/>
      <c r="KE108" s="47"/>
      <c r="KF108" s="47"/>
      <c r="KG108" s="47"/>
      <c r="KH108" s="47"/>
      <c r="KK108" s="47"/>
      <c r="KL108" s="47"/>
      <c r="KM108" s="47"/>
      <c r="KN108" s="47"/>
      <c r="KO108" s="47"/>
      <c r="KP108" s="47"/>
      <c r="KQ108" s="47"/>
      <c r="KR108" s="47"/>
      <c r="KU108" s="47"/>
      <c r="KV108" s="47"/>
      <c r="KW108" s="47"/>
      <c r="KX108" s="47"/>
      <c r="KY108" s="47"/>
      <c r="KZ108" s="47"/>
      <c r="LA108" s="47"/>
      <c r="LB108" s="47"/>
    </row>
    <row r="109" spans="27:315" x14ac:dyDescent="0.25">
      <c r="AC109" s="47"/>
      <c r="AD109" s="47"/>
      <c r="AF109" s="47"/>
      <c r="AG109" s="49"/>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9"/>
      <c r="BO109" s="47"/>
      <c r="BP109" s="47"/>
      <c r="BQ109" s="47"/>
      <c r="BR109" s="47"/>
      <c r="BS109" s="47"/>
      <c r="BT109" s="47"/>
      <c r="BU109" s="47"/>
      <c r="BV109" s="47"/>
      <c r="BW109" s="47"/>
      <c r="BX109" s="47"/>
      <c r="BY109" s="47"/>
      <c r="BZ109" s="47"/>
      <c r="CA109" s="47"/>
      <c r="CB109" s="47"/>
      <c r="CC109" s="47"/>
      <c r="CD109" s="47"/>
      <c r="CE109" s="47"/>
      <c r="CF109" s="47"/>
      <c r="CG109" s="49"/>
      <c r="CH109" s="47"/>
      <c r="CI109" s="47"/>
      <c r="CJ109" s="47"/>
      <c r="CK109" s="47"/>
      <c r="CL109" s="47"/>
      <c r="CM109" s="47"/>
      <c r="CN109" s="47"/>
      <c r="CO109" s="47"/>
      <c r="CP109" s="47"/>
      <c r="CQ109" s="47"/>
      <c r="CS109" s="47"/>
      <c r="CT109" s="47"/>
      <c r="CU109" s="47"/>
      <c r="CV109" s="47"/>
      <c r="CW109" s="47"/>
      <c r="CX109" s="47"/>
      <c r="CY109" s="47"/>
      <c r="CZ109" s="47"/>
      <c r="DA109" s="47"/>
      <c r="DB109" s="47"/>
      <c r="DC109" s="47"/>
      <c r="DD109" s="47"/>
      <c r="DE109" s="47"/>
      <c r="DF109" s="47"/>
      <c r="DG109" s="47"/>
      <c r="DH109" s="47"/>
      <c r="DI109" s="47"/>
      <c r="DJ109" s="47"/>
      <c r="DK109" s="47"/>
      <c r="DM109" s="47"/>
      <c r="DN109" s="47"/>
      <c r="DO109" s="47"/>
      <c r="DP109" s="47"/>
      <c r="DQ109" s="47"/>
      <c r="DR109" s="47"/>
      <c r="DS109" s="47"/>
      <c r="DT109" s="47"/>
      <c r="DU109" s="47"/>
      <c r="DV109" s="49"/>
      <c r="DW109" s="47"/>
      <c r="DX109" s="47"/>
      <c r="DY109" s="47"/>
      <c r="DZ109" s="47"/>
      <c r="EA109" s="47"/>
      <c r="EB109" s="47"/>
      <c r="EC109" s="47"/>
      <c r="ED109" s="47"/>
      <c r="EE109" s="47"/>
      <c r="EF109" s="47"/>
      <c r="EG109" s="47"/>
      <c r="EH109" s="47"/>
      <c r="EI109" s="47"/>
      <c r="EJ109" s="47"/>
      <c r="EK109" s="47"/>
      <c r="EL109" s="47"/>
      <c r="EM109" s="47"/>
      <c r="EN109" s="47"/>
      <c r="EO109" s="47"/>
      <c r="EP109" s="47"/>
      <c r="EQ109" s="47"/>
      <c r="ER109" s="47"/>
      <c r="ES109" s="47"/>
      <c r="ET109" s="47"/>
      <c r="EU109" s="47"/>
      <c r="EV109" s="47"/>
      <c r="EW109" s="47"/>
      <c r="EX109" s="47"/>
      <c r="EY109" s="47"/>
      <c r="EZ109" s="47"/>
      <c r="FA109" s="47"/>
      <c r="FB109" s="47"/>
      <c r="FC109" s="47"/>
      <c r="FD109" s="47"/>
      <c r="FE109" s="47"/>
      <c r="FF109" s="47"/>
      <c r="FG109" s="47"/>
      <c r="FH109" s="47"/>
      <c r="FI109" s="47"/>
      <c r="FJ109" s="49"/>
      <c r="FK109" s="47"/>
      <c r="FL109" s="47"/>
      <c r="FM109" s="47"/>
      <c r="FN109" s="47"/>
      <c r="FO109" s="47"/>
      <c r="FP109" s="47"/>
      <c r="FQ109" s="47"/>
      <c r="FR109" s="47"/>
      <c r="FS109" s="47"/>
      <c r="FT109" s="47"/>
      <c r="FU109" s="47"/>
      <c r="FV109" s="47"/>
      <c r="FW109" s="47"/>
      <c r="FX109" s="47"/>
      <c r="FY109" s="47"/>
      <c r="FZ109" s="47"/>
      <c r="GA109" s="47"/>
      <c r="GB109" s="47"/>
      <c r="GC109" s="47"/>
      <c r="GD109" s="47"/>
      <c r="GE109" s="47"/>
      <c r="GF109" s="47"/>
      <c r="GG109" s="47"/>
      <c r="GH109" s="47"/>
      <c r="GI109" s="47"/>
      <c r="GJ109" s="47"/>
      <c r="GK109" s="47"/>
      <c r="GL109" s="47"/>
      <c r="GM109" s="47"/>
      <c r="GN109" s="47"/>
      <c r="GO109" s="47"/>
      <c r="GP109" s="47"/>
      <c r="GQ109" s="47"/>
      <c r="GR109" s="47"/>
      <c r="GS109" s="47"/>
      <c r="GT109" s="47"/>
      <c r="GU109" s="47"/>
      <c r="GV109" s="47"/>
      <c r="GW109" s="47"/>
      <c r="GX109" s="47"/>
      <c r="GY109" s="47"/>
      <c r="GZ109" s="47"/>
      <c r="HA109" s="47"/>
      <c r="HB109" s="47"/>
      <c r="HC109" s="47"/>
      <c r="HD109" s="47"/>
      <c r="HE109" s="47"/>
      <c r="HF109" s="47"/>
      <c r="HI109" s="47"/>
      <c r="HJ109" s="47"/>
      <c r="HK109" s="47"/>
      <c r="HL109" s="47"/>
      <c r="HM109" s="47"/>
      <c r="HN109" s="47"/>
      <c r="HO109" s="47"/>
      <c r="HP109" s="47"/>
      <c r="HS109" s="47"/>
      <c r="HT109" s="47"/>
      <c r="HU109" s="47"/>
      <c r="HV109" s="47"/>
      <c r="HW109" s="47"/>
      <c r="HX109" s="47"/>
      <c r="HY109" s="47"/>
      <c r="HZ109" s="47"/>
      <c r="IC109" s="47"/>
      <c r="ID109" s="47"/>
      <c r="IE109" s="47"/>
      <c r="IF109" s="47"/>
      <c r="IG109" s="47"/>
      <c r="IH109" s="47"/>
      <c r="II109" s="47"/>
      <c r="IJ109" s="47"/>
      <c r="IM109" s="47"/>
      <c r="IN109" s="47"/>
      <c r="IO109" s="47"/>
      <c r="IP109" s="47"/>
      <c r="IQ109" s="47"/>
      <c r="IR109" s="47"/>
      <c r="IS109" s="47"/>
      <c r="IT109" s="47"/>
      <c r="IW109" s="47"/>
      <c r="IX109" s="47"/>
      <c r="IY109" s="47"/>
      <c r="IZ109" s="47"/>
      <c r="JA109" s="47"/>
      <c r="JB109" s="47"/>
      <c r="JC109" s="47"/>
      <c r="JD109" s="47"/>
      <c r="JG109" s="47"/>
      <c r="JH109" s="47"/>
      <c r="JI109" s="47"/>
      <c r="JJ109" s="47"/>
      <c r="JK109" s="47"/>
      <c r="JL109" s="47"/>
      <c r="JM109" s="47"/>
      <c r="JN109" s="47"/>
      <c r="JQ109" s="47"/>
      <c r="JR109" s="47"/>
      <c r="JS109" s="47"/>
      <c r="JT109" s="47"/>
      <c r="JU109" s="47"/>
      <c r="JV109" s="47"/>
      <c r="JW109" s="47"/>
      <c r="JX109" s="47"/>
      <c r="KA109" s="47"/>
      <c r="KB109" s="47"/>
      <c r="KC109" s="47"/>
      <c r="KD109" s="47"/>
      <c r="KE109" s="47"/>
      <c r="KF109" s="47"/>
      <c r="KG109" s="47"/>
      <c r="KH109" s="47"/>
      <c r="KK109" s="47"/>
      <c r="KL109" s="47"/>
      <c r="KM109" s="47"/>
      <c r="KN109" s="47"/>
      <c r="KO109" s="47"/>
      <c r="KP109" s="47"/>
      <c r="KQ109" s="47"/>
      <c r="KR109" s="47"/>
      <c r="KU109" s="47"/>
      <c r="KV109" s="47"/>
      <c r="KW109" s="47"/>
      <c r="KX109" s="47"/>
      <c r="KY109" s="47"/>
      <c r="KZ109" s="47"/>
      <c r="LA109" s="47"/>
      <c r="LB109" s="47"/>
    </row>
    <row r="110" spans="27:315" x14ac:dyDescent="0.25">
      <c r="AC110" s="47"/>
      <c r="AD110" s="47"/>
      <c r="AF110" s="47"/>
      <c r="AG110" s="49"/>
      <c r="AH110" s="47"/>
      <c r="AI110" s="47"/>
      <c r="AJ110" s="47"/>
      <c r="AK110" s="47"/>
      <c r="AL110" s="47"/>
      <c r="AM110" s="47"/>
      <c r="AN110" s="47"/>
      <c r="AO110" s="47"/>
      <c r="AP110" s="47"/>
      <c r="AQ110" s="47"/>
      <c r="AR110" s="47"/>
      <c r="AS110" s="47"/>
      <c r="AT110" s="47"/>
      <c r="AU110" s="47"/>
      <c r="AV110" s="47"/>
      <c r="AW110" s="47"/>
      <c r="AX110" s="47"/>
      <c r="AY110" s="47"/>
      <c r="AZ110" s="47"/>
      <c r="BA110" s="47"/>
      <c r="BB110" s="47"/>
      <c r="BC110" s="47"/>
      <c r="BD110" s="47"/>
      <c r="BE110" s="47"/>
      <c r="BF110" s="47"/>
      <c r="BG110" s="47"/>
      <c r="BH110" s="47"/>
      <c r="BI110" s="47"/>
      <c r="BJ110" s="47"/>
      <c r="BK110" s="47"/>
      <c r="BL110" s="47"/>
      <c r="BM110" s="47"/>
      <c r="BN110" s="49"/>
      <c r="BO110" s="47"/>
      <c r="BP110" s="47"/>
      <c r="BQ110" s="47"/>
      <c r="BR110" s="47"/>
      <c r="BS110" s="47"/>
      <c r="BT110" s="47"/>
      <c r="BU110" s="47"/>
      <c r="BV110" s="47"/>
      <c r="BW110" s="47"/>
      <c r="BX110" s="47"/>
      <c r="BY110" s="47"/>
      <c r="BZ110" s="47"/>
      <c r="CA110" s="47"/>
      <c r="CB110" s="47"/>
      <c r="CC110" s="47"/>
      <c r="CD110" s="47"/>
      <c r="CE110" s="47"/>
      <c r="CF110" s="47"/>
      <c r="CG110" s="49"/>
      <c r="CH110" s="47"/>
      <c r="CI110" s="47"/>
      <c r="CJ110" s="47"/>
      <c r="CK110" s="47"/>
      <c r="CL110" s="47"/>
      <c r="CM110" s="47"/>
      <c r="CN110" s="47"/>
      <c r="CO110" s="47"/>
      <c r="CP110" s="47"/>
      <c r="CQ110" s="47"/>
      <c r="CS110" s="47"/>
      <c r="CT110" s="47"/>
      <c r="CU110" s="47"/>
      <c r="CV110" s="47"/>
      <c r="CW110" s="47"/>
      <c r="CX110" s="47"/>
      <c r="CY110" s="47"/>
      <c r="CZ110" s="47"/>
      <c r="DA110" s="47"/>
      <c r="DB110" s="47"/>
      <c r="DC110" s="47"/>
      <c r="DD110" s="47"/>
      <c r="DE110" s="47"/>
      <c r="DF110" s="47"/>
      <c r="DG110" s="47"/>
      <c r="DH110" s="47"/>
      <c r="DI110" s="47"/>
      <c r="DJ110" s="47"/>
      <c r="DK110" s="47"/>
      <c r="DM110" s="47"/>
      <c r="DN110" s="47"/>
      <c r="DO110" s="47"/>
      <c r="DP110" s="47"/>
      <c r="DQ110" s="47"/>
      <c r="DR110" s="47"/>
      <c r="DS110" s="47"/>
      <c r="DT110" s="47"/>
      <c r="DU110" s="47"/>
      <c r="DV110" s="49"/>
      <c r="DW110" s="47"/>
      <c r="DX110" s="47"/>
      <c r="DY110" s="47"/>
      <c r="DZ110" s="47"/>
      <c r="EA110" s="47"/>
      <c r="EB110" s="47"/>
      <c r="EC110" s="47"/>
      <c r="ED110" s="47"/>
      <c r="EE110" s="47"/>
      <c r="EF110" s="47"/>
      <c r="EG110" s="47"/>
      <c r="EH110" s="47"/>
      <c r="EI110" s="47"/>
      <c r="EJ110" s="47"/>
      <c r="EK110" s="47"/>
      <c r="EL110" s="47"/>
      <c r="EM110" s="47"/>
      <c r="EN110" s="47"/>
      <c r="EO110" s="47"/>
      <c r="EP110" s="47"/>
      <c r="EQ110" s="47"/>
      <c r="ER110" s="47"/>
      <c r="ES110" s="47"/>
      <c r="ET110" s="47"/>
      <c r="EU110" s="47"/>
      <c r="EV110" s="47"/>
      <c r="EW110" s="47"/>
      <c r="EX110" s="47"/>
      <c r="EY110" s="47"/>
      <c r="EZ110" s="47"/>
      <c r="FA110" s="47"/>
      <c r="FB110" s="47"/>
      <c r="FC110" s="47"/>
      <c r="FD110" s="47"/>
      <c r="FE110" s="47"/>
      <c r="FF110" s="47"/>
      <c r="FG110" s="47"/>
      <c r="FH110" s="47"/>
      <c r="FI110" s="47"/>
      <c r="FJ110" s="49"/>
      <c r="FK110" s="47"/>
      <c r="FL110" s="47"/>
      <c r="FM110" s="47"/>
      <c r="FN110" s="47"/>
      <c r="FO110" s="47"/>
      <c r="FP110" s="47"/>
      <c r="FQ110" s="47"/>
      <c r="FR110" s="47"/>
      <c r="FS110" s="47"/>
      <c r="FT110" s="47"/>
      <c r="FU110" s="47"/>
      <c r="FV110" s="47"/>
      <c r="FW110" s="47"/>
      <c r="FX110" s="47"/>
      <c r="FY110" s="47"/>
      <c r="FZ110" s="47"/>
      <c r="GA110" s="47"/>
      <c r="GB110" s="47"/>
      <c r="GC110" s="47"/>
      <c r="GD110" s="47"/>
      <c r="GE110" s="47"/>
      <c r="GF110" s="47"/>
      <c r="GG110" s="47"/>
      <c r="GH110" s="47"/>
      <c r="GI110" s="47"/>
      <c r="GJ110" s="47"/>
      <c r="GK110" s="47"/>
      <c r="GL110" s="47"/>
      <c r="GM110" s="47"/>
      <c r="GN110" s="47"/>
      <c r="GO110" s="47"/>
      <c r="GP110" s="47"/>
      <c r="GQ110" s="47"/>
      <c r="GR110" s="47"/>
      <c r="GS110" s="47"/>
      <c r="GT110" s="47"/>
      <c r="GU110" s="47"/>
      <c r="GV110" s="47"/>
      <c r="GW110" s="47"/>
      <c r="GX110" s="47"/>
      <c r="GY110" s="47"/>
      <c r="GZ110" s="47"/>
      <c r="HA110" s="47"/>
      <c r="HB110" s="47"/>
      <c r="HC110" s="47"/>
      <c r="HD110" s="47"/>
      <c r="HE110" s="47"/>
      <c r="HF110" s="47"/>
      <c r="HI110" s="47"/>
      <c r="HJ110" s="47"/>
      <c r="HK110" s="47"/>
      <c r="HL110" s="47"/>
      <c r="HM110" s="47"/>
      <c r="HN110" s="47"/>
      <c r="HO110" s="47"/>
      <c r="HP110" s="47"/>
      <c r="HS110" s="47"/>
      <c r="HT110" s="47"/>
      <c r="HU110" s="47"/>
      <c r="HV110" s="47"/>
      <c r="HW110" s="47"/>
      <c r="HX110" s="47"/>
      <c r="HY110" s="47"/>
      <c r="HZ110" s="47"/>
      <c r="IC110" s="47"/>
      <c r="ID110" s="47"/>
      <c r="IE110" s="47"/>
      <c r="IF110" s="47"/>
      <c r="IG110" s="47"/>
      <c r="IH110" s="47"/>
      <c r="II110" s="47"/>
      <c r="IJ110" s="47"/>
      <c r="IM110" s="47"/>
      <c r="IN110" s="47"/>
      <c r="IO110" s="47"/>
      <c r="IP110" s="47"/>
      <c r="IQ110" s="47"/>
      <c r="IR110" s="47"/>
      <c r="IS110" s="47"/>
      <c r="IT110" s="47"/>
      <c r="IW110" s="47"/>
      <c r="IX110" s="47"/>
      <c r="IY110" s="47"/>
      <c r="IZ110" s="47"/>
      <c r="JA110" s="47"/>
      <c r="JB110" s="47"/>
      <c r="JC110" s="47"/>
      <c r="JD110" s="47"/>
      <c r="JG110" s="47"/>
      <c r="JH110" s="47"/>
      <c r="JI110" s="47"/>
      <c r="JJ110" s="47"/>
      <c r="JK110" s="47"/>
      <c r="JL110" s="47"/>
      <c r="JM110" s="47"/>
      <c r="JN110" s="47"/>
      <c r="JQ110" s="47"/>
      <c r="JR110" s="47"/>
      <c r="JS110" s="47"/>
      <c r="JT110" s="47"/>
      <c r="JU110" s="47"/>
      <c r="JV110" s="47"/>
      <c r="JW110" s="47"/>
      <c r="JX110" s="47"/>
      <c r="KA110" s="47"/>
      <c r="KB110" s="47"/>
      <c r="KC110" s="47"/>
      <c r="KD110" s="47"/>
      <c r="KE110" s="47"/>
      <c r="KF110" s="47"/>
      <c r="KG110" s="47"/>
      <c r="KH110" s="47"/>
      <c r="KK110" s="47"/>
      <c r="KL110" s="47"/>
      <c r="KM110" s="47"/>
      <c r="KN110" s="47"/>
      <c r="KO110" s="47"/>
      <c r="KP110" s="47"/>
      <c r="KQ110" s="47"/>
      <c r="KR110" s="47"/>
      <c r="KU110" s="47"/>
      <c r="KV110" s="47"/>
      <c r="KW110" s="47"/>
      <c r="KX110" s="47"/>
      <c r="KY110" s="47"/>
      <c r="KZ110" s="47"/>
      <c r="LA110" s="47"/>
      <c r="LB110" s="47"/>
    </row>
    <row r="111" spans="27:315" x14ac:dyDescent="0.25">
      <c r="AC111" s="47"/>
      <c r="AD111" s="47"/>
      <c r="AF111" s="47"/>
      <c r="AG111" s="49"/>
      <c r="AH111" s="47"/>
      <c r="AI111" s="47"/>
      <c r="AJ111" s="47"/>
      <c r="AK111" s="47"/>
      <c r="AL111" s="47"/>
      <c r="AM111" s="47"/>
      <c r="AN111" s="47"/>
      <c r="AO111" s="47"/>
      <c r="AP111" s="47"/>
      <c r="AQ111" s="47"/>
      <c r="AR111" s="47"/>
      <c r="AS111" s="47"/>
      <c r="AT111" s="47"/>
      <c r="AU111" s="47"/>
      <c r="AV111" s="47"/>
      <c r="AW111" s="47"/>
      <c r="AX111" s="47"/>
      <c r="AY111" s="47"/>
      <c r="AZ111" s="47"/>
      <c r="BA111" s="47"/>
      <c r="BB111" s="47"/>
      <c r="BC111" s="47"/>
      <c r="BD111" s="47"/>
      <c r="BE111" s="47"/>
      <c r="BF111" s="47"/>
      <c r="BG111" s="47"/>
      <c r="BH111" s="47"/>
      <c r="BI111" s="47"/>
      <c r="BJ111" s="47"/>
      <c r="BK111" s="47"/>
      <c r="BL111" s="47"/>
      <c r="BM111" s="47"/>
      <c r="BN111" s="49"/>
      <c r="BO111" s="47"/>
      <c r="BP111" s="47"/>
      <c r="BQ111" s="47"/>
      <c r="BR111" s="47"/>
      <c r="BS111" s="47"/>
      <c r="BT111" s="47"/>
      <c r="BU111" s="47"/>
      <c r="BV111" s="47"/>
      <c r="BW111" s="47"/>
      <c r="BX111" s="47"/>
      <c r="BY111" s="47"/>
      <c r="BZ111" s="47"/>
      <c r="CA111" s="47"/>
      <c r="CB111" s="47"/>
      <c r="CC111" s="47"/>
      <c r="CD111" s="47"/>
      <c r="CE111" s="47"/>
      <c r="CF111" s="47"/>
      <c r="CG111" s="49"/>
      <c r="CH111" s="47"/>
      <c r="CI111" s="47"/>
      <c r="CJ111" s="47"/>
      <c r="CK111" s="47"/>
      <c r="CL111" s="47"/>
      <c r="CM111" s="47"/>
      <c r="CN111" s="47"/>
      <c r="CO111" s="47"/>
      <c r="CP111" s="47"/>
      <c r="CQ111" s="47"/>
      <c r="CS111" s="47"/>
      <c r="CT111" s="47"/>
      <c r="CU111" s="47"/>
      <c r="CV111" s="47"/>
      <c r="CW111" s="47"/>
      <c r="CX111" s="47"/>
      <c r="CY111" s="47"/>
      <c r="CZ111" s="47"/>
      <c r="DA111" s="47"/>
      <c r="DB111" s="47"/>
      <c r="DC111" s="47"/>
      <c r="DD111" s="47"/>
      <c r="DE111" s="47"/>
      <c r="DF111" s="47"/>
      <c r="DG111" s="47"/>
      <c r="DH111" s="47"/>
      <c r="DI111" s="47"/>
      <c r="DJ111" s="47"/>
      <c r="DK111" s="47"/>
      <c r="DM111" s="47"/>
      <c r="DN111" s="47"/>
      <c r="DO111" s="47"/>
      <c r="DP111" s="47"/>
      <c r="DQ111" s="47"/>
      <c r="DR111" s="47"/>
      <c r="DS111" s="47"/>
      <c r="DT111" s="47"/>
      <c r="DU111" s="47"/>
      <c r="DV111" s="49"/>
      <c r="DW111" s="47"/>
      <c r="DX111" s="47"/>
      <c r="DY111" s="47"/>
      <c r="DZ111" s="47"/>
      <c r="EA111" s="47"/>
      <c r="EB111" s="47"/>
      <c r="EC111" s="47"/>
      <c r="ED111" s="47"/>
      <c r="EE111" s="47"/>
      <c r="EF111" s="47"/>
      <c r="EG111" s="47"/>
      <c r="EH111" s="47"/>
      <c r="EI111" s="47"/>
      <c r="EJ111" s="47"/>
      <c r="EK111" s="47"/>
      <c r="EL111" s="47"/>
      <c r="EM111" s="47"/>
      <c r="EN111" s="47"/>
      <c r="EO111" s="47"/>
      <c r="EP111" s="47"/>
      <c r="EQ111" s="47"/>
      <c r="ER111" s="47"/>
      <c r="ES111" s="47"/>
      <c r="ET111" s="47"/>
      <c r="EU111" s="47"/>
      <c r="EV111" s="47"/>
      <c r="EW111" s="47"/>
      <c r="EX111" s="47"/>
      <c r="EY111" s="47"/>
      <c r="EZ111" s="47"/>
      <c r="FA111" s="47"/>
      <c r="FB111" s="47"/>
      <c r="FC111" s="47"/>
      <c r="FD111" s="47"/>
      <c r="FE111" s="47"/>
      <c r="FF111" s="47"/>
      <c r="FG111" s="47"/>
      <c r="FH111" s="47"/>
      <c r="FI111" s="47"/>
      <c r="FJ111" s="49"/>
      <c r="FK111" s="47"/>
      <c r="FL111" s="47"/>
      <c r="FM111" s="47"/>
      <c r="FN111" s="47"/>
      <c r="FO111" s="47"/>
      <c r="FP111" s="47"/>
      <c r="FQ111" s="47"/>
      <c r="FR111" s="47"/>
      <c r="FS111" s="47"/>
      <c r="FT111" s="47"/>
      <c r="FU111" s="47"/>
      <c r="FV111" s="47"/>
      <c r="FW111" s="47"/>
      <c r="FX111" s="47"/>
      <c r="FY111" s="47"/>
      <c r="FZ111" s="47"/>
      <c r="GA111" s="47"/>
      <c r="GB111" s="47"/>
      <c r="GC111" s="47"/>
      <c r="GD111" s="47"/>
      <c r="GE111" s="47"/>
      <c r="GF111" s="47"/>
      <c r="GG111" s="47"/>
      <c r="GH111" s="47"/>
      <c r="GI111" s="47"/>
      <c r="GJ111" s="47"/>
      <c r="GK111" s="47"/>
      <c r="GL111" s="47"/>
      <c r="GM111" s="47"/>
      <c r="GN111" s="47"/>
      <c r="GO111" s="47"/>
      <c r="GP111" s="47"/>
      <c r="GQ111" s="47"/>
      <c r="GR111" s="47"/>
      <c r="GS111" s="47"/>
      <c r="GT111" s="47"/>
      <c r="GU111" s="47"/>
      <c r="GV111" s="47"/>
      <c r="GW111" s="47"/>
      <c r="GX111" s="47"/>
      <c r="GY111" s="47"/>
      <c r="GZ111" s="47"/>
      <c r="HA111" s="47"/>
      <c r="HB111" s="47"/>
      <c r="HC111" s="47"/>
      <c r="HD111" s="47"/>
      <c r="HE111" s="47"/>
      <c r="HF111" s="47"/>
      <c r="HI111" s="47"/>
      <c r="HJ111" s="47"/>
      <c r="HK111" s="47"/>
      <c r="HL111" s="47"/>
      <c r="HM111" s="47"/>
      <c r="HN111" s="47"/>
      <c r="HO111" s="47"/>
      <c r="HP111" s="47"/>
      <c r="HS111" s="47"/>
      <c r="HT111" s="47"/>
      <c r="HU111" s="47"/>
      <c r="HV111" s="47"/>
      <c r="HW111" s="47"/>
      <c r="HX111" s="47"/>
      <c r="HY111" s="47"/>
      <c r="HZ111" s="47"/>
      <c r="IC111" s="47"/>
      <c r="ID111" s="47"/>
      <c r="IE111" s="47"/>
      <c r="IF111" s="47"/>
      <c r="IG111" s="47"/>
      <c r="IH111" s="47"/>
      <c r="II111" s="47"/>
      <c r="IJ111" s="47"/>
      <c r="IM111" s="47"/>
      <c r="IN111" s="47"/>
      <c r="IO111" s="47"/>
      <c r="IP111" s="47"/>
      <c r="IQ111" s="47"/>
      <c r="IR111" s="47"/>
      <c r="IS111" s="47"/>
      <c r="IT111" s="47"/>
      <c r="IW111" s="47"/>
      <c r="IX111" s="47"/>
      <c r="IY111" s="47"/>
      <c r="IZ111" s="47"/>
      <c r="JA111" s="47"/>
      <c r="JB111" s="47"/>
      <c r="JC111" s="47"/>
      <c r="JD111" s="47"/>
      <c r="JG111" s="47"/>
      <c r="JH111" s="47"/>
      <c r="JI111" s="47"/>
      <c r="JJ111" s="47"/>
      <c r="JK111" s="47"/>
      <c r="JL111" s="47"/>
      <c r="JM111" s="47"/>
      <c r="JN111" s="47"/>
      <c r="JQ111" s="47"/>
      <c r="JR111" s="47"/>
      <c r="JS111" s="47"/>
      <c r="JT111" s="47"/>
      <c r="JU111" s="47"/>
      <c r="JV111" s="47"/>
      <c r="JW111" s="47"/>
      <c r="JX111" s="47"/>
      <c r="KA111" s="47"/>
      <c r="KB111" s="47"/>
      <c r="KC111" s="47"/>
      <c r="KD111" s="47"/>
      <c r="KE111" s="47"/>
      <c r="KF111" s="47"/>
      <c r="KG111" s="47"/>
      <c r="KH111" s="47"/>
      <c r="KK111" s="47"/>
      <c r="KL111" s="47"/>
      <c r="KM111" s="47"/>
      <c r="KN111" s="47"/>
      <c r="KO111" s="47"/>
      <c r="KP111" s="47"/>
      <c r="KQ111" s="47"/>
      <c r="KR111" s="47"/>
      <c r="KU111" s="47"/>
      <c r="KV111" s="47"/>
      <c r="KW111" s="47"/>
      <c r="KX111" s="47"/>
      <c r="KY111" s="47"/>
      <c r="KZ111" s="47"/>
      <c r="LA111" s="47"/>
      <c r="LB111" s="47"/>
    </row>
    <row r="112" spans="27:315" x14ac:dyDescent="0.25">
      <c r="AC112" s="47"/>
      <c r="AD112" s="47"/>
      <c r="AF112" s="47"/>
      <c r="AG112" s="49"/>
      <c r="AH112" s="47"/>
      <c r="AI112" s="47"/>
      <c r="AJ112" s="47"/>
      <c r="AK112" s="47"/>
      <c r="AL112" s="47"/>
      <c r="AM112" s="47"/>
      <c r="AN112" s="47"/>
      <c r="AO112" s="47"/>
      <c r="AP112" s="47"/>
      <c r="AQ112" s="47"/>
      <c r="AR112" s="47"/>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49"/>
      <c r="BO112" s="47"/>
      <c r="BP112" s="47"/>
      <c r="BQ112" s="47"/>
      <c r="BR112" s="47"/>
      <c r="BS112" s="47"/>
      <c r="BT112" s="47"/>
      <c r="BU112" s="47"/>
      <c r="BV112" s="47"/>
      <c r="BW112" s="47"/>
      <c r="BX112" s="47"/>
      <c r="BY112" s="47"/>
      <c r="BZ112" s="47"/>
      <c r="CA112" s="47"/>
      <c r="CB112" s="47"/>
      <c r="CC112" s="47"/>
      <c r="CD112" s="47"/>
      <c r="CE112" s="47"/>
      <c r="CF112" s="47"/>
      <c r="CG112" s="49"/>
      <c r="CH112" s="47"/>
      <c r="CI112" s="47"/>
      <c r="CJ112" s="47"/>
      <c r="CK112" s="47"/>
      <c r="CL112" s="47"/>
      <c r="CM112" s="47"/>
      <c r="CN112" s="47"/>
      <c r="CO112" s="47"/>
      <c r="CP112" s="47"/>
      <c r="CQ112" s="47"/>
      <c r="CS112" s="47"/>
      <c r="CT112" s="47"/>
      <c r="CU112" s="47"/>
      <c r="CV112" s="47"/>
      <c r="CW112" s="47"/>
      <c r="CX112" s="47"/>
      <c r="CY112" s="47"/>
      <c r="CZ112" s="47"/>
      <c r="DA112" s="47"/>
      <c r="DB112" s="47"/>
      <c r="DC112" s="47"/>
      <c r="DD112" s="47"/>
      <c r="DE112" s="47"/>
      <c r="DF112" s="47"/>
      <c r="DG112" s="47"/>
      <c r="DH112" s="47"/>
      <c r="DI112" s="47"/>
      <c r="DJ112" s="47"/>
      <c r="DK112" s="47"/>
      <c r="DM112" s="47"/>
      <c r="DN112" s="47"/>
      <c r="DO112" s="47"/>
      <c r="DP112" s="47"/>
      <c r="DQ112" s="47"/>
      <c r="DR112" s="47"/>
      <c r="DS112" s="47"/>
      <c r="DT112" s="47"/>
      <c r="DU112" s="47"/>
      <c r="DV112" s="49"/>
      <c r="DW112" s="47"/>
      <c r="DX112" s="47"/>
      <c r="DY112" s="47"/>
      <c r="DZ112" s="47"/>
      <c r="EA112" s="47"/>
      <c r="EB112" s="47"/>
      <c r="EC112" s="47"/>
      <c r="ED112" s="47"/>
      <c r="EE112" s="47"/>
      <c r="EF112" s="47"/>
      <c r="EG112" s="47"/>
      <c r="EH112" s="47"/>
      <c r="EI112" s="47"/>
      <c r="EJ112" s="47"/>
      <c r="EK112" s="47"/>
      <c r="EL112" s="47"/>
      <c r="EM112" s="47"/>
      <c r="EN112" s="47"/>
      <c r="EO112" s="47"/>
      <c r="EP112" s="47"/>
      <c r="EQ112" s="47"/>
      <c r="ER112" s="47"/>
      <c r="ES112" s="47"/>
      <c r="ET112" s="47"/>
      <c r="EU112" s="47"/>
      <c r="EV112" s="47"/>
      <c r="EW112" s="47"/>
      <c r="EX112" s="47"/>
      <c r="EY112" s="47"/>
      <c r="EZ112" s="47"/>
      <c r="FA112" s="47"/>
      <c r="FB112" s="47"/>
      <c r="FC112" s="47"/>
      <c r="FD112" s="47"/>
      <c r="FE112" s="47"/>
      <c r="FF112" s="47"/>
      <c r="FG112" s="47"/>
      <c r="FH112" s="47"/>
      <c r="FI112" s="47"/>
      <c r="FJ112" s="49"/>
      <c r="FK112" s="47"/>
      <c r="FL112" s="47"/>
      <c r="FM112" s="47"/>
      <c r="FN112" s="47"/>
      <c r="FO112" s="47"/>
      <c r="FP112" s="47"/>
      <c r="FQ112" s="47"/>
      <c r="FR112" s="47"/>
      <c r="FS112" s="47"/>
      <c r="FT112" s="47"/>
      <c r="FU112" s="47"/>
      <c r="FV112" s="47"/>
      <c r="FW112" s="47"/>
      <c r="FX112" s="47"/>
      <c r="FY112" s="47"/>
      <c r="FZ112" s="47"/>
      <c r="GA112" s="47"/>
      <c r="GB112" s="47"/>
      <c r="GC112" s="47"/>
      <c r="GD112" s="47"/>
      <c r="GE112" s="47"/>
      <c r="GF112" s="47"/>
      <c r="GG112" s="47"/>
      <c r="GH112" s="47"/>
      <c r="GI112" s="47"/>
      <c r="GJ112" s="47"/>
      <c r="GK112" s="47"/>
      <c r="GL112" s="47"/>
      <c r="GM112" s="47"/>
      <c r="GN112" s="47"/>
      <c r="GO112" s="47"/>
      <c r="GP112" s="47"/>
      <c r="GQ112" s="47"/>
      <c r="GR112" s="47"/>
      <c r="GS112" s="47"/>
      <c r="GT112" s="47"/>
      <c r="GU112" s="47"/>
      <c r="GV112" s="47"/>
      <c r="GW112" s="47"/>
      <c r="GX112" s="47"/>
      <c r="GY112" s="47"/>
      <c r="GZ112" s="47"/>
      <c r="HA112" s="47"/>
      <c r="HB112" s="47"/>
      <c r="HC112" s="47"/>
      <c r="HD112" s="47"/>
      <c r="HE112" s="47"/>
      <c r="HF112" s="47"/>
      <c r="HI112" s="47"/>
      <c r="HJ112" s="47"/>
      <c r="HK112" s="47"/>
      <c r="HL112" s="47"/>
      <c r="HM112" s="47"/>
      <c r="HN112" s="47"/>
      <c r="HO112" s="47"/>
      <c r="HP112" s="47"/>
      <c r="HS112" s="47"/>
      <c r="HT112" s="47"/>
      <c r="HU112" s="47"/>
      <c r="HV112" s="47"/>
      <c r="HW112" s="47"/>
      <c r="HX112" s="47"/>
      <c r="HY112" s="47"/>
      <c r="HZ112" s="47"/>
      <c r="IC112" s="47"/>
      <c r="ID112" s="47"/>
      <c r="IE112" s="47"/>
      <c r="IF112" s="47"/>
      <c r="IG112" s="47"/>
      <c r="IH112" s="47"/>
      <c r="II112" s="47"/>
      <c r="IJ112" s="47"/>
      <c r="IM112" s="47"/>
      <c r="IN112" s="47"/>
      <c r="IO112" s="47"/>
      <c r="IP112" s="47"/>
      <c r="IQ112" s="47"/>
      <c r="IR112" s="47"/>
      <c r="IS112" s="47"/>
      <c r="IT112" s="47"/>
      <c r="IW112" s="47"/>
      <c r="IX112" s="47"/>
      <c r="IY112" s="47"/>
      <c r="IZ112" s="47"/>
      <c r="JA112" s="47"/>
      <c r="JB112" s="47"/>
      <c r="JC112" s="47"/>
      <c r="JD112" s="47"/>
      <c r="JG112" s="47"/>
      <c r="JH112" s="47"/>
      <c r="JI112" s="47"/>
      <c r="JJ112" s="47"/>
      <c r="JK112" s="47"/>
      <c r="JL112" s="47"/>
      <c r="JM112" s="47"/>
      <c r="JN112" s="47"/>
      <c r="JQ112" s="47"/>
      <c r="JR112" s="47"/>
      <c r="JS112" s="47"/>
      <c r="JT112" s="47"/>
      <c r="JU112" s="47"/>
      <c r="JV112" s="47"/>
      <c r="JW112" s="47"/>
      <c r="JX112" s="47"/>
      <c r="KA112" s="47"/>
      <c r="KB112" s="47"/>
      <c r="KC112" s="47"/>
      <c r="KD112" s="47"/>
      <c r="KE112" s="47"/>
      <c r="KF112" s="47"/>
      <c r="KG112" s="47"/>
      <c r="KH112" s="47"/>
      <c r="KK112" s="47"/>
      <c r="KL112" s="47"/>
      <c r="KM112" s="47"/>
      <c r="KN112" s="47"/>
      <c r="KO112" s="47"/>
      <c r="KP112" s="47"/>
      <c r="KQ112" s="47"/>
      <c r="KR112" s="47"/>
      <c r="KU112" s="47"/>
      <c r="KV112" s="47"/>
      <c r="KW112" s="47"/>
      <c r="KX112" s="47"/>
      <c r="KY112" s="47"/>
      <c r="KZ112" s="47"/>
      <c r="LA112" s="47"/>
      <c r="LB112" s="47"/>
    </row>
    <row r="113" spans="29:314" x14ac:dyDescent="0.25">
      <c r="AC113" s="47"/>
      <c r="AD113" s="47"/>
      <c r="AF113" s="47"/>
      <c r="AG113" s="49"/>
      <c r="AH113" s="47"/>
      <c r="AI113" s="47"/>
      <c r="AJ113" s="47"/>
      <c r="AK113" s="47"/>
      <c r="AL113" s="47"/>
      <c r="AM113" s="47"/>
      <c r="AN113" s="47"/>
      <c r="AO113" s="47"/>
      <c r="AP113" s="47"/>
      <c r="AQ113" s="47"/>
      <c r="AR113" s="47"/>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49"/>
      <c r="BO113" s="47"/>
      <c r="BP113" s="47"/>
      <c r="BQ113" s="47"/>
      <c r="BR113" s="47"/>
      <c r="BS113" s="47"/>
      <c r="BT113" s="47"/>
      <c r="BU113" s="47"/>
      <c r="BV113" s="47"/>
      <c r="BW113" s="47"/>
      <c r="BX113" s="47"/>
      <c r="BY113" s="47"/>
      <c r="BZ113" s="47"/>
      <c r="CA113" s="47"/>
      <c r="CB113" s="47"/>
      <c r="CC113" s="47"/>
      <c r="CD113" s="47"/>
      <c r="CE113" s="47"/>
      <c r="CF113" s="47"/>
      <c r="CG113" s="49"/>
      <c r="CH113" s="47"/>
      <c r="CI113" s="47"/>
      <c r="CJ113" s="47"/>
      <c r="CK113" s="47"/>
      <c r="CL113" s="47"/>
      <c r="CM113" s="47"/>
      <c r="CN113" s="47"/>
      <c r="CO113" s="47"/>
      <c r="CP113" s="47"/>
      <c r="CQ113" s="47"/>
      <c r="CS113" s="47"/>
      <c r="CT113" s="47"/>
      <c r="CU113" s="47"/>
      <c r="CV113" s="47"/>
      <c r="CW113" s="47"/>
      <c r="CX113" s="47"/>
      <c r="CY113" s="47"/>
      <c r="CZ113" s="47"/>
      <c r="DA113" s="47"/>
      <c r="DB113" s="47"/>
      <c r="DC113" s="47"/>
      <c r="DD113" s="47"/>
      <c r="DE113" s="47"/>
      <c r="DF113" s="47"/>
      <c r="DG113" s="47"/>
      <c r="DH113" s="47"/>
      <c r="DI113" s="47"/>
      <c r="DJ113" s="47"/>
      <c r="DK113" s="47"/>
      <c r="DM113" s="47"/>
      <c r="DN113" s="47"/>
      <c r="DO113" s="47"/>
      <c r="DP113" s="47"/>
      <c r="DQ113" s="47"/>
      <c r="DR113" s="47"/>
      <c r="DS113" s="47"/>
      <c r="DT113" s="47"/>
      <c r="DU113" s="47"/>
      <c r="DV113" s="49"/>
      <c r="DW113" s="47"/>
      <c r="DX113" s="47"/>
      <c r="DY113" s="47"/>
      <c r="DZ113" s="47"/>
      <c r="EA113" s="47"/>
      <c r="EB113" s="47"/>
      <c r="EC113" s="47"/>
      <c r="ED113" s="47"/>
      <c r="EE113" s="47"/>
      <c r="EF113" s="47"/>
      <c r="EG113" s="47"/>
      <c r="EH113" s="47"/>
      <c r="EI113" s="47"/>
      <c r="EJ113" s="47"/>
      <c r="EK113" s="47"/>
      <c r="EL113" s="47"/>
      <c r="EM113" s="47"/>
      <c r="EN113" s="47"/>
      <c r="EO113" s="47"/>
      <c r="EP113" s="47"/>
      <c r="EQ113" s="47"/>
      <c r="ER113" s="47"/>
      <c r="ES113" s="47"/>
      <c r="ET113" s="47"/>
      <c r="EU113" s="47"/>
      <c r="EV113" s="47"/>
      <c r="EW113" s="47"/>
      <c r="EX113" s="47"/>
      <c r="EY113" s="47"/>
      <c r="EZ113" s="47"/>
      <c r="FA113" s="47"/>
      <c r="FB113" s="47"/>
      <c r="FC113" s="47"/>
      <c r="FD113" s="47"/>
      <c r="FE113" s="47"/>
      <c r="FF113" s="47"/>
      <c r="FG113" s="47"/>
      <c r="FH113" s="47"/>
      <c r="FI113" s="47"/>
      <c r="FJ113" s="49"/>
      <c r="FK113" s="47"/>
      <c r="FL113" s="47"/>
      <c r="FM113" s="47"/>
      <c r="FN113" s="47"/>
      <c r="FO113" s="47"/>
      <c r="FP113" s="47"/>
      <c r="FQ113" s="47"/>
      <c r="FR113" s="47"/>
      <c r="FS113" s="47"/>
      <c r="FT113" s="47"/>
      <c r="FU113" s="47"/>
      <c r="FV113" s="47"/>
      <c r="FW113" s="47"/>
      <c r="FX113" s="47"/>
      <c r="FY113" s="47"/>
      <c r="FZ113" s="47"/>
      <c r="GA113" s="47"/>
      <c r="GB113" s="47"/>
      <c r="GC113" s="47"/>
      <c r="GD113" s="47"/>
      <c r="GE113" s="47"/>
      <c r="GF113" s="47"/>
      <c r="GG113" s="47"/>
      <c r="GH113" s="47"/>
      <c r="GI113" s="47"/>
      <c r="GJ113" s="47"/>
      <c r="GK113" s="47"/>
      <c r="GL113" s="47"/>
      <c r="GM113" s="47"/>
      <c r="GN113" s="47"/>
      <c r="GO113" s="47"/>
      <c r="GP113" s="47"/>
      <c r="GQ113" s="47"/>
      <c r="GR113" s="47"/>
      <c r="GS113" s="47"/>
      <c r="GT113" s="47"/>
      <c r="GU113" s="47"/>
      <c r="GV113" s="47"/>
      <c r="GW113" s="47"/>
      <c r="GX113" s="47"/>
      <c r="GY113" s="47"/>
      <c r="GZ113" s="47"/>
      <c r="HA113" s="47"/>
      <c r="HB113" s="47"/>
      <c r="HC113" s="47"/>
      <c r="HD113" s="47"/>
      <c r="HE113" s="47"/>
      <c r="HF113" s="47"/>
      <c r="HI113" s="47"/>
      <c r="HJ113" s="47"/>
      <c r="HK113" s="47"/>
      <c r="HL113" s="47"/>
      <c r="HM113" s="47"/>
      <c r="HN113" s="47"/>
      <c r="HO113" s="47"/>
      <c r="HP113" s="47"/>
      <c r="HS113" s="47"/>
      <c r="HT113" s="47"/>
      <c r="HU113" s="47"/>
      <c r="HV113" s="47"/>
      <c r="HW113" s="47"/>
      <c r="HX113" s="47"/>
      <c r="HY113" s="47"/>
      <c r="HZ113" s="47"/>
      <c r="IC113" s="47"/>
      <c r="ID113" s="47"/>
      <c r="IE113" s="47"/>
      <c r="IF113" s="47"/>
      <c r="IG113" s="47"/>
      <c r="IH113" s="47"/>
      <c r="II113" s="47"/>
      <c r="IJ113" s="47"/>
      <c r="IM113" s="47"/>
      <c r="IN113" s="47"/>
      <c r="IO113" s="47"/>
      <c r="IP113" s="47"/>
      <c r="IQ113" s="47"/>
      <c r="IR113" s="47"/>
      <c r="IS113" s="47"/>
      <c r="IT113" s="47"/>
      <c r="IW113" s="47"/>
      <c r="IX113" s="47"/>
      <c r="IY113" s="47"/>
      <c r="IZ113" s="47"/>
      <c r="JA113" s="47"/>
      <c r="JB113" s="47"/>
      <c r="JC113" s="47"/>
      <c r="JD113" s="47"/>
      <c r="JG113" s="47"/>
      <c r="JH113" s="47"/>
      <c r="JI113" s="47"/>
      <c r="JJ113" s="47"/>
      <c r="JK113" s="47"/>
      <c r="JL113" s="47"/>
      <c r="JM113" s="47"/>
      <c r="JN113" s="47"/>
      <c r="JQ113" s="47"/>
      <c r="JR113" s="47"/>
      <c r="JS113" s="47"/>
      <c r="JT113" s="47"/>
      <c r="JU113" s="47"/>
      <c r="JV113" s="47"/>
      <c r="JW113" s="47"/>
      <c r="JX113" s="47"/>
      <c r="KA113" s="47"/>
      <c r="KB113" s="47"/>
      <c r="KC113" s="47"/>
      <c r="KD113" s="47"/>
      <c r="KE113" s="47"/>
      <c r="KF113" s="47"/>
      <c r="KG113" s="47"/>
      <c r="KH113" s="47"/>
      <c r="KK113" s="47"/>
      <c r="KL113" s="47"/>
      <c r="KM113" s="47"/>
      <c r="KN113" s="47"/>
      <c r="KO113" s="47"/>
      <c r="KP113" s="47"/>
      <c r="KQ113" s="47"/>
      <c r="KR113" s="47"/>
      <c r="KU113" s="47"/>
      <c r="KV113" s="47"/>
      <c r="KW113" s="47"/>
      <c r="KX113" s="47"/>
      <c r="KY113" s="47"/>
      <c r="KZ113" s="47"/>
      <c r="LA113" s="47"/>
      <c r="LB113" s="47"/>
    </row>
    <row r="114" spans="29:314" x14ac:dyDescent="0.25">
      <c r="AC114" s="47"/>
      <c r="AD114" s="47"/>
      <c r="AF114" s="47"/>
      <c r="AG114" s="49"/>
      <c r="AH114" s="47"/>
      <c r="AI114" s="47"/>
      <c r="AJ114" s="47"/>
      <c r="AK114" s="47"/>
      <c r="AL114" s="47"/>
      <c r="AM114" s="47"/>
      <c r="AN114" s="47"/>
      <c r="AO114" s="47"/>
      <c r="AP114" s="47"/>
      <c r="AQ114" s="47"/>
      <c r="AR114" s="47"/>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49"/>
      <c r="BO114" s="47"/>
      <c r="BP114" s="47"/>
      <c r="BQ114" s="47"/>
      <c r="BR114" s="47"/>
      <c r="BS114" s="47"/>
      <c r="BT114" s="47"/>
      <c r="BU114" s="47"/>
      <c r="BV114" s="47"/>
      <c r="BW114" s="47"/>
      <c r="BX114" s="47"/>
      <c r="BY114" s="47"/>
      <c r="BZ114" s="47"/>
      <c r="CA114" s="47"/>
      <c r="CB114" s="47"/>
      <c r="CC114" s="47"/>
      <c r="CD114" s="47"/>
      <c r="CE114" s="47"/>
      <c r="CF114" s="47"/>
      <c r="CG114" s="49"/>
      <c r="CH114" s="47"/>
      <c r="CI114" s="47"/>
      <c r="CJ114" s="47"/>
      <c r="CK114" s="47"/>
      <c r="CL114" s="47"/>
      <c r="CM114" s="47"/>
      <c r="CN114" s="47"/>
      <c r="CO114" s="47"/>
      <c r="CP114" s="47"/>
      <c r="CQ114" s="47"/>
      <c r="CS114" s="47"/>
      <c r="CT114" s="47"/>
      <c r="CU114" s="47"/>
      <c r="CV114" s="47"/>
      <c r="CW114" s="47"/>
      <c r="CX114" s="47"/>
      <c r="CY114" s="47"/>
      <c r="CZ114" s="47"/>
      <c r="DA114" s="47"/>
      <c r="DB114" s="47"/>
      <c r="DC114" s="47"/>
      <c r="DD114" s="47"/>
      <c r="DE114" s="47"/>
      <c r="DF114" s="47"/>
      <c r="DG114" s="47"/>
      <c r="DH114" s="47"/>
      <c r="DI114" s="47"/>
      <c r="DJ114" s="47"/>
      <c r="DK114" s="47"/>
      <c r="DM114" s="47"/>
      <c r="DN114" s="47"/>
      <c r="DO114" s="47"/>
      <c r="DP114" s="47"/>
      <c r="DQ114" s="47"/>
      <c r="DR114" s="47"/>
      <c r="DS114" s="47"/>
      <c r="DT114" s="47"/>
      <c r="DU114" s="47"/>
      <c r="DV114" s="49"/>
      <c r="DW114" s="47"/>
      <c r="DX114" s="47"/>
      <c r="DY114" s="47"/>
      <c r="DZ114" s="47"/>
      <c r="EA114" s="47"/>
      <c r="EB114" s="47"/>
      <c r="EC114" s="47"/>
      <c r="ED114" s="47"/>
      <c r="EE114" s="47"/>
      <c r="EF114" s="47"/>
      <c r="EG114" s="47"/>
      <c r="EH114" s="47"/>
      <c r="EI114" s="47"/>
      <c r="EJ114" s="47"/>
      <c r="EK114" s="47"/>
      <c r="EL114" s="47"/>
      <c r="EM114" s="47"/>
      <c r="EN114" s="47"/>
      <c r="EO114" s="47"/>
      <c r="EP114" s="47"/>
      <c r="EQ114" s="47"/>
      <c r="ER114" s="47"/>
      <c r="ES114" s="47"/>
      <c r="ET114" s="47"/>
      <c r="EU114" s="47"/>
      <c r="EV114" s="47"/>
      <c r="EW114" s="47"/>
      <c r="EX114" s="47"/>
      <c r="EY114" s="47"/>
      <c r="EZ114" s="47"/>
      <c r="FA114" s="47"/>
      <c r="FB114" s="47"/>
      <c r="FC114" s="47"/>
      <c r="FD114" s="47"/>
      <c r="FE114" s="47"/>
      <c r="FF114" s="47"/>
      <c r="FG114" s="47"/>
      <c r="FH114" s="47"/>
      <c r="FI114" s="47"/>
      <c r="FJ114" s="49"/>
      <c r="FK114" s="47"/>
      <c r="FL114" s="47"/>
      <c r="FM114" s="47"/>
      <c r="FN114" s="47"/>
      <c r="FO114" s="47"/>
      <c r="FP114" s="47"/>
      <c r="FQ114" s="47"/>
      <c r="FR114" s="47"/>
      <c r="FS114" s="47"/>
      <c r="FT114" s="47"/>
      <c r="FU114" s="47"/>
      <c r="FV114" s="47"/>
      <c r="FW114" s="47"/>
      <c r="FX114" s="47"/>
      <c r="FY114" s="47"/>
      <c r="FZ114" s="47"/>
      <c r="GA114" s="47"/>
      <c r="GB114" s="47"/>
      <c r="GC114" s="47"/>
      <c r="GD114" s="47"/>
      <c r="GE114" s="47"/>
      <c r="GF114" s="47"/>
      <c r="GG114" s="47"/>
      <c r="GH114" s="47"/>
      <c r="GI114" s="47"/>
      <c r="GJ114" s="47"/>
      <c r="GK114" s="47"/>
      <c r="GL114" s="47"/>
      <c r="GM114" s="47"/>
      <c r="GN114" s="47"/>
      <c r="GO114" s="47"/>
      <c r="GP114" s="47"/>
      <c r="GQ114" s="47"/>
      <c r="GR114" s="47"/>
      <c r="GS114" s="47"/>
      <c r="GT114" s="47"/>
      <c r="GU114" s="47"/>
      <c r="GV114" s="47"/>
      <c r="GW114" s="47"/>
      <c r="GX114" s="47"/>
      <c r="GY114" s="47"/>
      <c r="GZ114" s="47"/>
      <c r="HA114" s="47"/>
      <c r="HB114" s="47"/>
      <c r="HC114" s="47"/>
      <c r="HD114" s="47"/>
      <c r="HE114" s="47"/>
      <c r="HF114" s="47"/>
      <c r="HI114" s="47"/>
      <c r="HJ114" s="47"/>
      <c r="HK114" s="47"/>
      <c r="HL114" s="47"/>
      <c r="HM114" s="47"/>
      <c r="HN114" s="47"/>
      <c r="HO114" s="47"/>
      <c r="HP114" s="47"/>
      <c r="HS114" s="47"/>
      <c r="HT114" s="47"/>
      <c r="HU114" s="47"/>
      <c r="HV114" s="47"/>
      <c r="HW114" s="47"/>
      <c r="HX114" s="47"/>
      <c r="HY114" s="47"/>
      <c r="HZ114" s="47"/>
      <c r="IC114" s="47"/>
      <c r="ID114" s="47"/>
      <c r="IE114" s="47"/>
      <c r="IF114" s="47"/>
      <c r="IG114" s="47"/>
      <c r="IH114" s="47"/>
      <c r="II114" s="47"/>
      <c r="IJ114" s="47"/>
      <c r="IM114" s="47"/>
      <c r="IN114" s="47"/>
      <c r="IO114" s="47"/>
      <c r="IP114" s="47"/>
      <c r="IQ114" s="47"/>
      <c r="IR114" s="47"/>
      <c r="IS114" s="47"/>
      <c r="IT114" s="47"/>
      <c r="IW114" s="47"/>
      <c r="IX114" s="47"/>
      <c r="IY114" s="47"/>
      <c r="IZ114" s="47"/>
      <c r="JA114" s="47"/>
      <c r="JB114" s="47"/>
      <c r="JC114" s="47"/>
      <c r="JD114" s="47"/>
      <c r="JG114" s="47"/>
      <c r="JH114" s="47"/>
      <c r="JI114" s="47"/>
      <c r="JJ114" s="47"/>
      <c r="JK114" s="47"/>
      <c r="JL114" s="47"/>
      <c r="JM114" s="47"/>
      <c r="JN114" s="47"/>
      <c r="JQ114" s="47"/>
      <c r="JR114" s="47"/>
      <c r="JS114" s="47"/>
      <c r="JT114" s="47"/>
      <c r="JU114" s="47"/>
      <c r="JV114" s="47"/>
      <c r="JW114" s="47"/>
      <c r="JX114" s="47"/>
      <c r="KA114" s="47"/>
      <c r="KB114" s="47"/>
      <c r="KC114" s="47"/>
      <c r="KD114" s="47"/>
      <c r="KE114" s="47"/>
      <c r="KF114" s="47"/>
      <c r="KG114" s="47"/>
      <c r="KH114" s="47"/>
      <c r="KK114" s="47"/>
      <c r="KL114" s="47"/>
      <c r="KM114" s="47"/>
      <c r="KN114" s="47"/>
      <c r="KO114" s="47"/>
      <c r="KP114" s="47"/>
      <c r="KQ114" s="47"/>
      <c r="KR114" s="47"/>
      <c r="KU114" s="47"/>
      <c r="KV114" s="47"/>
      <c r="KW114" s="47"/>
      <c r="KX114" s="47"/>
      <c r="KY114" s="47"/>
      <c r="KZ114" s="47"/>
      <c r="LA114" s="47"/>
      <c r="LB114" s="47"/>
    </row>
    <row r="115" spans="29:314" x14ac:dyDescent="0.25">
      <c r="AC115" s="47"/>
      <c r="AD115" s="47"/>
      <c r="AF115" s="47"/>
      <c r="AG115" s="49"/>
      <c r="AH115" s="47"/>
      <c r="AI115" s="47"/>
      <c r="AJ115" s="47"/>
      <c r="AK115" s="47"/>
      <c r="AL115" s="47"/>
      <c r="AM115" s="47"/>
      <c r="AN115" s="47"/>
      <c r="AO115" s="47"/>
      <c r="AP115" s="47"/>
      <c r="AQ115" s="47"/>
      <c r="AR115" s="47"/>
      <c r="AS115" s="47"/>
      <c r="AT115" s="47"/>
      <c r="AU115" s="47"/>
      <c r="AV115" s="47"/>
      <c r="AW115" s="47"/>
      <c r="AX115" s="47"/>
      <c r="AY115" s="47"/>
      <c r="AZ115" s="47"/>
      <c r="BA115" s="47"/>
      <c r="BB115" s="47"/>
      <c r="BC115" s="47"/>
      <c r="BD115" s="47"/>
      <c r="BE115" s="47"/>
      <c r="BF115" s="47"/>
      <c r="BG115" s="47"/>
      <c r="BH115" s="47"/>
      <c r="BI115" s="47"/>
      <c r="BJ115" s="47"/>
      <c r="BK115" s="47"/>
      <c r="BL115" s="47"/>
      <c r="BM115" s="47"/>
      <c r="BN115" s="49"/>
      <c r="BO115" s="47"/>
      <c r="BP115" s="47"/>
      <c r="BQ115" s="47"/>
      <c r="BR115" s="47"/>
      <c r="BS115" s="47"/>
      <c r="BT115" s="47"/>
      <c r="BU115" s="47"/>
      <c r="BV115" s="47"/>
      <c r="BW115" s="47"/>
      <c r="BX115" s="47"/>
      <c r="BY115" s="47"/>
      <c r="BZ115" s="47"/>
      <c r="CA115" s="47"/>
      <c r="CB115" s="47"/>
      <c r="CC115" s="47"/>
      <c r="CD115" s="47"/>
      <c r="CE115" s="47"/>
      <c r="CF115" s="47"/>
      <c r="CG115" s="49"/>
      <c r="CH115" s="47"/>
      <c r="CI115" s="47"/>
      <c r="CJ115" s="47"/>
      <c r="CK115" s="47"/>
      <c r="CL115" s="47"/>
      <c r="CM115" s="47"/>
      <c r="CN115" s="47"/>
      <c r="CO115" s="47"/>
      <c r="CP115" s="47"/>
      <c r="CQ115" s="47"/>
      <c r="CS115" s="47"/>
      <c r="CT115" s="47"/>
      <c r="CU115" s="47"/>
      <c r="CV115" s="47"/>
      <c r="CW115" s="47"/>
      <c r="CX115" s="47"/>
      <c r="CY115" s="47"/>
      <c r="CZ115" s="47"/>
      <c r="DA115" s="47"/>
      <c r="DB115" s="47"/>
      <c r="DC115" s="47"/>
      <c r="DD115" s="47"/>
      <c r="DE115" s="47"/>
      <c r="DF115" s="47"/>
      <c r="DG115" s="47"/>
      <c r="DH115" s="47"/>
      <c r="DI115" s="47"/>
      <c r="DJ115" s="47"/>
      <c r="DK115" s="47"/>
      <c r="DM115" s="47"/>
      <c r="DN115" s="47"/>
      <c r="DO115" s="47"/>
      <c r="DP115" s="47"/>
      <c r="DQ115" s="47"/>
      <c r="DR115" s="47"/>
      <c r="DS115" s="47"/>
      <c r="DT115" s="47"/>
      <c r="DU115" s="47"/>
      <c r="DV115" s="49"/>
      <c r="DW115" s="47"/>
      <c r="DX115" s="47"/>
      <c r="DY115" s="47"/>
      <c r="DZ115" s="47"/>
      <c r="EA115" s="47"/>
      <c r="EB115" s="47"/>
      <c r="EC115" s="47"/>
      <c r="ED115" s="47"/>
      <c r="EE115" s="47"/>
      <c r="EF115" s="47"/>
      <c r="EG115" s="47"/>
      <c r="EH115" s="47"/>
      <c r="EI115" s="47"/>
      <c r="EJ115" s="47"/>
      <c r="EK115" s="47"/>
      <c r="EL115" s="47"/>
      <c r="EM115" s="47"/>
      <c r="EN115" s="47"/>
      <c r="EO115" s="47"/>
      <c r="EP115" s="47"/>
      <c r="EQ115" s="47"/>
      <c r="ER115" s="47"/>
      <c r="ES115" s="47"/>
      <c r="ET115" s="47"/>
      <c r="EU115" s="47"/>
      <c r="EV115" s="47"/>
      <c r="EW115" s="47"/>
      <c r="EX115" s="47"/>
      <c r="EY115" s="47"/>
      <c r="EZ115" s="47"/>
      <c r="FA115" s="47"/>
      <c r="FB115" s="47"/>
      <c r="FC115" s="47"/>
      <c r="FD115" s="47"/>
      <c r="FE115" s="47"/>
      <c r="FF115" s="47"/>
      <c r="FG115" s="47"/>
      <c r="FH115" s="47"/>
      <c r="FI115" s="47"/>
      <c r="FJ115" s="49"/>
      <c r="FK115" s="47"/>
      <c r="FL115" s="47"/>
      <c r="FM115" s="47"/>
      <c r="FN115" s="47"/>
      <c r="FO115" s="47"/>
      <c r="FP115" s="47"/>
      <c r="FQ115" s="47"/>
      <c r="FR115" s="47"/>
      <c r="FS115" s="47"/>
      <c r="FT115" s="47"/>
      <c r="FU115" s="47"/>
      <c r="FV115" s="47"/>
      <c r="FW115" s="47"/>
      <c r="FX115" s="47"/>
      <c r="FY115" s="47"/>
      <c r="FZ115" s="47"/>
      <c r="GA115" s="47"/>
      <c r="GB115" s="47"/>
      <c r="GC115" s="47"/>
      <c r="GD115" s="47"/>
      <c r="GE115" s="47"/>
      <c r="GF115" s="47"/>
      <c r="GG115" s="47"/>
      <c r="GH115" s="47"/>
      <c r="GI115" s="47"/>
      <c r="GJ115" s="47"/>
      <c r="GK115" s="47"/>
      <c r="GL115" s="47"/>
      <c r="GM115" s="47"/>
      <c r="GN115" s="47"/>
      <c r="GO115" s="47"/>
      <c r="GP115" s="47"/>
      <c r="GQ115" s="47"/>
      <c r="GR115" s="47"/>
      <c r="GS115" s="47"/>
      <c r="GT115" s="47"/>
      <c r="GU115" s="47"/>
      <c r="GV115" s="47"/>
      <c r="GW115" s="47"/>
      <c r="GX115" s="47"/>
      <c r="GY115" s="47"/>
      <c r="GZ115" s="47"/>
      <c r="HA115" s="47"/>
      <c r="HB115" s="47"/>
      <c r="HC115" s="47"/>
      <c r="HD115" s="47"/>
      <c r="HE115" s="47"/>
      <c r="HF115" s="47"/>
      <c r="HI115" s="47"/>
      <c r="HJ115" s="47"/>
      <c r="HK115" s="47"/>
      <c r="HL115" s="47"/>
      <c r="HM115" s="47"/>
      <c r="HN115" s="47"/>
      <c r="HO115" s="47"/>
      <c r="HP115" s="47"/>
      <c r="HS115" s="47"/>
      <c r="HT115" s="47"/>
      <c r="HU115" s="47"/>
      <c r="HV115" s="47"/>
      <c r="HW115" s="47"/>
      <c r="HX115" s="47"/>
      <c r="HY115" s="47"/>
      <c r="HZ115" s="47"/>
      <c r="IC115" s="47"/>
      <c r="ID115" s="47"/>
      <c r="IE115" s="47"/>
      <c r="IF115" s="47"/>
      <c r="IG115" s="47"/>
      <c r="IH115" s="47"/>
      <c r="II115" s="47"/>
      <c r="IJ115" s="47"/>
      <c r="IM115" s="47"/>
      <c r="IN115" s="47"/>
      <c r="IO115" s="47"/>
      <c r="IP115" s="47"/>
      <c r="IQ115" s="47"/>
      <c r="IR115" s="47"/>
      <c r="IS115" s="47"/>
      <c r="IT115" s="47"/>
      <c r="IW115" s="47"/>
      <c r="IX115" s="47"/>
      <c r="IY115" s="47"/>
      <c r="IZ115" s="47"/>
      <c r="JA115" s="47"/>
      <c r="JB115" s="47"/>
      <c r="JC115" s="47"/>
      <c r="JD115" s="47"/>
      <c r="JG115" s="47"/>
      <c r="JH115" s="47"/>
      <c r="JI115" s="47"/>
      <c r="JJ115" s="47"/>
      <c r="JK115" s="47"/>
      <c r="JL115" s="47"/>
      <c r="JM115" s="47"/>
      <c r="JN115" s="47"/>
      <c r="JQ115" s="47"/>
      <c r="JR115" s="47"/>
      <c r="JS115" s="47"/>
      <c r="JT115" s="47"/>
      <c r="JU115" s="47"/>
      <c r="JV115" s="47"/>
      <c r="JW115" s="47"/>
      <c r="JX115" s="47"/>
      <c r="KA115" s="47"/>
      <c r="KB115" s="47"/>
      <c r="KC115" s="47"/>
      <c r="KD115" s="47"/>
      <c r="KE115" s="47"/>
      <c r="KF115" s="47"/>
      <c r="KG115" s="47"/>
      <c r="KH115" s="47"/>
      <c r="KK115" s="47"/>
      <c r="KL115" s="47"/>
      <c r="KM115" s="47"/>
      <c r="KN115" s="47"/>
      <c r="KO115" s="47"/>
      <c r="KP115" s="47"/>
      <c r="KQ115" s="47"/>
      <c r="KR115" s="47"/>
      <c r="KU115" s="47"/>
      <c r="KV115" s="47"/>
      <c r="KW115" s="47"/>
      <c r="KX115" s="47"/>
      <c r="KY115" s="47"/>
      <c r="KZ115" s="47"/>
      <c r="LA115" s="47"/>
      <c r="LB115" s="47"/>
    </row>
    <row r="116" spans="29:314" x14ac:dyDescent="0.25">
      <c r="AC116" s="47"/>
      <c r="AD116" s="47"/>
      <c r="AF116" s="47"/>
      <c r="AG116" s="49"/>
      <c r="AH116" s="47"/>
      <c r="AI116" s="47"/>
      <c r="AJ116" s="47"/>
      <c r="AK116" s="47"/>
      <c r="AL116" s="47"/>
      <c r="AM116" s="47"/>
      <c r="AN116" s="47"/>
      <c r="AO116" s="47"/>
      <c r="AP116" s="47"/>
      <c r="AQ116" s="47"/>
      <c r="AR116" s="47"/>
      <c r="AS116" s="47"/>
      <c r="AT116" s="47"/>
      <c r="AU116" s="47"/>
      <c r="AV116" s="47"/>
      <c r="AW116" s="47"/>
      <c r="AX116" s="47"/>
      <c r="AY116" s="47"/>
      <c r="AZ116" s="47"/>
      <c r="BA116" s="47"/>
      <c r="BB116" s="47"/>
      <c r="BC116" s="47"/>
      <c r="BD116" s="47"/>
      <c r="BE116" s="47"/>
      <c r="BF116" s="47"/>
      <c r="BG116" s="47"/>
      <c r="BH116" s="47"/>
      <c r="BI116" s="47"/>
      <c r="BJ116" s="47"/>
      <c r="BK116" s="47"/>
      <c r="BL116" s="47"/>
      <c r="BM116" s="47"/>
      <c r="BN116" s="49"/>
      <c r="BO116" s="47"/>
      <c r="BP116" s="47"/>
      <c r="BQ116" s="47"/>
      <c r="BR116" s="47"/>
      <c r="BS116" s="47"/>
      <c r="BT116" s="47"/>
      <c r="BU116" s="47"/>
      <c r="BV116" s="47"/>
      <c r="BW116" s="47"/>
      <c r="BX116" s="47"/>
      <c r="BY116" s="47"/>
      <c r="BZ116" s="47"/>
      <c r="CA116" s="47"/>
      <c r="CB116" s="47"/>
      <c r="CC116" s="47"/>
      <c r="CD116" s="47"/>
      <c r="CE116" s="47"/>
      <c r="CF116" s="47"/>
      <c r="CG116" s="49"/>
      <c r="CH116" s="47"/>
      <c r="CI116" s="47"/>
      <c r="CJ116" s="47"/>
      <c r="CK116" s="47"/>
      <c r="CL116" s="47"/>
      <c r="CM116" s="47"/>
      <c r="CN116" s="47"/>
      <c r="CO116" s="47"/>
      <c r="CP116" s="47"/>
      <c r="CQ116" s="47"/>
      <c r="CS116" s="47"/>
      <c r="CT116" s="47"/>
      <c r="CU116" s="47"/>
      <c r="CV116" s="47"/>
      <c r="CW116" s="47"/>
      <c r="CX116" s="47"/>
      <c r="CY116" s="47"/>
      <c r="CZ116" s="47"/>
      <c r="DA116" s="47"/>
      <c r="DB116" s="47"/>
      <c r="DC116" s="47"/>
      <c r="DD116" s="47"/>
      <c r="DE116" s="47"/>
      <c r="DF116" s="47"/>
      <c r="DG116" s="47"/>
      <c r="DH116" s="47"/>
      <c r="DI116" s="47"/>
      <c r="DJ116" s="47"/>
      <c r="DK116" s="47"/>
      <c r="DM116" s="47"/>
      <c r="DN116" s="47"/>
      <c r="DO116" s="47"/>
      <c r="DP116" s="47"/>
      <c r="DQ116" s="47"/>
      <c r="DR116" s="47"/>
      <c r="DS116" s="47"/>
      <c r="DT116" s="47"/>
      <c r="DU116" s="47"/>
      <c r="DV116" s="49"/>
      <c r="DW116" s="47"/>
      <c r="DX116" s="47"/>
      <c r="DY116" s="47"/>
      <c r="DZ116" s="47"/>
      <c r="EA116" s="47"/>
      <c r="EB116" s="47"/>
      <c r="EC116" s="47"/>
      <c r="ED116" s="47"/>
      <c r="EE116" s="47"/>
      <c r="EF116" s="47"/>
      <c r="EG116" s="47"/>
      <c r="EH116" s="47"/>
      <c r="EI116" s="47"/>
      <c r="EJ116" s="47"/>
      <c r="EK116" s="47"/>
      <c r="EL116" s="47"/>
      <c r="EM116" s="47"/>
      <c r="EN116" s="47"/>
      <c r="EO116" s="47"/>
      <c r="EP116" s="47"/>
      <c r="EQ116" s="47"/>
      <c r="ER116" s="47"/>
      <c r="ES116" s="47"/>
      <c r="ET116" s="47"/>
      <c r="EU116" s="47"/>
      <c r="EV116" s="47"/>
      <c r="EW116" s="47"/>
      <c r="EX116" s="47"/>
      <c r="EY116" s="47"/>
      <c r="EZ116" s="47"/>
      <c r="FA116" s="47"/>
      <c r="FB116" s="47"/>
      <c r="FC116" s="47"/>
      <c r="FD116" s="47"/>
      <c r="FE116" s="47"/>
      <c r="FF116" s="47"/>
      <c r="FG116" s="47"/>
      <c r="FH116" s="47"/>
      <c r="FI116" s="47"/>
      <c r="FJ116" s="49"/>
      <c r="FK116" s="47"/>
      <c r="FL116" s="47"/>
      <c r="FM116" s="47"/>
      <c r="FN116" s="47"/>
      <c r="FO116" s="47"/>
      <c r="FP116" s="47"/>
      <c r="FQ116" s="47"/>
      <c r="FR116" s="47"/>
      <c r="FS116" s="47"/>
      <c r="FT116" s="47"/>
      <c r="FU116" s="47"/>
      <c r="FV116" s="47"/>
      <c r="FW116" s="47"/>
      <c r="FX116" s="47"/>
      <c r="FY116" s="47"/>
      <c r="FZ116" s="47"/>
      <c r="GA116" s="47"/>
      <c r="GB116" s="47"/>
      <c r="GC116" s="47"/>
      <c r="GD116" s="47"/>
      <c r="GE116" s="47"/>
      <c r="GF116" s="47"/>
      <c r="GG116" s="47"/>
      <c r="GH116" s="47"/>
      <c r="GI116" s="47"/>
      <c r="GJ116" s="47"/>
      <c r="GK116" s="47"/>
      <c r="GL116" s="47"/>
      <c r="GM116" s="47"/>
      <c r="GN116" s="47"/>
      <c r="GO116" s="47"/>
      <c r="GP116" s="47"/>
      <c r="GQ116" s="47"/>
      <c r="GR116" s="47"/>
      <c r="GS116" s="47"/>
      <c r="GT116" s="47"/>
      <c r="GU116" s="47"/>
      <c r="GV116" s="47"/>
      <c r="GW116" s="47"/>
      <c r="GX116" s="47"/>
      <c r="GY116" s="47"/>
      <c r="GZ116" s="47"/>
      <c r="HA116" s="47"/>
      <c r="HB116" s="47"/>
      <c r="HC116" s="47"/>
      <c r="HD116" s="47"/>
      <c r="HE116" s="47"/>
      <c r="HF116" s="47"/>
      <c r="HI116" s="47"/>
      <c r="HJ116" s="47"/>
      <c r="HK116" s="47"/>
      <c r="HL116" s="47"/>
      <c r="HM116" s="47"/>
      <c r="HN116" s="47"/>
      <c r="HO116" s="47"/>
      <c r="HP116" s="47"/>
      <c r="HS116" s="47"/>
      <c r="HT116" s="47"/>
      <c r="HU116" s="47"/>
      <c r="HV116" s="47"/>
      <c r="HW116" s="47"/>
      <c r="HX116" s="47"/>
      <c r="HY116" s="47"/>
      <c r="HZ116" s="47"/>
      <c r="IC116" s="47"/>
      <c r="ID116" s="47"/>
      <c r="IE116" s="47"/>
      <c r="IF116" s="47"/>
      <c r="IG116" s="47"/>
      <c r="IH116" s="47"/>
      <c r="II116" s="47"/>
      <c r="IJ116" s="47"/>
      <c r="IM116" s="47"/>
      <c r="IN116" s="47"/>
      <c r="IO116" s="47"/>
      <c r="IP116" s="47"/>
      <c r="IQ116" s="47"/>
      <c r="IR116" s="47"/>
      <c r="IS116" s="47"/>
      <c r="IT116" s="47"/>
      <c r="IW116" s="47"/>
      <c r="IX116" s="47"/>
      <c r="IY116" s="47"/>
      <c r="IZ116" s="47"/>
      <c r="JA116" s="47"/>
      <c r="JB116" s="47"/>
      <c r="JC116" s="47"/>
      <c r="JD116" s="47"/>
      <c r="JG116" s="47"/>
      <c r="JH116" s="47"/>
      <c r="JI116" s="47"/>
      <c r="JJ116" s="47"/>
      <c r="JK116" s="47"/>
      <c r="JL116" s="47"/>
      <c r="JM116" s="47"/>
      <c r="JN116" s="47"/>
      <c r="JQ116" s="47"/>
      <c r="JR116" s="47"/>
      <c r="JS116" s="47"/>
      <c r="JT116" s="47"/>
      <c r="JU116" s="47"/>
      <c r="JV116" s="47"/>
      <c r="JW116" s="47"/>
      <c r="JX116" s="47"/>
      <c r="KA116" s="47"/>
      <c r="KB116" s="47"/>
      <c r="KC116" s="47"/>
      <c r="KD116" s="47"/>
      <c r="KE116" s="47"/>
      <c r="KF116" s="47"/>
      <c r="KG116" s="47"/>
      <c r="KH116" s="47"/>
      <c r="KK116" s="47"/>
      <c r="KL116" s="47"/>
      <c r="KM116" s="47"/>
      <c r="KN116" s="47"/>
      <c r="KO116" s="47"/>
      <c r="KP116" s="47"/>
      <c r="KQ116" s="47"/>
      <c r="KR116" s="47"/>
      <c r="KU116" s="47"/>
      <c r="KV116" s="47"/>
      <c r="KW116" s="47"/>
      <c r="KX116" s="47"/>
      <c r="KY116" s="47"/>
      <c r="KZ116" s="47"/>
      <c r="LA116" s="47"/>
      <c r="LB116" s="47"/>
    </row>
    <row r="117" spans="29:314" x14ac:dyDescent="0.25">
      <c r="AC117" s="47"/>
      <c r="AD117" s="47"/>
      <c r="AF117" s="47"/>
      <c r="AG117" s="49"/>
      <c r="AH117" s="47"/>
      <c r="AI117" s="47"/>
      <c r="AJ117" s="47"/>
      <c r="AK117" s="47"/>
      <c r="AL117" s="47"/>
      <c r="AM117" s="47"/>
      <c r="AN117" s="47"/>
      <c r="AO117" s="47"/>
      <c r="AP117" s="47"/>
      <c r="AQ117" s="47"/>
      <c r="AR117" s="47"/>
      <c r="AS117" s="47"/>
      <c r="AT117" s="47"/>
      <c r="AU117" s="47"/>
      <c r="AV117" s="47"/>
      <c r="AW117" s="47"/>
      <c r="AX117" s="47"/>
      <c r="AY117" s="47"/>
      <c r="AZ117" s="47"/>
      <c r="BA117" s="47"/>
      <c r="BB117" s="47"/>
      <c r="BC117" s="47"/>
      <c r="BD117" s="47"/>
      <c r="BE117" s="47"/>
      <c r="BF117" s="47"/>
      <c r="BG117" s="47"/>
      <c r="BH117" s="47"/>
      <c r="BI117" s="47"/>
      <c r="BJ117" s="47"/>
      <c r="BK117" s="47"/>
      <c r="BL117" s="47"/>
      <c r="BM117" s="47"/>
      <c r="BN117" s="49"/>
      <c r="BO117" s="47"/>
      <c r="BP117" s="47"/>
      <c r="BQ117" s="47"/>
      <c r="BR117" s="47"/>
      <c r="BS117" s="47"/>
      <c r="BT117" s="47"/>
      <c r="BU117" s="47"/>
      <c r="BV117" s="47"/>
      <c r="BW117" s="47"/>
      <c r="BX117" s="47"/>
      <c r="BY117" s="47"/>
      <c r="BZ117" s="47"/>
      <c r="CA117" s="47"/>
      <c r="CB117" s="47"/>
      <c r="CC117" s="47"/>
      <c r="CD117" s="47"/>
      <c r="CE117" s="47"/>
      <c r="CF117" s="47"/>
      <c r="CG117" s="49"/>
      <c r="CH117" s="47"/>
      <c r="CI117" s="47"/>
      <c r="CJ117" s="47"/>
      <c r="CK117" s="47"/>
      <c r="CL117" s="47"/>
      <c r="CM117" s="47"/>
      <c r="CN117" s="47"/>
      <c r="CO117" s="47"/>
      <c r="CP117" s="47"/>
      <c r="CQ117" s="47"/>
      <c r="CS117" s="47"/>
      <c r="CT117" s="47"/>
      <c r="CU117" s="47"/>
      <c r="CV117" s="47"/>
      <c r="CW117" s="47"/>
      <c r="CX117" s="47"/>
      <c r="CY117" s="47"/>
      <c r="CZ117" s="47"/>
      <c r="DA117" s="47"/>
      <c r="DB117" s="47"/>
      <c r="DC117" s="47"/>
      <c r="DD117" s="47"/>
      <c r="DE117" s="47"/>
      <c r="DF117" s="47"/>
      <c r="DG117" s="47"/>
      <c r="DH117" s="47"/>
      <c r="DI117" s="47"/>
      <c r="DJ117" s="47"/>
      <c r="DK117" s="47"/>
      <c r="DM117" s="47"/>
      <c r="DN117" s="47"/>
      <c r="DO117" s="47"/>
      <c r="DP117" s="47"/>
      <c r="DQ117" s="47"/>
      <c r="DR117" s="47"/>
      <c r="DS117" s="47"/>
      <c r="DT117" s="47"/>
      <c r="DU117" s="47"/>
      <c r="DV117" s="49"/>
      <c r="DW117" s="47"/>
      <c r="DX117" s="47"/>
      <c r="DY117" s="47"/>
      <c r="DZ117" s="47"/>
      <c r="EA117" s="47"/>
      <c r="EB117" s="47"/>
      <c r="EC117" s="47"/>
      <c r="ED117" s="47"/>
      <c r="EE117" s="47"/>
      <c r="EF117" s="47"/>
      <c r="EG117" s="47"/>
      <c r="EH117" s="47"/>
      <c r="EI117" s="47"/>
      <c r="EJ117" s="47"/>
      <c r="EK117" s="47"/>
      <c r="EL117" s="47"/>
      <c r="EM117" s="47"/>
      <c r="EN117" s="47"/>
      <c r="EO117" s="47"/>
      <c r="EP117" s="47"/>
      <c r="EQ117" s="47"/>
      <c r="ER117" s="47"/>
      <c r="ES117" s="47"/>
      <c r="ET117" s="47"/>
      <c r="EU117" s="47"/>
      <c r="EV117" s="47"/>
      <c r="EW117" s="47"/>
      <c r="EX117" s="47"/>
      <c r="EY117" s="47"/>
      <c r="EZ117" s="47"/>
      <c r="FA117" s="47"/>
      <c r="FB117" s="47"/>
      <c r="FC117" s="47"/>
      <c r="FD117" s="47"/>
      <c r="FE117" s="47"/>
      <c r="FF117" s="47"/>
      <c r="FG117" s="47"/>
      <c r="FH117" s="47"/>
      <c r="FI117" s="47"/>
      <c r="FJ117" s="49"/>
      <c r="FK117" s="47"/>
      <c r="FL117" s="47"/>
      <c r="FM117" s="47"/>
      <c r="FN117" s="47"/>
      <c r="FO117" s="47"/>
      <c r="FP117" s="47"/>
      <c r="FQ117" s="47"/>
      <c r="FR117" s="47"/>
      <c r="FS117" s="47"/>
      <c r="FT117" s="47"/>
      <c r="FU117" s="47"/>
      <c r="FV117" s="47"/>
      <c r="FW117" s="47"/>
      <c r="FX117" s="47"/>
      <c r="FY117" s="47"/>
      <c r="FZ117" s="47"/>
      <c r="GA117" s="47"/>
      <c r="GB117" s="47"/>
      <c r="GC117" s="47"/>
      <c r="GD117" s="47"/>
      <c r="GE117" s="47"/>
      <c r="GF117" s="47"/>
      <c r="GG117" s="47"/>
      <c r="GH117" s="47"/>
      <c r="GI117" s="47"/>
      <c r="GJ117" s="47"/>
      <c r="GK117" s="47"/>
      <c r="GL117" s="47"/>
      <c r="GM117" s="47"/>
      <c r="GN117" s="47"/>
      <c r="GO117" s="47"/>
      <c r="GP117" s="47"/>
      <c r="GQ117" s="47"/>
      <c r="GR117" s="47"/>
      <c r="GS117" s="47"/>
      <c r="GT117" s="47"/>
      <c r="GU117" s="47"/>
      <c r="GV117" s="47"/>
      <c r="GW117" s="47"/>
      <c r="GX117" s="47"/>
      <c r="GY117" s="47"/>
      <c r="GZ117" s="47"/>
      <c r="HA117" s="47"/>
      <c r="HB117" s="47"/>
      <c r="HC117" s="47"/>
      <c r="HD117" s="47"/>
      <c r="HE117" s="47"/>
      <c r="HF117" s="47"/>
      <c r="HI117" s="47"/>
      <c r="HJ117" s="47"/>
      <c r="HK117" s="47"/>
      <c r="HL117" s="47"/>
      <c r="HM117" s="47"/>
      <c r="HN117" s="47"/>
      <c r="HO117" s="47"/>
      <c r="HP117" s="47"/>
      <c r="HS117" s="47"/>
      <c r="HT117" s="47"/>
      <c r="HU117" s="47"/>
      <c r="HV117" s="47"/>
      <c r="HW117" s="47"/>
      <c r="HX117" s="47"/>
      <c r="HY117" s="47"/>
      <c r="HZ117" s="47"/>
      <c r="IC117" s="47"/>
      <c r="ID117" s="47"/>
      <c r="IE117" s="47"/>
      <c r="IF117" s="47"/>
      <c r="IG117" s="47"/>
      <c r="IH117" s="47"/>
      <c r="II117" s="47"/>
      <c r="IJ117" s="47"/>
      <c r="IM117" s="47"/>
      <c r="IN117" s="47"/>
      <c r="IO117" s="47"/>
      <c r="IP117" s="47"/>
      <c r="IQ117" s="47"/>
      <c r="IR117" s="47"/>
      <c r="IS117" s="47"/>
      <c r="IT117" s="47"/>
      <c r="IW117" s="47"/>
      <c r="IX117" s="47"/>
      <c r="IY117" s="47"/>
      <c r="IZ117" s="47"/>
      <c r="JA117" s="47"/>
      <c r="JB117" s="47"/>
      <c r="JC117" s="47"/>
      <c r="JD117" s="47"/>
      <c r="JG117" s="47"/>
      <c r="JH117" s="47"/>
      <c r="JI117" s="47"/>
      <c r="JJ117" s="47"/>
      <c r="JK117" s="47"/>
      <c r="JL117" s="47"/>
      <c r="JM117" s="47"/>
      <c r="JN117" s="47"/>
      <c r="JQ117" s="47"/>
      <c r="JR117" s="47"/>
      <c r="JS117" s="47"/>
      <c r="JT117" s="47"/>
      <c r="JU117" s="47"/>
      <c r="JV117" s="47"/>
      <c r="JW117" s="47"/>
      <c r="JX117" s="47"/>
      <c r="KA117" s="47"/>
      <c r="KB117" s="47"/>
      <c r="KC117" s="47"/>
      <c r="KD117" s="47"/>
      <c r="KE117" s="47"/>
      <c r="KF117" s="47"/>
      <c r="KG117" s="47"/>
      <c r="KH117" s="47"/>
      <c r="KK117" s="47"/>
      <c r="KL117" s="47"/>
      <c r="KM117" s="47"/>
      <c r="KN117" s="47"/>
      <c r="KO117" s="47"/>
      <c r="KP117" s="47"/>
      <c r="KQ117" s="47"/>
      <c r="KR117" s="47"/>
      <c r="KU117" s="47"/>
      <c r="KV117" s="47"/>
      <c r="KW117" s="47"/>
      <c r="KX117" s="47"/>
      <c r="KY117" s="47"/>
      <c r="KZ117" s="47"/>
      <c r="LA117" s="47"/>
      <c r="LB117" s="47"/>
    </row>
    <row r="118" spans="29:314" x14ac:dyDescent="0.25">
      <c r="AC118" s="47"/>
      <c r="AD118" s="47"/>
      <c r="AF118" s="47"/>
      <c r="AG118" s="49"/>
      <c r="AH118" s="47"/>
      <c r="AI118" s="47"/>
      <c r="AJ118" s="47"/>
      <c r="AK118" s="47"/>
      <c r="AL118" s="47"/>
      <c r="AM118" s="47"/>
      <c r="AN118" s="47"/>
      <c r="AO118" s="47"/>
      <c r="AP118" s="47"/>
      <c r="AQ118" s="47"/>
      <c r="AR118" s="47"/>
      <c r="AS118" s="47"/>
      <c r="AT118" s="47"/>
      <c r="AU118" s="47"/>
      <c r="AV118" s="47"/>
      <c r="AW118" s="47"/>
      <c r="AX118" s="47"/>
      <c r="AY118" s="47"/>
      <c r="AZ118" s="47"/>
      <c r="BA118" s="47"/>
      <c r="BB118" s="47"/>
      <c r="BC118" s="47"/>
      <c r="BD118" s="47"/>
      <c r="BE118" s="47"/>
      <c r="BF118" s="47"/>
      <c r="BG118" s="47"/>
      <c r="BH118" s="47"/>
      <c r="BI118" s="47"/>
      <c r="BJ118" s="47"/>
      <c r="BK118" s="47"/>
      <c r="BL118" s="47"/>
      <c r="BM118" s="47"/>
      <c r="BN118" s="49"/>
      <c r="BO118" s="47"/>
      <c r="BP118" s="47"/>
      <c r="BQ118" s="47"/>
      <c r="BR118" s="47"/>
      <c r="BS118" s="47"/>
      <c r="BT118" s="47"/>
      <c r="BU118" s="47"/>
      <c r="BV118" s="47"/>
      <c r="BW118" s="47"/>
      <c r="BX118" s="47"/>
      <c r="BY118" s="47"/>
      <c r="BZ118" s="47"/>
      <c r="CA118" s="47"/>
      <c r="CB118" s="47"/>
      <c r="CC118" s="47"/>
      <c r="CD118" s="47"/>
      <c r="CE118" s="47"/>
      <c r="CF118" s="47"/>
      <c r="CG118" s="49"/>
      <c r="CH118" s="47"/>
      <c r="CI118" s="47"/>
      <c r="CJ118" s="47"/>
      <c r="CK118" s="47"/>
      <c r="CL118" s="47"/>
      <c r="CM118" s="47"/>
      <c r="CN118" s="47"/>
      <c r="CO118" s="47"/>
      <c r="CP118" s="47"/>
      <c r="CQ118" s="47"/>
      <c r="CS118" s="47"/>
      <c r="CT118" s="47"/>
      <c r="CU118" s="47"/>
      <c r="CV118" s="47"/>
      <c r="CW118" s="47"/>
      <c r="CX118" s="47"/>
      <c r="CY118" s="47"/>
      <c r="CZ118" s="47"/>
      <c r="DA118" s="47"/>
      <c r="DB118" s="47"/>
      <c r="DC118" s="47"/>
      <c r="DD118" s="47"/>
      <c r="DE118" s="47"/>
      <c r="DF118" s="47"/>
      <c r="DG118" s="47"/>
      <c r="DH118" s="47"/>
      <c r="DI118" s="47"/>
      <c r="DJ118" s="47"/>
      <c r="DK118" s="47"/>
      <c r="DM118" s="47"/>
      <c r="DN118" s="47"/>
      <c r="DO118" s="47"/>
      <c r="DP118" s="47"/>
      <c r="DQ118" s="47"/>
      <c r="DR118" s="47"/>
      <c r="DS118" s="47"/>
      <c r="DT118" s="47"/>
      <c r="DU118" s="47"/>
      <c r="DV118" s="49"/>
      <c r="DW118" s="47"/>
      <c r="DX118" s="47"/>
      <c r="DY118" s="47"/>
      <c r="DZ118" s="47"/>
      <c r="EA118" s="47"/>
      <c r="EB118" s="47"/>
      <c r="EC118" s="47"/>
      <c r="ED118" s="47"/>
      <c r="EE118" s="47"/>
      <c r="EF118" s="47"/>
      <c r="EG118" s="47"/>
      <c r="EH118" s="47"/>
      <c r="EI118" s="47"/>
      <c r="EJ118" s="47"/>
      <c r="EK118" s="47"/>
      <c r="EL118" s="47"/>
      <c r="EM118" s="47"/>
      <c r="EN118" s="47"/>
      <c r="EO118" s="47"/>
      <c r="EP118" s="47"/>
      <c r="EQ118" s="47"/>
      <c r="ER118" s="47"/>
      <c r="ES118" s="47"/>
      <c r="ET118" s="47"/>
      <c r="EU118" s="47"/>
      <c r="EV118" s="47"/>
      <c r="EW118" s="47"/>
      <c r="EX118" s="47"/>
      <c r="EY118" s="47"/>
      <c r="EZ118" s="47"/>
      <c r="FA118" s="47"/>
      <c r="FB118" s="47"/>
      <c r="FC118" s="47"/>
      <c r="FD118" s="47"/>
      <c r="FE118" s="47"/>
      <c r="FF118" s="47"/>
      <c r="FG118" s="47"/>
      <c r="FH118" s="47"/>
      <c r="FI118" s="47"/>
      <c r="FJ118" s="49"/>
      <c r="FK118" s="47"/>
      <c r="FL118" s="47"/>
      <c r="FM118" s="47"/>
      <c r="FN118" s="47"/>
      <c r="FO118" s="47"/>
      <c r="FP118" s="47"/>
      <c r="FQ118" s="47"/>
      <c r="FR118" s="47"/>
      <c r="FS118" s="47"/>
      <c r="FT118" s="47"/>
      <c r="FU118" s="47"/>
      <c r="FV118" s="47"/>
      <c r="FW118" s="47"/>
      <c r="FX118" s="47"/>
      <c r="FY118" s="47"/>
      <c r="FZ118" s="47"/>
      <c r="GA118" s="47"/>
      <c r="GB118" s="47"/>
      <c r="GC118" s="47"/>
      <c r="GD118" s="47"/>
      <c r="GE118" s="47"/>
      <c r="GF118" s="47"/>
      <c r="GG118" s="47"/>
      <c r="GH118" s="47"/>
      <c r="GI118" s="47"/>
      <c r="GJ118" s="47"/>
      <c r="GK118" s="47"/>
      <c r="GL118" s="47"/>
      <c r="GM118" s="47"/>
      <c r="GN118" s="47"/>
      <c r="GO118" s="47"/>
      <c r="GP118" s="47"/>
      <c r="GQ118" s="47"/>
      <c r="GR118" s="47"/>
      <c r="GS118" s="47"/>
      <c r="GT118" s="47"/>
      <c r="GU118" s="47"/>
      <c r="GV118" s="47"/>
      <c r="GW118" s="47"/>
      <c r="GX118" s="47"/>
      <c r="GY118" s="47"/>
      <c r="GZ118" s="47"/>
      <c r="HA118" s="47"/>
      <c r="HB118" s="47"/>
      <c r="HC118" s="47"/>
      <c r="HD118" s="47"/>
      <c r="HE118" s="47"/>
      <c r="HF118" s="47"/>
      <c r="HI118" s="47"/>
      <c r="HJ118" s="47"/>
      <c r="HK118" s="47"/>
      <c r="HL118" s="47"/>
      <c r="HM118" s="47"/>
      <c r="HN118" s="47"/>
      <c r="HO118" s="47"/>
      <c r="HP118" s="47"/>
      <c r="HS118" s="47"/>
      <c r="HT118" s="47"/>
      <c r="HU118" s="47"/>
      <c r="HV118" s="47"/>
      <c r="HW118" s="47"/>
      <c r="HX118" s="47"/>
      <c r="HY118" s="47"/>
      <c r="HZ118" s="47"/>
      <c r="IC118" s="47"/>
      <c r="ID118" s="47"/>
      <c r="IE118" s="47"/>
      <c r="IF118" s="47"/>
      <c r="IG118" s="47"/>
      <c r="IH118" s="47"/>
      <c r="II118" s="47"/>
      <c r="IJ118" s="47"/>
      <c r="IM118" s="47"/>
      <c r="IN118" s="47"/>
      <c r="IO118" s="47"/>
      <c r="IP118" s="47"/>
      <c r="IQ118" s="47"/>
      <c r="IR118" s="47"/>
      <c r="IS118" s="47"/>
      <c r="IT118" s="47"/>
      <c r="IW118" s="47"/>
      <c r="IX118" s="47"/>
      <c r="IY118" s="47"/>
      <c r="IZ118" s="47"/>
      <c r="JA118" s="47"/>
      <c r="JB118" s="47"/>
      <c r="JC118" s="47"/>
      <c r="JD118" s="47"/>
      <c r="JG118" s="47"/>
      <c r="JH118" s="47"/>
      <c r="JI118" s="47"/>
      <c r="JJ118" s="47"/>
      <c r="JK118" s="47"/>
      <c r="JL118" s="47"/>
      <c r="JM118" s="47"/>
      <c r="JN118" s="47"/>
      <c r="JQ118" s="47"/>
      <c r="JR118" s="47"/>
      <c r="JS118" s="47"/>
      <c r="JT118" s="47"/>
      <c r="JU118" s="47"/>
      <c r="JV118" s="47"/>
      <c r="JW118" s="47"/>
      <c r="JX118" s="47"/>
      <c r="KA118" s="47"/>
      <c r="KB118" s="47"/>
      <c r="KC118" s="47"/>
      <c r="KD118" s="47"/>
      <c r="KE118" s="47"/>
      <c r="KF118" s="47"/>
      <c r="KG118" s="47"/>
      <c r="KH118" s="47"/>
      <c r="KK118" s="47"/>
      <c r="KL118" s="47"/>
      <c r="KM118" s="47"/>
      <c r="KN118" s="47"/>
      <c r="KO118" s="47"/>
      <c r="KP118" s="47"/>
      <c r="KQ118" s="47"/>
      <c r="KR118" s="47"/>
      <c r="KU118" s="47"/>
      <c r="KV118" s="47"/>
      <c r="KW118" s="47"/>
      <c r="KX118" s="47"/>
      <c r="KY118" s="47"/>
      <c r="KZ118" s="47"/>
      <c r="LA118" s="47"/>
      <c r="LB118" s="47"/>
    </row>
    <row r="119" spans="29:314" x14ac:dyDescent="0.25">
      <c r="AC119" s="47"/>
      <c r="AD119" s="47"/>
      <c r="AF119" s="47"/>
      <c r="AG119" s="49"/>
      <c r="AH119" s="47"/>
      <c r="AI119" s="47"/>
      <c r="AJ119" s="47"/>
      <c r="AK119" s="47"/>
      <c r="AL119" s="47"/>
      <c r="AM119" s="47"/>
      <c r="AN119" s="47"/>
      <c r="AO119" s="47"/>
      <c r="AP119" s="47"/>
      <c r="AQ119" s="47"/>
      <c r="AR119" s="47"/>
      <c r="AS119" s="47"/>
      <c r="AT119" s="47"/>
      <c r="AU119" s="47"/>
      <c r="AV119" s="47"/>
      <c r="AW119" s="47"/>
      <c r="AX119" s="47"/>
      <c r="AY119" s="47"/>
      <c r="AZ119" s="47"/>
      <c r="BA119" s="47"/>
      <c r="BB119" s="47"/>
      <c r="BC119" s="47"/>
      <c r="BD119" s="47"/>
      <c r="BE119" s="47"/>
      <c r="BF119" s="47"/>
      <c r="BG119" s="47"/>
      <c r="BH119" s="47"/>
      <c r="BI119" s="47"/>
      <c r="BJ119" s="47"/>
      <c r="BK119" s="47"/>
      <c r="BL119" s="47"/>
      <c r="BM119" s="47"/>
      <c r="BN119" s="49"/>
      <c r="BO119" s="47"/>
      <c r="BP119" s="47"/>
      <c r="BQ119" s="47"/>
      <c r="BR119" s="47"/>
      <c r="BS119" s="47"/>
      <c r="BT119" s="47"/>
      <c r="BU119" s="47"/>
      <c r="BV119" s="47"/>
      <c r="BW119" s="47"/>
      <c r="BX119" s="47"/>
      <c r="BY119" s="47"/>
      <c r="BZ119" s="47"/>
      <c r="CA119" s="47"/>
      <c r="CB119" s="47"/>
      <c r="CC119" s="47"/>
      <c r="CD119" s="47"/>
      <c r="CE119" s="47"/>
      <c r="CF119" s="47"/>
      <c r="CG119" s="49"/>
      <c r="CH119" s="47"/>
      <c r="CI119" s="47"/>
      <c r="CJ119" s="47"/>
      <c r="CK119" s="47"/>
      <c r="CL119" s="47"/>
      <c r="CM119" s="47"/>
      <c r="CN119" s="47"/>
      <c r="CO119" s="47"/>
      <c r="CP119" s="47"/>
      <c r="CQ119" s="47"/>
      <c r="CS119" s="47"/>
      <c r="CT119" s="47"/>
      <c r="CU119" s="47"/>
      <c r="CV119" s="47"/>
      <c r="CW119" s="47"/>
      <c r="CX119" s="47"/>
      <c r="CY119" s="47"/>
      <c r="CZ119" s="47"/>
      <c r="DA119" s="47"/>
      <c r="DB119" s="47"/>
      <c r="DC119" s="47"/>
      <c r="DD119" s="47"/>
      <c r="DE119" s="47"/>
      <c r="DF119" s="47"/>
      <c r="DG119" s="47"/>
      <c r="DH119" s="47"/>
      <c r="DI119" s="47"/>
      <c r="DJ119" s="47"/>
      <c r="DK119" s="47"/>
      <c r="DM119" s="47"/>
      <c r="DN119" s="47"/>
      <c r="DO119" s="47"/>
      <c r="DP119" s="47"/>
      <c r="DQ119" s="47"/>
      <c r="DR119" s="47"/>
      <c r="DS119" s="47"/>
      <c r="DT119" s="47"/>
      <c r="DU119" s="47"/>
      <c r="DV119" s="49"/>
      <c r="DW119" s="47"/>
      <c r="DX119" s="47"/>
      <c r="DY119" s="47"/>
      <c r="DZ119" s="47"/>
      <c r="EA119" s="47"/>
      <c r="EB119" s="47"/>
      <c r="EC119" s="47"/>
      <c r="ED119" s="47"/>
      <c r="EE119" s="47"/>
      <c r="EF119" s="47"/>
      <c r="EG119" s="47"/>
      <c r="EH119" s="47"/>
      <c r="EI119" s="47"/>
      <c r="EJ119" s="47"/>
      <c r="EK119" s="47"/>
      <c r="EL119" s="47"/>
      <c r="EM119" s="47"/>
      <c r="EN119" s="47"/>
      <c r="EO119" s="47"/>
      <c r="EP119" s="47"/>
      <c r="EQ119" s="47"/>
      <c r="ER119" s="47"/>
      <c r="ES119" s="47"/>
      <c r="ET119" s="47"/>
      <c r="EU119" s="47"/>
      <c r="EV119" s="47"/>
      <c r="EW119" s="47"/>
      <c r="EX119" s="47"/>
      <c r="EY119" s="47"/>
      <c r="EZ119" s="47"/>
      <c r="FA119" s="47"/>
      <c r="FB119" s="47"/>
      <c r="FC119" s="47"/>
      <c r="FD119" s="47"/>
      <c r="FE119" s="47"/>
      <c r="FF119" s="47"/>
      <c r="FG119" s="47"/>
      <c r="FH119" s="47"/>
      <c r="FI119" s="47"/>
      <c r="FJ119" s="49"/>
      <c r="FK119" s="47"/>
      <c r="FL119" s="47"/>
      <c r="FM119" s="47"/>
      <c r="FN119" s="47"/>
      <c r="FO119" s="47"/>
      <c r="FP119" s="47"/>
      <c r="FQ119" s="47"/>
      <c r="FR119" s="47"/>
      <c r="FS119" s="47"/>
      <c r="FT119" s="47"/>
      <c r="FU119" s="47"/>
      <c r="FV119" s="47"/>
      <c r="FW119" s="47"/>
      <c r="FX119" s="47"/>
      <c r="FY119" s="47"/>
      <c r="FZ119" s="47"/>
      <c r="GA119" s="47"/>
      <c r="GB119" s="47"/>
      <c r="GC119" s="47"/>
      <c r="GD119" s="47"/>
      <c r="GE119" s="47"/>
      <c r="GF119" s="47"/>
      <c r="GG119" s="47"/>
      <c r="GH119" s="47"/>
      <c r="GI119" s="47"/>
      <c r="GJ119" s="47"/>
      <c r="GK119" s="47"/>
      <c r="GL119" s="47"/>
      <c r="GM119" s="47"/>
      <c r="GN119" s="47"/>
      <c r="GO119" s="47"/>
      <c r="GP119" s="47"/>
      <c r="GQ119" s="47"/>
      <c r="GR119" s="47"/>
      <c r="GS119" s="47"/>
      <c r="GT119" s="47"/>
      <c r="GU119" s="47"/>
      <c r="GV119" s="47"/>
      <c r="GW119" s="47"/>
      <c r="GX119" s="47"/>
      <c r="GY119" s="47"/>
      <c r="GZ119" s="47"/>
      <c r="HA119" s="47"/>
      <c r="HB119" s="47"/>
      <c r="HC119" s="47"/>
      <c r="HD119" s="47"/>
      <c r="HE119" s="47"/>
      <c r="HF119" s="47"/>
      <c r="HI119" s="47"/>
      <c r="HJ119" s="47"/>
      <c r="HK119" s="47"/>
      <c r="HL119" s="47"/>
      <c r="HM119" s="47"/>
      <c r="HN119" s="47"/>
      <c r="HO119" s="47"/>
      <c r="HP119" s="47"/>
      <c r="HS119" s="47"/>
      <c r="HT119" s="47"/>
      <c r="HU119" s="47"/>
      <c r="HV119" s="47"/>
      <c r="HW119" s="47"/>
      <c r="HX119" s="47"/>
      <c r="HY119" s="47"/>
      <c r="HZ119" s="47"/>
      <c r="IC119" s="47"/>
      <c r="ID119" s="47"/>
      <c r="IE119" s="47"/>
      <c r="IF119" s="47"/>
      <c r="IG119" s="47"/>
      <c r="IH119" s="47"/>
      <c r="II119" s="47"/>
      <c r="IJ119" s="47"/>
      <c r="IM119" s="47"/>
      <c r="IN119" s="47"/>
      <c r="IO119" s="47"/>
      <c r="IP119" s="47"/>
      <c r="IQ119" s="47"/>
      <c r="IR119" s="47"/>
      <c r="IS119" s="47"/>
      <c r="IT119" s="47"/>
      <c r="IW119" s="47"/>
      <c r="IX119" s="47"/>
      <c r="IY119" s="47"/>
      <c r="IZ119" s="47"/>
      <c r="JA119" s="47"/>
      <c r="JB119" s="47"/>
      <c r="JC119" s="47"/>
      <c r="JD119" s="47"/>
      <c r="JG119" s="47"/>
      <c r="JH119" s="47"/>
      <c r="JI119" s="47"/>
      <c r="JJ119" s="47"/>
      <c r="JK119" s="47"/>
      <c r="JL119" s="47"/>
      <c r="JM119" s="47"/>
      <c r="JN119" s="47"/>
      <c r="JQ119" s="47"/>
      <c r="JR119" s="47"/>
      <c r="JS119" s="47"/>
      <c r="JT119" s="47"/>
      <c r="JU119" s="47"/>
      <c r="JV119" s="47"/>
      <c r="JW119" s="47"/>
      <c r="JX119" s="47"/>
      <c r="KA119" s="47"/>
      <c r="KB119" s="47"/>
      <c r="KC119" s="47"/>
      <c r="KD119" s="47"/>
      <c r="KE119" s="47"/>
      <c r="KF119" s="47"/>
      <c r="KG119" s="47"/>
      <c r="KH119" s="47"/>
      <c r="KK119" s="47"/>
      <c r="KL119" s="47"/>
      <c r="KM119" s="47"/>
      <c r="KN119" s="47"/>
      <c r="KO119" s="47"/>
      <c r="KP119" s="47"/>
      <c r="KQ119" s="47"/>
      <c r="KR119" s="47"/>
      <c r="KU119" s="47"/>
      <c r="KV119" s="47"/>
      <c r="KW119" s="47"/>
      <c r="KX119" s="47"/>
      <c r="KY119" s="47"/>
      <c r="KZ119" s="47"/>
      <c r="LA119" s="47"/>
      <c r="LB119" s="47"/>
    </row>
    <row r="120" spans="29:314" x14ac:dyDescent="0.25">
      <c r="AC120" s="47"/>
      <c r="AD120" s="47"/>
      <c r="AF120" s="47"/>
      <c r="AG120" s="49"/>
      <c r="AH120" s="47"/>
      <c r="AI120" s="47"/>
      <c r="AJ120" s="47"/>
      <c r="AK120" s="47"/>
      <c r="AL120" s="47"/>
      <c r="AM120" s="47"/>
      <c r="AN120" s="47"/>
      <c r="AO120" s="47"/>
      <c r="AP120" s="47"/>
      <c r="AQ120" s="47"/>
      <c r="AR120" s="47"/>
      <c r="AS120" s="47"/>
      <c r="AT120" s="47"/>
      <c r="AU120" s="47"/>
      <c r="AV120" s="47"/>
      <c r="AW120" s="47"/>
      <c r="AX120" s="47"/>
      <c r="AY120" s="47"/>
      <c r="AZ120" s="47"/>
      <c r="BA120" s="47"/>
      <c r="BB120" s="47"/>
      <c r="BC120" s="47"/>
      <c r="BD120" s="47"/>
      <c r="BE120" s="47"/>
      <c r="BF120" s="47"/>
      <c r="BG120" s="47"/>
      <c r="BH120" s="47"/>
      <c r="BI120" s="47"/>
      <c r="BJ120" s="47"/>
      <c r="BK120" s="47"/>
      <c r="BL120" s="47"/>
      <c r="BM120" s="47"/>
      <c r="BN120" s="49"/>
      <c r="BO120" s="47"/>
      <c r="BP120" s="47"/>
      <c r="BQ120" s="47"/>
      <c r="BR120" s="47"/>
      <c r="BS120" s="47"/>
      <c r="BT120" s="47"/>
      <c r="BU120" s="47"/>
      <c r="BV120" s="47"/>
      <c r="BW120" s="47"/>
      <c r="BX120" s="47"/>
      <c r="BY120" s="47"/>
      <c r="BZ120" s="47"/>
      <c r="CA120" s="47"/>
      <c r="CB120" s="47"/>
      <c r="CC120" s="47"/>
      <c r="CD120" s="47"/>
      <c r="CE120" s="47"/>
      <c r="CF120" s="47"/>
      <c r="CG120" s="49"/>
      <c r="CH120" s="47"/>
      <c r="CI120" s="47"/>
      <c r="CJ120" s="47"/>
      <c r="CK120" s="47"/>
      <c r="CL120" s="47"/>
      <c r="CM120" s="47"/>
      <c r="CN120" s="47"/>
      <c r="CO120" s="47"/>
      <c r="CP120" s="47"/>
      <c r="CQ120" s="47"/>
      <c r="CS120" s="47"/>
      <c r="CT120" s="47"/>
      <c r="CU120" s="47"/>
      <c r="CV120" s="47"/>
      <c r="CW120" s="47"/>
      <c r="CX120" s="47"/>
      <c r="CY120" s="47"/>
      <c r="CZ120" s="47"/>
      <c r="DA120" s="47"/>
      <c r="DB120" s="47"/>
      <c r="DC120" s="47"/>
      <c r="DD120" s="47"/>
      <c r="DE120" s="47"/>
      <c r="DF120" s="47"/>
      <c r="DG120" s="47"/>
      <c r="DH120" s="47"/>
      <c r="DI120" s="47"/>
      <c r="DJ120" s="47"/>
      <c r="DK120" s="47"/>
      <c r="DM120" s="47"/>
      <c r="DN120" s="47"/>
      <c r="DO120" s="47"/>
      <c r="DP120" s="47"/>
      <c r="DQ120" s="47"/>
      <c r="DR120" s="47"/>
      <c r="DS120" s="47"/>
      <c r="DT120" s="47"/>
      <c r="DU120" s="47"/>
      <c r="DV120" s="49"/>
      <c r="DW120" s="47"/>
      <c r="DX120" s="47"/>
      <c r="DY120" s="47"/>
      <c r="DZ120" s="47"/>
      <c r="EA120" s="47"/>
      <c r="EB120" s="47"/>
      <c r="EC120" s="47"/>
      <c r="ED120" s="47"/>
      <c r="EE120" s="47"/>
      <c r="EF120" s="47"/>
      <c r="EG120" s="47"/>
      <c r="EH120" s="47"/>
      <c r="EI120" s="47"/>
      <c r="EJ120" s="47"/>
      <c r="EK120" s="47"/>
      <c r="EL120" s="47"/>
      <c r="EM120" s="47"/>
      <c r="EN120" s="47"/>
      <c r="EO120" s="47"/>
      <c r="EP120" s="47"/>
      <c r="EQ120" s="47"/>
      <c r="ER120" s="47"/>
      <c r="ES120" s="47"/>
      <c r="ET120" s="47"/>
      <c r="EU120" s="47"/>
      <c r="EV120" s="47"/>
      <c r="EW120" s="47"/>
      <c r="EX120" s="47"/>
      <c r="EY120" s="47"/>
      <c r="EZ120" s="47"/>
      <c r="FA120" s="47"/>
      <c r="FB120" s="47"/>
      <c r="FC120" s="47"/>
      <c r="FD120" s="47"/>
      <c r="FE120" s="47"/>
      <c r="FF120" s="47"/>
      <c r="FG120" s="47"/>
      <c r="FH120" s="47"/>
      <c r="FI120" s="47"/>
      <c r="FJ120" s="49"/>
      <c r="FK120" s="47"/>
      <c r="FL120" s="47"/>
      <c r="FM120" s="47"/>
      <c r="FN120" s="47"/>
      <c r="FO120" s="47"/>
      <c r="FP120" s="47"/>
      <c r="FQ120" s="47"/>
      <c r="FR120" s="47"/>
      <c r="FS120" s="47"/>
      <c r="FT120" s="47"/>
      <c r="FU120" s="47"/>
      <c r="FV120" s="47"/>
      <c r="FW120" s="47"/>
      <c r="FX120" s="47"/>
      <c r="FY120" s="47"/>
      <c r="FZ120" s="47"/>
      <c r="GA120" s="47"/>
      <c r="GB120" s="47"/>
      <c r="GC120" s="47"/>
      <c r="GD120" s="47"/>
      <c r="GE120" s="47"/>
      <c r="GF120" s="47"/>
      <c r="GG120" s="47"/>
      <c r="GH120" s="47"/>
      <c r="GI120" s="47"/>
      <c r="GJ120" s="47"/>
      <c r="GK120" s="47"/>
      <c r="GL120" s="47"/>
      <c r="GM120" s="47"/>
      <c r="GN120" s="47"/>
      <c r="GO120" s="47"/>
      <c r="GP120" s="47"/>
      <c r="GQ120" s="47"/>
      <c r="GR120" s="47"/>
      <c r="GS120" s="47"/>
      <c r="GT120" s="47"/>
      <c r="GU120" s="47"/>
      <c r="GV120" s="47"/>
      <c r="GW120" s="47"/>
      <c r="GX120" s="47"/>
      <c r="GY120" s="47"/>
      <c r="GZ120" s="47"/>
      <c r="HA120" s="47"/>
      <c r="HB120" s="47"/>
      <c r="HC120" s="47"/>
      <c r="HD120" s="47"/>
      <c r="HE120" s="47"/>
      <c r="HF120" s="47"/>
      <c r="HI120" s="47"/>
      <c r="HJ120" s="47"/>
      <c r="HK120" s="47"/>
      <c r="HL120" s="47"/>
      <c r="HM120" s="47"/>
      <c r="HN120" s="47"/>
      <c r="HO120" s="47"/>
      <c r="HP120" s="47"/>
      <c r="HS120" s="47"/>
      <c r="HT120" s="47"/>
      <c r="HU120" s="47"/>
      <c r="HV120" s="47"/>
      <c r="HW120" s="47"/>
      <c r="HX120" s="47"/>
      <c r="HY120" s="47"/>
      <c r="HZ120" s="47"/>
      <c r="IC120" s="47"/>
      <c r="ID120" s="47"/>
      <c r="IE120" s="47"/>
      <c r="IF120" s="47"/>
      <c r="IG120" s="47"/>
      <c r="IH120" s="47"/>
      <c r="II120" s="47"/>
      <c r="IJ120" s="47"/>
      <c r="IM120" s="47"/>
      <c r="IN120" s="47"/>
      <c r="IO120" s="47"/>
      <c r="IP120" s="47"/>
      <c r="IQ120" s="47"/>
      <c r="IR120" s="47"/>
      <c r="IS120" s="47"/>
      <c r="IT120" s="47"/>
      <c r="IW120" s="47"/>
      <c r="IX120" s="47"/>
      <c r="IY120" s="47"/>
      <c r="IZ120" s="47"/>
      <c r="JA120" s="47"/>
      <c r="JB120" s="47"/>
      <c r="JC120" s="47"/>
      <c r="JD120" s="47"/>
      <c r="JG120" s="47"/>
      <c r="JH120" s="47"/>
      <c r="JI120" s="47"/>
      <c r="JJ120" s="47"/>
      <c r="JK120" s="47"/>
      <c r="JL120" s="47"/>
      <c r="JM120" s="47"/>
      <c r="JN120" s="47"/>
      <c r="JQ120" s="47"/>
      <c r="JR120" s="47"/>
      <c r="JS120" s="47"/>
      <c r="JT120" s="47"/>
      <c r="JU120" s="47"/>
      <c r="JV120" s="47"/>
      <c r="JW120" s="47"/>
      <c r="JX120" s="47"/>
      <c r="KA120" s="47"/>
      <c r="KB120" s="47"/>
      <c r="KC120" s="47"/>
      <c r="KD120" s="47"/>
      <c r="KE120" s="47"/>
      <c r="KF120" s="47"/>
      <c r="KG120" s="47"/>
      <c r="KH120" s="47"/>
      <c r="KK120" s="47"/>
      <c r="KL120" s="47"/>
      <c r="KM120" s="47"/>
      <c r="KN120" s="47"/>
      <c r="KO120" s="47"/>
      <c r="KP120" s="47"/>
      <c r="KQ120" s="47"/>
      <c r="KR120" s="47"/>
      <c r="KU120" s="47"/>
      <c r="KV120" s="47"/>
      <c r="KW120" s="47"/>
      <c r="KX120" s="47"/>
      <c r="KY120" s="47"/>
      <c r="KZ120" s="47"/>
      <c r="LA120" s="47"/>
      <c r="LB120" s="47"/>
    </row>
    <row r="121" spans="29:314" x14ac:dyDescent="0.25">
      <c r="AC121" s="47"/>
      <c r="AD121" s="47"/>
      <c r="AF121" s="47"/>
      <c r="AG121" s="49"/>
      <c r="AH121" s="47"/>
      <c r="AI121" s="47"/>
      <c r="AJ121" s="47"/>
      <c r="AK121" s="47"/>
      <c r="AL121" s="47"/>
      <c r="AM121" s="47"/>
      <c r="AN121" s="47"/>
      <c r="AO121" s="47"/>
      <c r="AP121" s="47"/>
      <c r="AQ121" s="47"/>
      <c r="AR121" s="47"/>
      <c r="AS121" s="47"/>
      <c r="AT121" s="47"/>
      <c r="AU121" s="47"/>
      <c r="AV121" s="47"/>
      <c r="AW121" s="47"/>
      <c r="AX121" s="47"/>
      <c r="AY121" s="47"/>
      <c r="AZ121" s="47"/>
      <c r="BA121" s="47"/>
      <c r="BB121" s="47"/>
      <c r="BC121" s="47"/>
      <c r="BD121" s="47"/>
      <c r="BE121" s="47"/>
      <c r="BF121" s="47"/>
      <c r="BG121" s="47"/>
      <c r="BH121" s="47"/>
      <c r="BI121" s="47"/>
      <c r="BJ121" s="47"/>
      <c r="BK121" s="47"/>
      <c r="BL121" s="47"/>
      <c r="BM121" s="47"/>
      <c r="BN121" s="49"/>
      <c r="BO121" s="47"/>
      <c r="BP121" s="47"/>
      <c r="BQ121" s="47"/>
      <c r="BR121" s="47"/>
      <c r="BS121" s="47"/>
      <c r="BT121" s="47"/>
      <c r="BU121" s="47"/>
      <c r="BV121" s="47"/>
      <c r="BW121" s="47"/>
      <c r="BX121" s="47"/>
      <c r="BY121" s="47"/>
      <c r="BZ121" s="47"/>
      <c r="CA121" s="47"/>
      <c r="CB121" s="47"/>
      <c r="CC121" s="47"/>
      <c r="CD121" s="47"/>
      <c r="CE121" s="47"/>
      <c r="CF121" s="47"/>
      <c r="CG121" s="49"/>
      <c r="CH121" s="47"/>
      <c r="CI121" s="47"/>
      <c r="CJ121" s="47"/>
      <c r="CK121" s="47"/>
      <c r="CL121" s="47"/>
      <c r="CM121" s="47"/>
      <c r="CN121" s="47"/>
      <c r="CO121" s="47"/>
      <c r="CP121" s="47"/>
      <c r="CQ121" s="47"/>
      <c r="CS121" s="47"/>
      <c r="CT121" s="47"/>
      <c r="CU121" s="47"/>
      <c r="CV121" s="47"/>
      <c r="CW121" s="47"/>
      <c r="CX121" s="47"/>
      <c r="CY121" s="47"/>
      <c r="CZ121" s="47"/>
      <c r="DA121" s="47"/>
      <c r="DB121" s="47"/>
      <c r="DC121" s="47"/>
      <c r="DD121" s="47"/>
      <c r="DE121" s="47"/>
      <c r="DF121" s="47"/>
      <c r="DG121" s="47"/>
      <c r="DH121" s="47"/>
      <c r="DI121" s="47"/>
      <c r="DJ121" s="47"/>
      <c r="DK121" s="47"/>
      <c r="DM121" s="47"/>
      <c r="DN121" s="47"/>
      <c r="DO121" s="47"/>
      <c r="DP121" s="47"/>
      <c r="DQ121" s="47"/>
      <c r="DR121" s="47"/>
      <c r="DS121" s="47"/>
      <c r="DT121" s="47"/>
      <c r="DU121" s="47"/>
      <c r="DV121" s="49"/>
      <c r="DW121" s="47"/>
      <c r="DX121" s="47"/>
      <c r="DY121" s="47"/>
      <c r="DZ121" s="47"/>
      <c r="EA121" s="47"/>
      <c r="EB121" s="47"/>
      <c r="EC121" s="47"/>
      <c r="ED121" s="47"/>
      <c r="EE121" s="47"/>
      <c r="EF121" s="47"/>
      <c r="EG121" s="47"/>
      <c r="EH121" s="47"/>
      <c r="EI121" s="47"/>
      <c r="EJ121" s="47"/>
      <c r="EK121" s="47"/>
      <c r="EL121" s="47"/>
      <c r="EM121" s="47"/>
      <c r="EN121" s="47"/>
      <c r="EO121" s="47"/>
      <c r="EP121" s="47"/>
      <c r="EQ121" s="47"/>
      <c r="ER121" s="47"/>
      <c r="ES121" s="47"/>
      <c r="ET121" s="47"/>
      <c r="EU121" s="47"/>
      <c r="EV121" s="47"/>
      <c r="EW121" s="47"/>
      <c r="EX121" s="47"/>
      <c r="EY121" s="47"/>
      <c r="EZ121" s="47"/>
      <c r="FA121" s="47"/>
      <c r="FB121" s="47"/>
      <c r="FC121" s="47"/>
      <c r="FD121" s="47"/>
      <c r="FE121" s="47"/>
      <c r="FF121" s="47"/>
      <c r="FG121" s="47"/>
      <c r="FH121" s="47"/>
      <c r="FI121" s="47"/>
      <c r="FJ121" s="49"/>
      <c r="FK121" s="47"/>
      <c r="FL121" s="47"/>
      <c r="FM121" s="47"/>
      <c r="FN121" s="47"/>
      <c r="FO121" s="47"/>
      <c r="FP121" s="47"/>
      <c r="FQ121" s="47"/>
      <c r="FR121" s="47"/>
      <c r="FS121" s="47"/>
      <c r="FT121" s="47"/>
      <c r="FU121" s="47"/>
      <c r="FV121" s="47"/>
      <c r="FW121" s="47"/>
      <c r="FX121" s="47"/>
      <c r="FY121" s="47"/>
      <c r="FZ121" s="47"/>
      <c r="GA121" s="47"/>
      <c r="GB121" s="47"/>
      <c r="GC121" s="47"/>
      <c r="GD121" s="47"/>
      <c r="GE121" s="47"/>
      <c r="GF121" s="47"/>
      <c r="GG121" s="47"/>
      <c r="GH121" s="47"/>
      <c r="GI121" s="47"/>
      <c r="GJ121" s="47"/>
      <c r="GK121" s="47"/>
      <c r="GL121" s="47"/>
      <c r="GM121" s="47"/>
      <c r="GN121" s="47"/>
      <c r="GO121" s="47"/>
      <c r="GP121" s="47"/>
      <c r="GQ121" s="47"/>
      <c r="GR121" s="47"/>
      <c r="GS121" s="47"/>
      <c r="GT121" s="47"/>
      <c r="GU121" s="47"/>
      <c r="GV121" s="47"/>
      <c r="GW121" s="47"/>
      <c r="GX121" s="47"/>
      <c r="GY121" s="47"/>
      <c r="GZ121" s="47"/>
      <c r="HA121" s="47"/>
      <c r="HB121" s="47"/>
      <c r="HC121" s="47"/>
      <c r="HD121" s="47"/>
      <c r="HE121" s="47"/>
      <c r="HF121" s="47"/>
      <c r="HI121" s="47"/>
      <c r="HJ121" s="47"/>
      <c r="HK121" s="47"/>
      <c r="HL121" s="47"/>
      <c r="HM121" s="47"/>
      <c r="HN121" s="47"/>
      <c r="HO121" s="47"/>
      <c r="HP121" s="47"/>
      <c r="HS121" s="47"/>
      <c r="HT121" s="47"/>
      <c r="HU121" s="47"/>
      <c r="HV121" s="47"/>
      <c r="HW121" s="47"/>
      <c r="HX121" s="47"/>
      <c r="HY121" s="47"/>
      <c r="HZ121" s="47"/>
      <c r="IC121" s="47"/>
      <c r="ID121" s="47"/>
      <c r="IE121" s="47"/>
      <c r="IF121" s="47"/>
      <c r="IG121" s="47"/>
      <c r="IH121" s="47"/>
      <c r="II121" s="47"/>
      <c r="IJ121" s="47"/>
      <c r="IM121" s="47"/>
      <c r="IN121" s="47"/>
      <c r="IO121" s="47"/>
      <c r="IP121" s="47"/>
      <c r="IQ121" s="47"/>
      <c r="IR121" s="47"/>
      <c r="IS121" s="47"/>
      <c r="IT121" s="47"/>
      <c r="IW121" s="47"/>
      <c r="IX121" s="47"/>
      <c r="IY121" s="47"/>
      <c r="IZ121" s="47"/>
      <c r="JA121" s="47"/>
      <c r="JB121" s="47"/>
      <c r="JC121" s="47"/>
      <c r="JD121" s="47"/>
      <c r="JG121" s="47"/>
      <c r="JH121" s="47"/>
      <c r="JI121" s="47"/>
      <c r="JJ121" s="47"/>
      <c r="JK121" s="47"/>
      <c r="JL121" s="47"/>
      <c r="JM121" s="47"/>
      <c r="JN121" s="47"/>
      <c r="JQ121" s="47"/>
      <c r="JR121" s="47"/>
      <c r="JS121" s="47"/>
      <c r="JT121" s="47"/>
      <c r="JU121" s="47"/>
      <c r="JV121" s="47"/>
      <c r="JW121" s="47"/>
      <c r="JX121" s="47"/>
      <c r="KA121" s="47"/>
      <c r="KB121" s="47"/>
      <c r="KC121" s="47"/>
      <c r="KD121" s="47"/>
      <c r="KE121" s="47"/>
      <c r="KF121" s="47"/>
      <c r="KG121" s="47"/>
      <c r="KH121" s="47"/>
      <c r="KK121" s="47"/>
      <c r="KL121" s="47"/>
      <c r="KM121" s="47"/>
      <c r="KN121" s="47"/>
      <c r="KO121" s="47"/>
      <c r="KP121" s="47"/>
      <c r="KQ121" s="47"/>
      <c r="KR121" s="47"/>
      <c r="KU121" s="47"/>
      <c r="KV121" s="47"/>
      <c r="KW121" s="47"/>
      <c r="KX121" s="47"/>
      <c r="KY121" s="47"/>
      <c r="KZ121" s="47"/>
      <c r="LA121" s="47"/>
      <c r="LB121" s="47"/>
    </row>
    <row r="122" spans="29:314" x14ac:dyDescent="0.25">
      <c r="AC122" s="47"/>
      <c r="AD122" s="47"/>
      <c r="AE122" s="47"/>
      <c r="AF122" s="47"/>
      <c r="AG122" s="49"/>
      <c r="AH122" s="47"/>
      <c r="AI122" s="47"/>
      <c r="AJ122" s="47"/>
      <c r="AK122" s="47"/>
      <c r="AL122" s="47"/>
      <c r="AM122" s="47"/>
      <c r="AN122" s="47"/>
      <c r="AO122" s="47"/>
      <c r="AP122" s="47"/>
      <c r="AQ122" s="47"/>
      <c r="AR122" s="47"/>
      <c r="AS122" s="47"/>
      <c r="AT122" s="47"/>
      <c r="AU122" s="47"/>
      <c r="AV122" s="47"/>
      <c r="AW122" s="47"/>
      <c r="AX122" s="47"/>
      <c r="AY122" s="47"/>
      <c r="AZ122" s="47"/>
      <c r="BA122" s="47"/>
      <c r="BB122" s="47"/>
      <c r="BC122" s="47"/>
      <c r="BD122" s="47"/>
      <c r="BE122" s="47"/>
      <c r="BF122" s="47"/>
      <c r="BG122" s="47"/>
      <c r="BH122" s="47"/>
      <c r="BI122" s="47"/>
      <c r="BJ122" s="47"/>
      <c r="BK122" s="47"/>
      <c r="BL122" s="47"/>
      <c r="BM122" s="47"/>
      <c r="BN122" s="49"/>
      <c r="BO122" s="47"/>
      <c r="BP122" s="47"/>
      <c r="BQ122" s="47"/>
      <c r="BR122" s="47"/>
      <c r="BS122" s="47"/>
      <c r="BT122" s="47"/>
      <c r="BU122" s="47"/>
      <c r="BV122" s="47"/>
      <c r="BW122" s="47"/>
      <c r="BX122" s="47"/>
      <c r="BY122" s="47"/>
      <c r="BZ122" s="47"/>
      <c r="CA122" s="47"/>
      <c r="CB122" s="47"/>
      <c r="CC122" s="47"/>
      <c r="CD122" s="47"/>
      <c r="CE122" s="47"/>
      <c r="CF122" s="47"/>
      <c r="CG122" s="49"/>
      <c r="CH122" s="47"/>
      <c r="CI122" s="47"/>
      <c r="CJ122" s="47"/>
      <c r="CK122" s="47"/>
      <c r="CL122" s="47"/>
      <c r="CM122" s="47"/>
      <c r="CN122" s="47"/>
      <c r="CO122" s="47"/>
      <c r="CP122" s="47"/>
      <c r="CQ122" s="47"/>
      <c r="CS122" s="47"/>
      <c r="CT122" s="47"/>
      <c r="CU122" s="47"/>
      <c r="CV122" s="47"/>
      <c r="CW122" s="47"/>
      <c r="CX122" s="47"/>
      <c r="CY122" s="47"/>
      <c r="CZ122" s="47"/>
      <c r="DA122" s="47"/>
      <c r="DB122" s="47"/>
      <c r="DC122" s="47"/>
      <c r="DD122" s="47"/>
      <c r="DE122" s="47"/>
      <c r="DF122" s="47"/>
      <c r="DG122" s="47"/>
      <c r="DH122" s="47"/>
      <c r="DI122" s="47"/>
      <c r="DJ122" s="47"/>
      <c r="DK122" s="47"/>
      <c r="DM122" s="47"/>
      <c r="DN122" s="47"/>
      <c r="DO122" s="47"/>
      <c r="DP122" s="47"/>
      <c r="DQ122" s="47"/>
      <c r="DR122" s="47"/>
      <c r="DS122" s="47"/>
      <c r="DT122" s="47"/>
      <c r="DU122" s="47"/>
      <c r="DV122" s="49"/>
      <c r="DW122" s="47"/>
      <c r="DX122" s="47"/>
      <c r="DY122" s="47"/>
      <c r="DZ122" s="47"/>
      <c r="EA122" s="47"/>
      <c r="EB122" s="47"/>
      <c r="EC122" s="47"/>
      <c r="ED122" s="47"/>
      <c r="EE122" s="47"/>
      <c r="EF122" s="47"/>
      <c r="EG122" s="47"/>
      <c r="EH122" s="47"/>
      <c r="EI122" s="47"/>
      <c r="EJ122" s="47"/>
      <c r="EK122" s="47"/>
      <c r="EL122" s="47"/>
      <c r="EM122" s="47"/>
      <c r="EN122" s="47"/>
      <c r="EO122" s="47"/>
      <c r="EP122" s="47"/>
      <c r="EQ122" s="47"/>
      <c r="ER122" s="47"/>
      <c r="ES122" s="47"/>
      <c r="ET122" s="47"/>
      <c r="EU122" s="47"/>
      <c r="EV122" s="47"/>
      <c r="EW122" s="47"/>
      <c r="EX122" s="47"/>
      <c r="EY122" s="47"/>
      <c r="EZ122" s="47"/>
      <c r="FA122" s="47"/>
      <c r="FB122" s="47"/>
      <c r="FC122" s="47"/>
      <c r="FD122" s="47"/>
      <c r="FE122" s="47"/>
      <c r="FF122" s="47"/>
      <c r="FG122" s="47"/>
      <c r="FH122" s="47"/>
      <c r="FI122" s="47"/>
      <c r="FJ122" s="49"/>
      <c r="FK122" s="47"/>
      <c r="FL122" s="47"/>
      <c r="FM122" s="47"/>
      <c r="FN122" s="47"/>
      <c r="FO122" s="47"/>
      <c r="FP122" s="47"/>
      <c r="FQ122" s="47"/>
      <c r="FR122" s="47"/>
      <c r="FS122" s="47"/>
      <c r="FT122" s="47"/>
      <c r="FU122" s="47"/>
      <c r="FV122" s="47"/>
      <c r="FW122" s="47"/>
      <c r="FX122" s="47"/>
      <c r="FY122" s="47"/>
      <c r="FZ122" s="47"/>
      <c r="GA122" s="47"/>
      <c r="GB122" s="47"/>
      <c r="GC122" s="47"/>
      <c r="GD122" s="47"/>
      <c r="GE122" s="47"/>
      <c r="GF122" s="47"/>
      <c r="GG122" s="47"/>
      <c r="GH122" s="47"/>
      <c r="GI122" s="47"/>
      <c r="GJ122" s="47"/>
      <c r="GK122" s="47"/>
      <c r="GL122" s="47"/>
      <c r="GM122" s="47"/>
      <c r="GN122" s="47"/>
      <c r="GO122" s="47"/>
      <c r="GP122" s="47"/>
      <c r="GQ122" s="47"/>
      <c r="GR122" s="47"/>
      <c r="GS122" s="47"/>
      <c r="GT122" s="47"/>
      <c r="GU122" s="47"/>
      <c r="GV122" s="47"/>
      <c r="GW122" s="47"/>
      <c r="GX122" s="47"/>
      <c r="GY122" s="47"/>
      <c r="GZ122" s="47"/>
      <c r="HA122" s="47"/>
      <c r="HB122" s="47"/>
      <c r="HC122" s="47"/>
      <c r="HD122" s="47"/>
      <c r="HE122" s="47"/>
      <c r="HF122" s="47"/>
      <c r="HI122" s="47"/>
      <c r="HJ122" s="47"/>
      <c r="HK122" s="47"/>
      <c r="HL122" s="47"/>
      <c r="HM122" s="47"/>
      <c r="HN122" s="47"/>
      <c r="HO122" s="47"/>
      <c r="HP122" s="47"/>
      <c r="HS122" s="47"/>
      <c r="HT122" s="47"/>
      <c r="HU122" s="47"/>
      <c r="HV122" s="47"/>
      <c r="HW122" s="47"/>
      <c r="HX122" s="47"/>
      <c r="HY122" s="47"/>
      <c r="HZ122" s="47"/>
      <c r="IC122" s="47"/>
      <c r="ID122" s="47"/>
      <c r="IE122" s="47"/>
      <c r="IF122" s="47"/>
      <c r="IG122" s="47"/>
      <c r="IH122" s="47"/>
      <c r="II122" s="47"/>
      <c r="IJ122" s="47"/>
      <c r="IM122" s="47"/>
      <c r="IN122" s="47"/>
      <c r="IO122" s="47"/>
      <c r="IP122" s="47"/>
      <c r="IQ122" s="47"/>
      <c r="IR122" s="47"/>
      <c r="IS122" s="47"/>
      <c r="IT122" s="47"/>
      <c r="IW122" s="47"/>
      <c r="IX122" s="47"/>
      <c r="IY122" s="47"/>
      <c r="IZ122" s="47"/>
      <c r="JA122" s="47"/>
      <c r="JB122" s="47"/>
      <c r="JC122" s="47"/>
      <c r="JD122" s="47"/>
      <c r="JG122" s="47"/>
      <c r="JH122" s="47"/>
      <c r="JI122" s="47"/>
      <c r="JJ122" s="47"/>
      <c r="JK122" s="47"/>
      <c r="JL122" s="47"/>
      <c r="JM122" s="47"/>
      <c r="JN122" s="47"/>
      <c r="JQ122" s="47"/>
      <c r="JR122" s="47"/>
      <c r="JS122" s="47"/>
      <c r="JT122" s="47"/>
      <c r="JU122" s="47"/>
      <c r="JV122" s="47"/>
      <c r="JW122" s="47"/>
      <c r="JX122" s="47"/>
      <c r="KA122" s="47"/>
      <c r="KB122" s="47"/>
      <c r="KC122" s="47"/>
      <c r="KD122" s="47"/>
      <c r="KE122" s="47"/>
      <c r="KF122" s="47"/>
      <c r="KG122" s="47"/>
      <c r="KH122" s="47"/>
      <c r="KK122" s="47"/>
      <c r="KL122" s="47"/>
      <c r="KM122" s="47"/>
      <c r="KN122" s="47"/>
      <c r="KO122" s="47"/>
      <c r="KP122" s="47"/>
      <c r="KQ122" s="47"/>
      <c r="KR122" s="47"/>
      <c r="KU122" s="47"/>
      <c r="KV122" s="47"/>
      <c r="KW122" s="47"/>
      <c r="KX122" s="47"/>
      <c r="KY122" s="47"/>
      <c r="KZ122" s="47"/>
      <c r="LA122" s="47"/>
      <c r="LB122" s="47"/>
    </row>
    <row r="123" spans="29:314" x14ac:dyDescent="0.25">
      <c r="AC123" s="47"/>
      <c r="AD123" s="47"/>
      <c r="AE123" s="47"/>
      <c r="AF123" s="47"/>
      <c r="AG123" s="49"/>
      <c r="AH123" s="47"/>
      <c r="AI123" s="47"/>
      <c r="AJ123" s="47"/>
      <c r="AK123" s="47"/>
      <c r="AL123" s="47"/>
      <c r="AM123" s="47"/>
      <c r="AN123" s="47"/>
      <c r="AO123" s="47"/>
      <c r="AP123" s="47"/>
      <c r="AQ123" s="47"/>
      <c r="AR123" s="47"/>
      <c r="AS123" s="47"/>
      <c r="AT123" s="47"/>
      <c r="AU123" s="47"/>
      <c r="AV123" s="47"/>
      <c r="AW123" s="47"/>
      <c r="AX123" s="47"/>
      <c r="AY123" s="47"/>
      <c r="AZ123" s="47"/>
      <c r="BA123" s="47"/>
      <c r="BB123" s="47"/>
      <c r="BC123" s="47"/>
      <c r="BD123" s="47"/>
      <c r="BE123" s="47"/>
      <c r="BF123" s="47"/>
      <c r="BG123" s="47"/>
      <c r="BH123" s="47"/>
      <c r="BI123" s="47"/>
      <c r="BJ123" s="47"/>
      <c r="BK123" s="47"/>
      <c r="BL123" s="47"/>
      <c r="BM123" s="47"/>
      <c r="BN123" s="49"/>
      <c r="BO123" s="47"/>
      <c r="BP123" s="47"/>
      <c r="BQ123" s="47"/>
      <c r="BR123" s="47"/>
      <c r="BS123" s="47"/>
      <c r="BT123" s="47"/>
      <c r="BU123" s="47"/>
      <c r="BV123" s="47"/>
      <c r="BW123" s="47"/>
      <c r="BX123" s="47"/>
      <c r="BY123" s="47"/>
      <c r="BZ123" s="47"/>
      <c r="CA123" s="47"/>
      <c r="CB123" s="47"/>
      <c r="CC123" s="47"/>
      <c r="CD123" s="47"/>
      <c r="CE123" s="47"/>
      <c r="CF123" s="47"/>
      <c r="CG123" s="49"/>
      <c r="CH123" s="47"/>
      <c r="CI123" s="47"/>
      <c r="CJ123" s="47"/>
      <c r="CK123" s="47"/>
      <c r="CL123" s="47"/>
      <c r="CM123" s="47"/>
      <c r="CN123" s="47"/>
      <c r="CO123" s="47"/>
      <c r="CP123" s="47"/>
      <c r="CQ123" s="47"/>
      <c r="CS123" s="47"/>
      <c r="CT123" s="47"/>
      <c r="CU123" s="47"/>
      <c r="CV123" s="47"/>
      <c r="CW123" s="47"/>
      <c r="CX123" s="47"/>
      <c r="CY123" s="47"/>
      <c r="CZ123" s="47"/>
      <c r="DA123" s="47"/>
      <c r="DB123" s="47"/>
      <c r="DC123" s="47"/>
      <c r="DD123" s="47"/>
      <c r="DE123" s="47"/>
      <c r="DF123" s="47"/>
      <c r="DG123" s="47"/>
      <c r="DH123" s="47"/>
      <c r="DI123" s="47"/>
      <c r="DJ123" s="47"/>
      <c r="DK123" s="47"/>
      <c r="DM123" s="47"/>
      <c r="DN123" s="47"/>
      <c r="DO123" s="47"/>
      <c r="DP123" s="47"/>
      <c r="DQ123" s="47"/>
      <c r="DR123" s="47"/>
      <c r="DS123" s="47"/>
      <c r="DT123" s="47"/>
      <c r="DU123" s="47"/>
      <c r="DV123" s="49"/>
      <c r="DW123" s="47"/>
      <c r="DX123" s="47"/>
      <c r="DY123" s="47"/>
      <c r="DZ123" s="47"/>
      <c r="EA123" s="47"/>
      <c r="EB123" s="47"/>
      <c r="EC123" s="47"/>
      <c r="ED123" s="47"/>
      <c r="EE123" s="47"/>
      <c r="EF123" s="47"/>
      <c r="EG123" s="47"/>
      <c r="EH123" s="47"/>
      <c r="EI123" s="47"/>
      <c r="EJ123" s="47"/>
      <c r="EK123" s="47"/>
      <c r="EL123" s="47"/>
      <c r="EM123" s="47"/>
      <c r="EN123" s="47"/>
      <c r="EO123" s="47"/>
      <c r="EP123" s="47"/>
      <c r="EQ123" s="47"/>
      <c r="ER123" s="47"/>
      <c r="ES123" s="47"/>
      <c r="ET123" s="47"/>
      <c r="EU123" s="47"/>
      <c r="EV123" s="47"/>
      <c r="EW123" s="47"/>
      <c r="EX123" s="47"/>
      <c r="EY123" s="47"/>
      <c r="EZ123" s="47"/>
      <c r="FA123" s="47"/>
      <c r="FB123" s="47"/>
      <c r="FC123" s="47"/>
      <c r="FD123" s="47"/>
      <c r="FE123" s="47"/>
      <c r="FF123" s="47"/>
      <c r="FG123" s="47"/>
      <c r="FH123" s="47"/>
      <c r="FI123" s="47"/>
      <c r="FJ123" s="49"/>
      <c r="FK123" s="47"/>
      <c r="FL123" s="47"/>
      <c r="FM123" s="47"/>
      <c r="FN123" s="47"/>
      <c r="FO123" s="47"/>
      <c r="FP123" s="47"/>
      <c r="FQ123" s="47"/>
      <c r="FR123" s="47"/>
      <c r="FS123" s="47"/>
      <c r="FT123" s="47"/>
      <c r="FU123" s="47"/>
      <c r="FV123" s="47"/>
      <c r="FW123" s="47"/>
      <c r="FX123" s="47"/>
      <c r="FY123" s="47"/>
      <c r="FZ123" s="47"/>
      <c r="GA123" s="47"/>
      <c r="GB123" s="47"/>
      <c r="GC123" s="47"/>
      <c r="GD123" s="47"/>
      <c r="GE123" s="47"/>
      <c r="GF123" s="47"/>
      <c r="GG123" s="47"/>
      <c r="GH123" s="47"/>
      <c r="GI123" s="47"/>
      <c r="GJ123" s="47"/>
      <c r="GK123" s="47"/>
      <c r="GL123" s="47"/>
      <c r="GM123" s="47"/>
      <c r="GN123" s="47"/>
      <c r="GO123" s="47"/>
      <c r="GP123" s="47"/>
      <c r="GQ123" s="47"/>
      <c r="GR123" s="47"/>
      <c r="GS123" s="47"/>
      <c r="GT123" s="47"/>
      <c r="GU123" s="47"/>
      <c r="GV123" s="47"/>
      <c r="GW123" s="47"/>
      <c r="GX123" s="47"/>
      <c r="GY123" s="47"/>
      <c r="GZ123" s="47"/>
      <c r="HA123" s="47"/>
      <c r="HB123" s="47"/>
      <c r="HC123" s="47"/>
      <c r="HD123" s="47"/>
      <c r="HE123" s="47"/>
      <c r="HF123" s="47"/>
      <c r="HI123" s="47"/>
      <c r="HJ123" s="47"/>
      <c r="HK123" s="47"/>
      <c r="HL123" s="47"/>
      <c r="HM123" s="47"/>
      <c r="HN123" s="47"/>
      <c r="HO123" s="47"/>
      <c r="HP123" s="47"/>
      <c r="HS123" s="47"/>
      <c r="HT123" s="47"/>
      <c r="HU123" s="47"/>
      <c r="HV123" s="47"/>
      <c r="HW123" s="47"/>
      <c r="HX123" s="47"/>
      <c r="HY123" s="47"/>
      <c r="HZ123" s="47"/>
      <c r="IC123" s="47"/>
      <c r="ID123" s="47"/>
      <c r="IE123" s="47"/>
      <c r="IF123" s="47"/>
      <c r="IG123" s="47"/>
      <c r="IH123" s="47"/>
      <c r="II123" s="47"/>
      <c r="IJ123" s="47"/>
      <c r="IM123" s="47"/>
      <c r="IN123" s="47"/>
      <c r="IO123" s="47"/>
      <c r="IP123" s="47"/>
      <c r="IQ123" s="47"/>
      <c r="IR123" s="47"/>
      <c r="IS123" s="47"/>
      <c r="IT123" s="47"/>
      <c r="IW123" s="47"/>
      <c r="IX123" s="47"/>
      <c r="IY123" s="47"/>
      <c r="IZ123" s="47"/>
      <c r="JA123" s="47"/>
      <c r="JB123" s="47"/>
      <c r="JC123" s="47"/>
      <c r="JD123" s="47"/>
      <c r="JG123" s="47"/>
      <c r="JH123" s="47"/>
      <c r="JI123" s="47"/>
      <c r="JJ123" s="47"/>
      <c r="JK123" s="47"/>
      <c r="JL123" s="47"/>
      <c r="JM123" s="47"/>
      <c r="JN123" s="47"/>
      <c r="JQ123" s="47"/>
      <c r="JR123" s="47"/>
      <c r="JS123" s="47"/>
      <c r="JT123" s="47"/>
      <c r="JU123" s="47"/>
      <c r="JV123" s="47"/>
      <c r="JW123" s="47"/>
      <c r="JX123" s="47"/>
      <c r="KA123" s="47"/>
      <c r="KB123" s="47"/>
      <c r="KC123" s="47"/>
      <c r="KD123" s="47"/>
      <c r="KE123" s="47"/>
      <c r="KF123" s="47"/>
      <c r="KG123" s="47"/>
      <c r="KH123" s="47"/>
      <c r="KK123" s="47"/>
      <c r="KL123" s="47"/>
      <c r="KM123" s="47"/>
      <c r="KN123" s="47"/>
      <c r="KO123" s="47"/>
      <c r="KP123" s="47"/>
      <c r="KQ123" s="47"/>
      <c r="KR123" s="47"/>
      <c r="KU123" s="47"/>
      <c r="KV123" s="47"/>
      <c r="KW123" s="47"/>
      <c r="KX123" s="47"/>
      <c r="KY123" s="47"/>
      <c r="KZ123" s="47"/>
      <c r="LA123" s="47"/>
      <c r="LB123" s="47"/>
    </row>
    <row r="124" spans="29:314" x14ac:dyDescent="0.25">
      <c r="AC124" s="47"/>
      <c r="AD124" s="47"/>
      <c r="AE124" s="47"/>
      <c r="AF124" s="47"/>
      <c r="AG124" s="49"/>
      <c r="AH124" s="47"/>
      <c r="AI124" s="47"/>
      <c r="AJ124" s="47"/>
      <c r="AK124" s="47"/>
      <c r="AL124" s="47"/>
      <c r="AM124" s="47"/>
      <c r="AN124" s="47"/>
      <c r="AO124" s="47"/>
      <c r="AP124" s="47"/>
      <c r="AQ124" s="47"/>
      <c r="AR124" s="47"/>
      <c r="AS124" s="47"/>
      <c r="AT124" s="47"/>
      <c r="AU124" s="47"/>
      <c r="AV124" s="47"/>
      <c r="AW124" s="47"/>
      <c r="AX124" s="47"/>
      <c r="AY124" s="47"/>
      <c r="AZ124" s="47"/>
      <c r="BA124" s="47"/>
      <c r="BB124" s="47"/>
      <c r="BC124" s="47"/>
      <c r="BD124" s="47"/>
      <c r="BE124" s="47"/>
      <c r="BF124" s="47"/>
      <c r="BG124" s="47"/>
      <c r="BH124" s="47"/>
      <c r="BI124" s="47"/>
      <c r="BJ124" s="47"/>
      <c r="BK124" s="47"/>
      <c r="BL124" s="47"/>
      <c r="BM124" s="47"/>
      <c r="BN124" s="49"/>
      <c r="BO124" s="47"/>
      <c r="BP124" s="47"/>
      <c r="BQ124" s="47"/>
      <c r="BR124" s="47"/>
      <c r="BS124" s="47"/>
      <c r="BT124" s="47"/>
      <c r="BU124" s="47"/>
      <c r="BV124" s="47"/>
      <c r="BW124" s="47"/>
      <c r="BX124" s="47"/>
      <c r="BY124" s="47"/>
      <c r="BZ124" s="47"/>
      <c r="CA124" s="47"/>
      <c r="CB124" s="47"/>
      <c r="CC124" s="47"/>
      <c r="CD124" s="47"/>
      <c r="CE124" s="47"/>
      <c r="CF124" s="47"/>
      <c r="CG124" s="49"/>
      <c r="CH124" s="47"/>
      <c r="CI124" s="47"/>
      <c r="CJ124" s="47"/>
      <c r="CK124" s="47"/>
      <c r="CL124" s="47"/>
      <c r="CM124" s="47"/>
      <c r="CN124" s="47"/>
      <c r="CO124" s="47"/>
      <c r="CP124" s="47"/>
      <c r="CQ124" s="47"/>
      <c r="CS124" s="47"/>
      <c r="CT124" s="47"/>
      <c r="CU124" s="47"/>
      <c r="CV124" s="47"/>
      <c r="CW124" s="47"/>
      <c r="CX124" s="47"/>
      <c r="CY124" s="47"/>
      <c r="CZ124" s="47"/>
      <c r="DA124" s="47"/>
      <c r="DB124" s="47"/>
      <c r="DC124" s="47"/>
      <c r="DD124" s="47"/>
      <c r="DE124" s="47"/>
      <c r="DF124" s="47"/>
      <c r="DG124" s="47"/>
      <c r="DH124" s="47"/>
      <c r="DI124" s="47"/>
      <c r="DJ124" s="47"/>
      <c r="DK124" s="47"/>
      <c r="DM124" s="47"/>
      <c r="DN124" s="47"/>
      <c r="DO124" s="47"/>
      <c r="DP124" s="47"/>
      <c r="DQ124" s="47"/>
      <c r="DR124" s="47"/>
      <c r="DS124" s="47"/>
      <c r="DT124" s="47"/>
      <c r="DU124" s="47"/>
      <c r="DV124" s="49"/>
      <c r="DW124" s="47"/>
      <c r="DX124" s="47"/>
      <c r="DY124" s="47"/>
      <c r="DZ124" s="47"/>
      <c r="EA124" s="47"/>
      <c r="EB124" s="47"/>
      <c r="EC124" s="47"/>
      <c r="ED124" s="47"/>
      <c r="EE124" s="47"/>
      <c r="EF124" s="47"/>
      <c r="EG124" s="47"/>
      <c r="EH124" s="47"/>
      <c r="EI124" s="47"/>
      <c r="EJ124" s="47"/>
      <c r="EK124" s="47"/>
      <c r="EL124" s="47"/>
      <c r="EM124" s="47"/>
      <c r="EN124" s="47"/>
      <c r="EO124" s="47"/>
      <c r="EP124" s="47"/>
      <c r="EQ124" s="47"/>
      <c r="ER124" s="47"/>
      <c r="ES124" s="47"/>
      <c r="ET124" s="47"/>
      <c r="EU124" s="47"/>
      <c r="EV124" s="47"/>
      <c r="EW124" s="47"/>
      <c r="EX124" s="47"/>
      <c r="EY124" s="47"/>
      <c r="EZ124" s="47"/>
      <c r="FA124" s="47"/>
      <c r="FB124" s="47"/>
      <c r="FC124" s="47"/>
      <c r="FD124" s="47"/>
      <c r="FE124" s="47"/>
      <c r="FF124" s="47"/>
      <c r="FG124" s="47"/>
      <c r="FH124" s="47"/>
      <c r="FI124" s="47"/>
      <c r="FJ124" s="49"/>
      <c r="FK124" s="47"/>
      <c r="FL124" s="47"/>
      <c r="FM124" s="47"/>
      <c r="FN124" s="47"/>
      <c r="FO124" s="47"/>
      <c r="FP124" s="47"/>
      <c r="FQ124" s="47"/>
      <c r="FR124" s="47"/>
      <c r="FS124" s="47"/>
      <c r="FT124" s="47"/>
      <c r="FU124" s="47"/>
      <c r="FV124" s="47"/>
      <c r="FW124" s="47"/>
      <c r="FX124" s="47"/>
      <c r="FY124" s="47"/>
      <c r="FZ124" s="47"/>
      <c r="GA124" s="47"/>
      <c r="GB124" s="47"/>
      <c r="GC124" s="47"/>
      <c r="GD124" s="47"/>
      <c r="GE124" s="47"/>
      <c r="GF124" s="47"/>
      <c r="GG124" s="47"/>
      <c r="GH124" s="47"/>
      <c r="GI124" s="47"/>
      <c r="GJ124" s="47"/>
      <c r="GK124" s="47"/>
      <c r="GL124" s="47"/>
      <c r="GM124" s="47"/>
      <c r="GN124" s="47"/>
      <c r="GO124" s="47"/>
      <c r="GP124" s="47"/>
      <c r="GQ124" s="47"/>
      <c r="GR124" s="47"/>
      <c r="GS124" s="47"/>
      <c r="GT124" s="47"/>
      <c r="GU124" s="47"/>
      <c r="GV124" s="47"/>
      <c r="GW124" s="47"/>
      <c r="GX124" s="47"/>
      <c r="GY124" s="47"/>
      <c r="GZ124" s="47"/>
      <c r="HA124" s="47"/>
      <c r="HB124" s="47"/>
      <c r="HC124" s="47"/>
      <c r="HD124" s="47"/>
      <c r="HE124" s="47"/>
      <c r="HF124" s="47"/>
      <c r="HI124" s="47"/>
      <c r="HJ124" s="47"/>
      <c r="HK124" s="47"/>
      <c r="HL124" s="47"/>
      <c r="HM124" s="47"/>
      <c r="HN124" s="47"/>
      <c r="HO124" s="47"/>
      <c r="HP124" s="47"/>
      <c r="HS124" s="47"/>
      <c r="HT124" s="47"/>
      <c r="HU124" s="47"/>
      <c r="HV124" s="47"/>
      <c r="HW124" s="47"/>
      <c r="HX124" s="47"/>
      <c r="HY124" s="47"/>
      <c r="HZ124" s="47"/>
      <c r="IC124" s="47"/>
      <c r="ID124" s="47"/>
      <c r="IE124" s="47"/>
      <c r="IF124" s="47"/>
      <c r="IG124" s="47"/>
      <c r="IH124" s="47"/>
      <c r="II124" s="47"/>
      <c r="IJ124" s="47"/>
      <c r="IM124" s="47"/>
      <c r="IN124" s="47"/>
      <c r="IO124" s="47"/>
      <c r="IP124" s="47"/>
      <c r="IQ124" s="47"/>
      <c r="IR124" s="47"/>
      <c r="IS124" s="47"/>
      <c r="IT124" s="47"/>
      <c r="IW124" s="47"/>
      <c r="IX124" s="47"/>
      <c r="IY124" s="47"/>
      <c r="IZ124" s="47"/>
      <c r="JA124" s="47"/>
      <c r="JB124" s="47"/>
      <c r="JC124" s="47"/>
      <c r="JD124" s="47"/>
      <c r="JG124" s="47"/>
      <c r="JH124" s="47"/>
      <c r="JI124" s="47"/>
      <c r="JJ124" s="47"/>
      <c r="JK124" s="47"/>
      <c r="JL124" s="47"/>
      <c r="JM124" s="47"/>
      <c r="JN124" s="47"/>
      <c r="JQ124" s="47"/>
      <c r="JR124" s="47"/>
      <c r="JS124" s="47"/>
      <c r="JT124" s="47"/>
      <c r="JU124" s="47"/>
      <c r="JV124" s="47"/>
      <c r="JW124" s="47"/>
      <c r="JX124" s="47"/>
      <c r="KA124" s="47"/>
      <c r="KB124" s="47"/>
      <c r="KC124" s="47"/>
      <c r="KD124" s="47"/>
      <c r="KE124" s="47"/>
      <c r="KF124" s="47"/>
      <c r="KG124" s="47"/>
      <c r="KH124" s="47"/>
      <c r="KK124" s="47"/>
      <c r="KL124" s="47"/>
      <c r="KM124" s="47"/>
      <c r="KN124" s="47"/>
      <c r="KO124" s="47"/>
      <c r="KP124" s="47"/>
      <c r="KQ124" s="47"/>
      <c r="KR124" s="47"/>
      <c r="KU124" s="47"/>
      <c r="KV124" s="47"/>
      <c r="KW124" s="47"/>
      <c r="KX124" s="47"/>
      <c r="KY124" s="47"/>
      <c r="KZ124" s="47"/>
      <c r="LA124" s="47"/>
      <c r="LB124" s="47"/>
    </row>
    <row r="125" spans="29:314" x14ac:dyDescent="0.25">
      <c r="AC125" s="47"/>
      <c r="AD125" s="47"/>
      <c r="AE125" s="47"/>
      <c r="AF125" s="47"/>
      <c r="AG125" s="49"/>
      <c r="AH125" s="47"/>
      <c r="AI125" s="47"/>
      <c r="AJ125" s="47"/>
      <c r="AK125" s="47"/>
      <c r="AL125" s="47"/>
      <c r="AM125" s="47"/>
      <c r="AN125" s="47"/>
      <c r="AO125" s="47"/>
      <c r="AP125" s="47"/>
      <c r="AQ125" s="47"/>
      <c r="AR125" s="47"/>
      <c r="AS125" s="47"/>
      <c r="AT125" s="47"/>
      <c r="AU125" s="47"/>
      <c r="AV125" s="47"/>
      <c r="AW125" s="47"/>
      <c r="AX125" s="47"/>
      <c r="AY125" s="47"/>
      <c r="AZ125" s="47"/>
      <c r="BA125" s="47"/>
      <c r="BB125" s="47"/>
      <c r="BC125" s="47"/>
      <c r="BD125" s="47"/>
      <c r="BE125" s="47"/>
      <c r="BF125" s="47"/>
      <c r="BG125" s="47"/>
      <c r="BH125" s="47"/>
      <c r="BI125" s="47"/>
      <c r="BJ125" s="47"/>
      <c r="BK125" s="47"/>
      <c r="BL125" s="47"/>
      <c r="BM125" s="47"/>
      <c r="BN125" s="49"/>
      <c r="BO125" s="47"/>
      <c r="BP125" s="47"/>
      <c r="BQ125" s="47"/>
      <c r="BR125" s="47"/>
      <c r="BS125" s="47"/>
      <c r="BT125" s="47"/>
      <c r="BU125" s="47"/>
      <c r="BV125" s="47"/>
      <c r="BW125" s="47"/>
      <c r="BX125" s="47"/>
      <c r="BY125" s="47"/>
      <c r="BZ125" s="47"/>
      <c r="CA125" s="47"/>
      <c r="CB125" s="47"/>
      <c r="CC125" s="47"/>
      <c r="CD125" s="47"/>
      <c r="CE125" s="47"/>
      <c r="CF125" s="47"/>
      <c r="CG125" s="49"/>
      <c r="CH125" s="47"/>
      <c r="CI125" s="47"/>
      <c r="CJ125" s="47"/>
      <c r="CK125" s="47"/>
      <c r="CL125" s="47"/>
      <c r="CM125" s="47"/>
      <c r="CN125" s="47"/>
      <c r="CO125" s="47"/>
      <c r="CP125" s="47"/>
      <c r="CQ125" s="47"/>
      <c r="CS125" s="47"/>
      <c r="CT125" s="47"/>
      <c r="CU125" s="47"/>
      <c r="CV125" s="47"/>
      <c r="CW125" s="47"/>
      <c r="CX125" s="47"/>
      <c r="CY125" s="47"/>
      <c r="CZ125" s="47"/>
      <c r="DA125" s="47"/>
      <c r="DB125" s="47"/>
      <c r="DC125" s="47"/>
      <c r="DD125" s="47"/>
      <c r="DE125" s="47"/>
      <c r="DF125" s="47"/>
      <c r="DG125" s="47"/>
      <c r="DH125" s="47"/>
      <c r="DI125" s="47"/>
      <c r="DJ125" s="47"/>
      <c r="DK125" s="47"/>
      <c r="DM125" s="47"/>
      <c r="DN125" s="47"/>
      <c r="DO125" s="47"/>
      <c r="DP125" s="47"/>
      <c r="DQ125" s="47"/>
      <c r="DR125" s="47"/>
      <c r="DS125" s="47"/>
      <c r="DT125" s="47"/>
      <c r="DU125" s="47"/>
      <c r="DV125" s="49"/>
      <c r="DW125" s="47"/>
      <c r="DX125" s="47"/>
      <c r="DY125" s="47"/>
      <c r="DZ125" s="47"/>
      <c r="EA125" s="47"/>
      <c r="EB125" s="47"/>
      <c r="EC125" s="47"/>
      <c r="ED125" s="47"/>
      <c r="EE125" s="47"/>
      <c r="EF125" s="47"/>
      <c r="EG125" s="47"/>
      <c r="EH125" s="47"/>
      <c r="EI125" s="47"/>
      <c r="EJ125" s="47"/>
      <c r="EK125" s="47"/>
      <c r="EL125" s="47"/>
      <c r="EM125" s="47"/>
      <c r="EN125" s="47"/>
      <c r="EO125" s="47"/>
      <c r="EP125" s="47"/>
      <c r="EQ125" s="47"/>
      <c r="ER125" s="47"/>
      <c r="ES125" s="47"/>
      <c r="ET125" s="47"/>
      <c r="EU125" s="47"/>
      <c r="EV125" s="47"/>
      <c r="EW125" s="47"/>
      <c r="EX125" s="47"/>
      <c r="EY125" s="47"/>
      <c r="EZ125" s="47"/>
      <c r="FA125" s="47"/>
      <c r="FB125" s="47"/>
      <c r="FC125" s="47"/>
      <c r="FD125" s="47"/>
      <c r="FE125" s="47"/>
      <c r="FF125" s="47"/>
      <c r="FG125" s="47"/>
      <c r="FH125" s="47"/>
      <c r="FI125" s="47"/>
      <c r="FJ125" s="49"/>
      <c r="FK125" s="47"/>
      <c r="FL125" s="47"/>
      <c r="FM125" s="47"/>
      <c r="FN125" s="47"/>
      <c r="FO125" s="47"/>
      <c r="FP125" s="47"/>
      <c r="FQ125" s="47"/>
      <c r="FR125" s="47"/>
      <c r="FS125" s="47"/>
      <c r="FT125" s="47"/>
      <c r="FU125" s="47"/>
      <c r="FV125" s="47"/>
      <c r="FW125" s="47"/>
      <c r="FX125" s="47"/>
      <c r="FY125" s="47"/>
      <c r="FZ125" s="47"/>
      <c r="GA125" s="47"/>
      <c r="GB125" s="47"/>
      <c r="GC125" s="47"/>
      <c r="GD125" s="47"/>
      <c r="GE125" s="47"/>
      <c r="GF125" s="47"/>
      <c r="GG125" s="47"/>
      <c r="GH125" s="47"/>
      <c r="GI125" s="47"/>
      <c r="GJ125" s="47"/>
      <c r="GK125" s="47"/>
      <c r="GL125" s="47"/>
      <c r="GM125" s="47"/>
      <c r="GN125" s="47"/>
      <c r="GO125" s="47"/>
      <c r="GP125" s="47"/>
      <c r="GQ125" s="47"/>
      <c r="GR125" s="47"/>
      <c r="GS125" s="47"/>
      <c r="GT125" s="47"/>
      <c r="GU125" s="47"/>
      <c r="GV125" s="47"/>
      <c r="GW125" s="47"/>
      <c r="GX125" s="47"/>
      <c r="GY125" s="47"/>
      <c r="GZ125" s="47"/>
      <c r="HA125" s="47"/>
      <c r="HB125" s="47"/>
      <c r="HC125" s="47"/>
      <c r="HD125" s="47"/>
      <c r="HE125" s="47"/>
      <c r="HF125" s="47"/>
      <c r="HI125" s="47"/>
      <c r="HJ125" s="47"/>
      <c r="HK125" s="47"/>
      <c r="HL125" s="47"/>
      <c r="HM125" s="47"/>
      <c r="HN125" s="47"/>
      <c r="HO125" s="47"/>
      <c r="HP125" s="47"/>
      <c r="HS125" s="47"/>
      <c r="HT125" s="47"/>
      <c r="HU125" s="47"/>
      <c r="HV125" s="47"/>
      <c r="HW125" s="47"/>
      <c r="HX125" s="47"/>
      <c r="HY125" s="47"/>
      <c r="HZ125" s="47"/>
      <c r="IC125" s="47"/>
      <c r="ID125" s="47"/>
      <c r="IE125" s="47"/>
      <c r="IF125" s="47"/>
      <c r="IG125" s="47"/>
      <c r="IH125" s="47"/>
      <c r="II125" s="47"/>
      <c r="IJ125" s="47"/>
      <c r="IM125" s="47"/>
      <c r="IN125" s="47"/>
      <c r="IO125" s="47"/>
      <c r="IP125" s="47"/>
      <c r="IQ125" s="47"/>
      <c r="IR125" s="47"/>
      <c r="IS125" s="47"/>
      <c r="IT125" s="47"/>
      <c r="IW125" s="47"/>
      <c r="IX125" s="47"/>
      <c r="IY125" s="47"/>
      <c r="IZ125" s="47"/>
      <c r="JA125" s="47"/>
      <c r="JB125" s="47"/>
      <c r="JC125" s="47"/>
      <c r="JD125" s="47"/>
      <c r="JG125" s="47"/>
      <c r="JH125" s="47"/>
      <c r="JI125" s="47"/>
      <c r="JJ125" s="47"/>
      <c r="JK125" s="47"/>
      <c r="JL125" s="47"/>
      <c r="JM125" s="47"/>
      <c r="JN125" s="47"/>
      <c r="JQ125" s="47"/>
      <c r="JR125" s="47"/>
      <c r="JS125" s="47"/>
      <c r="JT125" s="47"/>
      <c r="JU125" s="47"/>
      <c r="JV125" s="47"/>
      <c r="JW125" s="47"/>
      <c r="JX125" s="47"/>
      <c r="KA125" s="47"/>
      <c r="KB125" s="47"/>
      <c r="KC125" s="47"/>
      <c r="KD125" s="47"/>
      <c r="KE125" s="47"/>
      <c r="KF125" s="47"/>
      <c r="KG125" s="47"/>
      <c r="KH125" s="47"/>
      <c r="KK125" s="47"/>
      <c r="KL125" s="47"/>
      <c r="KM125" s="47"/>
      <c r="KN125" s="47"/>
      <c r="KO125" s="47"/>
      <c r="KP125" s="47"/>
      <c r="KQ125" s="47"/>
      <c r="KR125" s="47"/>
      <c r="KU125" s="47"/>
      <c r="KV125" s="47"/>
      <c r="KW125" s="47"/>
      <c r="KX125" s="47"/>
      <c r="KY125" s="47"/>
      <c r="KZ125" s="47"/>
      <c r="LA125" s="47"/>
      <c r="LB125" s="47"/>
    </row>
    <row r="126" spans="29:314" x14ac:dyDescent="0.25">
      <c r="AC126" s="47"/>
      <c r="AD126" s="47"/>
      <c r="AE126" s="47"/>
      <c r="AF126" s="47"/>
      <c r="AG126" s="49"/>
      <c r="AH126" s="47"/>
      <c r="AI126" s="47"/>
      <c r="AJ126" s="47"/>
      <c r="AK126" s="47"/>
      <c r="AL126" s="47"/>
      <c r="AM126" s="47"/>
      <c r="AN126" s="47"/>
      <c r="AO126" s="47"/>
      <c r="AP126" s="47"/>
      <c r="AQ126" s="47"/>
      <c r="AR126" s="47"/>
      <c r="AS126" s="47"/>
      <c r="AT126" s="47"/>
      <c r="AU126" s="47"/>
      <c r="AV126" s="47"/>
      <c r="AW126" s="47"/>
      <c r="AX126" s="47"/>
      <c r="AY126" s="47"/>
      <c r="AZ126" s="47"/>
      <c r="BA126" s="47"/>
      <c r="BB126" s="47"/>
      <c r="BC126" s="47"/>
      <c r="BD126" s="47"/>
      <c r="BE126" s="47"/>
      <c r="BF126" s="47"/>
      <c r="BG126" s="47"/>
      <c r="BH126" s="47"/>
      <c r="BI126" s="47"/>
      <c r="BJ126" s="47"/>
      <c r="BK126" s="47"/>
      <c r="BL126" s="47"/>
      <c r="BM126" s="47"/>
      <c r="BN126" s="49"/>
      <c r="BO126" s="47"/>
      <c r="BP126" s="47"/>
      <c r="BQ126" s="47"/>
      <c r="BR126" s="47"/>
      <c r="BS126" s="47"/>
      <c r="BT126" s="47"/>
      <c r="BU126" s="47"/>
      <c r="BV126" s="47"/>
      <c r="BW126" s="47"/>
      <c r="BX126" s="47"/>
      <c r="BY126" s="47"/>
      <c r="BZ126" s="47"/>
      <c r="CA126" s="47"/>
      <c r="CB126" s="47"/>
      <c r="CC126" s="47"/>
      <c r="CD126" s="47"/>
      <c r="CE126" s="47"/>
      <c r="CF126" s="47"/>
      <c r="CG126" s="49"/>
      <c r="CH126" s="47"/>
      <c r="CI126" s="47"/>
      <c r="CJ126" s="47"/>
      <c r="CK126" s="47"/>
      <c r="CL126" s="47"/>
      <c r="CM126" s="47"/>
      <c r="CN126" s="47"/>
      <c r="CO126" s="47"/>
      <c r="CP126" s="47"/>
      <c r="CQ126" s="47"/>
      <c r="CS126" s="47"/>
      <c r="CT126" s="47"/>
      <c r="CU126" s="47"/>
      <c r="CV126" s="47"/>
      <c r="CW126" s="47"/>
      <c r="CX126" s="47"/>
      <c r="CY126" s="47"/>
      <c r="CZ126" s="47"/>
      <c r="DA126" s="47"/>
      <c r="DB126" s="47"/>
      <c r="DC126" s="47"/>
      <c r="DD126" s="47"/>
      <c r="DE126" s="47"/>
      <c r="DF126" s="47"/>
      <c r="DG126" s="47"/>
      <c r="DH126" s="47"/>
      <c r="DI126" s="47"/>
      <c r="DJ126" s="47"/>
      <c r="DK126" s="47"/>
      <c r="DM126" s="47"/>
      <c r="DN126" s="47"/>
      <c r="DO126" s="47"/>
      <c r="DP126" s="47"/>
      <c r="DQ126" s="47"/>
      <c r="DR126" s="47"/>
      <c r="DS126" s="47"/>
      <c r="DT126" s="47"/>
      <c r="DU126" s="47"/>
      <c r="DV126" s="49"/>
      <c r="DW126" s="47"/>
      <c r="DX126" s="47"/>
      <c r="DY126" s="47"/>
      <c r="DZ126" s="47"/>
      <c r="EA126" s="47"/>
      <c r="EB126" s="47"/>
      <c r="EC126" s="47"/>
      <c r="ED126" s="47"/>
      <c r="EE126" s="47"/>
      <c r="EF126" s="47"/>
      <c r="EG126" s="47"/>
      <c r="EH126" s="47"/>
      <c r="EI126" s="47"/>
      <c r="EJ126" s="47"/>
      <c r="EK126" s="47"/>
      <c r="EL126" s="47"/>
      <c r="EM126" s="47"/>
      <c r="EN126" s="47"/>
      <c r="EO126" s="47"/>
      <c r="EP126" s="47"/>
      <c r="EQ126" s="47"/>
      <c r="ER126" s="47"/>
      <c r="ES126" s="47"/>
      <c r="ET126" s="47"/>
      <c r="EU126" s="47"/>
      <c r="EV126" s="47"/>
      <c r="EW126" s="47"/>
      <c r="EX126" s="47"/>
      <c r="EY126" s="47"/>
      <c r="EZ126" s="47"/>
      <c r="FA126" s="47"/>
      <c r="FB126" s="47"/>
      <c r="FC126" s="47"/>
      <c r="FD126" s="47"/>
      <c r="FE126" s="47"/>
      <c r="FF126" s="47"/>
      <c r="FG126" s="47"/>
      <c r="FH126" s="47"/>
      <c r="FI126" s="47"/>
      <c r="FJ126" s="49"/>
      <c r="FK126" s="47"/>
      <c r="FL126" s="47"/>
      <c r="FM126" s="47"/>
      <c r="FN126" s="47"/>
      <c r="FO126" s="47"/>
      <c r="FP126" s="47"/>
      <c r="FQ126" s="47"/>
      <c r="FR126" s="47"/>
      <c r="FS126" s="47"/>
      <c r="FT126" s="47"/>
      <c r="FU126" s="47"/>
      <c r="FV126" s="47"/>
      <c r="FW126" s="47"/>
      <c r="FX126" s="47"/>
      <c r="FY126" s="47"/>
      <c r="FZ126" s="47"/>
      <c r="GA126" s="47"/>
      <c r="GB126" s="47"/>
      <c r="GC126" s="47"/>
      <c r="GD126" s="47"/>
      <c r="GE126" s="47"/>
      <c r="GF126" s="47"/>
      <c r="GG126" s="47"/>
      <c r="GH126" s="47"/>
      <c r="GI126" s="47"/>
      <c r="GJ126" s="47"/>
      <c r="GK126" s="47"/>
      <c r="GL126" s="47"/>
      <c r="GM126" s="47"/>
      <c r="GN126" s="47"/>
      <c r="GO126" s="47"/>
      <c r="GP126" s="47"/>
      <c r="GQ126" s="47"/>
      <c r="GR126" s="47"/>
      <c r="GS126" s="47"/>
      <c r="GT126" s="47"/>
      <c r="GU126" s="47"/>
      <c r="GV126" s="47"/>
      <c r="GW126" s="47"/>
      <c r="GX126" s="47"/>
      <c r="GY126" s="47"/>
      <c r="GZ126" s="47"/>
      <c r="HA126" s="47"/>
      <c r="HB126" s="47"/>
      <c r="HC126" s="47"/>
      <c r="HD126" s="47"/>
      <c r="HE126" s="47"/>
      <c r="HF126" s="47"/>
      <c r="HI126" s="47"/>
      <c r="HJ126" s="47"/>
      <c r="HK126" s="47"/>
      <c r="HL126" s="47"/>
      <c r="HM126" s="47"/>
      <c r="HN126" s="47"/>
      <c r="HO126" s="47"/>
      <c r="HP126" s="47"/>
      <c r="HS126" s="47"/>
      <c r="HT126" s="47"/>
      <c r="HU126" s="47"/>
      <c r="HV126" s="47"/>
      <c r="HW126" s="47"/>
      <c r="HX126" s="47"/>
      <c r="HY126" s="47"/>
      <c r="HZ126" s="47"/>
      <c r="IC126" s="47"/>
      <c r="ID126" s="47"/>
      <c r="IE126" s="47"/>
      <c r="IF126" s="47"/>
      <c r="IG126" s="47"/>
      <c r="IH126" s="47"/>
      <c r="II126" s="47"/>
      <c r="IJ126" s="47"/>
      <c r="IM126" s="47"/>
      <c r="IN126" s="47"/>
      <c r="IO126" s="47"/>
      <c r="IP126" s="47"/>
      <c r="IQ126" s="47"/>
      <c r="IR126" s="47"/>
      <c r="IS126" s="47"/>
      <c r="IT126" s="47"/>
      <c r="IW126" s="47"/>
      <c r="IX126" s="47"/>
      <c r="IY126" s="47"/>
      <c r="IZ126" s="47"/>
      <c r="JA126" s="47"/>
      <c r="JB126" s="47"/>
      <c r="JC126" s="47"/>
      <c r="JD126" s="47"/>
      <c r="JG126" s="47"/>
      <c r="JH126" s="47"/>
      <c r="JI126" s="47"/>
      <c r="JJ126" s="47"/>
      <c r="JK126" s="47"/>
      <c r="JL126" s="47"/>
      <c r="JM126" s="47"/>
      <c r="JN126" s="47"/>
      <c r="JQ126" s="47"/>
      <c r="JR126" s="47"/>
      <c r="JS126" s="47"/>
      <c r="JT126" s="47"/>
      <c r="JU126" s="47"/>
      <c r="JV126" s="47"/>
      <c r="JW126" s="47"/>
      <c r="JX126" s="47"/>
      <c r="KA126" s="47"/>
      <c r="KB126" s="47"/>
      <c r="KC126" s="47"/>
      <c r="KD126" s="47"/>
      <c r="KE126" s="47"/>
      <c r="KF126" s="47"/>
      <c r="KG126" s="47"/>
      <c r="KH126" s="47"/>
      <c r="KK126" s="47"/>
      <c r="KL126" s="47"/>
      <c r="KM126" s="47"/>
      <c r="KN126" s="47"/>
      <c r="KO126" s="47"/>
      <c r="KP126" s="47"/>
      <c r="KQ126" s="47"/>
      <c r="KR126" s="47"/>
      <c r="KU126" s="47"/>
      <c r="KV126" s="47"/>
      <c r="KW126" s="47"/>
      <c r="KX126" s="47"/>
      <c r="KY126" s="47"/>
      <c r="KZ126" s="47"/>
      <c r="LA126" s="47"/>
      <c r="LB126" s="47"/>
    </row>
    <row r="127" spans="29:314" x14ac:dyDescent="0.25">
      <c r="AC127" s="47"/>
      <c r="AD127" s="47"/>
      <c r="AE127" s="47"/>
      <c r="AF127" s="47"/>
      <c r="AG127" s="49"/>
      <c r="AH127" s="47"/>
      <c r="AI127" s="47"/>
      <c r="AJ127" s="47"/>
      <c r="AK127" s="47"/>
      <c r="AL127" s="47"/>
      <c r="AM127" s="47"/>
      <c r="AN127" s="47"/>
      <c r="AO127" s="47"/>
      <c r="AP127" s="47"/>
      <c r="AQ127" s="47"/>
      <c r="AR127" s="47"/>
      <c r="AS127" s="47"/>
      <c r="AT127" s="47"/>
      <c r="AU127" s="47"/>
      <c r="AV127" s="47"/>
      <c r="AW127" s="47"/>
      <c r="AX127" s="47"/>
      <c r="AY127" s="47"/>
      <c r="AZ127" s="47"/>
      <c r="BA127" s="47"/>
      <c r="BB127" s="47"/>
      <c r="BC127" s="47"/>
      <c r="BD127" s="47"/>
      <c r="BE127" s="47"/>
      <c r="BF127" s="47"/>
      <c r="BG127" s="47"/>
      <c r="BH127" s="47"/>
      <c r="BI127" s="47"/>
      <c r="BJ127" s="47"/>
      <c r="BK127" s="47"/>
      <c r="BL127" s="47"/>
      <c r="BM127" s="47"/>
      <c r="BN127" s="49"/>
      <c r="BO127" s="47"/>
      <c r="BP127" s="47"/>
      <c r="BQ127" s="47"/>
      <c r="BR127" s="47"/>
      <c r="BS127" s="47"/>
      <c r="BT127" s="47"/>
      <c r="BU127" s="47"/>
      <c r="BV127" s="47"/>
      <c r="BW127" s="47"/>
      <c r="BX127" s="47"/>
      <c r="BY127" s="47"/>
      <c r="BZ127" s="47"/>
      <c r="CA127" s="47"/>
      <c r="CB127" s="47"/>
      <c r="CC127" s="47"/>
      <c r="CD127" s="47"/>
      <c r="CE127" s="47"/>
      <c r="CF127" s="47"/>
      <c r="CG127" s="49"/>
      <c r="CH127" s="47"/>
      <c r="CI127" s="47"/>
      <c r="CJ127" s="47"/>
      <c r="CK127" s="47"/>
      <c r="CL127" s="47"/>
      <c r="CM127" s="47"/>
      <c r="CN127" s="47"/>
      <c r="CO127" s="47"/>
      <c r="CP127" s="47"/>
      <c r="CQ127" s="47"/>
      <c r="CS127" s="47"/>
      <c r="CT127" s="47"/>
      <c r="CU127" s="47"/>
      <c r="CV127" s="47"/>
      <c r="CW127" s="47"/>
      <c r="CX127" s="47"/>
      <c r="CY127" s="47"/>
      <c r="CZ127" s="47"/>
      <c r="DA127" s="47"/>
      <c r="DB127" s="47"/>
      <c r="DC127" s="47"/>
      <c r="DD127" s="47"/>
      <c r="DE127" s="47"/>
      <c r="DF127" s="47"/>
      <c r="DG127" s="47"/>
      <c r="DH127" s="47"/>
      <c r="DI127" s="47"/>
      <c r="DJ127" s="47"/>
      <c r="DK127" s="47"/>
      <c r="DM127" s="47"/>
      <c r="DN127" s="47"/>
      <c r="DO127" s="47"/>
      <c r="DP127" s="47"/>
      <c r="DQ127" s="47"/>
      <c r="DR127" s="47"/>
      <c r="DS127" s="47"/>
      <c r="DT127" s="47"/>
      <c r="DU127" s="47"/>
      <c r="DV127" s="49"/>
      <c r="DW127" s="47"/>
      <c r="DX127" s="47"/>
      <c r="DY127" s="47"/>
      <c r="DZ127" s="47"/>
      <c r="EA127" s="47"/>
      <c r="EB127" s="47"/>
      <c r="EC127" s="47"/>
      <c r="ED127" s="47"/>
      <c r="EE127" s="47"/>
      <c r="EF127" s="47"/>
      <c r="EG127" s="47"/>
      <c r="EH127" s="47"/>
      <c r="EI127" s="47"/>
      <c r="EJ127" s="47"/>
      <c r="EK127" s="47"/>
      <c r="EL127" s="47"/>
      <c r="EM127" s="47"/>
      <c r="EN127" s="47"/>
      <c r="EO127" s="47"/>
      <c r="EP127" s="47"/>
      <c r="EQ127" s="47"/>
      <c r="ER127" s="47"/>
      <c r="ES127" s="47"/>
      <c r="ET127" s="47"/>
      <c r="EU127" s="47"/>
      <c r="EV127" s="47"/>
      <c r="EW127" s="47"/>
      <c r="EX127" s="47"/>
      <c r="EY127" s="47"/>
      <c r="EZ127" s="47"/>
      <c r="FA127" s="47"/>
      <c r="FB127" s="47"/>
      <c r="FC127" s="47"/>
      <c r="FD127" s="47"/>
      <c r="FE127" s="47"/>
      <c r="FF127" s="47"/>
      <c r="FG127" s="47"/>
      <c r="FH127" s="47"/>
      <c r="FI127" s="47"/>
      <c r="FJ127" s="49"/>
      <c r="FK127" s="47"/>
      <c r="FL127" s="47"/>
      <c r="FM127" s="47"/>
      <c r="FN127" s="47"/>
      <c r="FO127" s="47"/>
      <c r="FP127" s="47"/>
      <c r="FQ127" s="47"/>
      <c r="FR127" s="47"/>
      <c r="FS127" s="47"/>
      <c r="FT127" s="47"/>
      <c r="FU127" s="47"/>
      <c r="FV127" s="47"/>
      <c r="FW127" s="47"/>
      <c r="FX127" s="47"/>
      <c r="FY127" s="47"/>
      <c r="FZ127" s="47"/>
      <c r="GA127" s="47"/>
      <c r="GB127" s="47"/>
      <c r="GC127" s="47"/>
      <c r="GD127" s="47"/>
      <c r="GE127" s="47"/>
      <c r="GF127" s="47"/>
      <c r="GG127" s="47"/>
      <c r="GH127" s="47"/>
      <c r="GI127" s="47"/>
      <c r="GJ127" s="47"/>
      <c r="GK127" s="47"/>
      <c r="GL127" s="47"/>
      <c r="GM127" s="47"/>
      <c r="GN127" s="47"/>
      <c r="GO127" s="47"/>
      <c r="GP127" s="47"/>
      <c r="GQ127" s="47"/>
      <c r="GR127" s="47"/>
      <c r="GS127" s="47"/>
      <c r="GT127" s="47"/>
      <c r="GU127" s="47"/>
      <c r="GV127" s="47"/>
      <c r="GW127" s="47"/>
      <c r="GX127" s="47"/>
      <c r="GY127" s="47"/>
      <c r="GZ127" s="47"/>
      <c r="HA127" s="47"/>
      <c r="HB127" s="47"/>
      <c r="HC127" s="47"/>
      <c r="HD127" s="47"/>
      <c r="HE127" s="47"/>
      <c r="HF127" s="47"/>
      <c r="HI127" s="47"/>
      <c r="HJ127" s="47"/>
      <c r="HK127" s="47"/>
      <c r="HL127" s="47"/>
      <c r="HM127" s="47"/>
      <c r="HN127" s="47"/>
      <c r="HO127" s="47"/>
      <c r="HP127" s="47"/>
      <c r="HS127" s="47"/>
      <c r="HT127" s="47"/>
      <c r="HU127" s="47"/>
      <c r="HV127" s="47"/>
      <c r="HW127" s="47"/>
      <c r="HX127" s="47"/>
      <c r="HY127" s="47"/>
      <c r="HZ127" s="47"/>
      <c r="IC127" s="47"/>
      <c r="ID127" s="47"/>
      <c r="IE127" s="47"/>
      <c r="IF127" s="47"/>
      <c r="IG127" s="47"/>
      <c r="IH127" s="47"/>
      <c r="II127" s="47"/>
      <c r="IJ127" s="47"/>
      <c r="IM127" s="47"/>
      <c r="IN127" s="47"/>
      <c r="IO127" s="47"/>
      <c r="IP127" s="47"/>
      <c r="IQ127" s="47"/>
      <c r="IR127" s="47"/>
      <c r="IS127" s="47"/>
      <c r="IT127" s="47"/>
      <c r="IW127" s="47"/>
      <c r="IX127" s="47"/>
      <c r="IY127" s="47"/>
      <c r="IZ127" s="47"/>
      <c r="JA127" s="47"/>
      <c r="JB127" s="47"/>
      <c r="JC127" s="47"/>
      <c r="JD127" s="47"/>
      <c r="JG127" s="47"/>
      <c r="JH127" s="47"/>
      <c r="JI127" s="47"/>
      <c r="JJ127" s="47"/>
      <c r="JK127" s="47"/>
      <c r="JL127" s="47"/>
      <c r="JM127" s="47"/>
      <c r="JN127" s="47"/>
      <c r="JQ127" s="47"/>
      <c r="JR127" s="47"/>
      <c r="JS127" s="47"/>
      <c r="JT127" s="47"/>
      <c r="JU127" s="47"/>
      <c r="JV127" s="47"/>
      <c r="JW127" s="47"/>
      <c r="JX127" s="47"/>
      <c r="KA127" s="47"/>
      <c r="KB127" s="47"/>
      <c r="KC127" s="47"/>
      <c r="KD127" s="47"/>
      <c r="KE127" s="47"/>
      <c r="KF127" s="47"/>
      <c r="KG127" s="47"/>
      <c r="KH127" s="47"/>
      <c r="KK127" s="47"/>
      <c r="KL127" s="47"/>
      <c r="KM127" s="47"/>
      <c r="KN127" s="47"/>
      <c r="KO127" s="47"/>
      <c r="KP127" s="47"/>
      <c r="KQ127" s="47"/>
      <c r="KR127" s="47"/>
      <c r="KU127" s="47"/>
      <c r="KV127" s="47"/>
      <c r="KW127" s="47"/>
      <c r="KX127" s="47"/>
      <c r="KY127" s="47"/>
      <c r="KZ127" s="47"/>
      <c r="LA127" s="47"/>
      <c r="LB127" s="47"/>
    </row>
    <row r="128" spans="29:314" x14ac:dyDescent="0.25">
      <c r="AC128" s="47"/>
      <c r="AD128" s="47"/>
      <c r="AE128" s="47"/>
      <c r="AF128" s="47"/>
      <c r="AG128" s="49"/>
      <c r="AH128" s="47"/>
      <c r="AI128" s="47"/>
      <c r="AJ128" s="47"/>
      <c r="AK128" s="47"/>
      <c r="AL128" s="47"/>
      <c r="AM128" s="47"/>
      <c r="AN128" s="47"/>
      <c r="AO128" s="47"/>
      <c r="AP128" s="47"/>
      <c r="AQ128" s="47"/>
      <c r="AR128" s="47"/>
      <c r="AS128" s="47"/>
      <c r="AT128" s="47"/>
      <c r="AU128" s="47"/>
      <c r="AV128" s="47"/>
      <c r="AW128" s="47"/>
      <c r="AX128" s="47"/>
      <c r="AY128" s="47"/>
      <c r="AZ128" s="47"/>
      <c r="BA128" s="47"/>
      <c r="BB128" s="47"/>
      <c r="BC128" s="47"/>
      <c r="BD128" s="47"/>
      <c r="BE128" s="47"/>
      <c r="BF128" s="47"/>
      <c r="BG128" s="47"/>
      <c r="BH128" s="47"/>
      <c r="BI128" s="47"/>
      <c r="BJ128" s="47"/>
      <c r="BK128" s="47"/>
      <c r="BL128" s="47"/>
      <c r="BM128" s="47"/>
      <c r="BN128" s="49"/>
      <c r="BO128" s="47"/>
      <c r="BP128" s="47"/>
      <c r="BQ128" s="47"/>
      <c r="BR128" s="47"/>
      <c r="BS128" s="47"/>
      <c r="BT128" s="47"/>
      <c r="BU128" s="47"/>
      <c r="BV128" s="47"/>
      <c r="BW128" s="47"/>
      <c r="BX128" s="47"/>
      <c r="BY128" s="47"/>
      <c r="BZ128" s="47"/>
      <c r="CA128" s="47"/>
      <c r="CB128" s="47"/>
      <c r="CC128" s="47"/>
      <c r="CD128" s="47"/>
      <c r="CE128" s="47"/>
      <c r="CF128" s="47"/>
      <c r="CG128" s="49"/>
      <c r="CH128" s="47"/>
      <c r="CI128" s="47"/>
      <c r="CJ128" s="47"/>
      <c r="CK128" s="47"/>
      <c r="CL128" s="47"/>
      <c r="CM128" s="47"/>
      <c r="CN128" s="47"/>
      <c r="CO128" s="47"/>
      <c r="CP128" s="47"/>
      <c r="CQ128" s="47"/>
      <c r="CS128" s="47"/>
      <c r="CT128" s="47"/>
      <c r="CU128" s="47"/>
      <c r="CV128" s="47"/>
      <c r="CW128" s="47"/>
      <c r="CX128" s="47"/>
      <c r="CY128" s="47"/>
      <c r="CZ128" s="47"/>
      <c r="DA128" s="47"/>
      <c r="DB128" s="47"/>
      <c r="DC128" s="47"/>
      <c r="DD128" s="47"/>
      <c r="DE128" s="47"/>
      <c r="DF128" s="47"/>
      <c r="DG128" s="47"/>
      <c r="DH128" s="47"/>
      <c r="DI128" s="47"/>
      <c r="DJ128" s="47"/>
      <c r="DK128" s="47"/>
      <c r="DM128" s="47"/>
      <c r="DN128" s="47"/>
      <c r="DO128" s="47"/>
      <c r="DP128" s="47"/>
      <c r="DQ128" s="47"/>
      <c r="DR128" s="47"/>
      <c r="DS128" s="47"/>
      <c r="DT128" s="47"/>
      <c r="DU128" s="47"/>
      <c r="DV128" s="49"/>
      <c r="DW128" s="47"/>
      <c r="DX128" s="47"/>
      <c r="DY128" s="47"/>
      <c r="DZ128" s="47"/>
      <c r="EA128" s="47"/>
      <c r="EB128" s="47"/>
      <c r="EC128" s="47"/>
      <c r="ED128" s="47"/>
      <c r="EE128" s="47"/>
      <c r="EF128" s="47"/>
      <c r="EG128" s="47"/>
      <c r="EH128" s="47"/>
      <c r="EI128" s="47"/>
      <c r="EJ128" s="47"/>
      <c r="EK128" s="47"/>
      <c r="EL128" s="47"/>
      <c r="EM128" s="47"/>
      <c r="EN128" s="47"/>
      <c r="EO128" s="47"/>
      <c r="EP128" s="47"/>
      <c r="EQ128" s="47"/>
      <c r="ER128" s="47"/>
      <c r="ES128" s="47"/>
      <c r="ET128" s="47"/>
      <c r="EU128" s="47"/>
      <c r="EV128" s="47"/>
      <c r="EW128" s="47"/>
      <c r="EX128" s="47"/>
      <c r="EY128" s="47"/>
      <c r="EZ128" s="47"/>
      <c r="FA128" s="47"/>
      <c r="FB128" s="47"/>
      <c r="FC128" s="47"/>
      <c r="FD128" s="47"/>
      <c r="FE128" s="47"/>
      <c r="FF128" s="47"/>
      <c r="FG128" s="47"/>
      <c r="FH128" s="47"/>
      <c r="FI128" s="47"/>
      <c r="FJ128" s="49"/>
      <c r="FK128" s="47"/>
      <c r="FL128" s="47"/>
      <c r="FM128" s="47"/>
      <c r="FN128" s="47"/>
      <c r="FO128" s="47"/>
      <c r="FP128" s="47"/>
      <c r="FQ128" s="47"/>
      <c r="FR128" s="47"/>
      <c r="FS128" s="47"/>
      <c r="FT128" s="47"/>
      <c r="FU128" s="47"/>
      <c r="FV128" s="47"/>
      <c r="FW128" s="47"/>
      <c r="FX128" s="47"/>
      <c r="FY128" s="47"/>
      <c r="FZ128" s="47"/>
      <c r="GA128" s="47"/>
      <c r="GB128" s="47"/>
      <c r="GC128" s="47"/>
      <c r="GD128" s="47"/>
      <c r="GE128" s="47"/>
      <c r="GF128" s="47"/>
      <c r="GG128" s="47"/>
      <c r="GH128" s="47"/>
      <c r="GI128" s="47"/>
      <c r="GJ128" s="47"/>
      <c r="GK128" s="47"/>
      <c r="GL128" s="47"/>
      <c r="GM128" s="47"/>
      <c r="GN128" s="47"/>
      <c r="GO128" s="47"/>
      <c r="GP128" s="47"/>
      <c r="GQ128" s="47"/>
      <c r="GR128" s="47"/>
      <c r="GS128" s="47"/>
      <c r="GT128" s="47"/>
      <c r="GU128" s="47"/>
      <c r="GV128" s="47"/>
      <c r="GW128" s="47"/>
      <c r="GX128" s="47"/>
      <c r="GY128" s="47"/>
      <c r="GZ128" s="47"/>
      <c r="HA128" s="47"/>
      <c r="HB128" s="47"/>
      <c r="HC128" s="47"/>
      <c r="HD128" s="47"/>
      <c r="HE128" s="47"/>
      <c r="HF128" s="47"/>
      <c r="HI128" s="47"/>
      <c r="HJ128" s="47"/>
      <c r="HK128" s="47"/>
      <c r="HL128" s="47"/>
      <c r="HM128" s="47"/>
      <c r="HN128" s="47"/>
      <c r="HO128" s="47"/>
      <c r="HP128" s="47"/>
      <c r="HS128" s="47"/>
      <c r="HT128" s="47"/>
      <c r="HU128" s="47"/>
      <c r="HV128" s="47"/>
      <c r="HW128" s="47"/>
      <c r="HX128" s="47"/>
      <c r="HY128" s="47"/>
      <c r="HZ128" s="47"/>
      <c r="IC128" s="47"/>
      <c r="ID128" s="47"/>
      <c r="IE128" s="47"/>
      <c r="IF128" s="47"/>
      <c r="IG128" s="47"/>
      <c r="IH128" s="47"/>
      <c r="II128" s="47"/>
      <c r="IJ128" s="47"/>
      <c r="IM128" s="47"/>
      <c r="IN128" s="47"/>
      <c r="IO128" s="47"/>
      <c r="IP128" s="47"/>
      <c r="IQ128" s="47"/>
      <c r="IR128" s="47"/>
      <c r="IS128" s="47"/>
      <c r="IT128" s="47"/>
      <c r="IW128" s="47"/>
      <c r="IX128" s="47"/>
      <c r="IY128" s="47"/>
      <c r="IZ128" s="47"/>
      <c r="JA128" s="47"/>
      <c r="JB128" s="47"/>
      <c r="JC128" s="47"/>
      <c r="JD128" s="47"/>
      <c r="JG128" s="47"/>
      <c r="JH128" s="47"/>
      <c r="JI128" s="47"/>
      <c r="JJ128" s="47"/>
      <c r="JK128" s="47"/>
      <c r="JL128" s="47"/>
      <c r="JM128" s="47"/>
      <c r="JN128" s="47"/>
      <c r="JQ128" s="47"/>
      <c r="JR128" s="47"/>
      <c r="JS128" s="47"/>
      <c r="JT128" s="47"/>
      <c r="JU128" s="47"/>
      <c r="JV128" s="47"/>
      <c r="JW128" s="47"/>
      <c r="JX128" s="47"/>
      <c r="KA128" s="47"/>
      <c r="KB128" s="47"/>
      <c r="KC128" s="47"/>
      <c r="KD128" s="47"/>
      <c r="KE128" s="47"/>
      <c r="KF128" s="47"/>
      <c r="KG128" s="47"/>
      <c r="KH128" s="47"/>
      <c r="KK128" s="47"/>
      <c r="KL128" s="47"/>
      <c r="KM128" s="47"/>
      <c r="KN128" s="47"/>
      <c r="KO128" s="47"/>
      <c r="KP128" s="47"/>
      <c r="KQ128" s="47"/>
      <c r="KR128" s="47"/>
      <c r="KU128" s="47"/>
      <c r="KV128" s="47"/>
      <c r="KW128" s="47"/>
      <c r="KX128" s="47"/>
      <c r="KY128" s="47"/>
      <c r="KZ128" s="47"/>
      <c r="LA128" s="47"/>
      <c r="LB128" s="47"/>
    </row>
    <row r="129" spans="29:314" x14ac:dyDescent="0.25">
      <c r="AC129" s="47"/>
      <c r="AD129" s="47"/>
      <c r="AE129" s="47"/>
      <c r="AF129" s="47"/>
      <c r="AG129" s="49"/>
      <c r="AH129" s="47"/>
      <c r="AI129" s="47"/>
      <c r="AJ129" s="47"/>
      <c r="AK129" s="47"/>
      <c r="AL129" s="47"/>
      <c r="AM129" s="47"/>
      <c r="AN129" s="47"/>
      <c r="AO129" s="47"/>
      <c r="AP129" s="47"/>
      <c r="AQ129" s="47"/>
      <c r="AR129" s="47"/>
      <c r="AS129" s="47"/>
      <c r="AT129" s="47"/>
      <c r="AU129" s="47"/>
      <c r="AV129" s="47"/>
      <c r="AW129" s="47"/>
      <c r="AX129" s="47"/>
      <c r="AY129" s="47"/>
      <c r="AZ129" s="47"/>
      <c r="BA129" s="47"/>
      <c r="BB129" s="47"/>
      <c r="BC129" s="47"/>
      <c r="BD129" s="47"/>
      <c r="BE129" s="47"/>
      <c r="BF129" s="47"/>
      <c r="BG129" s="47"/>
      <c r="BH129" s="47"/>
      <c r="BI129" s="47"/>
      <c r="BJ129" s="47"/>
      <c r="BK129" s="47"/>
      <c r="BL129" s="47"/>
      <c r="BM129" s="47"/>
      <c r="BN129" s="49"/>
      <c r="BO129" s="47"/>
      <c r="BP129" s="47"/>
      <c r="BQ129" s="47"/>
      <c r="BR129" s="47"/>
      <c r="BS129" s="47"/>
      <c r="BT129" s="47"/>
      <c r="BU129" s="47"/>
      <c r="BV129" s="47"/>
      <c r="BW129" s="47"/>
      <c r="BX129" s="47"/>
      <c r="BY129" s="47"/>
      <c r="BZ129" s="47"/>
      <c r="CA129" s="47"/>
      <c r="CB129" s="47"/>
      <c r="CC129" s="47"/>
      <c r="CD129" s="47"/>
      <c r="CE129" s="47"/>
      <c r="CF129" s="47"/>
      <c r="CG129" s="49"/>
      <c r="CH129" s="47"/>
      <c r="CI129" s="47"/>
      <c r="CJ129" s="47"/>
      <c r="CK129" s="47"/>
      <c r="CL129" s="47"/>
      <c r="CM129" s="47"/>
      <c r="CN129" s="47"/>
      <c r="CO129" s="47"/>
      <c r="CP129" s="47"/>
      <c r="CQ129" s="47"/>
      <c r="CS129" s="47"/>
      <c r="CT129" s="47"/>
      <c r="CU129" s="47"/>
      <c r="CV129" s="47"/>
      <c r="CW129" s="47"/>
      <c r="CX129" s="47"/>
      <c r="CY129" s="47"/>
      <c r="CZ129" s="47"/>
      <c r="DA129" s="47"/>
      <c r="DB129" s="47"/>
      <c r="DC129" s="47"/>
      <c r="DD129" s="47"/>
      <c r="DE129" s="47"/>
      <c r="DF129" s="47"/>
      <c r="DG129" s="47"/>
      <c r="DH129" s="47"/>
      <c r="DI129" s="47"/>
      <c r="DJ129" s="47"/>
      <c r="DK129" s="47"/>
      <c r="DM129" s="47"/>
      <c r="DN129" s="47"/>
      <c r="DO129" s="47"/>
      <c r="DP129" s="47"/>
      <c r="DQ129" s="47"/>
      <c r="DR129" s="47"/>
      <c r="DS129" s="47"/>
      <c r="DT129" s="47"/>
      <c r="DU129" s="47"/>
      <c r="DV129" s="49"/>
      <c r="DW129" s="47"/>
      <c r="DX129" s="47"/>
      <c r="DY129" s="47"/>
      <c r="DZ129" s="47"/>
      <c r="EA129" s="47"/>
      <c r="EB129" s="47"/>
      <c r="EC129" s="47"/>
      <c r="ED129" s="47"/>
      <c r="EE129" s="47"/>
      <c r="EF129" s="47"/>
      <c r="EG129" s="47"/>
      <c r="EH129" s="47"/>
      <c r="EI129" s="47"/>
      <c r="EJ129" s="47"/>
      <c r="EK129" s="47"/>
      <c r="EL129" s="47"/>
      <c r="EM129" s="47"/>
      <c r="EN129" s="47"/>
      <c r="EO129" s="47"/>
      <c r="EP129" s="47"/>
      <c r="EQ129" s="47"/>
      <c r="ER129" s="47"/>
      <c r="ES129" s="47"/>
      <c r="ET129" s="47"/>
      <c r="EU129" s="47"/>
      <c r="EV129" s="47"/>
      <c r="EW129" s="47"/>
      <c r="EX129" s="47"/>
      <c r="EY129" s="47"/>
      <c r="EZ129" s="47"/>
      <c r="FA129" s="47"/>
      <c r="FB129" s="47"/>
      <c r="FC129" s="47"/>
      <c r="FD129" s="47"/>
      <c r="FE129" s="47"/>
      <c r="FF129" s="47"/>
      <c r="FG129" s="47"/>
      <c r="FH129" s="47"/>
      <c r="FI129" s="47"/>
      <c r="FJ129" s="49"/>
      <c r="FK129" s="47"/>
      <c r="FL129" s="47"/>
      <c r="FM129" s="47"/>
      <c r="FN129" s="47"/>
      <c r="FO129" s="47"/>
      <c r="FP129" s="47"/>
      <c r="FQ129" s="47"/>
      <c r="FR129" s="47"/>
      <c r="FS129" s="47"/>
      <c r="FT129" s="47"/>
      <c r="FU129" s="47"/>
      <c r="FV129" s="47"/>
      <c r="FW129" s="47"/>
      <c r="FX129" s="47"/>
      <c r="FY129" s="47"/>
      <c r="FZ129" s="47"/>
      <c r="GA129" s="47"/>
      <c r="GB129" s="47"/>
      <c r="GC129" s="47"/>
      <c r="GD129" s="47"/>
      <c r="GE129" s="47"/>
      <c r="GF129" s="47"/>
      <c r="GG129" s="47"/>
      <c r="GH129" s="47"/>
      <c r="GI129" s="47"/>
      <c r="GJ129" s="47"/>
      <c r="GK129" s="47"/>
      <c r="GL129" s="47"/>
      <c r="GM129" s="47"/>
      <c r="GN129" s="47"/>
      <c r="GO129" s="47"/>
      <c r="GP129" s="47"/>
      <c r="GQ129" s="47"/>
      <c r="GR129" s="47"/>
      <c r="GS129" s="47"/>
      <c r="GT129" s="47"/>
      <c r="GU129" s="47"/>
      <c r="GV129" s="47"/>
      <c r="GW129" s="47"/>
      <c r="GX129" s="47"/>
      <c r="GY129" s="47"/>
      <c r="GZ129" s="47"/>
      <c r="HA129" s="47"/>
      <c r="HB129" s="47"/>
      <c r="HC129" s="47"/>
      <c r="HD129" s="47"/>
      <c r="HE129" s="47"/>
      <c r="HF129" s="47"/>
      <c r="HI129" s="47"/>
      <c r="HJ129" s="47"/>
      <c r="HK129" s="47"/>
      <c r="HL129" s="47"/>
      <c r="HM129" s="47"/>
      <c r="HN129" s="47"/>
      <c r="HO129" s="47"/>
      <c r="HP129" s="47"/>
      <c r="HS129" s="47"/>
      <c r="HT129" s="47"/>
      <c r="HU129" s="47"/>
      <c r="HV129" s="47"/>
      <c r="HW129" s="47"/>
      <c r="HX129" s="47"/>
      <c r="HY129" s="47"/>
      <c r="HZ129" s="47"/>
      <c r="IC129" s="47"/>
      <c r="ID129" s="47"/>
      <c r="IE129" s="47"/>
      <c r="IF129" s="47"/>
      <c r="IG129" s="47"/>
      <c r="IH129" s="47"/>
      <c r="II129" s="47"/>
      <c r="IJ129" s="47"/>
      <c r="IM129" s="47"/>
      <c r="IN129" s="47"/>
      <c r="IO129" s="47"/>
      <c r="IP129" s="47"/>
      <c r="IQ129" s="47"/>
      <c r="IR129" s="47"/>
      <c r="IS129" s="47"/>
      <c r="IT129" s="47"/>
      <c r="IW129" s="47"/>
      <c r="IX129" s="47"/>
      <c r="IY129" s="47"/>
      <c r="IZ129" s="47"/>
      <c r="JA129" s="47"/>
      <c r="JB129" s="47"/>
      <c r="JC129" s="47"/>
      <c r="JD129" s="47"/>
      <c r="JG129" s="47"/>
      <c r="JH129" s="47"/>
      <c r="JI129" s="47"/>
      <c r="JJ129" s="47"/>
      <c r="JK129" s="47"/>
      <c r="JL129" s="47"/>
      <c r="JM129" s="47"/>
      <c r="JN129" s="47"/>
      <c r="JQ129" s="47"/>
      <c r="JR129" s="47"/>
      <c r="JS129" s="47"/>
      <c r="JT129" s="47"/>
      <c r="JU129" s="47"/>
      <c r="JV129" s="47"/>
      <c r="JW129" s="47"/>
      <c r="JX129" s="47"/>
      <c r="KA129" s="47"/>
      <c r="KB129" s="47"/>
      <c r="KC129" s="47"/>
      <c r="KD129" s="47"/>
      <c r="KE129" s="47"/>
      <c r="KF129" s="47"/>
      <c r="KG129" s="47"/>
      <c r="KH129" s="47"/>
      <c r="KK129" s="47"/>
      <c r="KL129" s="47"/>
      <c r="KM129" s="47"/>
      <c r="KN129" s="47"/>
      <c r="KO129" s="47"/>
      <c r="KP129" s="47"/>
      <c r="KQ129" s="47"/>
      <c r="KR129" s="47"/>
      <c r="KU129" s="47"/>
      <c r="KV129" s="47"/>
      <c r="KW129" s="47"/>
      <c r="KX129" s="47"/>
      <c r="KY129" s="47"/>
      <c r="KZ129" s="47"/>
      <c r="LA129" s="47"/>
      <c r="LB129" s="47"/>
    </row>
    <row r="130" spans="29:314" x14ac:dyDescent="0.25">
      <c r="AC130" s="47"/>
      <c r="AD130" s="47"/>
      <c r="AE130" s="47"/>
      <c r="AF130" s="47"/>
      <c r="AG130" s="49"/>
      <c r="AH130" s="47"/>
      <c r="AI130" s="47"/>
      <c r="AJ130" s="47"/>
      <c r="AK130" s="47"/>
      <c r="AL130" s="47"/>
      <c r="AM130" s="47"/>
      <c r="AN130" s="47"/>
      <c r="AO130" s="47"/>
      <c r="AP130" s="47"/>
      <c r="AQ130" s="47"/>
      <c r="AR130" s="47"/>
      <c r="AS130" s="47"/>
      <c r="AT130" s="47"/>
      <c r="AU130" s="47"/>
      <c r="AV130" s="47"/>
      <c r="AW130" s="47"/>
      <c r="AX130" s="47"/>
      <c r="AY130" s="47"/>
      <c r="AZ130" s="47"/>
      <c r="BA130" s="47"/>
      <c r="BB130" s="47"/>
      <c r="BC130" s="47"/>
      <c r="BD130" s="47"/>
      <c r="BE130" s="47"/>
      <c r="BF130" s="47"/>
      <c r="BG130" s="47"/>
      <c r="BH130" s="47"/>
      <c r="BI130" s="47"/>
      <c r="BJ130" s="47"/>
      <c r="BK130" s="47"/>
      <c r="BL130" s="47"/>
      <c r="BM130" s="47"/>
      <c r="BN130" s="49"/>
      <c r="BO130" s="47"/>
      <c r="BP130" s="47"/>
      <c r="BQ130" s="47"/>
      <c r="BR130" s="47"/>
      <c r="BS130" s="47"/>
      <c r="BT130" s="47"/>
      <c r="BU130" s="47"/>
      <c r="BV130" s="47"/>
      <c r="BW130" s="47"/>
      <c r="BX130" s="47"/>
      <c r="BY130" s="47"/>
      <c r="BZ130" s="47"/>
      <c r="CA130" s="47"/>
      <c r="CB130" s="47"/>
      <c r="CC130" s="47"/>
      <c r="CD130" s="47"/>
      <c r="CE130" s="47"/>
      <c r="CF130" s="47"/>
      <c r="CG130" s="49"/>
      <c r="CH130" s="47"/>
      <c r="CI130" s="47"/>
      <c r="CJ130" s="47"/>
      <c r="CK130" s="47"/>
      <c r="CL130" s="47"/>
      <c r="CM130" s="47"/>
      <c r="CN130" s="47"/>
      <c r="CO130" s="47"/>
      <c r="CP130" s="47"/>
      <c r="CQ130" s="47"/>
      <c r="CS130" s="47"/>
      <c r="CT130" s="47"/>
      <c r="CU130" s="47"/>
      <c r="CV130" s="47"/>
      <c r="CW130" s="47"/>
      <c r="CX130" s="47"/>
      <c r="CY130" s="47"/>
      <c r="CZ130" s="47"/>
      <c r="DA130" s="47"/>
      <c r="DB130" s="47"/>
      <c r="DC130" s="47"/>
      <c r="DD130" s="47"/>
      <c r="DE130" s="47"/>
      <c r="DF130" s="47"/>
      <c r="DG130" s="47"/>
      <c r="DH130" s="47"/>
      <c r="DI130" s="47"/>
      <c r="DJ130" s="47"/>
      <c r="DK130" s="47"/>
      <c r="DM130" s="47"/>
      <c r="DN130" s="47"/>
      <c r="DO130" s="47"/>
      <c r="DP130" s="47"/>
      <c r="DQ130" s="47"/>
      <c r="DR130" s="47"/>
      <c r="DS130" s="47"/>
      <c r="DT130" s="47"/>
      <c r="DU130" s="47"/>
      <c r="DV130" s="49"/>
      <c r="DW130" s="47"/>
      <c r="DX130" s="47"/>
      <c r="DY130" s="47"/>
      <c r="DZ130" s="47"/>
      <c r="EA130" s="47"/>
      <c r="EB130" s="47"/>
      <c r="EC130" s="47"/>
      <c r="ED130" s="47"/>
      <c r="EE130" s="47"/>
      <c r="EF130" s="47"/>
      <c r="EG130" s="47"/>
      <c r="EH130" s="47"/>
      <c r="EI130" s="47"/>
      <c r="EJ130" s="47"/>
      <c r="EK130" s="47"/>
      <c r="EL130" s="47"/>
      <c r="EM130" s="47"/>
      <c r="EN130" s="47"/>
      <c r="EO130" s="47"/>
      <c r="EP130" s="47"/>
      <c r="EQ130" s="47"/>
      <c r="ER130" s="47"/>
      <c r="ES130" s="47"/>
      <c r="ET130" s="47"/>
      <c r="EU130" s="47"/>
      <c r="EV130" s="47"/>
      <c r="EW130" s="47"/>
      <c r="EX130" s="47"/>
      <c r="EY130" s="47"/>
      <c r="EZ130" s="47"/>
      <c r="FA130" s="47"/>
      <c r="FB130" s="47"/>
      <c r="FC130" s="47"/>
      <c r="FD130" s="47"/>
      <c r="FE130" s="47"/>
      <c r="FF130" s="47"/>
      <c r="FG130" s="47"/>
      <c r="FH130" s="47"/>
      <c r="FI130" s="47"/>
      <c r="FJ130" s="49"/>
      <c r="FK130" s="47"/>
      <c r="FL130" s="47"/>
      <c r="FM130" s="47"/>
      <c r="FN130" s="47"/>
      <c r="FO130" s="47"/>
      <c r="FP130" s="47"/>
      <c r="FQ130" s="47"/>
      <c r="FR130" s="47"/>
      <c r="FS130" s="47"/>
      <c r="FT130" s="47"/>
      <c r="FU130" s="47"/>
      <c r="FV130" s="47"/>
      <c r="FW130" s="47"/>
      <c r="FX130" s="47"/>
      <c r="FY130" s="47"/>
      <c r="FZ130" s="47"/>
      <c r="GA130" s="47"/>
      <c r="GB130" s="47"/>
      <c r="GC130" s="47"/>
      <c r="GD130" s="47"/>
      <c r="GE130" s="47"/>
      <c r="GF130" s="47"/>
      <c r="GG130" s="47"/>
      <c r="GH130" s="47"/>
      <c r="GI130" s="47"/>
      <c r="GJ130" s="47"/>
      <c r="GK130" s="47"/>
      <c r="GL130" s="47"/>
      <c r="GM130" s="47"/>
      <c r="GN130" s="47"/>
      <c r="GO130" s="47"/>
      <c r="GP130" s="47"/>
      <c r="GQ130" s="47"/>
      <c r="GR130" s="47"/>
      <c r="GS130" s="47"/>
      <c r="GT130" s="47"/>
      <c r="GU130" s="47"/>
      <c r="GV130" s="47"/>
      <c r="GW130" s="47"/>
      <c r="GX130" s="47"/>
      <c r="GY130" s="47"/>
      <c r="GZ130" s="47"/>
      <c r="HA130" s="47"/>
      <c r="HB130" s="47"/>
      <c r="HC130" s="47"/>
      <c r="HD130" s="47"/>
      <c r="HE130" s="47"/>
      <c r="HF130" s="47"/>
      <c r="HI130" s="47"/>
      <c r="HJ130" s="47"/>
      <c r="HK130" s="47"/>
      <c r="HL130" s="47"/>
      <c r="HM130" s="47"/>
      <c r="HN130" s="47"/>
      <c r="HO130" s="47"/>
      <c r="HP130" s="47"/>
      <c r="HS130" s="47"/>
      <c r="HT130" s="47"/>
      <c r="HU130" s="47"/>
      <c r="HV130" s="47"/>
      <c r="HW130" s="47"/>
      <c r="HX130" s="47"/>
      <c r="HY130" s="47"/>
      <c r="HZ130" s="47"/>
      <c r="IC130" s="47"/>
      <c r="ID130" s="47"/>
      <c r="IE130" s="47"/>
      <c r="IF130" s="47"/>
      <c r="IG130" s="47"/>
      <c r="IH130" s="47"/>
      <c r="II130" s="47"/>
      <c r="IJ130" s="47"/>
      <c r="IM130" s="47"/>
      <c r="IN130" s="47"/>
      <c r="IO130" s="47"/>
      <c r="IP130" s="47"/>
      <c r="IQ130" s="47"/>
      <c r="IR130" s="47"/>
      <c r="IS130" s="47"/>
      <c r="IT130" s="47"/>
      <c r="IW130" s="47"/>
      <c r="IX130" s="47"/>
      <c r="IY130" s="47"/>
      <c r="IZ130" s="47"/>
      <c r="JA130" s="47"/>
      <c r="JB130" s="47"/>
      <c r="JC130" s="47"/>
      <c r="JD130" s="47"/>
      <c r="JG130" s="47"/>
      <c r="JH130" s="47"/>
      <c r="JI130" s="47"/>
      <c r="JJ130" s="47"/>
      <c r="JK130" s="47"/>
      <c r="JL130" s="47"/>
      <c r="JM130" s="47"/>
      <c r="JN130" s="47"/>
      <c r="JQ130" s="47"/>
      <c r="JR130" s="47"/>
      <c r="JS130" s="47"/>
      <c r="JT130" s="47"/>
      <c r="JU130" s="47"/>
      <c r="JV130" s="47"/>
      <c r="JW130" s="47"/>
      <c r="JX130" s="47"/>
      <c r="KA130" s="47"/>
      <c r="KB130" s="47"/>
      <c r="KC130" s="47"/>
      <c r="KD130" s="47"/>
      <c r="KE130" s="47"/>
      <c r="KF130" s="47"/>
      <c r="KG130" s="47"/>
      <c r="KH130" s="47"/>
      <c r="KK130" s="47"/>
      <c r="KL130" s="47"/>
      <c r="KM130" s="47"/>
      <c r="KN130" s="47"/>
      <c r="KO130" s="47"/>
      <c r="KP130" s="47"/>
      <c r="KQ130" s="47"/>
      <c r="KR130" s="47"/>
      <c r="KU130" s="47"/>
      <c r="KV130" s="47"/>
      <c r="KW130" s="47"/>
      <c r="KX130" s="47"/>
      <c r="KY130" s="47"/>
      <c r="KZ130" s="47"/>
      <c r="LA130" s="47"/>
      <c r="LB130" s="47"/>
    </row>
    <row r="131" spans="29:314" x14ac:dyDescent="0.25">
      <c r="AC131" s="47"/>
      <c r="AD131" s="47"/>
      <c r="AE131" s="47"/>
      <c r="AF131" s="47"/>
      <c r="AG131" s="49"/>
      <c r="AH131" s="47"/>
      <c r="AI131" s="47"/>
      <c r="AJ131" s="47"/>
      <c r="AK131" s="47"/>
      <c r="AL131" s="47"/>
      <c r="AM131" s="47"/>
      <c r="AN131" s="47"/>
      <c r="AO131" s="47"/>
      <c r="AP131" s="47"/>
      <c r="AQ131" s="47"/>
      <c r="AR131" s="47"/>
      <c r="AS131" s="47"/>
      <c r="AT131" s="47"/>
      <c r="AU131" s="47"/>
      <c r="AV131" s="47"/>
      <c r="AW131" s="47"/>
      <c r="AX131" s="47"/>
      <c r="AY131" s="47"/>
      <c r="AZ131" s="47"/>
      <c r="BA131" s="47"/>
      <c r="BB131" s="47"/>
      <c r="BC131" s="47"/>
      <c r="BD131" s="47"/>
      <c r="BE131" s="47"/>
      <c r="BF131" s="47"/>
      <c r="BG131" s="47"/>
      <c r="BH131" s="47"/>
      <c r="BI131" s="47"/>
      <c r="BJ131" s="47"/>
      <c r="BK131" s="47"/>
      <c r="BL131" s="47"/>
      <c r="BM131" s="47"/>
      <c r="BN131" s="49"/>
      <c r="BO131" s="47"/>
      <c r="BP131" s="47"/>
      <c r="BQ131" s="47"/>
      <c r="BR131" s="47"/>
      <c r="BS131" s="47"/>
      <c r="BT131" s="47"/>
      <c r="BU131" s="47"/>
      <c r="BV131" s="47"/>
      <c r="BW131" s="47"/>
      <c r="BX131" s="47"/>
      <c r="BY131" s="47"/>
      <c r="BZ131" s="47"/>
      <c r="CA131" s="47"/>
      <c r="CB131" s="47"/>
      <c r="CC131" s="47"/>
      <c r="CD131" s="47"/>
      <c r="CE131" s="47"/>
      <c r="CF131" s="47"/>
      <c r="CG131" s="49"/>
      <c r="CH131" s="47"/>
      <c r="CI131" s="47"/>
      <c r="CJ131" s="47"/>
      <c r="CK131" s="47"/>
      <c r="CL131" s="47"/>
      <c r="CM131" s="47"/>
      <c r="CN131" s="47"/>
      <c r="CO131" s="47"/>
      <c r="CP131" s="47"/>
      <c r="CQ131" s="47"/>
      <c r="CS131" s="47"/>
      <c r="CT131" s="47"/>
      <c r="CU131" s="47"/>
      <c r="CV131" s="47"/>
      <c r="CW131" s="47"/>
      <c r="CX131" s="47"/>
      <c r="CY131" s="47"/>
      <c r="CZ131" s="47"/>
      <c r="DA131" s="47"/>
      <c r="DB131" s="47"/>
      <c r="DC131" s="47"/>
      <c r="DD131" s="47"/>
      <c r="DE131" s="47"/>
      <c r="DF131" s="47"/>
      <c r="DG131" s="47"/>
      <c r="DH131" s="47"/>
      <c r="DI131" s="47"/>
      <c r="DJ131" s="47"/>
      <c r="DK131" s="47"/>
      <c r="DM131" s="47"/>
      <c r="DN131" s="47"/>
      <c r="DO131" s="47"/>
      <c r="DP131" s="47"/>
      <c r="DQ131" s="47"/>
      <c r="DR131" s="47"/>
      <c r="DS131" s="47"/>
      <c r="DT131" s="47"/>
      <c r="DU131" s="47"/>
      <c r="DV131" s="49"/>
      <c r="DW131" s="47"/>
      <c r="DX131" s="47"/>
      <c r="DY131" s="47"/>
      <c r="DZ131" s="47"/>
      <c r="EA131" s="47"/>
      <c r="EB131" s="47"/>
      <c r="EC131" s="47"/>
      <c r="ED131" s="47"/>
      <c r="EE131" s="47"/>
      <c r="EF131" s="47"/>
      <c r="EG131" s="47"/>
      <c r="EH131" s="47"/>
      <c r="EI131" s="47"/>
      <c r="EJ131" s="47"/>
      <c r="EK131" s="47"/>
      <c r="EL131" s="47"/>
      <c r="EM131" s="47"/>
      <c r="EN131" s="47"/>
      <c r="EO131" s="47"/>
      <c r="EP131" s="47"/>
      <c r="EQ131" s="47"/>
      <c r="ER131" s="47"/>
      <c r="ES131" s="47"/>
      <c r="ET131" s="47"/>
      <c r="EU131" s="47"/>
      <c r="EV131" s="47"/>
      <c r="EW131" s="47"/>
      <c r="EX131" s="47"/>
      <c r="EY131" s="47"/>
      <c r="EZ131" s="47"/>
      <c r="FA131" s="47"/>
      <c r="FB131" s="47"/>
      <c r="FC131" s="47"/>
      <c r="FD131" s="47"/>
      <c r="FE131" s="47"/>
      <c r="FF131" s="47"/>
      <c r="FG131" s="47"/>
      <c r="FH131" s="47"/>
      <c r="FI131" s="47"/>
      <c r="FJ131" s="49"/>
      <c r="FK131" s="47"/>
      <c r="FL131" s="47"/>
      <c r="FM131" s="47"/>
      <c r="FN131" s="47"/>
      <c r="FO131" s="47"/>
      <c r="FP131" s="47"/>
      <c r="FQ131" s="47"/>
      <c r="FR131" s="47"/>
      <c r="FS131" s="47"/>
      <c r="FT131" s="47"/>
      <c r="FU131" s="47"/>
      <c r="FV131" s="47"/>
      <c r="FW131" s="47"/>
      <c r="FX131" s="47"/>
      <c r="FY131" s="47"/>
      <c r="FZ131" s="47"/>
      <c r="GA131" s="47"/>
      <c r="GB131" s="47"/>
      <c r="GC131" s="47"/>
      <c r="GD131" s="47"/>
      <c r="GE131" s="47"/>
      <c r="GF131" s="47"/>
      <c r="GG131" s="47"/>
      <c r="GH131" s="47"/>
      <c r="GI131" s="47"/>
      <c r="GJ131" s="47"/>
      <c r="GK131" s="47"/>
      <c r="GL131" s="47"/>
      <c r="GM131" s="47"/>
      <c r="GN131" s="47"/>
      <c r="GO131" s="47"/>
      <c r="GP131" s="47"/>
      <c r="GQ131" s="47"/>
      <c r="GR131" s="47"/>
      <c r="GS131" s="47"/>
      <c r="GT131" s="47"/>
      <c r="GU131" s="47"/>
      <c r="GV131" s="47"/>
      <c r="GW131" s="47"/>
      <c r="GX131" s="47"/>
      <c r="GY131" s="47"/>
      <c r="GZ131" s="47"/>
      <c r="HA131" s="47"/>
      <c r="HB131" s="47"/>
      <c r="HC131" s="47"/>
      <c r="HD131" s="47"/>
      <c r="HE131" s="47"/>
      <c r="HF131" s="47"/>
      <c r="HI131" s="47"/>
      <c r="HJ131" s="47"/>
      <c r="HK131" s="47"/>
      <c r="HL131" s="47"/>
      <c r="HM131" s="47"/>
      <c r="HN131" s="47"/>
      <c r="HO131" s="47"/>
      <c r="HP131" s="47"/>
      <c r="HS131" s="47"/>
      <c r="HT131" s="47"/>
      <c r="HU131" s="47"/>
      <c r="HV131" s="47"/>
      <c r="HW131" s="47"/>
      <c r="HX131" s="47"/>
      <c r="HY131" s="47"/>
      <c r="HZ131" s="47"/>
      <c r="IC131" s="47"/>
      <c r="ID131" s="47"/>
      <c r="IE131" s="47"/>
      <c r="IF131" s="47"/>
      <c r="IG131" s="47"/>
      <c r="IH131" s="47"/>
      <c r="II131" s="47"/>
      <c r="IJ131" s="47"/>
      <c r="IM131" s="47"/>
      <c r="IN131" s="47"/>
      <c r="IO131" s="47"/>
      <c r="IP131" s="47"/>
      <c r="IQ131" s="47"/>
      <c r="IR131" s="47"/>
      <c r="IS131" s="47"/>
      <c r="IT131" s="47"/>
      <c r="IW131" s="47"/>
      <c r="IX131" s="47"/>
      <c r="IY131" s="47"/>
      <c r="IZ131" s="47"/>
      <c r="JA131" s="47"/>
      <c r="JB131" s="47"/>
      <c r="JC131" s="47"/>
      <c r="JD131" s="47"/>
      <c r="JG131" s="47"/>
      <c r="JH131" s="47"/>
      <c r="JI131" s="47"/>
      <c r="JJ131" s="47"/>
      <c r="JK131" s="47"/>
      <c r="JL131" s="47"/>
      <c r="JM131" s="47"/>
      <c r="JN131" s="47"/>
      <c r="JQ131" s="47"/>
      <c r="JR131" s="47"/>
      <c r="JS131" s="47"/>
      <c r="JT131" s="47"/>
      <c r="JU131" s="47"/>
      <c r="JV131" s="47"/>
      <c r="JW131" s="47"/>
      <c r="JX131" s="47"/>
      <c r="KA131" s="47"/>
      <c r="KB131" s="47"/>
      <c r="KC131" s="47"/>
      <c r="KD131" s="47"/>
      <c r="KE131" s="47"/>
      <c r="KF131" s="47"/>
      <c r="KG131" s="47"/>
      <c r="KH131" s="47"/>
      <c r="KK131" s="47"/>
      <c r="KL131" s="47"/>
      <c r="KM131" s="47"/>
      <c r="KN131" s="47"/>
      <c r="KO131" s="47"/>
      <c r="KP131" s="47"/>
      <c r="KQ131" s="47"/>
      <c r="KR131" s="47"/>
      <c r="KU131" s="47"/>
      <c r="KV131" s="47"/>
      <c r="KW131" s="47"/>
      <c r="KX131" s="47"/>
      <c r="KY131" s="47"/>
      <c r="KZ131" s="47"/>
      <c r="LA131" s="47"/>
      <c r="LB131" s="47"/>
    </row>
    <row r="132" spans="29:314" x14ac:dyDescent="0.25">
      <c r="AC132" s="47"/>
      <c r="AD132" s="47"/>
      <c r="AE132" s="47"/>
      <c r="AF132" s="47"/>
      <c r="AG132" s="49"/>
      <c r="AH132" s="47"/>
      <c r="AI132" s="47"/>
      <c r="AJ132" s="47"/>
      <c r="AK132" s="47"/>
      <c r="AL132" s="47"/>
      <c r="AM132" s="47"/>
      <c r="AN132" s="47"/>
      <c r="AO132" s="47"/>
      <c r="AP132" s="47"/>
      <c r="AQ132" s="47"/>
      <c r="AR132" s="47"/>
      <c r="AS132" s="47"/>
      <c r="AT132" s="47"/>
      <c r="AU132" s="47"/>
      <c r="AV132" s="47"/>
      <c r="AW132" s="47"/>
      <c r="AX132" s="47"/>
      <c r="AY132" s="47"/>
      <c r="AZ132" s="47"/>
      <c r="BA132" s="47"/>
      <c r="BB132" s="47"/>
      <c r="BC132" s="47"/>
      <c r="BD132" s="47"/>
      <c r="BE132" s="47"/>
      <c r="BF132" s="47"/>
      <c r="BG132" s="47"/>
      <c r="BH132" s="47"/>
      <c r="BI132" s="47"/>
      <c r="BJ132" s="47"/>
      <c r="BK132" s="47"/>
      <c r="BL132" s="47"/>
      <c r="BM132" s="47"/>
      <c r="BN132" s="49"/>
      <c r="BO132" s="47"/>
      <c r="BP132" s="47"/>
      <c r="BQ132" s="47"/>
      <c r="BR132" s="47"/>
      <c r="BS132" s="47"/>
      <c r="BT132" s="47"/>
      <c r="BU132" s="47"/>
      <c r="BV132" s="47"/>
      <c r="BW132" s="47"/>
      <c r="BX132" s="47"/>
      <c r="BY132" s="47"/>
      <c r="BZ132" s="47"/>
      <c r="CA132" s="47"/>
      <c r="CB132" s="47"/>
      <c r="CC132" s="47"/>
      <c r="CD132" s="47"/>
      <c r="CE132" s="47"/>
      <c r="CF132" s="47"/>
      <c r="CG132" s="49"/>
      <c r="CH132" s="47"/>
      <c r="CI132" s="47"/>
      <c r="CJ132" s="47"/>
      <c r="CK132" s="47"/>
      <c r="CL132" s="47"/>
      <c r="CM132" s="47"/>
      <c r="CN132" s="47"/>
      <c r="CO132" s="47"/>
      <c r="CP132" s="47"/>
      <c r="CQ132" s="47"/>
      <c r="CS132" s="47"/>
      <c r="CT132" s="47"/>
      <c r="CU132" s="47"/>
      <c r="CV132" s="47"/>
      <c r="CW132" s="47"/>
      <c r="CX132" s="47"/>
      <c r="CY132" s="47"/>
      <c r="CZ132" s="47"/>
      <c r="DA132" s="47"/>
      <c r="DB132" s="47"/>
      <c r="DC132" s="47"/>
      <c r="DD132" s="47"/>
      <c r="DE132" s="47"/>
      <c r="DF132" s="47"/>
      <c r="DG132" s="47"/>
      <c r="DH132" s="47"/>
      <c r="DI132" s="47"/>
      <c r="DJ132" s="47"/>
      <c r="DK132" s="47"/>
      <c r="DM132" s="47"/>
      <c r="DN132" s="47"/>
      <c r="DO132" s="47"/>
      <c r="DP132" s="47"/>
      <c r="DQ132" s="47"/>
      <c r="DR132" s="47"/>
      <c r="DS132" s="47"/>
      <c r="DT132" s="47"/>
      <c r="DU132" s="47"/>
      <c r="DV132" s="49"/>
      <c r="DW132" s="47"/>
      <c r="DX132" s="47"/>
      <c r="DY132" s="47"/>
      <c r="DZ132" s="47"/>
      <c r="EA132" s="47"/>
      <c r="EB132" s="47"/>
      <c r="EC132" s="47"/>
      <c r="ED132" s="47"/>
      <c r="EE132" s="47"/>
      <c r="EF132" s="47"/>
      <c r="EG132" s="47"/>
      <c r="EH132" s="47"/>
      <c r="EI132" s="47"/>
      <c r="EJ132" s="47"/>
      <c r="EK132" s="47"/>
      <c r="EL132" s="47"/>
      <c r="EM132" s="47"/>
      <c r="EN132" s="47"/>
      <c r="EO132" s="47"/>
      <c r="EP132" s="47"/>
      <c r="EQ132" s="47"/>
      <c r="ER132" s="47"/>
      <c r="ES132" s="47"/>
      <c r="ET132" s="47"/>
      <c r="EU132" s="47"/>
      <c r="EV132" s="47"/>
      <c r="EW132" s="47"/>
      <c r="EX132" s="47"/>
      <c r="EY132" s="47"/>
      <c r="EZ132" s="47"/>
      <c r="FA132" s="47"/>
      <c r="FB132" s="47"/>
      <c r="FC132" s="47"/>
      <c r="FD132" s="47"/>
      <c r="FE132" s="47"/>
      <c r="FF132" s="47"/>
      <c r="FG132" s="47"/>
      <c r="FH132" s="47"/>
      <c r="FI132" s="47"/>
      <c r="FJ132" s="49"/>
      <c r="FK132" s="47"/>
      <c r="FL132" s="47"/>
      <c r="FM132" s="47"/>
      <c r="FN132" s="47"/>
      <c r="FO132" s="47"/>
      <c r="FP132" s="47"/>
      <c r="FQ132" s="47"/>
      <c r="FR132" s="47"/>
      <c r="FS132" s="47"/>
      <c r="FT132" s="47"/>
      <c r="FU132" s="47"/>
      <c r="FV132" s="47"/>
      <c r="FW132" s="47"/>
      <c r="FX132" s="47"/>
      <c r="FY132" s="47"/>
      <c r="FZ132" s="47"/>
      <c r="GA132" s="47"/>
      <c r="GB132" s="47"/>
      <c r="GC132" s="47"/>
      <c r="GD132" s="47"/>
      <c r="GE132" s="47"/>
      <c r="GF132" s="47"/>
      <c r="GG132" s="47"/>
      <c r="GH132" s="47"/>
      <c r="GI132" s="47"/>
      <c r="GJ132" s="47"/>
      <c r="GK132" s="47"/>
      <c r="GL132" s="47"/>
      <c r="GM132" s="47"/>
      <c r="GN132" s="47"/>
      <c r="GO132" s="47"/>
      <c r="GP132" s="47"/>
      <c r="GQ132" s="47"/>
      <c r="GR132" s="47"/>
      <c r="GS132" s="47"/>
      <c r="GT132" s="47"/>
      <c r="GU132" s="47"/>
      <c r="GV132" s="47"/>
      <c r="GW132" s="47"/>
      <c r="GX132" s="47"/>
      <c r="GY132" s="47"/>
      <c r="GZ132" s="47"/>
      <c r="HA132" s="47"/>
      <c r="HB132" s="47"/>
      <c r="HC132" s="47"/>
      <c r="HD132" s="47"/>
      <c r="HE132" s="47"/>
      <c r="HF132" s="47"/>
      <c r="HI132" s="47"/>
      <c r="HJ132" s="47"/>
      <c r="HK132" s="47"/>
      <c r="HL132" s="47"/>
      <c r="HM132" s="47"/>
      <c r="HN132" s="47"/>
      <c r="HO132" s="47"/>
      <c r="HP132" s="47"/>
      <c r="HS132" s="47"/>
      <c r="HT132" s="47"/>
      <c r="HU132" s="47"/>
      <c r="HV132" s="47"/>
      <c r="HW132" s="47"/>
      <c r="HX132" s="47"/>
      <c r="HY132" s="47"/>
      <c r="HZ132" s="47"/>
      <c r="IC132" s="47"/>
      <c r="ID132" s="47"/>
      <c r="IE132" s="47"/>
      <c r="IF132" s="47"/>
      <c r="IG132" s="47"/>
      <c r="IH132" s="47"/>
      <c r="II132" s="47"/>
      <c r="IJ132" s="47"/>
      <c r="IM132" s="47"/>
      <c r="IN132" s="47"/>
      <c r="IO132" s="47"/>
      <c r="IP132" s="47"/>
      <c r="IQ132" s="47"/>
      <c r="IR132" s="47"/>
      <c r="IS132" s="47"/>
      <c r="IT132" s="47"/>
      <c r="IW132" s="47"/>
      <c r="IX132" s="47"/>
      <c r="IY132" s="47"/>
      <c r="IZ132" s="47"/>
      <c r="JA132" s="47"/>
      <c r="JB132" s="47"/>
      <c r="JC132" s="47"/>
      <c r="JD132" s="47"/>
      <c r="JG132" s="47"/>
      <c r="JH132" s="47"/>
      <c r="JI132" s="47"/>
      <c r="JJ132" s="47"/>
      <c r="JK132" s="47"/>
      <c r="JL132" s="47"/>
      <c r="JM132" s="47"/>
      <c r="JN132" s="47"/>
      <c r="JQ132" s="47"/>
      <c r="JR132" s="47"/>
      <c r="JS132" s="47"/>
      <c r="JT132" s="47"/>
      <c r="JU132" s="47"/>
      <c r="JV132" s="47"/>
      <c r="JW132" s="47"/>
      <c r="JX132" s="47"/>
      <c r="KA132" s="47"/>
      <c r="KB132" s="47"/>
      <c r="KC132" s="47"/>
      <c r="KD132" s="47"/>
      <c r="KE132" s="47"/>
      <c r="KF132" s="47"/>
      <c r="KG132" s="47"/>
      <c r="KH132" s="47"/>
      <c r="KK132" s="47"/>
      <c r="KL132" s="47"/>
      <c r="KM132" s="47"/>
      <c r="KN132" s="47"/>
      <c r="KO132" s="47"/>
      <c r="KP132" s="47"/>
      <c r="KQ132" s="47"/>
      <c r="KR132" s="47"/>
      <c r="KU132" s="47"/>
      <c r="KV132" s="47"/>
      <c r="KW132" s="47"/>
      <c r="KX132" s="47"/>
      <c r="KY132" s="47"/>
      <c r="KZ132" s="47"/>
      <c r="LA132" s="47"/>
      <c r="LB132" s="47"/>
    </row>
    <row r="133" spans="29:314" x14ac:dyDescent="0.25">
      <c r="AC133" s="47"/>
      <c r="AD133" s="47"/>
      <c r="AE133" s="47"/>
      <c r="AF133" s="47"/>
      <c r="AG133" s="49"/>
      <c r="AH133" s="47"/>
      <c r="AI133" s="47"/>
      <c r="AJ133" s="47"/>
      <c r="AK133" s="47"/>
      <c r="AL133" s="47"/>
      <c r="AM133" s="47"/>
      <c r="AN133" s="47"/>
      <c r="AO133" s="47"/>
      <c r="AP133" s="47"/>
      <c r="AQ133" s="47"/>
      <c r="AR133" s="47"/>
      <c r="AS133" s="47"/>
      <c r="AT133" s="47"/>
      <c r="AU133" s="47"/>
      <c r="AV133" s="47"/>
      <c r="AW133" s="47"/>
      <c r="AX133" s="47"/>
      <c r="AY133" s="47"/>
      <c r="AZ133" s="47"/>
      <c r="BA133" s="47"/>
      <c r="BB133" s="47"/>
      <c r="BC133" s="47"/>
      <c r="BD133" s="47"/>
      <c r="BE133" s="47"/>
      <c r="BF133" s="47"/>
      <c r="BG133" s="47"/>
      <c r="BH133" s="47"/>
      <c r="BI133" s="47"/>
      <c r="BJ133" s="47"/>
      <c r="BK133" s="47"/>
      <c r="BL133" s="47"/>
      <c r="BM133" s="47"/>
      <c r="BN133" s="49"/>
      <c r="BO133" s="47"/>
      <c r="BP133" s="47"/>
      <c r="BQ133" s="47"/>
      <c r="BR133" s="47"/>
      <c r="BS133" s="47"/>
      <c r="BT133" s="47"/>
      <c r="BU133" s="47"/>
      <c r="BV133" s="47"/>
      <c r="BW133" s="47"/>
      <c r="BX133" s="47"/>
      <c r="BY133" s="47"/>
      <c r="BZ133" s="47"/>
      <c r="CA133" s="47"/>
      <c r="CB133" s="47"/>
      <c r="CC133" s="47"/>
      <c r="CD133" s="47"/>
      <c r="CE133" s="47"/>
      <c r="CF133" s="47"/>
      <c r="CG133" s="49"/>
      <c r="CH133" s="47"/>
      <c r="CI133" s="47"/>
      <c r="CJ133" s="47"/>
      <c r="CK133" s="47"/>
      <c r="CL133" s="47"/>
      <c r="CM133" s="47"/>
      <c r="CN133" s="47"/>
      <c r="CO133" s="47"/>
      <c r="CP133" s="47"/>
      <c r="CQ133" s="47"/>
      <c r="CS133" s="47"/>
      <c r="CT133" s="47"/>
      <c r="CU133" s="47"/>
      <c r="CV133" s="47"/>
      <c r="CW133" s="47"/>
      <c r="CX133" s="47"/>
      <c r="CY133" s="47"/>
      <c r="CZ133" s="47"/>
      <c r="DA133" s="47"/>
      <c r="DB133" s="47"/>
      <c r="DC133" s="47"/>
      <c r="DD133" s="47"/>
      <c r="DE133" s="47"/>
      <c r="DF133" s="47"/>
      <c r="DG133" s="47"/>
      <c r="DH133" s="47"/>
      <c r="DI133" s="47"/>
      <c r="DJ133" s="47"/>
      <c r="DK133" s="47"/>
      <c r="DM133" s="47"/>
      <c r="DN133" s="47"/>
      <c r="DO133" s="47"/>
      <c r="DP133" s="47"/>
      <c r="DQ133" s="47"/>
      <c r="DR133" s="47"/>
      <c r="DS133" s="47"/>
      <c r="DT133" s="47"/>
      <c r="DU133" s="47"/>
      <c r="DV133" s="49"/>
      <c r="DW133" s="47"/>
      <c r="DX133" s="47"/>
      <c r="DY133" s="47"/>
      <c r="DZ133" s="47"/>
      <c r="EA133" s="47"/>
      <c r="EB133" s="47"/>
      <c r="EC133" s="47"/>
      <c r="ED133" s="47"/>
      <c r="EE133" s="47"/>
      <c r="EF133" s="47"/>
      <c r="EG133" s="47"/>
      <c r="EH133" s="47"/>
      <c r="EI133" s="47"/>
      <c r="EJ133" s="47"/>
      <c r="EK133" s="47"/>
      <c r="EL133" s="47"/>
      <c r="EM133" s="47"/>
      <c r="EN133" s="47"/>
      <c r="EO133" s="47"/>
      <c r="EP133" s="47"/>
      <c r="EQ133" s="47"/>
      <c r="ER133" s="47"/>
      <c r="ES133" s="47"/>
      <c r="ET133" s="47"/>
      <c r="EU133" s="47"/>
      <c r="EV133" s="47"/>
      <c r="EW133" s="47"/>
      <c r="EX133" s="47"/>
      <c r="EY133" s="47"/>
      <c r="EZ133" s="47"/>
      <c r="FA133" s="47"/>
      <c r="FB133" s="47"/>
      <c r="FC133" s="47"/>
      <c r="FD133" s="47"/>
      <c r="FE133" s="47"/>
      <c r="FF133" s="47"/>
      <c r="FG133" s="47"/>
      <c r="FH133" s="47"/>
      <c r="FI133" s="47"/>
      <c r="FJ133" s="49"/>
      <c r="FK133" s="47"/>
      <c r="FL133" s="47"/>
      <c r="FM133" s="47"/>
      <c r="FN133" s="47"/>
      <c r="FO133" s="47"/>
      <c r="FP133" s="47"/>
      <c r="FQ133" s="47"/>
      <c r="FR133" s="47"/>
      <c r="FS133" s="47"/>
      <c r="FT133" s="47"/>
      <c r="FU133" s="47"/>
      <c r="FV133" s="47"/>
      <c r="FW133" s="47"/>
      <c r="FX133" s="47"/>
      <c r="FY133" s="47"/>
      <c r="FZ133" s="47"/>
      <c r="GA133" s="47"/>
      <c r="GB133" s="47"/>
      <c r="GC133" s="47"/>
      <c r="GD133" s="47"/>
      <c r="GE133" s="47"/>
      <c r="GF133" s="47"/>
      <c r="GG133" s="47"/>
      <c r="GH133" s="47"/>
      <c r="GI133" s="47"/>
      <c r="GJ133" s="47"/>
      <c r="GK133" s="47"/>
      <c r="GL133" s="47"/>
      <c r="GM133" s="47"/>
      <c r="GN133" s="47"/>
      <c r="GO133" s="47"/>
      <c r="GP133" s="47"/>
      <c r="GQ133" s="47"/>
      <c r="GR133" s="47"/>
      <c r="GS133" s="47"/>
      <c r="GT133" s="47"/>
      <c r="GU133" s="47"/>
      <c r="GV133" s="47"/>
      <c r="GW133" s="47"/>
      <c r="GX133" s="47"/>
      <c r="GY133" s="47"/>
      <c r="GZ133" s="47"/>
      <c r="HA133" s="47"/>
      <c r="HB133" s="47"/>
      <c r="HC133" s="47"/>
      <c r="HD133" s="47"/>
      <c r="HE133" s="47"/>
      <c r="HF133" s="47"/>
      <c r="HI133" s="47"/>
      <c r="HJ133" s="47"/>
      <c r="HK133" s="47"/>
      <c r="HL133" s="47"/>
      <c r="HM133" s="47"/>
      <c r="HN133" s="47"/>
      <c r="HO133" s="47"/>
      <c r="HP133" s="47"/>
      <c r="HS133" s="47"/>
      <c r="HT133" s="47"/>
      <c r="HU133" s="47"/>
      <c r="HV133" s="47"/>
      <c r="HW133" s="47"/>
      <c r="HX133" s="47"/>
      <c r="HY133" s="47"/>
      <c r="HZ133" s="47"/>
      <c r="IC133" s="47"/>
      <c r="ID133" s="47"/>
      <c r="IE133" s="47"/>
      <c r="IF133" s="47"/>
      <c r="IG133" s="47"/>
      <c r="IH133" s="47"/>
      <c r="II133" s="47"/>
      <c r="IJ133" s="47"/>
      <c r="IM133" s="47"/>
      <c r="IN133" s="47"/>
      <c r="IO133" s="47"/>
      <c r="IP133" s="47"/>
      <c r="IQ133" s="47"/>
      <c r="IR133" s="47"/>
      <c r="IS133" s="47"/>
      <c r="IT133" s="47"/>
      <c r="IW133" s="47"/>
      <c r="IX133" s="47"/>
      <c r="IY133" s="47"/>
      <c r="IZ133" s="47"/>
      <c r="JA133" s="47"/>
      <c r="JB133" s="47"/>
      <c r="JC133" s="47"/>
      <c r="JD133" s="47"/>
      <c r="JG133" s="47"/>
      <c r="JH133" s="47"/>
      <c r="JI133" s="47"/>
      <c r="JJ133" s="47"/>
      <c r="JK133" s="47"/>
      <c r="JL133" s="47"/>
      <c r="JM133" s="47"/>
      <c r="JN133" s="47"/>
      <c r="JQ133" s="47"/>
      <c r="JR133" s="47"/>
      <c r="JS133" s="47"/>
      <c r="JT133" s="47"/>
      <c r="JU133" s="47"/>
      <c r="JV133" s="47"/>
      <c r="JW133" s="47"/>
      <c r="JX133" s="47"/>
      <c r="KA133" s="47"/>
      <c r="KB133" s="47"/>
      <c r="KC133" s="47"/>
      <c r="KD133" s="47"/>
      <c r="KE133" s="47"/>
      <c r="KF133" s="47"/>
      <c r="KG133" s="47"/>
      <c r="KH133" s="47"/>
      <c r="KK133" s="47"/>
      <c r="KL133" s="47"/>
      <c r="KM133" s="47"/>
      <c r="KN133" s="47"/>
      <c r="KO133" s="47"/>
      <c r="KP133" s="47"/>
      <c r="KQ133" s="47"/>
      <c r="KR133" s="47"/>
      <c r="KU133" s="47"/>
      <c r="KV133" s="47"/>
      <c r="KW133" s="47"/>
      <c r="KX133" s="47"/>
      <c r="KY133" s="47"/>
      <c r="KZ133" s="47"/>
      <c r="LA133" s="47"/>
      <c r="LB133" s="47"/>
    </row>
    <row r="134" spans="29:314" x14ac:dyDescent="0.25">
      <c r="AC134" s="47"/>
      <c r="AD134" s="47"/>
      <c r="AE134" s="47"/>
      <c r="AF134" s="47"/>
      <c r="AG134" s="49"/>
      <c r="AH134" s="47"/>
      <c r="AI134" s="47"/>
      <c r="AJ134" s="47"/>
      <c r="AK134" s="47"/>
      <c r="AL134" s="47"/>
      <c r="AM134" s="47"/>
      <c r="AN134" s="47"/>
      <c r="AO134" s="47"/>
      <c r="AP134" s="47"/>
      <c r="AQ134" s="47"/>
      <c r="AR134" s="47"/>
      <c r="AS134" s="47"/>
      <c r="AT134" s="47"/>
      <c r="AU134" s="47"/>
      <c r="AV134" s="47"/>
      <c r="AW134" s="47"/>
      <c r="AX134" s="47"/>
      <c r="AY134" s="47"/>
      <c r="AZ134" s="47"/>
      <c r="BA134" s="47"/>
      <c r="BB134" s="47"/>
      <c r="BC134" s="47"/>
      <c r="BD134" s="47"/>
      <c r="BE134" s="47"/>
      <c r="BF134" s="47"/>
      <c r="BG134" s="47"/>
      <c r="BH134" s="47"/>
      <c r="BI134" s="47"/>
      <c r="BJ134" s="47"/>
      <c r="BK134" s="47"/>
      <c r="BL134" s="47"/>
      <c r="BM134" s="47"/>
      <c r="BN134" s="49"/>
      <c r="BO134" s="47"/>
      <c r="BP134" s="47"/>
      <c r="BQ134" s="47"/>
      <c r="BR134" s="47"/>
      <c r="BS134" s="47"/>
      <c r="BT134" s="47"/>
      <c r="BU134" s="47"/>
      <c r="BV134" s="47"/>
      <c r="BW134" s="47"/>
      <c r="BX134" s="47"/>
      <c r="BY134" s="47"/>
      <c r="BZ134" s="47"/>
      <c r="CA134" s="47"/>
      <c r="CB134" s="47"/>
      <c r="CC134" s="47"/>
      <c r="CD134" s="47"/>
      <c r="CE134" s="47"/>
      <c r="CF134" s="47"/>
      <c r="CG134" s="49"/>
      <c r="CH134" s="47"/>
      <c r="CI134" s="47"/>
      <c r="CJ134" s="47"/>
      <c r="CK134" s="47"/>
      <c r="CL134" s="47"/>
      <c r="CM134" s="47"/>
      <c r="CN134" s="47"/>
      <c r="CO134" s="47"/>
      <c r="CP134" s="47"/>
      <c r="CQ134" s="47"/>
      <c r="CS134" s="47"/>
      <c r="CT134" s="47"/>
      <c r="CU134" s="47"/>
      <c r="CV134" s="47"/>
      <c r="CW134" s="47"/>
      <c r="CX134" s="47"/>
      <c r="CY134" s="47"/>
      <c r="CZ134" s="47"/>
      <c r="DA134" s="47"/>
      <c r="DB134" s="47"/>
      <c r="DC134" s="47"/>
      <c r="DD134" s="47"/>
      <c r="DE134" s="47"/>
      <c r="DF134" s="47"/>
      <c r="DG134" s="47"/>
      <c r="DH134" s="47"/>
      <c r="DI134" s="47"/>
      <c r="DJ134" s="47"/>
      <c r="DK134" s="47"/>
      <c r="DM134" s="47"/>
      <c r="DN134" s="47"/>
      <c r="DO134" s="47"/>
      <c r="DP134" s="47"/>
      <c r="DQ134" s="47"/>
      <c r="DR134" s="47"/>
      <c r="DS134" s="47"/>
      <c r="DT134" s="47"/>
      <c r="DU134" s="47"/>
      <c r="DV134" s="49"/>
      <c r="DW134" s="47"/>
      <c r="DX134" s="47"/>
      <c r="DY134" s="47"/>
      <c r="DZ134" s="47"/>
      <c r="EA134" s="47"/>
      <c r="EB134" s="47"/>
      <c r="EC134" s="47"/>
      <c r="ED134" s="47"/>
      <c r="EE134" s="47"/>
      <c r="EF134" s="47"/>
      <c r="EG134" s="47"/>
      <c r="EH134" s="47"/>
      <c r="EI134" s="47"/>
      <c r="EJ134" s="47"/>
      <c r="EK134" s="47"/>
      <c r="EL134" s="47"/>
      <c r="EM134" s="47"/>
      <c r="EN134" s="47"/>
      <c r="EO134" s="47"/>
      <c r="EP134" s="47"/>
      <c r="EQ134" s="47"/>
      <c r="ER134" s="47"/>
      <c r="ES134" s="47"/>
      <c r="ET134" s="47"/>
      <c r="EU134" s="47"/>
      <c r="EV134" s="47"/>
      <c r="EW134" s="47"/>
      <c r="EX134" s="47"/>
      <c r="EY134" s="47"/>
      <c r="EZ134" s="47"/>
      <c r="FA134" s="47"/>
      <c r="FB134" s="47"/>
      <c r="FC134" s="47"/>
      <c r="FD134" s="47"/>
      <c r="FE134" s="47"/>
      <c r="FF134" s="47"/>
      <c r="FG134" s="47"/>
      <c r="FH134" s="47"/>
      <c r="FI134" s="47"/>
      <c r="FJ134" s="49"/>
      <c r="FK134" s="47"/>
      <c r="FL134" s="47"/>
      <c r="FM134" s="47"/>
      <c r="FN134" s="47"/>
      <c r="FO134" s="47"/>
      <c r="FP134" s="47"/>
      <c r="FQ134" s="47"/>
      <c r="FR134" s="47"/>
      <c r="FS134" s="47"/>
      <c r="FT134" s="47"/>
      <c r="FU134" s="47"/>
      <c r="FV134" s="47"/>
      <c r="FW134" s="47"/>
      <c r="FX134" s="47"/>
      <c r="FY134" s="47"/>
      <c r="FZ134" s="47"/>
      <c r="GA134" s="47"/>
      <c r="GB134" s="47"/>
      <c r="GC134" s="47"/>
      <c r="GD134" s="47"/>
      <c r="GE134" s="47"/>
      <c r="GF134" s="47"/>
      <c r="GG134" s="47"/>
      <c r="GH134" s="47"/>
      <c r="GI134" s="47"/>
      <c r="GJ134" s="47"/>
      <c r="GK134" s="47"/>
      <c r="GL134" s="47"/>
      <c r="GM134" s="47"/>
      <c r="GN134" s="47"/>
      <c r="GO134" s="47"/>
      <c r="GP134" s="47"/>
      <c r="GQ134" s="47"/>
      <c r="GR134" s="47"/>
      <c r="GS134" s="47"/>
      <c r="GT134" s="47"/>
      <c r="GU134" s="47"/>
      <c r="GV134" s="47"/>
      <c r="GW134" s="47"/>
      <c r="GX134" s="47"/>
      <c r="GY134" s="47"/>
      <c r="GZ134" s="47"/>
      <c r="HA134" s="47"/>
      <c r="HB134" s="47"/>
      <c r="HC134" s="47"/>
      <c r="HD134" s="47"/>
      <c r="HE134" s="47"/>
      <c r="HF134" s="47"/>
      <c r="HI134" s="47"/>
      <c r="HJ134" s="47"/>
      <c r="HK134" s="47"/>
      <c r="HL134" s="47"/>
      <c r="HM134" s="47"/>
      <c r="HN134" s="47"/>
      <c r="HO134" s="47"/>
      <c r="HP134" s="47"/>
      <c r="HS134" s="47"/>
      <c r="HT134" s="47"/>
      <c r="HU134" s="47"/>
      <c r="HV134" s="47"/>
      <c r="HW134" s="47"/>
      <c r="HX134" s="47"/>
      <c r="HY134" s="47"/>
      <c r="HZ134" s="47"/>
      <c r="IC134" s="47"/>
      <c r="ID134" s="47"/>
      <c r="IE134" s="47"/>
      <c r="IF134" s="47"/>
      <c r="IG134" s="47"/>
      <c r="IH134" s="47"/>
      <c r="II134" s="47"/>
      <c r="IJ134" s="47"/>
      <c r="IM134" s="47"/>
      <c r="IN134" s="47"/>
      <c r="IO134" s="47"/>
      <c r="IP134" s="47"/>
      <c r="IQ134" s="47"/>
      <c r="IR134" s="47"/>
      <c r="IS134" s="47"/>
      <c r="IT134" s="47"/>
      <c r="IW134" s="47"/>
      <c r="IX134" s="47"/>
      <c r="IY134" s="47"/>
      <c r="IZ134" s="47"/>
      <c r="JA134" s="47"/>
      <c r="JB134" s="47"/>
      <c r="JC134" s="47"/>
      <c r="JD134" s="47"/>
      <c r="JG134" s="47"/>
      <c r="JH134" s="47"/>
      <c r="JI134" s="47"/>
      <c r="JJ134" s="47"/>
      <c r="JK134" s="47"/>
      <c r="JL134" s="47"/>
      <c r="JM134" s="47"/>
      <c r="JN134" s="47"/>
      <c r="JQ134" s="47"/>
      <c r="JR134" s="47"/>
      <c r="JS134" s="47"/>
      <c r="JT134" s="47"/>
      <c r="JU134" s="47"/>
      <c r="JV134" s="47"/>
      <c r="JW134" s="47"/>
      <c r="JX134" s="47"/>
      <c r="KA134" s="47"/>
      <c r="KB134" s="47"/>
      <c r="KC134" s="47"/>
      <c r="KD134" s="47"/>
      <c r="KE134" s="47"/>
      <c r="KF134" s="47"/>
      <c r="KG134" s="47"/>
      <c r="KH134" s="47"/>
      <c r="KK134" s="47"/>
      <c r="KL134" s="47"/>
      <c r="KM134" s="47"/>
      <c r="KN134" s="47"/>
      <c r="KO134" s="47"/>
      <c r="KP134" s="47"/>
      <c r="KQ134" s="47"/>
      <c r="KR134" s="47"/>
      <c r="KU134" s="47"/>
      <c r="KV134" s="47"/>
      <c r="KW134" s="47"/>
      <c r="KX134" s="47"/>
      <c r="KY134" s="47"/>
      <c r="KZ134" s="47"/>
      <c r="LA134" s="47"/>
      <c r="LB134" s="47"/>
    </row>
    <row r="135" spans="29:314" x14ac:dyDescent="0.25">
      <c r="AC135" s="47"/>
      <c r="AD135" s="47"/>
      <c r="AE135" s="47"/>
      <c r="AF135" s="47"/>
      <c r="AG135" s="49"/>
      <c r="AH135" s="47"/>
      <c r="AI135" s="47"/>
      <c r="AJ135" s="47"/>
      <c r="AK135" s="47"/>
      <c r="AL135" s="47"/>
      <c r="AM135" s="47"/>
      <c r="AN135" s="47"/>
      <c r="AO135" s="47"/>
      <c r="AP135" s="47"/>
      <c r="AQ135" s="47"/>
      <c r="AR135" s="47"/>
      <c r="AS135" s="47"/>
      <c r="AT135" s="47"/>
      <c r="AU135" s="47"/>
      <c r="AV135" s="47"/>
      <c r="AW135" s="47"/>
      <c r="AX135" s="47"/>
      <c r="AY135" s="47"/>
      <c r="AZ135" s="47"/>
      <c r="BA135" s="47"/>
      <c r="BB135" s="47"/>
      <c r="BC135" s="47"/>
      <c r="BD135" s="47"/>
      <c r="BE135" s="47"/>
      <c r="BF135" s="47"/>
      <c r="BG135" s="47"/>
      <c r="BH135" s="47"/>
      <c r="BI135" s="47"/>
      <c r="BJ135" s="47"/>
      <c r="BK135" s="47"/>
      <c r="BL135" s="47"/>
      <c r="BM135" s="47"/>
      <c r="BN135" s="49"/>
      <c r="BO135" s="47"/>
      <c r="BP135" s="47"/>
      <c r="BQ135" s="47"/>
      <c r="BR135" s="47"/>
      <c r="BS135" s="47"/>
      <c r="BT135" s="47"/>
      <c r="BU135" s="47"/>
      <c r="BV135" s="47"/>
      <c r="BW135" s="47"/>
      <c r="BX135" s="47"/>
      <c r="BY135" s="47"/>
      <c r="BZ135" s="47"/>
      <c r="CA135" s="47"/>
      <c r="CB135" s="47"/>
      <c r="CC135" s="47"/>
      <c r="CD135" s="47"/>
      <c r="CE135" s="47"/>
      <c r="CF135" s="47"/>
      <c r="CG135" s="49"/>
      <c r="CH135" s="47"/>
      <c r="CI135" s="47"/>
      <c r="CJ135" s="47"/>
      <c r="CK135" s="47"/>
      <c r="CL135" s="47"/>
      <c r="CM135" s="47"/>
      <c r="CN135" s="47"/>
      <c r="CO135" s="47"/>
      <c r="CP135" s="47"/>
      <c r="CQ135" s="47"/>
      <c r="CS135" s="47"/>
      <c r="CT135" s="47"/>
      <c r="CU135" s="47"/>
      <c r="CV135" s="47"/>
      <c r="CW135" s="47"/>
      <c r="CX135" s="47"/>
      <c r="CY135" s="47"/>
      <c r="CZ135" s="47"/>
      <c r="DA135" s="47"/>
      <c r="DB135" s="47"/>
      <c r="DC135" s="47"/>
      <c r="DD135" s="47"/>
      <c r="DE135" s="47"/>
      <c r="DF135" s="47"/>
      <c r="DG135" s="47"/>
      <c r="DH135" s="47"/>
      <c r="DI135" s="47"/>
      <c r="DJ135" s="47"/>
      <c r="DK135" s="47"/>
      <c r="DM135" s="47"/>
      <c r="DN135" s="47"/>
      <c r="DO135" s="47"/>
      <c r="DP135" s="47"/>
      <c r="DQ135" s="47"/>
      <c r="DR135" s="47"/>
      <c r="DS135" s="47"/>
      <c r="DT135" s="47"/>
      <c r="DU135" s="47"/>
      <c r="DV135" s="49"/>
      <c r="DW135" s="47"/>
      <c r="DX135" s="47"/>
      <c r="DY135" s="47"/>
      <c r="DZ135" s="47"/>
      <c r="EA135" s="47"/>
      <c r="EB135" s="47"/>
      <c r="EC135" s="47"/>
      <c r="ED135" s="47"/>
      <c r="EE135" s="47"/>
      <c r="EF135" s="47"/>
      <c r="EG135" s="47"/>
      <c r="EH135" s="47"/>
      <c r="EI135" s="47"/>
      <c r="EJ135" s="47"/>
      <c r="EK135" s="47"/>
      <c r="EL135" s="47"/>
      <c r="EM135" s="47"/>
      <c r="EN135" s="47"/>
      <c r="EO135" s="47"/>
      <c r="EP135" s="47"/>
      <c r="EQ135" s="47"/>
      <c r="ER135" s="47"/>
      <c r="ES135" s="47"/>
      <c r="ET135" s="47"/>
      <c r="EU135" s="47"/>
      <c r="EV135" s="47"/>
      <c r="EW135" s="47"/>
      <c r="EX135" s="47"/>
      <c r="EY135" s="47"/>
      <c r="EZ135" s="47"/>
      <c r="FA135" s="47"/>
      <c r="FB135" s="47"/>
      <c r="FC135" s="47"/>
      <c r="FD135" s="47"/>
      <c r="FE135" s="47"/>
      <c r="FF135" s="47"/>
      <c r="FG135" s="47"/>
      <c r="FH135" s="47"/>
      <c r="FI135" s="47"/>
      <c r="FJ135" s="49"/>
      <c r="FK135" s="47"/>
      <c r="FL135" s="47"/>
      <c r="FM135" s="47"/>
      <c r="FN135" s="47"/>
      <c r="FO135" s="47"/>
      <c r="FP135" s="47"/>
      <c r="FQ135" s="47"/>
      <c r="FR135" s="47"/>
      <c r="FS135" s="47"/>
      <c r="FT135" s="47"/>
      <c r="FU135" s="47"/>
      <c r="FV135" s="47"/>
      <c r="FW135" s="47"/>
      <c r="FX135" s="47"/>
      <c r="FY135" s="47"/>
      <c r="FZ135" s="47"/>
      <c r="GA135" s="47"/>
      <c r="GB135" s="47"/>
      <c r="GC135" s="47"/>
      <c r="GD135" s="47"/>
      <c r="GE135" s="47"/>
      <c r="GF135" s="47"/>
      <c r="GG135" s="47"/>
      <c r="GH135" s="47"/>
      <c r="GI135" s="47"/>
      <c r="GJ135" s="47"/>
      <c r="GK135" s="47"/>
      <c r="GL135" s="47"/>
      <c r="GM135" s="47"/>
      <c r="GN135" s="47"/>
      <c r="GO135" s="47"/>
      <c r="GP135" s="47"/>
      <c r="GQ135" s="47"/>
      <c r="GR135" s="47"/>
      <c r="GS135" s="47"/>
      <c r="GT135" s="47"/>
      <c r="GU135" s="47"/>
      <c r="GV135" s="47"/>
      <c r="GW135" s="47"/>
      <c r="GX135" s="47"/>
      <c r="GY135" s="47"/>
      <c r="GZ135" s="47"/>
      <c r="HA135" s="47"/>
      <c r="HB135" s="47"/>
      <c r="HC135" s="47"/>
      <c r="HD135" s="47"/>
      <c r="HE135" s="47"/>
      <c r="HF135" s="47"/>
      <c r="HI135" s="47"/>
      <c r="HJ135" s="47"/>
      <c r="HK135" s="47"/>
      <c r="HL135" s="47"/>
      <c r="HM135" s="47"/>
      <c r="HN135" s="47"/>
      <c r="HO135" s="47"/>
      <c r="HP135" s="47"/>
      <c r="HS135" s="47"/>
      <c r="HT135" s="47"/>
      <c r="HU135" s="47"/>
      <c r="HV135" s="47"/>
      <c r="HW135" s="47"/>
      <c r="HX135" s="47"/>
      <c r="HY135" s="47"/>
      <c r="HZ135" s="47"/>
      <c r="IC135" s="47"/>
      <c r="ID135" s="47"/>
      <c r="IE135" s="47"/>
      <c r="IF135" s="47"/>
      <c r="IG135" s="47"/>
      <c r="IH135" s="47"/>
      <c r="II135" s="47"/>
      <c r="IJ135" s="47"/>
      <c r="IM135" s="47"/>
      <c r="IN135" s="47"/>
      <c r="IO135" s="47"/>
      <c r="IP135" s="47"/>
      <c r="IQ135" s="47"/>
      <c r="IR135" s="47"/>
      <c r="IS135" s="47"/>
      <c r="IT135" s="47"/>
      <c r="IW135" s="47"/>
      <c r="IX135" s="47"/>
      <c r="IY135" s="47"/>
      <c r="IZ135" s="47"/>
      <c r="JA135" s="47"/>
      <c r="JB135" s="47"/>
      <c r="JC135" s="47"/>
      <c r="JD135" s="47"/>
      <c r="JG135" s="47"/>
      <c r="JH135" s="47"/>
      <c r="JI135" s="47"/>
      <c r="JJ135" s="47"/>
      <c r="JK135" s="47"/>
      <c r="JL135" s="47"/>
      <c r="JM135" s="47"/>
      <c r="JN135" s="47"/>
      <c r="JQ135" s="47"/>
      <c r="JR135" s="47"/>
      <c r="JS135" s="47"/>
      <c r="JT135" s="47"/>
      <c r="JU135" s="47"/>
      <c r="JV135" s="47"/>
      <c r="JW135" s="47"/>
      <c r="JX135" s="47"/>
      <c r="KA135" s="47"/>
      <c r="KB135" s="47"/>
      <c r="KC135" s="47"/>
      <c r="KD135" s="47"/>
      <c r="KE135" s="47"/>
      <c r="KF135" s="47"/>
      <c r="KG135" s="47"/>
      <c r="KH135" s="47"/>
      <c r="KK135" s="47"/>
      <c r="KL135" s="47"/>
      <c r="KM135" s="47"/>
      <c r="KN135" s="47"/>
      <c r="KO135" s="47"/>
      <c r="KP135" s="47"/>
      <c r="KQ135" s="47"/>
      <c r="KR135" s="47"/>
      <c r="KU135" s="47"/>
      <c r="KV135" s="47"/>
      <c r="KW135" s="47"/>
      <c r="KX135" s="47"/>
      <c r="KY135" s="47"/>
      <c r="KZ135" s="47"/>
      <c r="LA135" s="47"/>
      <c r="LB135" s="47"/>
    </row>
    <row r="136" spans="29:314" x14ac:dyDescent="0.25">
      <c r="AC136" s="47"/>
      <c r="AD136" s="47"/>
      <c r="AE136" s="47"/>
      <c r="AF136" s="47"/>
      <c r="AG136" s="49"/>
      <c r="AH136" s="47"/>
      <c r="AI136" s="47"/>
      <c r="AJ136" s="47"/>
      <c r="AK136" s="47"/>
      <c r="AL136" s="47"/>
      <c r="AM136" s="47"/>
      <c r="AN136" s="47"/>
      <c r="AO136" s="47"/>
      <c r="AP136" s="47"/>
      <c r="AQ136" s="47"/>
      <c r="AR136" s="47"/>
      <c r="AS136" s="47"/>
      <c r="AT136" s="47"/>
      <c r="AU136" s="47"/>
      <c r="AV136" s="47"/>
      <c r="AW136" s="47"/>
      <c r="AX136" s="47"/>
      <c r="AY136" s="47"/>
      <c r="AZ136" s="47"/>
      <c r="BA136" s="47"/>
      <c r="BB136" s="47"/>
      <c r="BC136" s="47"/>
      <c r="BD136" s="47"/>
      <c r="BE136" s="47"/>
      <c r="BF136" s="47"/>
      <c r="BG136" s="47"/>
      <c r="BH136" s="47"/>
      <c r="BI136" s="47"/>
      <c r="BJ136" s="47"/>
      <c r="BK136" s="47"/>
      <c r="BL136" s="47"/>
      <c r="BM136" s="47"/>
      <c r="BN136" s="49"/>
      <c r="BO136" s="47"/>
      <c r="BP136" s="47"/>
      <c r="BQ136" s="47"/>
      <c r="BR136" s="47"/>
      <c r="BS136" s="47"/>
      <c r="BT136" s="47"/>
      <c r="BU136" s="47"/>
      <c r="BV136" s="47"/>
      <c r="BW136" s="47"/>
      <c r="BX136" s="47"/>
      <c r="BY136" s="47"/>
      <c r="BZ136" s="47"/>
      <c r="CA136" s="47"/>
      <c r="CB136" s="47"/>
      <c r="CC136" s="47"/>
      <c r="CD136" s="47"/>
      <c r="CE136" s="47"/>
      <c r="CF136" s="47"/>
      <c r="CG136" s="49"/>
      <c r="CH136" s="47"/>
      <c r="CI136" s="47"/>
      <c r="CJ136" s="47"/>
      <c r="CK136" s="47"/>
      <c r="CL136" s="47"/>
      <c r="CM136" s="47"/>
      <c r="CN136" s="47"/>
      <c r="CO136" s="47"/>
      <c r="CP136" s="47"/>
      <c r="CQ136" s="47"/>
      <c r="CS136" s="47"/>
      <c r="CT136" s="47"/>
      <c r="CU136" s="47"/>
      <c r="CV136" s="47"/>
      <c r="CW136" s="47"/>
      <c r="CX136" s="47"/>
      <c r="CY136" s="47"/>
      <c r="CZ136" s="47"/>
      <c r="DA136" s="47"/>
      <c r="DB136" s="47"/>
      <c r="DC136" s="47"/>
      <c r="DD136" s="47"/>
      <c r="DE136" s="47"/>
      <c r="DF136" s="47"/>
      <c r="DG136" s="47"/>
      <c r="DH136" s="47"/>
      <c r="DI136" s="47"/>
      <c r="DJ136" s="47"/>
      <c r="DK136" s="47"/>
      <c r="DM136" s="47"/>
      <c r="DN136" s="47"/>
      <c r="DO136" s="47"/>
      <c r="DP136" s="47"/>
      <c r="DQ136" s="47"/>
      <c r="DR136" s="47"/>
      <c r="DS136" s="47"/>
      <c r="DT136" s="47"/>
      <c r="DU136" s="47"/>
      <c r="DV136" s="49"/>
      <c r="DW136" s="47"/>
      <c r="DX136" s="47"/>
      <c r="DY136" s="47"/>
      <c r="DZ136" s="47"/>
      <c r="EA136" s="47"/>
      <c r="EB136" s="47"/>
      <c r="EC136" s="47"/>
      <c r="ED136" s="47"/>
      <c r="EE136" s="47"/>
      <c r="EF136" s="47"/>
      <c r="EG136" s="47"/>
      <c r="EH136" s="47"/>
      <c r="EI136" s="47"/>
      <c r="EJ136" s="47"/>
      <c r="EK136" s="47"/>
      <c r="EL136" s="47"/>
      <c r="EM136" s="47"/>
      <c r="EN136" s="47"/>
      <c r="EO136" s="47"/>
      <c r="EP136" s="47"/>
      <c r="EQ136" s="47"/>
      <c r="ER136" s="47"/>
      <c r="ES136" s="47"/>
      <c r="ET136" s="47"/>
      <c r="EU136" s="47"/>
      <c r="EV136" s="47"/>
      <c r="EW136" s="47"/>
      <c r="EX136" s="47"/>
      <c r="EY136" s="47"/>
      <c r="EZ136" s="47"/>
      <c r="FA136" s="47"/>
      <c r="FB136" s="47"/>
      <c r="FC136" s="47"/>
      <c r="FD136" s="47"/>
      <c r="FE136" s="47"/>
      <c r="FF136" s="47"/>
      <c r="FG136" s="47"/>
      <c r="FH136" s="47"/>
      <c r="FI136" s="47"/>
      <c r="FJ136" s="49"/>
      <c r="FK136" s="47"/>
      <c r="FL136" s="47"/>
      <c r="FM136" s="47"/>
      <c r="FN136" s="47"/>
      <c r="FO136" s="47"/>
      <c r="FP136" s="47"/>
      <c r="FQ136" s="47"/>
      <c r="FR136" s="47"/>
      <c r="FS136" s="47"/>
      <c r="FT136" s="47"/>
      <c r="FU136" s="47"/>
      <c r="FV136" s="47"/>
      <c r="FW136" s="47"/>
      <c r="FX136" s="47"/>
      <c r="FY136" s="47"/>
      <c r="FZ136" s="47"/>
      <c r="GA136" s="47"/>
      <c r="GB136" s="47"/>
      <c r="GC136" s="47"/>
      <c r="GD136" s="47"/>
      <c r="GE136" s="47"/>
      <c r="GF136" s="47"/>
      <c r="GG136" s="47"/>
      <c r="GH136" s="47"/>
      <c r="GI136" s="47"/>
      <c r="GJ136" s="47"/>
      <c r="GK136" s="47"/>
      <c r="GL136" s="47"/>
      <c r="GM136" s="47"/>
      <c r="GN136" s="47"/>
      <c r="GO136" s="47"/>
      <c r="GP136" s="47"/>
      <c r="GQ136" s="47"/>
      <c r="GR136" s="47"/>
      <c r="GS136" s="47"/>
      <c r="GT136" s="47"/>
      <c r="GU136" s="47"/>
      <c r="GV136" s="47"/>
      <c r="GW136" s="47"/>
      <c r="GX136" s="47"/>
      <c r="GY136" s="47"/>
      <c r="GZ136" s="47"/>
      <c r="HA136" s="47"/>
      <c r="HB136" s="47"/>
      <c r="HC136" s="47"/>
      <c r="HD136" s="47"/>
      <c r="HE136" s="47"/>
      <c r="HF136" s="47"/>
      <c r="HI136" s="47"/>
      <c r="HJ136" s="47"/>
      <c r="HK136" s="47"/>
      <c r="HL136" s="47"/>
      <c r="HM136" s="47"/>
      <c r="HN136" s="47"/>
      <c r="HO136" s="47"/>
      <c r="HP136" s="47"/>
      <c r="HS136" s="47"/>
      <c r="HT136" s="47"/>
      <c r="HU136" s="47"/>
      <c r="HV136" s="47"/>
      <c r="HW136" s="47"/>
      <c r="HX136" s="47"/>
      <c r="HY136" s="47"/>
      <c r="HZ136" s="47"/>
      <c r="IC136" s="47"/>
      <c r="ID136" s="47"/>
      <c r="IE136" s="47"/>
      <c r="IF136" s="47"/>
      <c r="IG136" s="47"/>
      <c r="IH136" s="47"/>
      <c r="II136" s="47"/>
      <c r="IJ136" s="47"/>
      <c r="IM136" s="47"/>
      <c r="IN136" s="47"/>
      <c r="IO136" s="47"/>
      <c r="IP136" s="47"/>
      <c r="IQ136" s="47"/>
      <c r="IR136" s="47"/>
      <c r="IS136" s="47"/>
      <c r="IT136" s="47"/>
      <c r="IW136" s="47"/>
      <c r="IX136" s="47"/>
      <c r="IY136" s="47"/>
      <c r="IZ136" s="47"/>
      <c r="JA136" s="47"/>
      <c r="JB136" s="47"/>
      <c r="JC136" s="47"/>
      <c r="JD136" s="47"/>
      <c r="JG136" s="47"/>
      <c r="JH136" s="47"/>
      <c r="JI136" s="47"/>
      <c r="JJ136" s="47"/>
      <c r="JK136" s="47"/>
      <c r="JL136" s="47"/>
      <c r="JM136" s="47"/>
      <c r="JN136" s="47"/>
      <c r="JQ136" s="47"/>
      <c r="JR136" s="47"/>
      <c r="JS136" s="47"/>
      <c r="JT136" s="47"/>
      <c r="JU136" s="47"/>
      <c r="JV136" s="47"/>
      <c r="JW136" s="47"/>
      <c r="JX136" s="47"/>
      <c r="KA136" s="47"/>
      <c r="KB136" s="47"/>
      <c r="KC136" s="47"/>
      <c r="KD136" s="47"/>
      <c r="KE136" s="47"/>
      <c r="KF136" s="47"/>
      <c r="KG136" s="47"/>
      <c r="KH136" s="47"/>
      <c r="KK136" s="47"/>
      <c r="KL136" s="47"/>
      <c r="KM136" s="47"/>
      <c r="KN136" s="47"/>
      <c r="KO136" s="47"/>
      <c r="KP136" s="47"/>
      <c r="KQ136" s="47"/>
      <c r="KR136" s="47"/>
      <c r="KU136" s="47"/>
      <c r="KV136" s="47"/>
      <c r="KW136" s="47"/>
      <c r="KX136" s="47"/>
      <c r="KY136" s="47"/>
      <c r="KZ136" s="47"/>
      <c r="LA136" s="47"/>
      <c r="LB136" s="47"/>
    </row>
    <row r="137" spans="29:314" x14ac:dyDescent="0.25">
      <c r="AC137" s="47"/>
      <c r="AD137" s="47"/>
      <c r="AE137" s="47"/>
      <c r="AF137" s="47"/>
      <c r="AG137" s="49"/>
      <c r="AH137" s="47"/>
      <c r="AI137" s="47"/>
      <c r="AJ137" s="47"/>
      <c r="AK137" s="47"/>
      <c r="AL137" s="47"/>
      <c r="AM137" s="47"/>
      <c r="AN137" s="47"/>
      <c r="AO137" s="47"/>
      <c r="AP137" s="47"/>
      <c r="AQ137" s="47"/>
      <c r="AR137" s="47"/>
      <c r="AS137" s="47"/>
      <c r="AT137" s="47"/>
      <c r="AU137" s="47"/>
      <c r="AV137" s="47"/>
      <c r="AW137" s="47"/>
      <c r="AX137" s="47"/>
      <c r="AY137" s="47"/>
      <c r="AZ137" s="47"/>
      <c r="BA137" s="47"/>
      <c r="BB137" s="47"/>
      <c r="BC137" s="47"/>
      <c r="BD137" s="47"/>
      <c r="BE137" s="47"/>
      <c r="BF137" s="47"/>
      <c r="BG137" s="47"/>
      <c r="BH137" s="47"/>
      <c r="BI137" s="47"/>
      <c r="BJ137" s="47"/>
      <c r="BK137" s="47"/>
      <c r="BL137" s="47"/>
      <c r="BM137" s="47"/>
      <c r="BN137" s="49"/>
      <c r="BO137" s="47"/>
      <c r="BP137" s="47"/>
      <c r="BQ137" s="47"/>
      <c r="BR137" s="47"/>
      <c r="BS137" s="47"/>
      <c r="BT137" s="47"/>
      <c r="BU137" s="47"/>
      <c r="BV137" s="47"/>
      <c r="BW137" s="47"/>
      <c r="BX137" s="47"/>
      <c r="BY137" s="47"/>
      <c r="BZ137" s="47"/>
      <c r="CA137" s="47"/>
      <c r="CB137" s="47"/>
      <c r="CC137" s="47"/>
      <c r="CD137" s="47"/>
      <c r="CE137" s="47"/>
      <c r="CF137" s="47"/>
      <c r="CG137" s="49"/>
      <c r="CH137" s="47"/>
      <c r="CI137" s="47"/>
      <c r="CJ137" s="47"/>
      <c r="CK137" s="47"/>
      <c r="CL137" s="47"/>
      <c r="CM137" s="47"/>
      <c r="CN137" s="47"/>
      <c r="CO137" s="47"/>
      <c r="CP137" s="47"/>
      <c r="CQ137" s="47"/>
      <c r="CS137" s="47"/>
      <c r="CT137" s="47"/>
      <c r="CU137" s="47"/>
      <c r="CV137" s="47"/>
      <c r="CW137" s="47"/>
      <c r="CX137" s="47"/>
      <c r="CY137" s="47"/>
      <c r="CZ137" s="47"/>
      <c r="DA137" s="47"/>
      <c r="DB137" s="47"/>
      <c r="DC137" s="47"/>
      <c r="DD137" s="47"/>
      <c r="DE137" s="47"/>
      <c r="DF137" s="47"/>
      <c r="DG137" s="47"/>
      <c r="DH137" s="47"/>
      <c r="DI137" s="47"/>
      <c r="DJ137" s="47"/>
      <c r="DK137" s="47"/>
      <c r="DM137" s="47"/>
      <c r="DN137" s="47"/>
      <c r="DO137" s="47"/>
      <c r="DP137" s="47"/>
      <c r="DQ137" s="47"/>
      <c r="DR137" s="47"/>
      <c r="DS137" s="47"/>
      <c r="DT137" s="47"/>
      <c r="DU137" s="47"/>
      <c r="DV137" s="49"/>
      <c r="DW137" s="47"/>
      <c r="DX137" s="47"/>
      <c r="DY137" s="47"/>
      <c r="DZ137" s="47"/>
      <c r="EA137" s="47"/>
      <c r="EB137" s="47"/>
      <c r="EC137" s="47"/>
      <c r="ED137" s="47"/>
      <c r="EE137" s="47"/>
      <c r="EF137" s="47"/>
      <c r="EG137" s="47"/>
      <c r="EH137" s="47"/>
      <c r="EI137" s="47"/>
      <c r="EJ137" s="47"/>
      <c r="EK137" s="47"/>
      <c r="EL137" s="47"/>
      <c r="EM137" s="47"/>
      <c r="EN137" s="47"/>
      <c r="EO137" s="47"/>
      <c r="EP137" s="47"/>
      <c r="EQ137" s="47"/>
      <c r="ER137" s="47"/>
      <c r="ES137" s="47"/>
      <c r="ET137" s="47"/>
      <c r="EU137" s="47"/>
      <c r="EV137" s="47"/>
      <c r="EW137" s="47"/>
      <c r="EX137" s="47"/>
      <c r="EY137" s="47"/>
      <c r="EZ137" s="47"/>
      <c r="FA137" s="47"/>
      <c r="FB137" s="47"/>
      <c r="FC137" s="47"/>
      <c r="FD137" s="47"/>
      <c r="FE137" s="47"/>
      <c r="FF137" s="47"/>
      <c r="FG137" s="47"/>
      <c r="FH137" s="47"/>
      <c r="FI137" s="47"/>
      <c r="FJ137" s="49"/>
      <c r="FK137" s="47"/>
      <c r="FL137" s="47"/>
      <c r="FM137" s="47"/>
      <c r="FN137" s="47"/>
      <c r="FO137" s="47"/>
      <c r="FP137" s="47"/>
      <c r="FQ137" s="47"/>
      <c r="FR137" s="47"/>
      <c r="FS137" s="47"/>
      <c r="FT137" s="47"/>
      <c r="FU137" s="47"/>
      <c r="FV137" s="47"/>
      <c r="FW137" s="47"/>
      <c r="FX137" s="47"/>
      <c r="FY137" s="47"/>
      <c r="FZ137" s="47"/>
      <c r="GA137" s="47"/>
      <c r="GB137" s="47"/>
      <c r="GC137" s="47"/>
      <c r="GD137" s="47"/>
      <c r="GE137" s="47"/>
      <c r="GF137" s="47"/>
      <c r="GG137" s="47"/>
      <c r="GH137" s="47"/>
      <c r="GI137" s="47"/>
      <c r="GJ137" s="47"/>
      <c r="GK137" s="47"/>
      <c r="GL137" s="47"/>
      <c r="GM137" s="47"/>
      <c r="GN137" s="47"/>
      <c r="GO137" s="47"/>
      <c r="GP137" s="47"/>
      <c r="GQ137" s="47"/>
      <c r="GR137" s="47"/>
      <c r="GS137" s="47"/>
      <c r="GT137" s="47"/>
      <c r="GU137" s="47"/>
      <c r="GV137" s="47"/>
      <c r="GW137" s="47"/>
      <c r="GX137" s="47"/>
      <c r="GY137" s="47"/>
      <c r="GZ137" s="47"/>
      <c r="HA137" s="47"/>
      <c r="HB137" s="47"/>
      <c r="HC137" s="47"/>
      <c r="HD137" s="47"/>
      <c r="HE137" s="47"/>
      <c r="HF137" s="47"/>
      <c r="HI137" s="47"/>
      <c r="HJ137" s="47"/>
      <c r="HK137" s="47"/>
      <c r="HL137" s="47"/>
      <c r="HM137" s="47"/>
      <c r="HN137" s="47"/>
      <c r="HO137" s="47"/>
      <c r="HP137" s="47"/>
      <c r="HS137" s="47"/>
      <c r="HT137" s="47"/>
      <c r="HU137" s="47"/>
      <c r="HV137" s="47"/>
      <c r="HW137" s="47"/>
      <c r="HX137" s="47"/>
      <c r="HY137" s="47"/>
      <c r="HZ137" s="47"/>
      <c r="IC137" s="47"/>
      <c r="ID137" s="47"/>
      <c r="IE137" s="47"/>
      <c r="IF137" s="47"/>
      <c r="IG137" s="47"/>
      <c r="IH137" s="47"/>
      <c r="II137" s="47"/>
      <c r="IJ137" s="47"/>
      <c r="IM137" s="47"/>
      <c r="IN137" s="47"/>
      <c r="IO137" s="47"/>
      <c r="IP137" s="47"/>
      <c r="IQ137" s="47"/>
      <c r="IR137" s="47"/>
      <c r="IS137" s="47"/>
      <c r="IT137" s="47"/>
      <c r="IW137" s="47"/>
      <c r="IX137" s="47"/>
      <c r="IY137" s="47"/>
      <c r="IZ137" s="47"/>
      <c r="JA137" s="47"/>
      <c r="JB137" s="47"/>
      <c r="JC137" s="47"/>
      <c r="JD137" s="47"/>
      <c r="JG137" s="47"/>
      <c r="JH137" s="47"/>
      <c r="JI137" s="47"/>
      <c r="JJ137" s="47"/>
      <c r="JK137" s="47"/>
      <c r="JL137" s="47"/>
      <c r="JM137" s="47"/>
      <c r="JN137" s="47"/>
      <c r="JQ137" s="47"/>
      <c r="JR137" s="47"/>
      <c r="JS137" s="47"/>
      <c r="JT137" s="47"/>
      <c r="JU137" s="47"/>
      <c r="JV137" s="47"/>
      <c r="JW137" s="47"/>
      <c r="JX137" s="47"/>
      <c r="KA137" s="47"/>
      <c r="KB137" s="47"/>
      <c r="KC137" s="47"/>
      <c r="KD137" s="47"/>
      <c r="KE137" s="47"/>
      <c r="KF137" s="47"/>
      <c r="KG137" s="47"/>
      <c r="KH137" s="47"/>
      <c r="KK137" s="47"/>
      <c r="KL137" s="47"/>
      <c r="KM137" s="47"/>
      <c r="KN137" s="47"/>
      <c r="KO137" s="47"/>
      <c r="KP137" s="47"/>
      <c r="KQ137" s="47"/>
      <c r="KR137" s="47"/>
      <c r="KU137" s="47"/>
      <c r="KV137" s="47"/>
      <c r="KW137" s="47"/>
      <c r="KX137" s="47"/>
      <c r="KY137" s="47"/>
      <c r="KZ137" s="47"/>
      <c r="LA137" s="47"/>
      <c r="LB137" s="47"/>
    </row>
    <row r="138" spans="29:314" x14ac:dyDescent="0.25">
      <c r="AC138" s="47"/>
      <c r="AD138" s="47"/>
      <c r="AE138" s="47"/>
      <c r="AF138" s="47"/>
      <c r="AG138" s="49"/>
      <c r="AH138" s="47"/>
      <c r="AI138" s="47"/>
      <c r="AJ138" s="47"/>
      <c r="AK138" s="47"/>
      <c r="AL138" s="47"/>
      <c r="AM138" s="47"/>
      <c r="AN138" s="47"/>
      <c r="AO138" s="47"/>
      <c r="AP138" s="47"/>
      <c r="AQ138" s="47"/>
      <c r="AR138" s="47"/>
      <c r="AS138" s="47"/>
      <c r="AT138" s="47"/>
      <c r="AU138" s="47"/>
      <c r="AV138" s="47"/>
      <c r="AW138" s="47"/>
      <c r="AX138" s="47"/>
      <c r="AY138" s="47"/>
      <c r="AZ138" s="47"/>
      <c r="BA138" s="47"/>
      <c r="BB138" s="47"/>
      <c r="BC138" s="47"/>
      <c r="BD138" s="47"/>
      <c r="BE138" s="47"/>
      <c r="BF138" s="47"/>
      <c r="BG138" s="47"/>
      <c r="BH138" s="47"/>
      <c r="BI138" s="47"/>
      <c r="BJ138" s="47"/>
      <c r="BK138" s="47"/>
      <c r="BL138" s="47"/>
      <c r="BM138" s="47"/>
      <c r="BN138" s="49"/>
      <c r="BO138" s="47"/>
      <c r="BP138" s="47"/>
      <c r="BQ138" s="47"/>
      <c r="BR138" s="47"/>
      <c r="BS138" s="47"/>
      <c r="BT138" s="47"/>
      <c r="BU138" s="47"/>
      <c r="BV138" s="47"/>
      <c r="BW138" s="47"/>
      <c r="BX138" s="47"/>
      <c r="BY138" s="47"/>
      <c r="BZ138" s="47"/>
      <c r="CA138" s="47"/>
      <c r="CB138" s="47"/>
      <c r="CC138" s="47"/>
      <c r="CD138" s="47"/>
      <c r="CE138" s="47"/>
      <c r="CF138" s="47"/>
      <c r="CG138" s="49"/>
      <c r="CH138" s="47"/>
      <c r="CI138" s="47"/>
      <c r="CJ138" s="47"/>
      <c r="CK138" s="47"/>
      <c r="CL138" s="47"/>
      <c r="CM138" s="47"/>
      <c r="CN138" s="47"/>
      <c r="CO138" s="47"/>
      <c r="CP138" s="47"/>
      <c r="CQ138" s="47"/>
      <c r="CS138" s="47"/>
      <c r="CT138" s="47"/>
      <c r="CU138" s="47"/>
      <c r="CV138" s="47"/>
      <c r="CW138" s="47"/>
      <c r="CX138" s="47"/>
      <c r="CY138" s="47"/>
      <c r="CZ138" s="47"/>
      <c r="DA138" s="47"/>
      <c r="DB138" s="47"/>
      <c r="DC138" s="47"/>
      <c r="DD138" s="47"/>
      <c r="DE138" s="47"/>
      <c r="DF138" s="47"/>
      <c r="DG138" s="47"/>
      <c r="DH138" s="47"/>
      <c r="DI138" s="47"/>
      <c r="DJ138" s="47"/>
      <c r="DK138" s="47"/>
      <c r="DM138" s="47"/>
      <c r="DN138" s="47"/>
      <c r="DO138" s="47"/>
      <c r="DP138" s="47"/>
      <c r="DQ138" s="47"/>
      <c r="DR138" s="47"/>
      <c r="DS138" s="47"/>
      <c r="DT138" s="47"/>
      <c r="DU138" s="47"/>
      <c r="DV138" s="49"/>
      <c r="DW138" s="47"/>
      <c r="DX138" s="47"/>
      <c r="DY138" s="47"/>
      <c r="DZ138" s="47"/>
      <c r="EA138" s="47"/>
      <c r="EB138" s="47"/>
      <c r="EC138" s="47"/>
      <c r="ED138" s="47"/>
      <c r="EE138" s="47"/>
      <c r="EF138" s="47"/>
      <c r="EG138" s="47"/>
      <c r="EH138" s="47"/>
      <c r="EI138" s="47"/>
      <c r="EJ138" s="47"/>
      <c r="EK138" s="47"/>
      <c r="EL138" s="47"/>
      <c r="EM138" s="47"/>
      <c r="EN138" s="47"/>
      <c r="EO138" s="47"/>
      <c r="EP138" s="47"/>
      <c r="EQ138" s="47"/>
      <c r="ER138" s="47"/>
      <c r="ES138" s="47"/>
      <c r="ET138" s="47"/>
      <c r="EU138" s="47"/>
      <c r="EV138" s="47"/>
      <c r="EW138" s="47"/>
      <c r="EX138" s="47"/>
      <c r="EY138" s="47"/>
      <c r="EZ138" s="47"/>
      <c r="FA138" s="47"/>
      <c r="FB138" s="47"/>
      <c r="FC138" s="47"/>
      <c r="FD138" s="47"/>
      <c r="FE138" s="47"/>
      <c r="FF138" s="47"/>
      <c r="FG138" s="47"/>
      <c r="FH138" s="47"/>
      <c r="FI138" s="47"/>
      <c r="FJ138" s="49"/>
      <c r="FK138" s="47"/>
      <c r="FL138" s="47"/>
      <c r="FM138" s="47"/>
      <c r="FN138" s="47"/>
      <c r="FO138" s="47"/>
      <c r="FP138" s="47"/>
      <c r="FQ138" s="47"/>
      <c r="FR138" s="47"/>
      <c r="FS138" s="47"/>
      <c r="FT138" s="47"/>
      <c r="FU138" s="47"/>
      <c r="FV138" s="47"/>
      <c r="FW138" s="47"/>
      <c r="FX138" s="47"/>
      <c r="FY138" s="47"/>
      <c r="FZ138" s="47"/>
      <c r="GA138" s="47"/>
      <c r="GB138" s="47"/>
      <c r="GC138" s="47"/>
      <c r="GD138" s="47"/>
      <c r="GE138" s="47"/>
      <c r="GF138" s="47"/>
      <c r="GG138" s="47"/>
      <c r="GH138" s="47"/>
      <c r="GI138" s="47"/>
      <c r="GJ138" s="47"/>
      <c r="GK138" s="47"/>
      <c r="GL138" s="47"/>
      <c r="GM138" s="47"/>
      <c r="GN138" s="47"/>
      <c r="GO138" s="47"/>
      <c r="GP138" s="47"/>
      <c r="GQ138" s="47"/>
      <c r="GR138" s="47"/>
      <c r="GS138" s="47"/>
      <c r="GT138" s="47"/>
      <c r="GU138" s="47"/>
      <c r="GV138" s="47"/>
      <c r="GW138" s="47"/>
      <c r="GX138" s="47"/>
      <c r="GY138" s="47"/>
      <c r="GZ138" s="47"/>
      <c r="HA138" s="47"/>
      <c r="HB138" s="47"/>
      <c r="HC138" s="47"/>
      <c r="HD138" s="47"/>
      <c r="HE138" s="47"/>
      <c r="HF138" s="47"/>
      <c r="HI138" s="47"/>
      <c r="HJ138" s="47"/>
      <c r="HK138" s="47"/>
      <c r="HL138" s="47"/>
      <c r="HM138" s="47"/>
      <c r="HN138" s="47"/>
      <c r="HO138" s="47"/>
      <c r="HP138" s="47"/>
      <c r="HS138" s="47"/>
      <c r="HT138" s="47"/>
      <c r="HU138" s="47"/>
      <c r="HV138" s="47"/>
      <c r="HW138" s="47"/>
      <c r="HX138" s="47"/>
      <c r="HY138" s="47"/>
      <c r="HZ138" s="47"/>
      <c r="IC138" s="47"/>
      <c r="ID138" s="47"/>
      <c r="IE138" s="47"/>
      <c r="IF138" s="47"/>
      <c r="IG138" s="47"/>
      <c r="IH138" s="47"/>
      <c r="II138" s="47"/>
      <c r="IJ138" s="47"/>
      <c r="IM138" s="47"/>
      <c r="IN138" s="47"/>
      <c r="IO138" s="47"/>
      <c r="IP138" s="47"/>
      <c r="IQ138" s="47"/>
      <c r="IR138" s="47"/>
      <c r="IS138" s="47"/>
      <c r="IT138" s="47"/>
      <c r="IW138" s="47"/>
      <c r="IX138" s="47"/>
      <c r="IY138" s="47"/>
      <c r="IZ138" s="47"/>
      <c r="JA138" s="47"/>
      <c r="JB138" s="47"/>
      <c r="JC138" s="47"/>
      <c r="JD138" s="47"/>
      <c r="JG138" s="47"/>
      <c r="JH138" s="47"/>
      <c r="JI138" s="47"/>
      <c r="JJ138" s="47"/>
      <c r="JK138" s="47"/>
      <c r="JL138" s="47"/>
      <c r="JM138" s="47"/>
      <c r="JN138" s="47"/>
      <c r="JQ138" s="47"/>
      <c r="JR138" s="47"/>
      <c r="JS138" s="47"/>
      <c r="JT138" s="47"/>
      <c r="JU138" s="47"/>
      <c r="JV138" s="47"/>
      <c r="JW138" s="47"/>
      <c r="JX138" s="47"/>
      <c r="KA138" s="47"/>
      <c r="KB138" s="47"/>
      <c r="KC138" s="47"/>
      <c r="KD138" s="47"/>
      <c r="KE138" s="47"/>
      <c r="KF138" s="47"/>
      <c r="KG138" s="47"/>
      <c r="KH138" s="47"/>
      <c r="KK138" s="47"/>
      <c r="KL138" s="47"/>
      <c r="KM138" s="47"/>
      <c r="KN138" s="47"/>
      <c r="KO138" s="47"/>
      <c r="KP138" s="47"/>
      <c r="KQ138" s="47"/>
      <c r="KR138" s="47"/>
      <c r="KU138" s="47"/>
      <c r="KV138" s="47"/>
      <c r="KW138" s="47"/>
      <c r="KX138" s="47"/>
      <c r="KY138" s="47"/>
      <c r="KZ138" s="47"/>
      <c r="LA138" s="47"/>
      <c r="LB138" s="47"/>
    </row>
    <row r="139" spans="29:314" x14ac:dyDescent="0.25">
      <c r="AC139" s="47"/>
      <c r="AD139" s="47"/>
      <c r="AE139" s="47"/>
      <c r="AF139" s="47"/>
      <c r="AG139" s="49"/>
      <c r="AH139" s="47"/>
      <c r="AI139" s="47"/>
      <c r="AJ139" s="47"/>
      <c r="AK139" s="47"/>
      <c r="AL139" s="47"/>
      <c r="AM139" s="47"/>
      <c r="AN139" s="47"/>
      <c r="AO139" s="47"/>
      <c r="AP139" s="47"/>
      <c r="AQ139" s="47"/>
      <c r="AR139" s="47"/>
      <c r="AS139" s="47"/>
      <c r="AT139" s="47"/>
      <c r="AU139" s="47"/>
      <c r="AV139" s="47"/>
      <c r="AW139" s="47"/>
      <c r="AX139" s="47"/>
      <c r="AY139" s="47"/>
      <c r="AZ139" s="47"/>
      <c r="BA139" s="47"/>
      <c r="BB139" s="47"/>
      <c r="BC139" s="47"/>
      <c r="BD139" s="47"/>
      <c r="BE139" s="47"/>
      <c r="BF139" s="47"/>
      <c r="BG139" s="47"/>
      <c r="BH139" s="47"/>
      <c r="BI139" s="47"/>
      <c r="BJ139" s="47"/>
      <c r="BK139" s="47"/>
      <c r="BL139" s="47"/>
      <c r="BM139" s="47"/>
      <c r="BN139" s="49"/>
      <c r="BO139" s="47"/>
      <c r="BP139" s="47"/>
      <c r="BQ139" s="47"/>
      <c r="BR139" s="47"/>
      <c r="BS139" s="47"/>
      <c r="BT139" s="47"/>
      <c r="BU139" s="47"/>
      <c r="BV139" s="47"/>
      <c r="BW139" s="47"/>
      <c r="BX139" s="47"/>
      <c r="BY139" s="47"/>
      <c r="BZ139" s="47"/>
      <c r="CA139" s="47"/>
      <c r="CB139" s="47"/>
      <c r="CC139" s="47"/>
      <c r="CD139" s="47"/>
      <c r="CE139" s="47"/>
      <c r="CF139" s="47"/>
      <c r="CG139" s="49"/>
      <c r="CH139" s="47"/>
      <c r="CI139" s="47"/>
      <c r="CJ139" s="47"/>
      <c r="CK139" s="47"/>
      <c r="CL139" s="47"/>
      <c r="CM139" s="47"/>
      <c r="CN139" s="47"/>
      <c r="CO139" s="47"/>
      <c r="CP139" s="47"/>
      <c r="CQ139" s="47"/>
      <c r="CS139" s="47"/>
      <c r="CT139" s="47"/>
      <c r="CU139" s="47"/>
      <c r="CV139" s="47"/>
      <c r="CW139" s="47"/>
      <c r="CX139" s="47"/>
      <c r="CY139" s="47"/>
      <c r="CZ139" s="47"/>
      <c r="DA139" s="47"/>
      <c r="DB139" s="47"/>
      <c r="DC139" s="47"/>
      <c r="DD139" s="47"/>
      <c r="DE139" s="47"/>
      <c r="DF139" s="47"/>
      <c r="DG139" s="47"/>
      <c r="DH139" s="47"/>
      <c r="DI139" s="47"/>
      <c r="DJ139" s="47"/>
      <c r="DK139" s="47"/>
      <c r="DM139" s="47"/>
      <c r="DN139" s="47"/>
      <c r="DO139" s="47"/>
      <c r="DP139" s="47"/>
      <c r="DQ139" s="47"/>
      <c r="DR139" s="47"/>
      <c r="DS139" s="47"/>
      <c r="DT139" s="47"/>
      <c r="DU139" s="47"/>
      <c r="DV139" s="49"/>
      <c r="DW139" s="47"/>
      <c r="DX139" s="47"/>
      <c r="DY139" s="47"/>
      <c r="DZ139" s="47"/>
      <c r="EA139" s="47"/>
      <c r="EB139" s="47"/>
      <c r="EC139" s="47"/>
      <c r="ED139" s="47"/>
      <c r="EE139" s="47"/>
      <c r="EF139" s="47"/>
      <c r="EG139" s="47"/>
      <c r="EH139" s="47"/>
      <c r="EI139" s="47"/>
      <c r="EJ139" s="47"/>
      <c r="EK139" s="47"/>
      <c r="EL139" s="47"/>
      <c r="EM139" s="47"/>
      <c r="EN139" s="47"/>
      <c r="EO139" s="47"/>
      <c r="EP139" s="47"/>
      <c r="EQ139" s="47"/>
      <c r="ER139" s="47"/>
      <c r="ES139" s="47"/>
      <c r="ET139" s="47"/>
      <c r="EU139" s="47"/>
      <c r="EV139" s="47"/>
      <c r="EW139" s="47"/>
      <c r="EX139" s="47"/>
      <c r="EY139" s="47"/>
      <c r="EZ139" s="47"/>
      <c r="FA139" s="47"/>
      <c r="FB139" s="47"/>
      <c r="FC139" s="47"/>
      <c r="FD139" s="47"/>
      <c r="FE139" s="47"/>
      <c r="FF139" s="47"/>
      <c r="FG139" s="47"/>
      <c r="FH139" s="47"/>
      <c r="FI139" s="47"/>
      <c r="FJ139" s="49"/>
      <c r="FK139" s="47"/>
      <c r="FL139" s="47"/>
      <c r="FM139" s="47"/>
      <c r="FN139" s="47"/>
      <c r="FO139" s="47"/>
      <c r="FP139" s="47"/>
      <c r="FQ139" s="47"/>
      <c r="FR139" s="47"/>
      <c r="FS139" s="47"/>
      <c r="FT139" s="47"/>
      <c r="FU139" s="47"/>
      <c r="FV139" s="47"/>
      <c r="FW139" s="47"/>
      <c r="FX139" s="47"/>
      <c r="FY139" s="47"/>
      <c r="FZ139" s="47"/>
      <c r="GA139" s="47"/>
      <c r="GB139" s="47"/>
      <c r="GC139" s="47"/>
      <c r="GD139" s="47"/>
      <c r="GE139" s="47"/>
      <c r="GF139" s="47"/>
      <c r="GG139" s="47"/>
      <c r="GH139" s="47"/>
      <c r="GI139" s="47"/>
      <c r="GJ139" s="47"/>
      <c r="GK139" s="47"/>
      <c r="GL139" s="47"/>
      <c r="GM139" s="47"/>
      <c r="GN139" s="47"/>
      <c r="GO139" s="47"/>
      <c r="GP139" s="47"/>
      <c r="GQ139" s="47"/>
      <c r="GR139" s="47"/>
      <c r="GS139" s="47"/>
      <c r="GT139" s="47"/>
      <c r="GU139" s="47"/>
      <c r="GV139" s="47"/>
      <c r="GW139" s="47"/>
      <c r="GX139" s="47"/>
      <c r="GY139" s="47"/>
      <c r="GZ139" s="47"/>
      <c r="HA139" s="47"/>
      <c r="HB139" s="47"/>
      <c r="HC139" s="47"/>
      <c r="HD139" s="47"/>
      <c r="HE139" s="47"/>
      <c r="HF139" s="47"/>
      <c r="HI139" s="47"/>
      <c r="HJ139" s="47"/>
      <c r="HK139" s="47"/>
      <c r="HL139" s="47"/>
      <c r="HM139" s="47"/>
      <c r="HN139" s="47"/>
      <c r="HO139" s="47"/>
      <c r="HP139" s="47"/>
      <c r="HS139" s="47"/>
      <c r="HT139" s="47"/>
      <c r="HU139" s="47"/>
      <c r="HV139" s="47"/>
      <c r="HW139" s="47"/>
      <c r="HX139" s="47"/>
      <c r="HY139" s="47"/>
      <c r="HZ139" s="47"/>
      <c r="IC139" s="47"/>
      <c r="ID139" s="47"/>
      <c r="IE139" s="47"/>
      <c r="IF139" s="47"/>
      <c r="IG139" s="47"/>
      <c r="IH139" s="47"/>
      <c r="II139" s="47"/>
      <c r="IJ139" s="47"/>
      <c r="IM139" s="47"/>
      <c r="IN139" s="47"/>
      <c r="IO139" s="47"/>
      <c r="IP139" s="47"/>
      <c r="IQ139" s="47"/>
      <c r="IR139" s="47"/>
      <c r="IS139" s="47"/>
      <c r="IT139" s="47"/>
      <c r="IW139" s="47"/>
      <c r="IX139" s="47"/>
      <c r="IY139" s="47"/>
      <c r="IZ139" s="47"/>
      <c r="JA139" s="47"/>
      <c r="JB139" s="47"/>
      <c r="JC139" s="47"/>
      <c r="JD139" s="47"/>
      <c r="JG139" s="47"/>
      <c r="JH139" s="47"/>
      <c r="JI139" s="47"/>
      <c r="JJ139" s="47"/>
      <c r="JK139" s="47"/>
      <c r="JL139" s="47"/>
      <c r="JM139" s="47"/>
      <c r="JN139" s="47"/>
      <c r="JQ139" s="47"/>
      <c r="JR139" s="47"/>
      <c r="JS139" s="47"/>
      <c r="JT139" s="47"/>
      <c r="JU139" s="47"/>
      <c r="JV139" s="47"/>
      <c r="JW139" s="47"/>
      <c r="JX139" s="47"/>
      <c r="KA139" s="47"/>
      <c r="KB139" s="47"/>
      <c r="KC139" s="47"/>
      <c r="KD139" s="47"/>
      <c r="KE139" s="47"/>
      <c r="KF139" s="47"/>
      <c r="KG139" s="47"/>
      <c r="KH139" s="47"/>
      <c r="KK139" s="47"/>
      <c r="KL139" s="47"/>
      <c r="KM139" s="47"/>
      <c r="KN139" s="47"/>
      <c r="KO139" s="47"/>
      <c r="KP139" s="47"/>
      <c r="KQ139" s="47"/>
      <c r="KR139" s="47"/>
      <c r="KU139" s="47"/>
      <c r="KV139" s="47"/>
      <c r="KW139" s="47"/>
      <c r="KX139" s="47"/>
      <c r="KY139" s="47"/>
      <c r="KZ139" s="47"/>
      <c r="LA139" s="47"/>
      <c r="LB139" s="47"/>
    </row>
    <row r="140" spans="29:314" x14ac:dyDescent="0.25">
      <c r="AC140" s="47"/>
      <c r="AD140" s="47"/>
      <c r="AE140" s="47"/>
      <c r="AF140" s="47"/>
      <c r="AG140" s="49"/>
      <c r="AH140" s="47"/>
      <c r="AI140" s="47"/>
      <c r="AJ140" s="47"/>
      <c r="AK140" s="47"/>
      <c r="AL140" s="47"/>
      <c r="AM140" s="47"/>
      <c r="AN140" s="47"/>
      <c r="AO140" s="47"/>
      <c r="AP140" s="47"/>
      <c r="AQ140" s="47"/>
      <c r="AR140" s="47"/>
      <c r="AS140" s="47"/>
      <c r="AT140" s="47"/>
      <c r="AU140" s="47"/>
      <c r="AV140" s="47"/>
      <c r="AW140" s="47"/>
      <c r="AX140" s="47"/>
      <c r="AY140" s="47"/>
      <c r="AZ140" s="47"/>
      <c r="BA140" s="47"/>
      <c r="BB140" s="47"/>
      <c r="BC140" s="47"/>
      <c r="BD140" s="47"/>
      <c r="BE140" s="47"/>
      <c r="BF140" s="47"/>
      <c r="BG140" s="47"/>
      <c r="BH140" s="47"/>
      <c r="BI140" s="47"/>
      <c r="BJ140" s="47"/>
      <c r="BK140" s="47"/>
      <c r="BL140" s="47"/>
      <c r="BM140" s="47"/>
      <c r="BN140" s="49"/>
      <c r="BO140" s="47"/>
      <c r="BP140" s="47"/>
      <c r="BQ140" s="47"/>
      <c r="BR140" s="47"/>
      <c r="BS140" s="47"/>
      <c r="BT140" s="47"/>
      <c r="BU140" s="47"/>
      <c r="BV140" s="47"/>
      <c r="BW140" s="47"/>
      <c r="BX140" s="47"/>
      <c r="BY140" s="47"/>
      <c r="BZ140" s="47"/>
      <c r="CA140" s="47"/>
      <c r="CB140" s="47"/>
      <c r="CC140" s="47"/>
      <c r="CD140" s="47"/>
      <c r="CE140" s="47"/>
      <c r="CF140" s="47"/>
      <c r="CG140" s="49"/>
      <c r="CH140" s="47"/>
      <c r="CI140" s="47"/>
      <c r="CJ140" s="47"/>
      <c r="CK140" s="47"/>
      <c r="CL140" s="47"/>
      <c r="CM140" s="47"/>
      <c r="CN140" s="47"/>
      <c r="CO140" s="47"/>
      <c r="CP140" s="47"/>
      <c r="CQ140" s="47"/>
      <c r="CS140" s="47"/>
      <c r="CT140" s="47"/>
      <c r="CU140" s="47"/>
      <c r="CV140" s="47"/>
      <c r="CW140" s="47"/>
      <c r="CX140" s="47"/>
      <c r="CY140" s="47"/>
      <c r="CZ140" s="47"/>
      <c r="DA140" s="47"/>
      <c r="DB140" s="47"/>
      <c r="DC140" s="47"/>
      <c r="DD140" s="47"/>
      <c r="DE140" s="47"/>
      <c r="DF140" s="47"/>
      <c r="DG140" s="47"/>
      <c r="DH140" s="47"/>
      <c r="DI140" s="47"/>
      <c r="DJ140" s="47"/>
      <c r="DK140" s="47"/>
      <c r="DM140" s="47"/>
      <c r="DN140" s="47"/>
      <c r="DO140" s="47"/>
      <c r="DP140" s="47"/>
      <c r="DQ140" s="47"/>
      <c r="DR140" s="47"/>
      <c r="DS140" s="47"/>
      <c r="DT140" s="47"/>
      <c r="DU140" s="47"/>
      <c r="DV140" s="49"/>
      <c r="DW140" s="47"/>
      <c r="DX140" s="47"/>
      <c r="DY140" s="47"/>
      <c r="DZ140" s="47"/>
      <c r="EA140" s="47"/>
      <c r="EB140" s="47"/>
      <c r="EC140" s="47"/>
      <c r="ED140" s="47"/>
      <c r="EE140" s="47"/>
      <c r="EF140" s="47"/>
      <c r="EG140" s="47"/>
      <c r="EH140" s="47"/>
      <c r="EI140" s="47"/>
      <c r="EJ140" s="47"/>
      <c r="EK140" s="47"/>
      <c r="EL140" s="47"/>
      <c r="EM140" s="47"/>
      <c r="EN140" s="47"/>
      <c r="EO140" s="47"/>
      <c r="EP140" s="47"/>
      <c r="EQ140" s="47"/>
      <c r="ER140" s="47"/>
      <c r="ES140" s="47"/>
      <c r="ET140" s="47"/>
      <c r="EU140" s="47"/>
      <c r="EV140" s="47"/>
      <c r="EW140" s="47"/>
      <c r="EX140" s="47"/>
      <c r="EY140" s="47"/>
      <c r="EZ140" s="47"/>
      <c r="FA140" s="47"/>
      <c r="FB140" s="47"/>
      <c r="FC140" s="47"/>
      <c r="FD140" s="47"/>
      <c r="FE140" s="47"/>
      <c r="FF140" s="47"/>
      <c r="FG140" s="47"/>
      <c r="FH140" s="47"/>
      <c r="FI140" s="47"/>
      <c r="FJ140" s="49"/>
      <c r="FK140" s="47"/>
      <c r="FL140" s="47"/>
      <c r="FM140" s="47"/>
      <c r="FN140" s="47"/>
      <c r="FO140" s="47"/>
      <c r="FP140" s="47"/>
      <c r="FQ140" s="47"/>
      <c r="FR140" s="47"/>
      <c r="FS140" s="47"/>
      <c r="FT140" s="47"/>
      <c r="FU140" s="47"/>
      <c r="FV140" s="47"/>
      <c r="FW140" s="47"/>
      <c r="FX140" s="47"/>
      <c r="FY140" s="47"/>
      <c r="FZ140" s="47"/>
      <c r="GA140" s="47"/>
      <c r="GB140" s="47"/>
      <c r="GC140" s="47"/>
      <c r="GD140" s="47"/>
      <c r="GE140" s="47"/>
      <c r="GF140" s="47"/>
      <c r="GG140" s="47"/>
      <c r="GH140" s="47"/>
      <c r="GI140" s="47"/>
      <c r="GJ140" s="47"/>
      <c r="GK140" s="47"/>
      <c r="GL140" s="47"/>
      <c r="GM140" s="47"/>
      <c r="GN140" s="47"/>
      <c r="GO140" s="47"/>
      <c r="GP140" s="47"/>
      <c r="GQ140" s="47"/>
      <c r="GR140" s="47"/>
      <c r="GS140" s="47"/>
      <c r="GT140" s="47"/>
      <c r="GU140" s="47"/>
      <c r="GV140" s="47"/>
      <c r="GW140" s="47"/>
      <c r="GX140" s="47"/>
      <c r="GY140" s="47"/>
      <c r="GZ140" s="47"/>
      <c r="HA140" s="47"/>
      <c r="HB140" s="47"/>
      <c r="HC140" s="47"/>
      <c r="HD140" s="47"/>
      <c r="HE140" s="47"/>
      <c r="HF140" s="47"/>
      <c r="HI140" s="47"/>
      <c r="HJ140" s="47"/>
      <c r="HK140" s="47"/>
      <c r="HL140" s="47"/>
      <c r="HM140" s="47"/>
      <c r="HN140" s="47"/>
      <c r="HO140" s="47"/>
      <c r="HP140" s="47"/>
      <c r="HS140" s="47"/>
      <c r="HT140" s="47"/>
      <c r="HU140" s="47"/>
      <c r="HV140" s="47"/>
      <c r="HW140" s="47"/>
      <c r="HX140" s="47"/>
      <c r="HY140" s="47"/>
      <c r="HZ140" s="47"/>
      <c r="IC140" s="47"/>
      <c r="ID140" s="47"/>
      <c r="IE140" s="47"/>
      <c r="IF140" s="47"/>
      <c r="IG140" s="47"/>
      <c r="IH140" s="47"/>
      <c r="II140" s="47"/>
      <c r="IJ140" s="47"/>
      <c r="IM140" s="47"/>
      <c r="IN140" s="47"/>
      <c r="IO140" s="47"/>
      <c r="IP140" s="47"/>
      <c r="IQ140" s="47"/>
      <c r="IR140" s="47"/>
      <c r="IS140" s="47"/>
      <c r="IT140" s="47"/>
      <c r="IW140" s="47"/>
      <c r="IX140" s="47"/>
      <c r="IY140" s="47"/>
      <c r="IZ140" s="47"/>
      <c r="JA140" s="47"/>
      <c r="JB140" s="47"/>
      <c r="JC140" s="47"/>
      <c r="JD140" s="47"/>
      <c r="JG140" s="47"/>
      <c r="JH140" s="47"/>
      <c r="JI140" s="47"/>
      <c r="JJ140" s="47"/>
      <c r="JK140" s="47"/>
      <c r="JL140" s="47"/>
      <c r="JM140" s="47"/>
      <c r="JN140" s="47"/>
      <c r="JQ140" s="47"/>
      <c r="JR140" s="47"/>
      <c r="JS140" s="47"/>
      <c r="JT140" s="47"/>
      <c r="JU140" s="47"/>
      <c r="JV140" s="47"/>
      <c r="JW140" s="47"/>
      <c r="JX140" s="47"/>
      <c r="KA140" s="47"/>
      <c r="KB140" s="47"/>
      <c r="KC140" s="47"/>
      <c r="KD140" s="47"/>
      <c r="KE140" s="47"/>
      <c r="KF140" s="47"/>
      <c r="KG140" s="47"/>
      <c r="KH140" s="47"/>
      <c r="KK140" s="47"/>
      <c r="KL140" s="47"/>
      <c r="KM140" s="47"/>
      <c r="KN140" s="47"/>
      <c r="KO140" s="47"/>
      <c r="KP140" s="47"/>
      <c r="KQ140" s="47"/>
      <c r="KR140" s="47"/>
      <c r="KU140" s="47"/>
      <c r="KV140" s="47"/>
      <c r="KW140" s="47"/>
      <c r="KX140" s="47"/>
      <c r="KY140" s="47"/>
      <c r="KZ140" s="47"/>
      <c r="LA140" s="47"/>
      <c r="LB140" s="47"/>
    </row>
    <row r="141" spans="29:314" x14ac:dyDescent="0.25">
      <c r="AC141" s="47"/>
      <c r="AD141" s="47"/>
      <c r="AE141" s="47"/>
      <c r="AF141" s="47"/>
      <c r="AG141" s="49"/>
      <c r="AH141" s="47"/>
      <c r="AI141" s="47"/>
      <c r="AJ141" s="47"/>
      <c r="AK141" s="47"/>
      <c r="AL141" s="47"/>
      <c r="AM141" s="47"/>
      <c r="AN141" s="47"/>
      <c r="AO141" s="47"/>
      <c r="AP141" s="47"/>
      <c r="AQ141" s="47"/>
      <c r="AR141" s="47"/>
      <c r="AS141" s="47"/>
      <c r="AT141" s="47"/>
      <c r="AU141" s="47"/>
      <c r="AV141" s="47"/>
      <c r="AW141" s="47"/>
      <c r="AX141" s="47"/>
      <c r="AY141" s="47"/>
      <c r="AZ141" s="47"/>
      <c r="BA141" s="47"/>
      <c r="BB141" s="47"/>
      <c r="BC141" s="47"/>
      <c r="BD141" s="47"/>
      <c r="BE141" s="47"/>
      <c r="BF141" s="47"/>
      <c r="BG141" s="47"/>
      <c r="BH141" s="47"/>
      <c r="BI141" s="47"/>
      <c r="BJ141" s="47"/>
      <c r="BK141" s="47"/>
      <c r="BL141" s="47"/>
      <c r="BM141" s="47"/>
      <c r="BN141" s="49"/>
      <c r="BO141" s="47"/>
      <c r="BP141" s="47"/>
      <c r="BQ141" s="47"/>
      <c r="BR141" s="47"/>
      <c r="BS141" s="47"/>
      <c r="BT141" s="47"/>
      <c r="BU141" s="47"/>
      <c r="BV141" s="47"/>
      <c r="BW141" s="47"/>
      <c r="BX141" s="47"/>
      <c r="BY141" s="47"/>
      <c r="BZ141" s="47"/>
      <c r="CA141" s="47"/>
      <c r="CB141" s="47"/>
      <c r="CC141" s="47"/>
      <c r="CD141" s="47"/>
      <c r="CE141" s="47"/>
      <c r="CF141" s="47"/>
      <c r="CG141" s="49"/>
      <c r="CH141" s="47"/>
      <c r="CI141" s="47"/>
      <c r="CJ141" s="47"/>
      <c r="CK141" s="47"/>
      <c r="CL141" s="47"/>
      <c r="CM141" s="47"/>
      <c r="CN141" s="47"/>
      <c r="CO141" s="47"/>
      <c r="CP141" s="47"/>
      <c r="CQ141" s="47"/>
      <c r="CS141" s="47"/>
      <c r="CT141" s="47"/>
      <c r="CU141" s="47"/>
      <c r="CV141" s="47"/>
      <c r="CW141" s="47"/>
      <c r="CX141" s="47"/>
      <c r="CY141" s="47"/>
      <c r="CZ141" s="47"/>
      <c r="DA141" s="47"/>
      <c r="DB141" s="47"/>
      <c r="DC141" s="47"/>
      <c r="DD141" s="47"/>
      <c r="DE141" s="47"/>
      <c r="DF141" s="47"/>
      <c r="DG141" s="47"/>
      <c r="DH141" s="47"/>
      <c r="DI141" s="47"/>
      <c r="DJ141" s="47"/>
      <c r="DK141" s="47"/>
      <c r="DM141" s="47"/>
      <c r="DN141" s="47"/>
      <c r="DO141" s="47"/>
      <c r="DP141" s="47"/>
      <c r="DQ141" s="47"/>
      <c r="DR141" s="47"/>
      <c r="DS141" s="47"/>
      <c r="DT141" s="47"/>
      <c r="DU141" s="47"/>
      <c r="DV141" s="49"/>
      <c r="DW141" s="47"/>
      <c r="DX141" s="47"/>
      <c r="DY141" s="47"/>
      <c r="DZ141" s="47"/>
      <c r="EA141" s="47"/>
      <c r="EB141" s="47"/>
      <c r="EC141" s="47"/>
      <c r="ED141" s="47"/>
      <c r="EE141" s="47"/>
      <c r="EF141" s="47"/>
      <c r="EG141" s="47"/>
      <c r="EH141" s="47"/>
      <c r="EI141" s="47"/>
      <c r="EJ141" s="47"/>
      <c r="EK141" s="47"/>
      <c r="EL141" s="47"/>
      <c r="EM141" s="47"/>
      <c r="EN141" s="47"/>
      <c r="EO141" s="47"/>
      <c r="EP141" s="47"/>
      <c r="EQ141" s="47"/>
      <c r="ER141" s="47"/>
      <c r="ES141" s="47"/>
      <c r="ET141" s="47"/>
      <c r="EU141" s="47"/>
      <c r="EV141" s="47"/>
      <c r="EW141" s="47"/>
      <c r="EX141" s="47"/>
      <c r="EY141" s="47"/>
      <c r="EZ141" s="47"/>
      <c r="FA141" s="47"/>
      <c r="FB141" s="47"/>
      <c r="FC141" s="47"/>
      <c r="FD141" s="47"/>
      <c r="FE141" s="47"/>
      <c r="FF141" s="47"/>
      <c r="FG141" s="47"/>
      <c r="FH141" s="47"/>
      <c r="FI141" s="47"/>
      <c r="FJ141" s="49"/>
      <c r="FK141" s="47"/>
      <c r="FL141" s="47"/>
      <c r="FM141" s="47"/>
      <c r="FN141" s="47"/>
      <c r="FO141" s="47"/>
      <c r="FP141" s="47"/>
      <c r="FQ141" s="47"/>
      <c r="FR141" s="47"/>
      <c r="FS141" s="47"/>
      <c r="FT141" s="47"/>
      <c r="FU141" s="47"/>
      <c r="FV141" s="47"/>
      <c r="FW141" s="47"/>
      <c r="FX141" s="47"/>
      <c r="FY141" s="47"/>
      <c r="FZ141" s="47"/>
      <c r="GA141" s="47"/>
      <c r="GB141" s="47"/>
      <c r="GC141" s="47"/>
      <c r="GD141" s="47"/>
      <c r="GE141" s="47"/>
      <c r="GF141" s="47"/>
      <c r="GG141" s="47"/>
      <c r="GH141" s="47"/>
      <c r="GI141" s="47"/>
      <c r="GJ141" s="47"/>
      <c r="GK141" s="47"/>
      <c r="GL141" s="47"/>
      <c r="GM141" s="47"/>
      <c r="GN141" s="47"/>
      <c r="GO141" s="47"/>
      <c r="GP141" s="47"/>
      <c r="GQ141" s="47"/>
      <c r="GR141" s="47"/>
      <c r="GS141" s="47"/>
      <c r="GT141" s="47"/>
      <c r="GU141" s="47"/>
      <c r="GV141" s="47"/>
      <c r="GW141" s="47"/>
      <c r="GX141" s="47"/>
      <c r="GY141" s="47"/>
      <c r="GZ141" s="47"/>
      <c r="HA141" s="47"/>
      <c r="HB141" s="47"/>
      <c r="HC141" s="47"/>
      <c r="HD141" s="47"/>
      <c r="HE141" s="47"/>
      <c r="HF141" s="47"/>
      <c r="HI141" s="47"/>
      <c r="HJ141" s="47"/>
      <c r="HK141" s="47"/>
      <c r="HL141" s="47"/>
      <c r="HM141" s="47"/>
      <c r="HN141" s="47"/>
      <c r="HO141" s="47"/>
      <c r="HP141" s="47"/>
      <c r="HS141" s="47"/>
      <c r="HT141" s="47"/>
      <c r="HU141" s="47"/>
      <c r="HV141" s="47"/>
      <c r="HW141" s="47"/>
      <c r="HX141" s="47"/>
      <c r="HY141" s="47"/>
      <c r="HZ141" s="47"/>
      <c r="IC141" s="47"/>
      <c r="ID141" s="47"/>
      <c r="IE141" s="47"/>
      <c r="IF141" s="47"/>
      <c r="IG141" s="47"/>
      <c r="IH141" s="47"/>
      <c r="II141" s="47"/>
      <c r="IJ141" s="47"/>
      <c r="IM141" s="47"/>
      <c r="IN141" s="47"/>
      <c r="IO141" s="47"/>
      <c r="IP141" s="47"/>
      <c r="IQ141" s="47"/>
      <c r="IR141" s="47"/>
      <c r="IS141" s="47"/>
      <c r="IT141" s="47"/>
      <c r="IW141" s="47"/>
      <c r="IX141" s="47"/>
      <c r="IY141" s="47"/>
      <c r="IZ141" s="47"/>
      <c r="JA141" s="47"/>
      <c r="JB141" s="47"/>
      <c r="JC141" s="47"/>
      <c r="JD141" s="47"/>
      <c r="JG141" s="47"/>
      <c r="JH141" s="47"/>
      <c r="JI141" s="47"/>
      <c r="JJ141" s="47"/>
      <c r="JK141" s="47"/>
      <c r="JL141" s="47"/>
      <c r="JM141" s="47"/>
      <c r="JN141" s="47"/>
      <c r="JQ141" s="47"/>
      <c r="JR141" s="47"/>
      <c r="JS141" s="47"/>
      <c r="JT141" s="47"/>
      <c r="JU141" s="47"/>
      <c r="JV141" s="47"/>
      <c r="JW141" s="47"/>
      <c r="JX141" s="47"/>
      <c r="KA141" s="47"/>
      <c r="KB141" s="47"/>
      <c r="KC141" s="47"/>
      <c r="KD141" s="47"/>
      <c r="KE141" s="47"/>
      <c r="KF141" s="47"/>
      <c r="KG141" s="47"/>
      <c r="KH141" s="47"/>
      <c r="KK141" s="47"/>
      <c r="KL141" s="47"/>
      <c r="KM141" s="47"/>
      <c r="KN141" s="47"/>
      <c r="KO141" s="47"/>
      <c r="KP141" s="47"/>
      <c r="KQ141" s="47"/>
      <c r="KR141" s="47"/>
      <c r="KU141" s="47"/>
      <c r="KV141" s="47"/>
      <c r="KW141" s="47"/>
      <c r="KX141" s="47"/>
      <c r="KY141" s="47"/>
      <c r="KZ141" s="47"/>
      <c r="LA141" s="47"/>
      <c r="LB141" s="47"/>
    </row>
    <row r="142" spans="29:314" x14ac:dyDescent="0.25">
      <c r="AC142" s="47"/>
      <c r="AD142" s="47"/>
      <c r="AE142" s="47"/>
      <c r="AF142" s="47"/>
      <c r="AG142" s="49"/>
      <c r="AH142" s="47"/>
      <c r="AI142" s="47"/>
      <c r="AJ142" s="47"/>
      <c r="AK142" s="47"/>
      <c r="AL142" s="47"/>
      <c r="AM142" s="47"/>
      <c r="AN142" s="47"/>
      <c r="AO142" s="47"/>
      <c r="AP142" s="47"/>
      <c r="AQ142" s="47"/>
      <c r="AR142" s="47"/>
      <c r="AS142" s="47"/>
      <c r="AT142" s="47"/>
      <c r="AU142" s="47"/>
      <c r="AV142" s="47"/>
      <c r="AW142" s="47"/>
      <c r="AX142" s="47"/>
      <c r="AY142" s="47"/>
      <c r="AZ142" s="47"/>
      <c r="BA142" s="47"/>
      <c r="BB142" s="47"/>
      <c r="BC142" s="47"/>
      <c r="BD142" s="47"/>
      <c r="BE142" s="47"/>
      <c r="BF142" s="47"/>
      <c r="BG142" s="47"/>
      <c r="BH142" s="47"/>
      <c r="BI142" s="47"/>
      <c r="BJ142" s="47"/>
      <c r="BK142" s="47"/>
      <c r="BL142" s="47"/>
      <c r="BM142" s="47"/>
      <c r="BN142" s="49"/>
      <c r="BO142" s="47"/>
      <c r="BP142" s="47"/>
      <c r="BQ142" s="47"/>
      <c r="BR142" s="47"/>
      <c r="BS142" s="47"/>
      <c r="BT142" s="47"/>
      <c r="BU142" s="47"/>
      <c r="BV142" s="47"/>
      <c r="BW142" s="47"/>
      <c r="BX142" s="47"/>
      <c r="BY142" s="47"/>
      <c r="BZ142" s="47"/>
      <c r="CA142" s="47"/>
      <c r="CB142" s="47"/>
      <c r="CC142" s="47"/>
      <c r="CD142" s="47"/>
      <c r="CE142" s="47"/>
      <c r="CF142" s="47"/>
      <c r="CG142" s="49"/>
      <c r="CH142" s="47"/>
      <c r="CI142" s="47"/>
      <c r="CJ142" s="47"/>
      <c r="CK142" s="47"/>
      <c r="CL142" s="47"/>
      <c r="CM142" s="47"/>
      <c r="CN142" s="47"/>
      <c r="CO142" s="47"/>
      <c r="CP142" s="47"/>
      <c r="CQ142" s="47"/>
      <c r="CS142" s="47"/>
      <c r="CT142" s="47"/>
      <c r="CU142" s="47"/>
      <c r="CV142" s="47"/>
      <c r="CW142" s="47"/>
      <c r="CX142" s="47"/>
      <c r="CY142" s="47"/>
      <c r="CZ142" s="47"/>
      <c r="DA142" s="47"/>
      <c r="DB142" s="47"/>
      <c r="DC142" s="47"/>
      <c r="DD142" s="47"/>
      <c r="DE142" s="47"/>
      <c r="DF142" s="47"/>
      <c r="DG142" s="47"/>
      <c r="DH142" s="47"/>
      <c r="DI142" s="47"/>
      <c r="DJ142" s="47"/>
      <c r="DK142" s="47"/>
      <c r="DM142" s="47"/>
      <c r="DN142" s="47"/>
      <c r="DO142" s="47"/>
      <c r="DP142" s="47"/>
      <c r="DQ142" s="47"/>
      <c r="DR142" s="47"/>
      <c r="DS142" s="47"/>
      <c r="DT142" s="47"/>
      <c r="DU142" s="47"/>
      <c r="DV142" s="49"/>
      <c r="DW142" s="47"/>
      <c r="DX142" s="47"/>
      <c r="DY142" s="47"/>
      <c r="DZ142" s="47"/>
      <c r="EA142" s="47"/>
      <c r="EB142" s="47"/>
      <c r="EC142" s="47"/>
      <c r="ED142" s="47"/>
      <c r="EE142" s="47"/>
      <c r="EF142" s="47"/>
      <c r="EG142" s="47"/>
      <c r="EH142" s="47"/>
      <c r="EI142" s="47"/>
      <c r="EJ142" s="47"/>
      <c r="EK142" s="47"/>
      <c r="EL142" s="47"/>
      <c r="EM142" s="47"/>
      <c r="EN142" s="47"/>
      <c r="EO142" s="47"/>
      <c r="EP142" s="47"/>
      <c r="EQ142" s="47"/>
      <c r="ER142" s="47"/>
      <c r="ES142" s="47"/>
      <c r="ET142" s="47"/>
      <c r="EU142" s="47"/>
      <c r="EV142" s="47"/>
      <c r="EW142" s="47"/>
      <c r="EX142" s="47"/>
      <c r="EY142" s="47"/>
      <c r="EZ142" s="47"/>
      <c r="FA142" s="47"/>
      <c r="FB142" s="47"/>
      <c r="FC142" s="47"/>
      <c r="FD142" s="47"/>
      <c r="FE142" s="47"/>
      <c r="FF142" s="47"/>
      <c r="FG142" s="47"/>
      <c r="FH142" s="47"/>
      <c r="FI142" s="47"/>
      <c r="FJ142" s="49"/>
      <c r="FK142" s="47"/>
      <c r="FL142" s="47"/>
      <c r="FM142" s="47"/>
      <c r="FN142" s="47"/>
      <c r="FO142" s="47"/>
      <c r="FP142" s="47"/>
      <c r="FQ142" s="47"/>
      <c r="FR142" s="47"/>
      <c r="FS142" s="47"/>
      <c r="FT142" s="47"/>
      <c r="FU142" s="47"/>
      <c r="FV142" s="47"/>
      <c r="FW142" s="47"/>
      <c r="FX142" s="47"/>
      <c r="FY142" s="47"/>
      <c r="FZ142" s="47"/>
      <c r="GA142" s="47"/>
      <c r="GB142" s="47"/>
      <c r="GC142" s="47"/>
      <c r="GD142" s="47"/>
      <c r="GE142" s="47"/>
      <c r="GF142" s="47"/>
      <c r="GG142" s="47"/>
      <c r="GH142" s="47"/>
      <c r="GI142" s="47"/>
      <c r="GJ142" s="47"/>
      <c r="GK142" s="47"/>
      <c r="GL142" s="47"/>
      <c r="GM142" s="47"/>
      <c r="GN142" s="47"/>
      <c r="GO142" s="47"/>
      <c r="GP142" s="47"/>
      <c r="GQ142" s="47"/>
      <c r="GR142" s="47"/>
      <c r="GS142" s="47"/>
      <c r="GT142" s="47"/>
      <c r="GU142" s="47"/>
      <c r="GV142" s="47"/>
      <c r="GW142" s="47"/>
      <c r="GX142" s="47"/>
      <c r="GY142" s="47"/>
      <c r="GZ142" s="47"/>
      <c r="HA142" s="47"/>
      <c r="HB142" s="47"/>
      <c r="HC142" s="47"/>
      <c r="HD142" s="47"/>
      <c r="HE142" s="47"/>
      <c r="HF142" s="47"/>
      <c r="HI142" s="47"/>
      <c r="HJ142" s="47"/>
      <c r="HK142" s="47"/>
      <c r="HL142" s="47"/>
      <c r="HM142" s="47"/>
      <c r="HN142" s="47"/>
      <c r="HO142" s="47"/>
      <c r="HP142" s="47"/>
      <c r="HS142" s="47"/>
      <c r="HT142" s="47"/>
      <c r="HU142" s="47"/>
      <c r="HV142" s="47"/>
      <c r="HW142" s="47"/>
      <c r="HX142" s="47"/>
      <c r="HY142" s="47"/>
      <c r="HZ142" s="47"/>
      <c r="IC142" s="47"/>
      <c r="ID142" s="47"/>
      <c r="IE142" s="47"/>
      <c r="IF142" s="47"/>
      <c r="IG142" s="47"/>
      <c r="IH142" s="47"/>
      <c r="II142" s="47"/>
      <c r="IJ142" s="47"/>
      <c r="IM142" s="47"/>
      <c r="IN142" s="47"/>
      <c r="IO142" s="47"/>
      <c r="IP142" s="47"/>
      <c r="IQ142" s="47"/>
      <c r="IR142" s="47"/>
      <c r="IS142" s="47"/>
      <c r="IT142" s="47"/>
      <c r="IW142" s="47"/>
      <c r="IX142" s="47"/>
      <c r="IY142" s="47"/>
      <c r="IZ142" s="47"/>
      <c r="JA142" s="47"/>
      <c r="JB142" s="47"/>
      <c r="JC142" s="47"/>
      <c r="JD142" s="47"/>
      <c r="JG142" s="47"/>
      <c r="JH142" s="47"/>
      <c r="JI142" s="47"/>
      <c r="JJ142" s="47"/>
      <c r="JK142" s="47"/>
      <c r="JL142" s="47"/>
      <c r="JM142" s="47"/>
      <c r="JN142" s="47"/>
      <c r="JQ142" s="47"/>
      <c r="JR142" s="47"/>
      <c r="JS142" s="47"/>
      <c r="JT142" s="47"/>
      <c r="JU142" s="47"/>
      <c r="JV142" s="47"/>
      <c r="JW142" s="47"/>
      <c r="JX142" s="47"/>
      <c r="KA142" s="47"/>
      <c r="KB142" s="47"/>
      <c r="KC142" s="47"/>
      <c r="KD142" s="47"/>
      <c r="KE142" s="47"/>
      <c r="KF142" s="47"/>
      <c r="KG142" s="47"/>
      <c r="KH142" s="47"/>
      <c r="KK142" s="47"/>
      <c r="KL142" s="47"/>
      <c r="KM142" s="47"/>
      <c r="KN142" s="47"/>
      <c r="KO142" s="47"/>
      <c r="KP142" s="47"/>
      <c r="KQ142" s="47"/>
      <c r="KR142" s="47"/>
      <c r="KU142" s="47"/>
      <c r="KV142" s="47"/>
      <c r="KW142" s="47"/>
      <c r="KX142" s="47"/>
      <c r="KY142" s="47"/>
      <c r="KZ142" s="47"/>
      <c r="LA142" s="47"/>
      <c r="LB142" s="47"/>
    </row>
    <row r="143" spans="29:314" x14ac:dyDescent="0.25">
      <c r="AC143" s="47"/>
      <c r="AD143" s="47"/>
      <c r="AE143" s="47"/>
      <c r="AF143" s="47"/>
      <c r="AG143" s="49"/>
      <c r="AH143" s="47"/>
      <c r="AI143" s="47"/>
      <c r="AJ143" s="47"/>
      <c r="AK143" s="47"/>
      <c r="AL143" s="47"/>
      <c r="AM143" s="47"/>
      <c r="AN143" s="47"/>
      <c r="AO143" s="47"/>
      <c r="AP143" s="47"/>
      <c r="AQ143" s="47"/>
      <c r="AR143" s="47"/>
      <c r="AS143" s="47"/>
      <c r="AT143" s="47"/>
      <c r="AU143" s="47"/>
      <c r="AV143" s="47"/>
      <c r="AW143" s="47"/>
      <c r="AX143" s="47"/>
      <c r="AY143" s="47"/>
      <c r="AZ143" s="47"/>
      <c r="BA143" s="47"/>
      <c r="BB143" s="47"/>
      <c r="BC143" s="47"/>
      <c r="BD143" s="47"/>
      <c r="BE143" s="47"/>
      <c r="BF143" s="47"/>
      <c r="BG143" s="47"/>
      <c r="BH143" s="47"/>
      <c r="BI143" s="47"/>
      <c r="BJ143" s="47"/>
      <c r="BK143" s="47"/>
      <c r="BL143" s="47"/>
      <c r="BM143" s="47"/>
      <c r="BN143" s="49"/>
      <c r="BO143" s="47"/>
      <c r="BP143" s="47"/>
      <c r="BQ143" s="47"/>
      <c r="BR143" s="47"/>
      <c r="BS143" s="47"/>
      <c r="BT143" s="47"/>
      <c r="BU143" s="47"/>
      <c r="BV143" s="47"/>
      <c r="BW143" s="47"/>
      <c r="BX143" s="47"/>
      <c r="BY143" s="47"/>
      <c r="BZ143" s="47"/>
      <c r="CA143" s="47"/>
      <c r="CB143" s="47"/>
      <c r="CC143" s="47"/>
      <c r="CD143" s="47"/>
      <c r="CE143" s="47"/>
      <c r="CF143" s="47"/>
      <c r="CG143" s="49"/>
      <c r="CH143" s="47"/>
      <c r="CI143" s="47"/>
      <c r="CJ143" s="47"/>
      <c r="CK143" s="47"/>
      <c r="CL143" s="47"/>
      <c r="CM143" s="47"/>
      <c r="CN143" s="47"/>
      <c r="CO143" s="47"/>
      <c r="CP143" s="47"/>
      <c r="CQ143" s="47"/>
      <c r="CS143" s="47"/>
      <c r="CT143" s="47"/>
      <c r="CU143" s="47"/>
      <c r="CV143" s="47"/>
      <c r="CW143" s="47"/>
      <c r="CX143" s="47"/>
      <c r="CY143" s="47"/>
      <c r="CZ143" s="47"/>
      <c r="DA143" s="47"/>
      <c r="DB143" s="47"/>
      <c r="DC143" s="47"/>
      <c r="DD143" s="47"/>
      <c r="DE143" s="47"/>
      <c r="DF143" s="47"/>
      <c r="DG143" s="47"/>
      <c r="DH143" s="47"/>
      <c r="DI143" s="47"/>
      <c r="DJ143" s="47"/>
      <c r="DK143" s="47"/>
      <c r="DM143" s="47"/>
      <c r="DN143" s="47"/>
      <c r="DO143" s="47"/>
      <c r="DP143" s="47"/>
      <c r="DQ143" s="47"/>
      <c r="DR143" s="47"/>
      <c r="DS143" s="47"/>
      <c r="DT143" s="47"/>
      <c r="DU143" s="47"/>
      <c r="DV143" s="49"/>
      <c r="DW143" s="47"/>
      <c r="DX143" s="47"/>
      <c r="DY143" s="47"/>
      <c r="DZ143" s="47"/>
      <c r="EA143" s="47"/>
      <c r="EB143" s="47"/>
      <c r="EC143" s="47"/>
      <c r="ED143" s="47"/>
      <c r="EE143" s="47"/>
      <c r="EF143" s="47"/>
      <c r="EG143" s="47"/>
      <c r="EH143" s="47"/>
      <c r="EI143" s="47"/>
      <c r="EJ143" s="47"/>
      <c r="EK143" s="47"/>
      <c r="EL143" s="47"/>
      <c r="EM143" s="47"/>
      <c r="EN143" s="47"/>
      <c r="EO143" s="47"/>
      <c r="EP143" s="47"/>
      <c r="EQ143" s="47"/>
      <c r="ER143" s="47"/>
      <c r="ES143" s="47"/>
      <c r="ET143" s="47"/>
      <c r="EU143" s="47"/>
      <c r="EV143" s="47"/>
      <c r="EW143" s="47"/>
      <c r="EX143" s="47"/>
      <c r="EY143" s="47"/>
      <c r="EZ143" s="47"/>
      <c r="FA143" s="47"/>
      <c r="FB143" s="47"/>
      <c r="FC143" s="47"/>
      <c r="FD143" s="47"/>
      <c r="FE143" s="47"/>
      <c r="FF143" s="47"/>
      <c r="FG143" s="47"/>
      <c r="FH143" s="47"/>
      <c r="FI143" s="47"/>
      <c r="FJ143" s="49"/>
      <c r="FK143" s="47"/>
      <c r="FL143" s="47"/>
      <c r="FM143" s="47"/>
      <c r="FN143" s="47"/>
      <c r="FO143" s="47"/>
      <c r="FP143" s="47"/>
      <c r="FQ143" s="47"/>
      <c r="FR143" s="47"/>
      <c r="FS143" s="47"/>
      <c r="FT143" s="47"/>
      <c r="FU143" s="47"/>
      <c r="FV143" s="47"/>
      <c r="FW143" s="47"/>
      <c r="FX143" s="47"/>
      <c r="FY143" s="47"/>
      <c r="FZ143" s="47"/>
      <c r="GA143" s="47"/>
      <c r="GB143" s="47"/>
      <c r="GC143" s="47"/>
      <c r="GD143" s="47"/>
      <c r="GE143" s="47"/>
      <c r="GF143" s="47"/>
      <c r="GG143" s="47"/>
      <c r="GH143" s="47"/>
      <c r="GI143" s="47"/>
      <c r="GJ143" s="47"/>
      <c r="GK143" s="47"/>
      <c r="GL143" s="47"/>
      <c r="GM143" s="47"/>
      <c r="GN143" s="47"/>
      <c r="GO143" s="47"/>
      <c r="GP143" s="47"/>
      <c r="GQ143" s="47"/>
      <c r="GR143" s="47"/>
      <c r="GS143" s="47"/>
      <c r="GT143" s="47"/>
      <c r="GU143" s="47"/>
      <c r="GV143" s="47"/>
      <c r="GW143" s="47"/>
      <c r="GX143" s="47"/>
      <c r="GY143" s="47"/>
      <c r="GZ143" s="47"/>
      <c r="HA143" s="47"/>
      <c r="HB143" s="47"/>
      <c r="HC143" s="47"/>
      <c r="HD143" s="47"/>
      <c r="HE143" s="47"/>
      <c r="HF143" s="47"/>
      <c r="HI143" s="47"/>
      <c r="HJ143" s="47"/>
      <c r="HK143" s="47"/>
      <c r="HL143" s="47"/>
      <c r="HM143" s="47"/>
      <c r="HN143" s="47"/>
      <c r="HO143" s="47"/>
      <c r="HP143" s="47"/>
      <c r="HS143" s="47"/>
      <c r="HT143" s="47"/>
      <c r="HU143" s="47"/>
      <c r="HV143" s="47"/>
      <c r="HW143" s="47"/>
      <c r="HX143" s="47"/>
      <c r="HY143" s="47"/>
      <c r="HZ143" s="47"/>
      <c r="IC143" s="47"/>
      <c r="ID143" s="47"/>
      <c r="IE143" s="47"/>
      <c r="IF143" s="47"/>
      <c r="IG143" s="47"/>
      <c r="IH143" s="47"/>
      <c r="II143" s="47"/>
      <c r="IJ143" s="47"/>
      <c r="IM143" s="47"/>
      <c r="IN143" s="47"/>
      <c r="IO143" s="47"/>
      <c r="IP143" s="47"/>
      <c r="IQ143" s="47"/>
      <c r="IR143" s="47"/>
      <c r="IS143" s="47"/>
      <c r="IT143" s="47"/>
      <c r="IW143" s="47"/>
      <c r="IX143" s="47"/>
      <c r="IY143" s="47"/>
      <c r="IZ143" s="47"/>
      <c r="JA143" s="47"/>
      <c r="JB143" s="47"/>
      <c r="JC143" s="47"/>
      <c r="JD143" s="47"/>
      <c r="JG143" s="47"/>
      <c r="JH143" s="47"/>
      <c r="JI143" s="47"/>
      <c r="JJ143" s="47"/>
      <c r="JK143" s="47"/>
      <c r="JL143" s="47"/>
      <c r="JM143" s="47"/>
      <c r="JN143" s="47"/>
      <c r="JQ143" s="47"/>
      <c r="JR143" s="47"/>
      <c r="JS143" s="47"/>
      <c r="JT143" s="47"/>
      <c r="JU143" s="47"/>
      <c r="JV143" s="47"/>
      <c r="JW143" s="47"/>
      <c r="JX143" s="47"/>
      <c r="KA143" s="47"/>
      <c r="KB143" s="47"/>
      <c r="KC143" s="47"/>
      <c r="KD143" s="47"/>
      <c r="KE143" s="47"/>
      <c r="KF143" s="47"/>
      <c r="KG143" s="47"/>
      <c r="KH143" s="47"/>
      <c r="KK143" s="47"/>
      <c r="KL143" s="47"/>
      <c r="KM143" s="47"/>
      <c r="KN143" s="47"/>
      <c r="KO143" s="47"/>
      <c r="KP143" s="47"/>
      <c r="KQ143" s="47"/>
      <c r="KR143" s="47"/>
      <c r="KU143" s="47"/>
      <c r="KV143" s="47"/>
      <c r="KW143" s="47"/>
      <c r="KX143" s="47"/>
      <c r="KY143" s="47"/>
      <c r="KZ143" s="47"/>
      <c r="LA143" s="47"/>
      <c r="LB143" s="47"/>
    </row>
    <row r="144" spans="29:314" x14ac:dyDescent="0.25">
      <c r="AC144" s="47"/>
      <c r="AD144" s="47"/>
      <c r="AE144" s="47"/>
      <c r="AF144" s="47"/>
      <c r="AG144" s="49"/>
      <c r="AH144" s="47"/>
      <c r="AI144" s="47"/>
      <c r="AJ144" s="47"/>
      <c r="AK144" s="47"/>
      <c r="AL144" s="47"/>
      <c r="AM144" s="47"/>
      <c r="AN144" s="47"/>
      <c r="AO144" s="47"/>
      <c r="AP144" s="47"/>
      <c r="AQ144" s="47"/>
      <c r="AR144" s="47"/>
      <c r="AS144" s="47"/>
      <c r="AT144" s="47"/>
      <c r="AU144" s="47"/>
      <c r="AV144" s="47"/>
      <c r="AW144" s="47"/>
      <c r="AX144" s="47"/>
      <c r="AY144" s="47"/>
      <c r="AZ144" s="47"/>
      <c r="BA144" s="47"/>
      <c r="BB144" s="47"/>
      <c r="BC144" s="47"/>
      <c r="BD144" s="47"/>
      <c r="BE144" s="47"/>
      <c r="BF144" s="47"/>
      <c r="BG144" s="47"/>
      <c r="BH144" s="47"/>
      <c r="BI144" s="47"/>
      <c r="BJ144" s="47"/>
      <c r="BK144" s="47"/>
      <c r="BL144" s="47"/>
      <c r="BM144" s="47"/>
      <c r="BN144" s="49"/>
      <c r="BO144" s="47"/>
      <c r="BP144" s="47"/>
      <c r="BQ144" s="47"/>
      <c r="BR144" s="47"/>
      <c r="BS144" s="47"/>
      <c r="BT144" s="47"/>
      <c r="BU144" s="47"/>
      <c r="BV144" s="47"/>
      <c r="BW144" s="47"/>
      <c r="BX144" s="47"/>
      <c r="BY144" s="47"/>
      <c r="BZ144" s="47"/>
      <c r="CA144" s="47"/>
      <c r="CB144" s="47"/>
      <c r="CC144" s="47"/>
      <c r="CD144" s="47"/>
      <c r="CE144" s="47"/>
      <c r="CF144" s="47"/>
      <c r="CG144" s="49"/>
      <c r="CH144" s="47"/>
      <c r="CI144" s="47"/>
      <c r="CJ144" s="47"/>
      <c r="CK144" s="47"/>
      <c r="CL144" s="47"/>
      <c r="CM144" s="47"/>
      <c r="CN144" s="47"/>
      <c r="CO144" s="47"/>
      <c r="CP144" s="47"/>
      <c r="CQ144" s="47"/>
      <c r="CS144" s="47"/>
      <c r="CT144" s="47"/>
      <c r="CU144" s="47"/>
      <c r="CV144" s="47"/>
      <c r="CW144" s="47"/>
      <c r="CX144" s="47"/>
      <c r="CY144" s="47"/>
      <c r="CZ144" s="47"/>
      <c r="DA144" s="47"/>
      <c r="DB144" s="47"/>
      <c r="DC144" s="47"/>
      <c r="DD144" s="47"/>
      <c r="DE144" s="47"/>
      <c r="DF144" s="47"/>
      <c r="DG144" s="47"/>
      <c r="DH144" s="47"/>
      <c r="DI144" s="47"/>
      <c r="DJ144" s="47"/>
      <c r="DK144" s="47"/>
      <c r="DM144" s="47"/>
      <c r="DN144" s="47"/>
      <c r="DO144" s="47"/>
      <c r="DP144" s="47"/>
      <c r="DQ144" s="47"/>
      <c r="DR144" s="47"/>
      <c r="DS144" s="47"/>
      <c r="DT144" s="47"/>
      <c r="DU144" s="47"/>
      <c r="DV144" s="49"/>
      <c r="DW144" s="47"/>
      <c r="DX144" s="47"/>
      <c r="DY144" s="47"/>
      <c r="DZ144" s="47"/>
      <c r="EA144" s="47"/>
      <c r="EB144" s="47"/>
      <c r="EC144" s="47"/>
      <c r="ED144" s="47"/>
      <c r="EE144" s="47"/>
      <c r="EF144" s="47"/>
      <c r="EG144" s="47"/>
      <c r="EH144" s="47"/>
      <c r="EI144" s="47"/>
      <c r="EJ144" s="47"/>
      <c r="EK144" s="47"/>
      <c r="EL144" s="47"/>
      <c r="EM144" s="47"/>
      <c r="EN144" s="47"/>
      <c r="EO144" s="47"/>
      <c r="EP144" s="47"/>
      <c r="EQ144" s="47"/>
      <c r="ER144" s="47"/>
      <c r="ES144" s="47"/>
      <c r="ET144" s="47"/>
      <c r="EU144" s="47"/>
      <c r="EV144" s="47"/>
      <c r="EW144" s="47"/>
      <c r="EX144" s="47"/>
      <c r="EY144" s="47"/>
      <c r="EZ144" s="47"/>
      <c r="FA144" s="47"/>
      <c r="FB144" s="47"/>
      <c r="FC144" s="47"/>
      <c r="FD144" s="47"/>
      <c r="FE144" s="47"/>
      <c r="FF144" s="47"/>
      <c r="FG144" s="47"/>
      <c r="FH144" s="47"/>
      <c r="FI144" s="47"/>
      <c r="FJ144" s="49"/>
      <c r="FK144" s="47"/>
      <c r="FL144" s="47"/>
      <c r="FM144" s="47"/>
      <c r="FN144" s="47"/>
      <c r="FO144" s="47"/>
      <c r="FP144" s="47"/>
      <c r="FQ144" s="47"/>
      <c r="FR144" s="47"/>
      <c r="FS144" s="47"/>
      <c r="FT144" s="47"/>
      <c r="FU144" s="47"/>
      <c r="FV144" s="47"/>
      <c r="FW144" s="47"/>
      <c r="FX144" s="47"/>
      <c r="FY144" s="47"/>
      <c r="FZ144" s="47"/>
      <c r="GA144" s="47"/>
      <c r="GB144" s="47"/>
      <c r="GC144" s="47"/>
      <c r="GD144" s="47"/>
      <c r="GE144" s="47"/>
      <c r="GF144" s="47"/>
      <c r="GG144" s="47"/>
      <c r="GH144" s="47"/>
      <c r="GI144" s="47"/>
      <c r="GJ144" s="47"/>
      <c r="GK144" s="47"/>
      <c r="GL144" s="47"/>
      <c r="GM144" s="47"/>
      <c r="GN144" s="47"/>
      <c r="GO144" s="47"/>
      <c r="GP144" s="47"/>
      <c r="GQ144" s="47"/>
      <c r="GR144" s="47"/>
      <c r="GS144" s="47"/>
      <c r="GT144" s="47"/>
      <c r="GU144" s="47"/>
      <c r="GV144" s="47"/>
      <c r="GW144" s="47"/>
      <c r="GX144" s="47"/>
      <c r="GY144" s="47"/>
      <c r="GZ144" s="47"/>
      <c r="HA144" s="47"/>
      <c r="HB144" s="47"/>
      <c r="HC144" s="47"/>
      <c r="HD144" s="47"/>
      <c r="HE144" s="47"/>
      <c r="HF144" s="47"/>
      <c r="HI144" s="47"/>
      <c r="HJ144" s="47"/>
      <c r="HK144" s="47"/>
      <c r="HL144" s="47"/>
      <c r="HM144" s="47"/>
      <c r="HN144" s="47"/>
      <c r="HO144" s="47"/>
      <c r="HP144" s="47"/>
      <c r="HS144" s="47"/>
      <c r="HT144" s="47"/>
      <c r="HU144" s="47"/>
      <c r="HV144" s="47"/>
      <c r="HW144" s="47"/>
      <c r="HX144" s="47"/>
      <c r="HY144" s="47"/>
      <c r="HZ144" s="47"/>
      <c r="IC144" s="47"/>
      <c r="ID144" s="47"/>
      <c r="IE144" s="47"/>
      <c r="IF144" s="47"/>
      <c r="IG144" s="47"/>
      <c r="IH144" s="47"/>
      <c r="II144" s="47"/>
      <c r="IJ144" s="47"/>
      <c r="IM144" s="47"/>
      <c r="IN144" s="47"/>
      <c r="IO144" s="47"/>
      <c r="IP144" s="47"/>
      <c r="IQ144" s="47"/>
      <c r="IR144" s="47"/>
      <c r="IS144" s="47"/>
      <c r="IT144" s="47"/>
      <c r="IW144" s="47"/>
      <c r="IX144" s="47"/>
      <c r="IY144" s="47"/>
      <c r="IZ144" s="47"/>
      <c r="JA144" s="47"/>
      <c r="JB144" s="47"/>
      <c r="JC144" s="47"/>
      <c r="JD144" s="47"/>
      <c r="JG144" s="47"/>
      <c r="JH144" s="47"/>
      <c r="JI144" s="47"/>
      <c r="JJ144" s="47"/>
      <c r="JK144" s="47"/>
      <c r="JL144" s="47"/>
      <c r="JM144" s="47"/>
      <c r="JN144" s="47"/>
      <c r="JQ144" s="47"/>
      <c r="JR144" s="47"/>
      <c r="JS144" s="47"/>
      <c r="JT144" s="47"/>
      <c r="JU144" s="47"/>
      <c r="JV144" s="47"/>
      <c r="JW144" s="47"/>
      <c r="JX144" s="47"/>
      <c r="KA144" s="47"/>
      <c r="KB144" s="47"/>
      <c r="KC144" s="47"/>
      <c r="KD144" s="47"/>
      <c r="KE144" s="47"/>
      <c r="KF144" s="47"/>
      <c r="KG144" s="47"/>
      <c r="KH144" s="47"/>
      <c r="KK144" s="47"/>
      <c r="KL144" s="47"/>
      <c r="KM144" s="47"/>
      <c r="KN144" s="47"/>
      <c r="KO144" s="47"/>
      <c r="KP144" s="47"/>
      <c r="KQ144" s="47"/>
      <c r="KR144" s="47"/>
      <c r="KU144" s="47"/>
      <c r="KV144" s="47"/>
      <c r="KW144" s="47"/>
      <c r="KX144" s="47"/>
      <c r="KY144" s="47"/>
      <c r="KZ144" s="47"/>
      <c r="LA144" s="47"/>
      <c r="LB144" s="47"/>
    </row>
    <row r="145" spans="29:314" x14ac:dyDescent="0.25">
      <c r="AC145" s="47"/>
      <c r="AD145" s="47"/>
      <c r="AE145" s="47"/>
      <c r="AF145" s="47"/>
      <c r="AG145" s="49"/>
      <c r="AH145" s="47"/>
      <c r="AI145" s="47"/>
      <c r="AJ145" s="47"/>
      <c r="AK145" s="47"/>
      <c r="AL145" s="47"/>
      <c r="AM145" s="47"/>
      <c r="AN145" s="47"/>
      <c r="AO145" s="47"/>
      <c r="AP145" s="47"/>
      <c r="AQ145" s="47"/>
      <c r="AR145" s="47"/>
      <c r="AS145" s="47"/>
      <c r="AT145" s="47"/>
      <c r="AU145" s="47"/>
      <c r="AV145" s="47"/>
      <c r="AW145" s="47"/>
      <c r="AX145" s="47"/>
      <c r="AY145" s="47"/>
      <c r="AZ145" s="47"/>
      <c r="BA145" s="47"/>
      <c r="BB145" s="47"/>
      <c r="BC145" s="47"/>
      <c r="BD145" s="47"/>
      <c r="BE145" s="47"/>
      <c r="BF145" s="47"/>
      <c r="BG145" s="47"/>
      <c r="BH145" s="47"/>
      <c r="BI145" s="47"/>
      <c r="BJ145" s="47"/>
      <c r="BK145" s="47"/>
      <c r="BL145" s="47"/>
      <c r="BM145" s="47"/>
      <c r="BN145" s="49"/>
      <c r="BO145" s="47"/>
      <c r="BP145" s="47"/>
      <c r="BQ145" s="47"/>
      <c r="BR145" s="47"/>
      <c r="BS145" s="47"/>
      <c r="BT145" s="47"/>
      <c r="BU145" s="47"/>
      <c r="BV145" s="47"/>
      <c r="BW145" s="47"/>
      <c r="BX145" s="47"/>
      <c r="BY145" s="47"/>
      <c r="BZ145" s="47"/>
      <c r="CA145" s="47"/>
      <c r="CB145" s="47"/>
      <c r="CC145" s="47"/>
      <c r="CD145" s="47"/>
      <c r="CE145" s="47"/>
      <c r="CF145" s="47"/>
      <c r="CG145" s="49"/>
      <c r="CH145" s="47"/>
      <c r="CI145" s="47"/>
      <c r="CJ145" s="47"/>
      <c r="CK145" s="47"/>
      <c r="CL145" s="47"/>
      <c r="CM145" s="47"/>
      <c r="CN145" s="47"/>
      <c r="CO145" s="47"/>
      <c r="CP145" s="47"/>
      <c r="CQ145" s="47"/>
      <c r="CS145" s="47"/>
      <c r="CT145" s="47"/>
      <c r="CU145" s="47"/>
      <c r="CV145" s="47"/>
      <c r="CW145" s="47"/>
      <c r="CX145" s="47"/>
      <c r="CY145" s="47"/>
      <c r="CZ145" s="47"/>
      <c r="DA145" s="47"/>
      <c r="DB145" s="47"/>
      <c r="DC145" s="47"/>
      <c r="DD145" s="47"/>
      <c r="DE145" s="47"/>
      <c r="DF145" s="47"/>
      <c r="DG145" s="47"/>
      <c r="DH145" s="47"/>
      <c r="DI145" s="47"/>
      <c r="DJ145" s="47"/>
      <c r="DK145" s="47"/>
      <c r="DM145" s="47"/>
      <c r="DN145" s="47"/>
      <c r="DO145" s="47"/>
      <c r="DP145" s="47"/>
      <c r="DQ145" s="47"/>
      <c r="DR145" s="47"/>
      <c r="DS145" s="47"/>
      <c r="DT145" s="47"/>
      <c r="DU145" s="47"/>
      <c r="DV145" s="49"/>
      <c r="DW145" s="47"/>
      <c r="DX145" s="47"/>
      <c r="DY145" s="47"/>
      <c r="DZ145" s="47"/>
      <c r="EA145" s="47"/>
      <c r="EB145" s="47"/>
      <c r="EC145" s="47"/>
      <c r="ED145" s="47"/>
      <c r="EE145" s="47"/>
      <c r="EF145" s="47"/>
      <c r="EG145" s="47"/>
      <c r="EH145" s="47"/>
      <c r="EI145" s="47"/>
      <c r="EJ145" s="47"/>
      <c r="EK145" s="47"/>
      <c r="EL145" s="47"/>
      <c r="EM145" s="47"/>
      <c r="EN145" s="47"/>
      <c r="EO145" s="47"/>
      <c r="EP145" s="47"/>
      <c r="EQ145" s="47"/>
      <c r="ER145" s="47"/>
      <c r="ES145" s="47"/>
      <c r="ET145" s="47"/>
      <c r="EU145" s="47"/>
      <c r="EV145" s="47"/>
      <c r="EW145" s="47"/>
      <c r="EX145" s="47"/>
      <c r="EY145" s="47"/>
      <c r="EZ145" s="47"/>
      <c r="FA145" s="47"/>
      <c r="FB145" s="47"/>
      <c r="FC145" s="47"/>
      <c r="FD145" s="47"/>
      <c r="FE145" s="47"/>
      <c r="FF145" s="47"/>
      <c r="FG145" s="47"/>
      <c r="FH145" s="47"/>
      <c r="FI145" s="47"/>
      <c r="FJ145" s="49"/>
      <c r="FK145" s="47"/>
      <c r="FL145" s="47"/>
      <c r="FM145" s="47"/>
      <c r="FN145" s="47"/>
      <c r="FO145" s="47"/>
      <c r="FP145" s="47"/>
      <c r="FQ145" s="47"/>
      <c r="FR145" s="47"/>
      <c r="FS145" s="47"/>
      <c r="FT145" s="47"/>
      <c r="FU145" s="47"/>
      <c r="FV145" s="47"/>
      <c r="FW145" s="47"/>
      <c r="FX145" s="47"/>
      <c r="FY145" s="47"/>
      <c r="FZ145" s="47"/>
      <c r="GA145" s="47"/>
      <c r="GB145" s="47"/>
      <c r="GC145" s="47"/>
      <c r="GD145" s="47"/>
      <c r="GE145" s="47"/>
      <c r="GF145" s="47"/>
      <c r="GG145" s="47"/>
      <c r="GH145" s="47"/>
      <c r="GI145" s="47"/>
      <c r="GJ145" s="47"/>
      <c r="GK145" s="47"/>
      <c r="GL145" s="47"/>
      <c r="GM145" s="47"/>
      <c r="GN145" s="47"/>
      <c r="GO145" s="47"/>
      <c r="GP145" s="47"/>
      <c r="GQ145" s="47"/>
      <c r="GR145" s="47"/>
      <c r="GS145" s="47"/>
      <c r="GT145" s="47"/>
      <c r="GU145" s="47"/>
      <c r="GV145" s="47"/>
      <c r="GW145" s="47"/>
      <c r="GX145" s="47"/>
      <c r="GY145" s="47"/>
      <c r="GZ145" s="47"/>
      <c r="HA145" s="47"/>
      <c r="HB145" s="47"/>
      <c r="HC145" s="47"/>
      <c r="HD145" s="47"/>
      <c r="HE145" s="47"/>
      <c r="HF145" s="47"/>
      <c r="HI145" s="47"/>
      <c r="HJ145" s="47"/>
      <c r="HK145" s="47"/>
      <c r="HL145" s="47"/>
      <c r="HM145" s="47"/>
      <c r="HN145" s="47"/>
      <c r="HO145" s="47"/>
      <c r="HP145" s="47"/>
      <c r="HS145" s="47"/>
      <c r="HT145" s="47"/>
      <c r="HU145" s="47"/>
      <c r="HV145" s="47"/>
      <c r="HW145" s="47"/>
      <c r="HX145" s="47"/>
      <c r="HY145" s="47"/>
      <c r="HZ145" s="47"/>
      <c r="IC145" s="47"/>
      <c r="ID145" s="47"/>
      <c r="IE145" s="47"/>
      <c r="IF145" s="47"/>
      <c r="IG145" s="47"/>
      <c r="IH145" s="47"/>
      <c r="II145" s="47"/>
      <c r="IJ145" s="47"/>
      <c r="IM145" s="47"/>
      <c r="IN145" s="47"/>
      <c r="IO145" s="47"/>
      <c r="IP145" s="47"/>
      <c r="IQ145" s="47"/>
      <c r="IR145" s="47"/>
      <c r="IS145" s="47"/>
      <c r="IT145" s="47"/>
      <c r="IW145" s="47"/>
      <c r="IX145" s="47"/>
      <c r="IY145" s="47"/>
      <c r="IZ145" s="47"/>
      <c r="JA145" s="47"/>
      <c r="JB145" s="47"/>
      <c r="JC145" s="47"/>
      <c r="JD145" s="47"/>
      <c r="JG145" s="47"/>
      <c r="JH145" s="47"/>
      <c r="JI145" s="47"/>
      <c r="JJ145" s="47"/>
      <c r="JK145" s="47"/>
      <c r="JL145" s="47"/>
      <c r="JM145" s="47"/>
      <c r="JN145" s="47"/>
      <c r="JQ145" s="47"/>
      <c r="JR145" s="47"/>
      <c r="JS145" s="47"/>
      <c r="JT145" s="47"/>
      <c r="JU145" s="47"/>
      <c r="JV145" s="47"/>
      <c r="JW145" s="47"/>
      <c r="JX145" s="47"/>
      <c r="KA145" s="47"/>
      <c r="KB145" s="47"/>
      <c r="KC145" s="47"/>
      <c r="KD145" s="47"/>
      <c r="KE145" s="47"/>
      <c r="KF145" s="47"/>
      <c r="KG145" s="47"/>
      <c r="KH145" s="47"/>
      <c r="KK145" s="47"/>
      <c r="KL145" s="47"/>
      <c r="KM145" s="47"/>
      <c r="KN145" s="47"/>
      <c r="KO145" s="47"/>
      <c r="KP145" s="47"/>
      <c r="KQ145" s="47"/>
      <c r="KR145" s="47"/>
      <c r="KU145" s="47"/>
      <c r="KV145" s="47"/>
      <c r="KW145" s="47"/>
      <c r="KX145" s="47"/>
      <c r="KY145" s="47"/>
      <c r="KZ145" s="47"/>
      <c r="LA145" s="47"/>
      <c r="LB145" s="47"/>
    </row>
    <row r="146" spans="29:314" x14ac:dyDescent="0.25">
      <c r="AC146" s="47"/>
      <c r="AD146" s="47"/>
      <c r="AE146" s="47"/>
      <c r="AF146" s="47"/>
      <c r="AG146" s="49"/>
      <c r="AH146" s="47"/>
      <c r="AI146" s="47"/>
      <c r="AJ146" s="47"/>
      <c r="AK146" s="47"/>
      <c r="AL146" s="47"/>
      <c r="AM146" s="47"/>
      <c r="AN146" s="47"/>
      <c r="AO146" s="47"/>
      <c r="AP146" s="47"/>
      <c r="AQ146" s="47"/>
      <c r="AR146" s="47"/>
      <c r="AS146" s="47"/>
      <c r="AT146" s="47"/>
      <c r="AU146" s="47"/>
      <c r="AV146" s="47"/>
      <c r="AW146" s="47"/>
      <c r="AX146" s="47"/>
      <c r="AY146" s="47"/>
      <c r="AZ146" s="47"/>
      <c r="BA146" s="47"/>
      <c r="BB146" s="47"/>
      <c r="BC146" s="47"/>
      <c r="BD146" s="47"/>
      <c r="BE146" s="47"/>
      <c r="BF146" s="47"/>
      <c r="BG146" s="47"/>
      <c r="BH146" s="47"/>
      <c r="BI146" s="47"/>
      <c r="BJ146" s="47"/>
      <c r="BK146" s="47"/>
      <c r="BL146" s="47"/>
      <c r="BM146" s="47"/>
      <c r="BN146" s="49"/>
      <c r="BO146" s="47"/>
      <c r="BP146" s="47"/>
      <c r="BQ146" s="47"/>
      <c r="BR146" s="47"/>
      <c r="BS146" s="47"/>
      <c r="BT146" s="47"/>
      <c r="BU146" s="47"/>
      <c r="BV146" s="47"/>
      <c r="BW146" s="47"/>
      <c r="BX146" s="47"/>
      <c r="BY146" s="47"/>
      <c r="BZ146" s="47"/>
      <c r="CA146" s="47"/>
      <c r="CB146" s="47"/>
      <c r="CC146" s="47"/>
      <c r="CD146" s="47"/>
      <c r="CE146" s="47"/>
      <c r="CF146" s="47"/>
      <c r="CG146" s="49"/>
      <c r="CH146" s="47"/>
      <c r="CI146" s="47"/>
      <c r="CJ146" s="47"/>
      <c r="CK146" s="47"/>
      <c r="CL146" s="47"/>
      <c r="CM146" s="47"/>
      <c r="CN146" s="47"/>
      <c r="CO146" s="47"/>
      <c r="CP146" s="47"/>
      <c r="CQ146" s="47"/>
      <c r="CS146" s="47"/>
      <c r="CT146" s="47"/>
      <c r="CU146" s="47"/>
      <c r="CV146" s="47"/>
      <c r="CW146" s="47"/>
      <c r="CX146" s="47"/>
      <c r="CY146" s="47"/>
      <c r="CZ146" s="47"/>
      <c r="DA146" s="47"/>
      <c r="DB146" s="47"/>
      <c r="DC146" s="47"/>
      <c r="DD146" s="47"/>
      <c r="DE146" s="47"/>
      <c r="DF146" s="47"/>
      <c r="DG146" s="47"/>
      <c r="DH146" s="47"/>
      <c r="DI146" s="47"/>
      <c r="DJ146" s="47"/>
      <c r="DK146" s="47"/>
      <c r="DM146" s="47"/>
      <c r="DN146" s="47"/>
      <c r="DO146" s="47"/>
      <c r="DP146" s="47"/>
      <c r="DQ146" s="47"/>
      <c r="DR146" s="47"/>
      <c r="DS146" s="47"/>
      <c r="DT146" s="47"/>
      <c r="DU146" s="47"/>
      <c r="DV146" s="49"/>
      <c r="DW146" s="47"/>
      <c r="DX146" s="47"/>
      <c r="DY146" s="47"/>
      <c r="DZ146" s="47"/>
      <c r="EA146" s="47"/>
      <c r="EB146" s="47"/>
      <c r="EC146" s="47"/>
      <c r="ED146" s="47"/>
      <c r="EE146" s="47"/>
      <c r="EF146" s="47"/>
      <c r="EG146" s="47"/>
      <c r="EH146" s="47"/>
      <c r="EI146" s="47"/>
      <c r="EJ146" s="47"/>
      <c r="EK146" s="47"/>
      <c r="EL146" s="47"/>
      <c r="EM146" s="47"/>
      <c r="EN146" s="47"/>
      <c r="EO146" s="47"/>
      <c r="EP146" s="47"/>
      <c r="EQ146" s="47"/>
      <c r="ER146" s="47"/>
      <c r="ES146" s="47"/>
      <c r="ET146" s="47"/>
      <c r="EU146" s="47"/>
      <c r="EV146" s="47"/>
      <c r="EW146" s="47"/>
      <c r="EX146" s="47"/>
      <c r="EY146" s="47"/>
      <c r="EZ146" s="47"/>
      <c r="FA146" s="47"/>
      <c r="FB146" s="47"/>
      <c r="FC146" s="47"/>
      <c r="FD146" s="47"/>
      <c r="FE146" s="47"/>
      <c r="FF146" s="47"/>
      <c r="FG146" s="47"/>
      <c r="FH146" s="47"/>
      <c r="FI146" s="47"/>
      <c r="FJ146" s="49"/>
      <c r="FK146" s="47"/>
      <c r="FL146" s="47"/>
      <c r="FM146" s="47"/>
      <c r="FN146" s="47"/>
      <c r="FO146" s="47"/>
      <c r="FP146" s="47"/>
      <c r="FQ146" s="47"/>
      <c r="FR146" s="47"/>
      <c r="FS146" s="47"/>
      <c r="FT146" s="47"/>
      <c r="FU146" s="47"/>
      <c r="FV146" s="47"/>
      <c r="FW146" s="47"/>
      <c r="FX146" s="47"/>
      <c r="FY146" s="47"/>
      <c r="FZ146" s="47"/>
      <c r="GA146" s="47"/>
      <c r="GB146" s="47"/>
      <c r="GC146" s="47"/>
      <c r="GD146" s="47"/>
      <c r="GE146" s="47"/>
      <c r="GF146" s="47"/>
      <c r="GG146" s="47"/>
      <c r="GH146" s="47"/>
      <c r="GI146" s="47"/>
      <c r="GJ146" s="47"/>
      <c r="GK146" s="47"/>
      <c r="GL146" s="47"/>
      <c r="GM146" s="47"/>
      <c r="GN146" s="47"/>
      <c r="GO146" s="47"/>
      <c r="GP146" s="47"/>
      <c r="GQ146" s="47"/>
      <c r="GR146" s="47"/>
      <c r="GS146" s="47"/>
      <c r="GT146" s="47"/>
      <c r="GU146" s="47"/>
      <c r="GV146" s="47"/>
      <c r="GW146" s="47"/>
      <c r="GX146" s="47"/>
      <c r="GY146" s="47"/>
      <c r="GZ146" s="47"/>
      <c r="HA146" s="47"/>
      <c r="HB146" s="47"/>
      <c r="HC146" s="47"/>
      <c r="HD146" s="47"/>
      <c r="HE146" s="47"/>
      <c r="HF146" s="47"/>
      <c r="HI146" s="47"/>
      <c r="HJ146" s="47"/>
      <c r="HK146" s="47"/>
      <c r="HL146" s="47"/>
      <c r="HM146" s="47"/>
      <c r="HN146" s="47"/>
      <c r="HO146" s="47"/>
      <c r="HP146" s="47"/>
      <c r="HS146" s="47"/>
      <c r="HT146" s="47"/>
      <c r="HU146" s="47"/>
      <c r="HV146" s="47"/>
      <c r="HW146" s="47"/>
      <c r="HX146" s="47"/>
      <c r="HY146" s="47"/>
      <c r="HZ146" s="47"/>
      <c r="IC146" s="47"/>
      <c r="ID146" s="47"/>
      <c r="IE146" s="47"/>
      <c r="IF146" s="47"/>
      <c r="IG146" s="47"/>
      <c r="IH146" s="47"/>
      <c r="II146" s="47"/>
      <c r="IJ146" s="47"/>
      <c r="IM146" s="47"/>
      <c r="IN146" s="47"/>
      <c r="IO146" s="47"/>
      <c r="IP146" s="47"/>
      <c r="IQ146" s="47"/>
      <c r="IR146" s="47"/>
      <c r="IS146" s="47"/>
      <c r="IT146" s="47"/>
      <c r="IW146" s="47"/>
      <c r="IX146" s="47"/>
      <c r="IY146" s="47"/>
      <c r="IZ146" s="47"/>
      <c r="JA146" s="47"/>
      <c r="JB146" s="47"/>
      <c r="JC146" s="47"/>
      <c r="JD146" s="47"/>
      <c r="JG146" s="47"/>
      <c r="JH146" s="47"/>
      <c r="JI146" s="47"/>
      <c r="JJ146" s="47"/>
      <c r="JK146" s="47"/>
      <c r="JL146" s="47"/>
      <c r="JM146" s="47"/>
      <c r="JN146" s="47"/>
      <c r="JQ146" s="47"/>
      <c r="JR146" s="47"/>
      <c r="JS146" s="47"/>
      <c r="JT146" s="47"/>
      <c r="JU146" s="47"/>
      <c r="JV146" s="47"/>
      <c r="JW146" s="47"/>
      <c r="JX146" s="47"/>
      <c r="KA146" s="47"/>
      <c r="KB146" s="47"/>
      <c r="KC146" s="47"/>
      <c r="KD146" s="47"/>
      <c r="KE146" s="47"/>
      <c r="KF146" s="47"/>
      <c r="KG146" s="47"/>
      <c r="KH146" s="47"/>
      <c r="KK146" s="47"/>
      <c r="KL146" s="47"/>
      <c r="KM146" s="47"/>
      <c r="KN146" s="47"/>
      <c r="KO146" s="47"/>
      <c r="KP146" s="47"/>
      <c r="KQ146" s="47"/>
      <c r="KR146" s="47"/>
      <c r="KU146" s="47"/>
      <c r="KV146" s="47"/>
      <c r="KW146" s="47"/>
      <c r="KX146" s="47"/>
      <c r="KY146" s="47"/>
      <c r="KZ146" s="47"/>
      <c r="LA146" s="47"/>
      <c r="LB146" s="47"/>
    </row>
    <row r="147" spans="29:314" x14ac:dyDescent="0.25">
      <c r="AC147" s="47"/>
      <c r="AD147" s="47"/>
      <c r="AE147" s="47"/>
      <c r="AF147" s="47"/>
      <c r="AG147" s="49"/>
      <c r="AH147" s="47"/>
      <c r="AI147" s="47"/>
      <c r="AJ147" s="47"/>
      <c r="AK147" s="47"/>
      <c r="AL147" s="47"/>
      <c r="AM147" s="47"/>
      <c r="AN147" s="47"/>
      <c r="AO147" s="47"/>
      <c r="AP147" s="47"/>
      <c r="AQ147" s="47"/>
      <c r="AR147" s="47"/>
      <c r="AS147" s="47"/>
      <c r="AT147" s="47"/>
      <c r="AU147" s="47"/>
      <c r="AV147" s="47"/>
      <c r="AW147" s="47"/>
      <c r="AX147" s="47"/>
      <c r="AY147" s="47"/>
      <c r="AZ147" s="47"/>
      <c r="BA147" s="47"/>
      <c r="BB147" s="47"/>
      <c r="BC147" s="47"/>
      <c r="BD147" s="47"/>
      <c r="BE147" s="47"/>
      <c r="BF147" s="47"/>
      <c r="BG147" s="47"/>
      <c r="BH147" s="47"/>
      <c r="BI147" s="47"/>
      <c r="BJ147" s="47"/>
      <c r="BK147" s="47"/>
      <c r="BL147" s="47"/>
      <c r="BM147" s="47"/>
      <c r="BN147" s="49"/>
      <c r="BO147" s="47"/>
      <c r="BP147" s="47"/>
      <c r="BQ147" s="47"/>
      <c r="BR147" s="47"/>
      <c r="BS147" s="47"/>
      <c r="BT147" s="47"/>
      <c r="BU147" s="47"/>
      <c r="BV147" s="47"/>
      <c r="BW147" s="47"/>
      <c r="BX147" s="47"/>
      <c r="BY147" s="47"/>
      <c r="BZ147" s="47"/>
      <c r="CA147" s="47"/>
      <c r="CB147" s="47"/>
      <c r="CC147" s="47"/>
      <c r="CD147" s="47"/>
      <c r="CE147" s="47"/>
      <c r="CF147" s="47"/>
      <c r="CG147" s="49"/>
      <c r="CH147" s="47"/>
      <c r="CI147" s="47"/>
      <c r="CJ147" s="47"/>
      <c r="CK147" s="47"/>
      <c r="CL147" s="47"/>
      <c r="CM147" s="47"/>
      <c r="CN147" s="47"/>
      <c r="CO147" s="47"/>
      <c r="CP147" s="47"/>
      <c r="CQ147" s="47"/>
      <c r="CS147" s="47"/>
      <c r="CT147" s="47"/>
      <c r="CU147" s="47"/>
      <c r="CV147" s="47"/>
      <c r="CW147" s="47"/>
      <c r="CX147" s="47"/>
      <c r="CY147" s="47"/>
      <c r="CZ147" s="47"/>
      <c r="DA147" s="47"/>
      <c r="DB147" s="47"/>
      <c r="DC147" s="47"/>
      <c r="DD147" s="47"/>
      <c r="DE147" s="47"/>
      <c r="DF147" s="47"/>
      <c r="DG147" s="47"/>
      <c r="DH147" s="47"/>
      <c r="DI147" s="47"/>
      <c r="DJ147" s="47"/>
      <c r="DK147" s="47"/>
      <c r="DM147" s="47"/>
      <c r="DN147" s="47"/>
      <c r="DO147" s="47"/>
      <c r="DP147" s="47"/>
      <c r="DQ147" s="47"/>
      <c r="DR147" s="47"/>
      <c r="DS147" s="47"/>
      <c r="DT147" s="47"/>
      <c r="DU147" s="47"/>
      <c r="DV147" s="49"/>
      <c r="DW147" s="47"/>
      <c r="DX147" s="47"/>
      <c r="DY147" s="47"/>
      <c r="DZ147" s="47"/>
      <c r="EA147" s="47"/>
      <c r="EB147" s="47"/>
      <c r="EC147" s="47"/>
      <c r="ED147" s="47"/>
      <c r="EE147" s="47"/>
      <c r="EF147" s="47"/>
      <c r="EG147" s="47"/>
      <c r="EH147" s="47"/>
      <c r="EI147" s="47"/>
      <c r="EJ147" s="47"/>
      <c r="EK147" s="47"/>
      <c r="EL147" s="47"/>
      <c r="EM147" s="47"/>
      <c r="EN147" s="47"/>
      <c r="EO147" s="47"/>
      <c r="EP147" s="47"/>
      <c r="EQ147" s="47"/>
      <c r="ER147" s="47"/>
      <c r="ES147" s="47"/>
      <c r="ET147" s="47"/>
      <c r="EU147" s="47"/>
      <c r="EV147" s="47"/>
      <c r="EW147" s="47"/>
      <c r="EX147" s="47"/>
      <c r="EY147" s="47"/>
      <c r="EZ147" s="47"/>
      <c r="FA147" s="47"/>
      <c r="FB147" s="47"/>
      <c r="FC147" s="47"/>
      <c r="FD147" s="47"/>
      <c r="FE147" s="47"/>
      <c r="FF147" s="47"/>
      <c r="FG147" s="47"/>
      <c r="FH147" s="47"/>
      <c r="FI147" s="47"/>
      <c r="FJ147" s="49"/>
      <c r="FK147" s="47"/>
      <c r="FL147" s="47"/>
      <c r="FM147" s="47"/>
      <c r="FN147" s="47"/>
      <c r="FO147" s="47"/>
      <c r="FP147" s="47"/>
      <c r="FQ147" s="47"/>
      <c r="FR147" s="47"/>
      <c r="FS147" s="47"/>
      <c r="FT147" s="47"/>
      <c r="FU147" s="47"/>
      <c r="FV147" s="47"/>
      <c r="FW147" s="47"/>
      <c r="FX147" s="47"/>
      <c r="FY147" s="47"/>
      <c r="FZ147" s="47"/>
      <c r="GA147" s="47"/>
      <c r="GB147" s="47"/>
      <c r="GC147" s="47"/>
      <c r="GD147" s="47"/>
      <c r="GE147" s="47"/>
      <c r="GF147" s="47"/>
      <c r="GG147" s="47"/>
      <c r="GH147" s="47"/>
      <c r="GI147" s="47"/>
      <c r="GJ147" s="47"/>
      <c r="GK147" s="47"/>
      <c r="GL147" s="47"/>
      <c r="GM147" s="47"/>
      <c r="GN147" s="47"/>
      <c r="GO147" s="47"/>
      <c r="GP147" s="47"/>
      <c r="GQ147" s="47"/>
      <c r="GR147" s="47"/>
      <c r="GS147" s="47"/>
      <c r="GT147" s="47"/>
      <c r="GU147" s="47"/>
      <c r="GV147" s="47"/>
      <c r="GW147" s="47"/>
      <c r="GX147" s="47"/>
      <c r="GY147" s="47"/>
      <c r="GZ147" s="47"/>
      <c r="HA147" s="47"/>
      <c r="HB147" s="47"/>
      <c r="HC147" s="47"/>
      <c r="HD147" s="47"/>
      <c r="HE147" s="47"/>
      <c r="HF147" s="47"/>
      <c r="HI147" s="47"/>
      <c r="HJ147" s="47"/>
      <c r="HK147" s="47"/>
      <c r="HL147" s="47"/>
      <c r="HM147" s="47"/>
      <c r="HN147" s="47"/>
      <c r="HO147" s="47"/>
      <c r="HP147" s="47"/>
      <c r="HS147" s="47"/>
      <c r="HT147" s="47"/>
      <c r="HU147" s="47"/>
      <c r="HV147" s="47"/>
      <c r="HW147" s="47"/>
      <c r="HX147" s="47"/>
      <c r="HY147" s="47"/>
      <c r="HZ147" s="47"/>
      <c r="IC147" s="47"/>
      <c r="ID147" s="47"/>
      <c r="IE147" s="47"/>
      <c r="IF147" s="47"/>
      <c r="IG147" s="47"/>
      <c r="IH147" s="47"/>
      <c r="II147" s="47"/>
      <c r="IJ147" s="47"/>
      <c r="IM147" s="47"/>
      <c r="IN147" s="47"/>
      <c r="IO147" s="47"/>
      <c r="IP147" s="47"/>
      <c r="IQ147" s="47"/>
      <c r="IR147" s="47"/>
      <c r="IS147" s="47"/>
      <c r="IT147" s="47"/>
      <c r="IW147" s="47"/>
      <c r="IX147" s="47"/>
      <c r="IY147" s="47"/>
      <c r="IZ147" s="47"/>
      <c r="JA147" s="47"/>
      <c r="JB147" s="47"/>
      <c r="JC147" s="47"/>
      <c r="JD147" s="47"/>
      <c r="JG147" s="47"/>
      <c r="JH147" s="47"/>
      <c r="JI147" s="47"/>
      <c r="JJ147" s="47"/>
      <c r="JK147" s="47"/>
      <c r="JL147" s="47"/>
      <c r="JM147" s="47"/>
      <c r="JN147" s="47"/>
      <c r="JQ147" s="47"/>
      <c r="JR147" s="47"/>
      <c r="JS147" s="47"/>
      <c r="JT147" s="47"/>
      <c r="JU147" s="47"/>
      <c r="JV147" s="47"/>
      <c r="JW147" s="47"/>
      <c r="JX147" s="47"/>
      <c r="KA147" s="47"/>
      <c r="KB147" s="47"/>
      <c r="KC147" s="47"/>
      <c r="KD147" s="47"/>
      <c r="KE147" s="47"/>
      <c r="KF147" s="47"/>
      <c r="KG147" s="47"/>
      <c r="KH147" s="47"/>
      <c r="KK147" s="47"/>
      <c r="KL147" s="47"/>
      <c r="KM147" s="47"/>
      <c r="KN147" s="47"/>
      <c r="KO147" s="47"/>
      <c r="KP147" s="47"/>
      <c r="KQ147" s="47"/>
      <c r="KR147" s="47"/>
      <c r="KU147" s="47"/>
      <c r="KV147" s="47"/>
      <c r="KW147" s="47"/>
      <c r="KX147" s="47"/>
      <c r="KY147" s="47"/>
      <c r="KZ147" s="47"/>
      <c r="LA147" s="47"/>
      <c r="LB147" s="47"/>
    </row>
    <row r="148" spans="29:314" x14ac:dyDescent="0.25">
      <c r="AC148" s="47"/>
      <c r="AD148" s="47"/>
      <c r="AE148" s="47"/>
      <c r="AF148" s="47"/>
      <c r="AG148" s="49"/>
      <c r="AH148" s="47"/>
      <c r="AI148" s="47"/>
      <c r="AJ148" s="47"/>
      <c r="AK148" s="47"/>
      <c r="AL148" s="47"/>
      <c r="AM148" s="47"/>
      <c r="AN148" s="47"/>
      <c r="AO148" s="47"/>
      <c r="AP148" s="47"/>
      <c r="AQ148" s="47"/>
      <c r="AR148" s="47"/>
      <c r="AS148" s="47"/>
      <c r="AT148" s="47"/>
      <c r="AU148" s="47"/>
      <c r="AV148" s="47"/>
      <c r="AW148" s="47"/>
      <c r="AX148" s="47"/>
      <c r="AY148" s="47"/>
      <c r="AZ148" s="47"/>
      <c r="BA148" s="47"/>
      <c r="BB148" s="47"/>
      <c r="BC148" s="47"/>
      <c r="BD148" s="47"/>
      <c r="BE148" s="47"/>
      <c r="BF148" s="47"/>
      <c r="BG148" s="47"/>
      <c r="BH148" s="47"/>
      <c r="BI148" s="47"/>
      <c r="BJ148" s="47"/>
      <c r="BK148" s="47"/>
      <c r="BL148" s="47"/>
      <c r="BM148" s="47"/>
      <c r="BN148" s="49"/>
      <c r="BO148" s="47"/>
      <c r="BP148" s="47"/>
      <c r="BQ148" s="47"/>
      <c r="BR148" s="47"/>
      <c r="BS148" s="47"/>
      <c r="BT148" s="47"/>
      <c r="BU148" s="47"/>
      <c r="BV148" s="47"/>
      <c r="BW148" s="47"/>
      <c r="BX148" s="47"/>
      <c r="BY148" s="47"/>
      <c r="BZ148" s="47"/>
      <c r="CA148" s="47"/>
      <c r="CB148" s="47"/>
      <c r="CC148" s="47"/>
      <c r="CD148" s="47"/>
      <c r="CE148" s="47"/>
      <c r="CF148" s="47"/>
      <c r="CG148" s="49"/>
      <c r="CH148" s="47"/>
      <c r="CI148" s="47"/>
      <c r="CJ148" s="47"/>
      <c r="CK148" s="47"/>
      <c r="CL148" s="47"/>
      <c r="CM148" s="47"/>
      <c r="CN148" s="47"/>
      <c r="CO148" s="47"/>
      <c r="CP148" s="47"/>
      <c r="CQ148" s="47"/>
      <c r="CS148" s="47"/>
      <c r="CT148" s="47"/>
      <c r="CU148" s="47"/>
      <c r="CV148" s="47"/>
      <c r="CW148" s="47"/>
      <c r="CX148" s="47"/>
      <c r="CY148" s="47"/>
      <c r="CZ148" s="47"/>
      <c r="DA148" s="47"/>
      <c r="DB148" s="47"/>
      <c r="DC148" s="47"/>
      <c r="DD148" s="47"/>
      <c r="DE148" s="47"/>
      <c r="DF148" s="47"/>
      <c r="DG148" s="47"/>
      <c r="DH148" s="47"/>
      <c r="DI148" s="47"/>
      <c r="DJ148" s="47"/>
      <c r="DK148" s="47"/>
      <c r="DM148" s="47"/>
      <c r="DN148" s="47"/>
      <c r="DO148" s="47"/>
      <c r="DP148" s="47"/>
      <c r="DQ148" s="47"/>
      <c r="DR148" s="47"/>
      <c r="DS148" s="47"/>
      <c r="DT148" s="47"/>
      <c r="DU148" s="47"/>
      <c r="DV148" s="49"/>
      <c r="DW148" s="47"/>
      <c r="DX148" s="47"/>
      <c r="DY148" s="47"/>
      <c r="DZ148" s="47"/>
      <c r="EA148" s="47"/>
      <c r="EB148" s="47"/>
      <c r="EC148" s="47"/>
      <c r="ED148" s="47"/>
      <c r="EE148" s="47"/>
      <c r="EF148" s="47"/>
      <c r="EG148" s="47"/>
      <c r="EH148" s="47"/>
      <c r="EI148" s="47"/>
      <c r="EJ148" s="47"/>
      <c r="EK148" s="47"/>
      <c r="EL148" s="47"/>
      <c r="EM148" s="47"/>
      <c r="EN148" s="47"/>
      <c r="EO148" s="47"/>
      <c r="EP148" s="47"/>
      <c r="EQ148" s="47"/>
      <c r="ER148" s="47"/>
      <c r="ES148" s="47"/>
      <c r="ET148" s="47"/>
      <c r="EU148" s="47"/>
      <c r="EV148" s="47"/>
      <c r="EW148" s="47"/>
      <c r="EX148" s="47"/>
      <c r="EY148" s="47"/>
      <c r="EZ148" s="47"/>
      <c r="FA148" s="47"/>
      <c r="FB148" s="47"/>
      <c r="FC148" s="47"/>
      <c r="FD148" s="47"/>
      <c r="FE148" s="47"/>
      <c r="FF148" s="47"/>
      <c r="FG148" s="47"/>
      <c r="FH148" s="47"/>
      <c r="FI148" s="47"/>
      <c r="FJ148" s="49"/>
      <c r="FK148" s="47"/>
      <c r="FL148" s="47"/>
      <c r="FM148" s="47"/>
      <c r="FN148" s="47"/>
      <c r="FO148" s="47"/>
      <c r="FP148" s="47"/>
      <c r="FQ148" s="47"/>
      <c r="FR148" s="47"/>
      <c r="FS148" s="47"/>
      <c r="FT148" s="47"/>
      <c r="FU148" s="47"/>
      <c r="FV148" s="47"/>
      <c r="FW148" s="47"/>
      <c r="FX148" s="47"/>
      <c r="FY148" s="47"/>
      <c r="FZ148" s="47"/>
      <c r="GA148" s="47"/>
      <c r="GB148" s="47"/>
      <c r="GC148" s="47"/>
      <c r="GD148" s="47"/>
      <c r="GE148" s="47"/>
      <c r="GF148" s="47"/>
      <c r="GG148" s="47"/>
      <c r="GH148" s="47"/>
      <c r="GI148" s="47"/>
      <c r="GJ148" s="47"/>
      <c r="GK148" s="47"/>
      <c r="GL148" s="47"/>
      <c r="GM148" s="47"/>
      <c r="GN148" s="47"/>
      <c r="GO148" s="47"/>
      <c r="GP148" s="47"/>
      <c r="GQ148" s="47"/>
      <c r="GR148" s="47"/>
      <c r="GS148" s="47"/>
      <c r="GT148" s="47"/>
      <c r="GU148" s="47"/>
      <c r="GV148" s="47"/>
      <c r="GW148" s="47"/>
      <c r="GX148" s="47"/>
      <c r="GY148" s="47"/>
      <c r="GZ148" s="47"/>
      <c r="HA148" s="47"/>
      <c r="HB148" s="47"/>
      <c r="HC148" s="47"/>
      <c r="HD148" s="47"/>
      <c r="HE148" s="47"/>
      <c r="HF148" s="47"/>
      <c r="HI148" s="47"/>
      <c r="HJ148" s="47"/>
      <c r="HK148" s="47"/>
      <c r="HL148" s="47"/>
      <c r="HM148" s="47"/>
      <c r="HN148" s="47"/>
      <c r="HO148" s="47"/>
      <c r="HP148" s="47"/>
      <c r="HS148" s="47"/>
      <c r="HT148" s="47"/>
      <c r="HU148" s="47"/>
      <c r="HV148" s="47"/>
      <c r="HW148" s="47"/>
      <c r="HX148" s="47"/>
      <c r="HY148" s="47"/>
      <c r="HZ148" s="47"/>
      <c r="IC148" s="47"/>
      <c r="ID148" s="47"/>
      <c r="IE148" s="47"/>
      <c r="IF148" s="47"/>
      <c r="IG148" s="47"/>
      <c r="IH148" s="47"/>
      <c r="II148" s="47"/>
      <c r="IJ148" s="47"/>
      <c r="IM148" s="47"/>
      <c r="IN148" s="47"/>
      <c r="IO148" s="47"/>
      <c r="IP148" s="47"/>
      <c r="IQ148" s="47"/>
      <c r="IR148" s="47"/>
      <c r="IS148" s="47"/>
      <c r="IT148" s="47"/>
      <c r="IW148" s="47"/>
      <c r="IX148" s="47"/>
      <c r="IY148" s="47"/>
      <c r="IZ148" s="47"/>
      <c r="JA148" s="47"/>
      <c r="JB148" s="47"/>
      <c r="JC148" s="47"/>
      <c r="JD148" s="47"/>
      <c r="JG148" s="47"/>
      <c r="JH148" s="47"/>
      <c r="JI148" s="47"/>
      <c r="JJ148" s="47"/>
      <c r="JK148" s="47"/>
      <c r="JL148" s="47"/>
      <c r="JM148" s="47"/>
      <c r="JN148" s="47"/>
      <c r="JQ148" s="47"/>
      <c r="JR148" s="47"/>
      <c r="JS148" s="47"/>
      <c r="JT148" s="47"/>
      <c r="JU148" s="47"/>
      <c r="JV148" s="47"/>
      <c r="JW148" s="47"/>
      <c r="JX148" s="47"/>
      <c r="KA148" s="47"/>
      <c r="KB148" s="47"/>
      <c r="KC148" s="47"/>
      <c r="KD148" s="47"/>
      <c r="KE148" s="47"/>
      <c r="KF148" s="47"/>
      <c r="KG148" s="47"/>
      <c r="KH148" s="47"/>
      <c r="KK148" s="47"/>
      <c r="KL148" s="47"/>
      <c r="KM148" s="47"/>
      <c r="KN148" s="47"/>
      <c r="KO148" s="47"/>
      <c r="KP148" s="47"/>
      <c r="KQ148" s="47"/>
      <c r="KR148" s="47"/>
      <c r="KU148" s="47"/>
      <c r="KV148" s="47"/>
      <c r="KW148" s="47"/>
      <c r="KX148" s="47"/>
      <c r="KY148" s="47"/>
      <c r="KZ148" s="47"/>
      <c r="LA148" s="47"/>
      <c r="LB148" s="47"/>
    </row>
    <row r="149" spans="29:314" x14ac:dyDescent="0.25">
      <c r="AC149" s="47"/>
      <c r="AD149" s="47"/>
      <c r="AE149" s="47"/>
      <c r="AF149" s="47"/>
      <c r="AG149" s="49"/>
      <c r="AH149" s="47"/>
      <c r="AI149" s="47"/>
      <c r="AJ149" s="47"/>
      <c r="AK149" s="47"/>
      <c r="AL149" s="47"/>
      <c r="AM149" s="47"/>
      <c r="AN149" s="47"/>
      <c r="AO149" s="47"/>
      <c r="AP149" s="47"/>
      <c r="AQ149" s="47"/>
      <c r="AR149" s="47"/>
      <c r="AS149" s="47"/>
      <c r="AT149" s="47"/>
      <c r="AU149" s="47"/>
      <c r="AV149" s="47"/>
      <c r="AW149" s="47"/>
      <c r="AX149" s="47"/>
      <c r="AY149" s="47"/>
      <c r="AZ149" s="47"/>
      <c r="BA149" s="47"/>
      <c r="BB149" s="47"/>
      <c r="BC149" s="47"/>
      <c r="BD149" s="47"/>
      <c r="BE149" s="47"/>
      <c r="BF149" s="47"/>
      <c r="BG149" s="47"/>
      <c r="BH149" s="47"/>
      <c r="BI149" s="47"/>
      <c r="BJ149" s="47"/>
      <c r="BK149" s="47"/>
      <c r="BL149" s="47"/>
      <c r="BM149" s="47"/>
      <c r="BN149" s="49"/>
      <c r="BO149" s="47"/>
      <c r="BP149" s="47"/>
      <c r="BQ149" s="47"/>
      <c r="BR149" s="47"/>
      <c r="BS149" s="47"/>
      <c r="BT149" s="47"/>
      <c r="BU149" s="47"/>
      <c r="BV149" s="47"/>
      <c r="BW149" s="47"/>
      <c r="BX149" s="47"/>
      <c r="BY149" s="47"/>
      <c r="BZ149" s="47"/>
      <c r="CA149" s="47"/>
      <c r="CB149" s="47"/>
      <c r="CC149" s="47"/>
      <c r="CD149" s="47"/>
      <c r="CE149" s="47"/>
      <c r="CF149" s="47"/>
      <c r="CG149" s="49"/>
      <c r="CH149" s="47"/>
      <c r="CI149" s="47"/>
      <c r="CJ149" s="47"/>
      <c r="CK149" s="47"/>
      <c r="CL149" s="47"/>
      <c r="CM149" s="47"/>
      <c r="CN149" s="47"/>
      <c r="CO149" s="47"/>
      <c r="CP149" s="47"/>
      <c r="CQ149" s="47"/>
      <c r="CS149" s="47"/>
      <c r="CT149" s="47"/>
      <c r="CU149" s="47"/>
      <c r="CV149" s="47"/>
      <c r="CW149" s="47"/>
      <c r="CX149" s="47"/>
      <c r="CY149" s="47"/>
      <c r="CZ149" s="47"/>
      <c r="DA149" s="47"/>
      <c r="DB149" s="47"/>
      <c r="DC149" s="47"/>
      <c r="DD149" s="47"/>
      <c r="DE149" s="47"/>
      <c r="DF149" s="47"/>
      <c r="DG149" s="47"/>
      <c r="DH149" s="47"/>
      <c r="DI149" s="47"/>
      <c r="DJ149" s="47"/>
      <c r="DK149" s="47"/>
      <c r="DM149" s="47"/>
      <c r="DN149" s="47"/>
      <c r="DO149" s="47"/>
      <c r="DP149" s="47"/>
      <c r="DQ149" s="47"/>
      <c r="DR149" s="47"/>
      <c r="DS149" s="47"/>
      <c r="DT149" s="47"/>
      <c r="DU149" s="47"/>
      <c r="DV149" s="49"/>
      <c r="DW149" s="47"/>
      <c r="DX149" s="47"/>
      <c r="DY149" s="47"/>
      <c r="DZ149" s="47"/>
      <c r="EA149" s="47"/>
      <c r="EB149" s="47"/>
      <c r="EC149" s="47"/>
      <c r="ED149" s="47"/>
      <c r="EE149" s="47"/>
      <c r="EF149" s="47"/>
      <c r="EG149" s="47"/>
      <c r="EH149" s="47"/>
      <c r="EI149" s="47"/>
      <c r="EJ149" s="47"/>
      <c r="EK149" s="47"/>
      <c r="EL149" s="47"/>
      <c r="EM149" s="47"/>
      <c r="EN149" s="47"/>
      <c r="EO149" s="47"/>
      <c r="EP149" s="47"/>
      <c r="EQ149" s="47"/>
      <c r="ER149" s="47"/>
      <c r="ES149" s="47"/>
      <c r="ET149" s="47"/>
      <c r="EU149" s="47"/>
      <c r="EV149" s="47"/>
      <c r="EW149" s="47"/>
      <c r="EX149" s="47"/>
      <c r="EY149" s="47"/>
      <c r="EZ149" s="47"/>
      <c r="FA149" s="47"/>
      <c r="FB149" s="47"/>
      <c r="FC149" s="47"/>
      <c r="FD149" s="47"/>
      <c r="FE149" s="47"/>
      <c r="FF149" s="47"/>
      <c r="FG149" s="47"/>
      <c r="FH149" s="47"/>
      <c r="FI149" s="47"/>
      <c r="FJ149" s="49"/>
      <c r="FK149" s="47"/>
      <c r="FL149" s="47"/>
      <c r="FM149" s="47"/>
      <c r="FN149" s="47"/>
      <c r="FO149" s="47"/>
      <c r="FP149" s="47"/>
      <c r="FQ149" s="47"/>
      <c r="FR149" s="47"/>
      <c r="FS149" s="47"/>
      <c r="FT149" s="47"/>
      <c r="FU149" s="47"/>
      <c r="FV149" s="47"/>
      <c r="FW149" s="47"/>
      <c r="FX149" s="47"/>
      <c r="FY149" s="47"/>
      <c r="FZ149" s="47"/>
      <c r="GA149" s="47"/>
      <c r="GB149" s="47"/>
      <c r="GC149" s="47"/>
      <c r="GD149" s="47"/>
      <c r="GE149" s="47"/>
      <c r="GF149" s="47"/>
      <c r="GG149" s="47"/>
      <c r="GH149" s="47"/>
      <c r="GI149" s="47"/>
      <c r="GJ149" s="47"/>
      <c r="GK149" s="47"/>
      <c r="GL149" s="47"/>
      <c r="GM149" s="47"/>
      <c r="GN149" s="47"/>
      <c r="GO149" s="47"/>
      <c r="GP149" s="47"/>
      <c r="GQ149" s="47"/>
      <c r="GR149" s="47"/>
      <c r="GS149" s="47"/>
      <c r="GT149" s="47"/>
      <c r="GU149" s="47"/>
      <c r="GV149" s="47"/>
      <c r="GW149" s="47"/>
      <c r="GX149" s="47"/>
      <c r="GY149" s="47"/>
      <c r="GZ149" s="47"/>
      <c r="HA149" s="47"/>
      <c r="HB149" s="47"/>
      <c r="HC149" s="47"/>
      <c r="HD149" s="47"/>
      <c r="HE149" s="47"/>
      <c r="HF149" s="47"/>
      <c r="HI149" s="47"/>
      <c r="HJ149" s="47"/>
      <c r="HK149" s="47"/>
      <c r="HL149" s="47"/>
      <c r="HM149" s="47"/>
      <c r="HN149" s="47"/>
      <c r="HO149" s="47"/>
      <c r="HP149" s="47"/>
      <c r="HS149" s="47"/>
      <c r="HT149" s="47"/>
      <c r="HU149" s="47"/>
      <c r="HV149" s="47"/>
      <c r="HW149" s="47"/>
      <c r="HX149" s="47"/>
      <c r="HY149" s="47"/>
      <c r="HZ149" s="47"/>
      <c r="IC149" s="47"/>
      <c r="ID149" s="47"/>
      <c r="IE149" s="47"/>
      <c r="IF149" s="47"/>
      <c r="IG149" s="47"/>
      <c r="IH149" s="47"/>
      <c r="II149" s="47"/>
      <c r="IJ149" s="47"/>
      <c r="IM149" s="47"/>
      <c r="IN149" s="47"/>
      <c r="IO149" s="47"/>
      <c r="IP149" s="47"/>
      <c r="IQ149" s="47"/>
      <c r="IR149" s="47"/>
      <c r="IS149" s="47"/>
      <c r="IT149" s="47"/>
      <c r="IW149" s="47"/>
      <c r="IX149" s="47"/>
      <c r="IY149" s="47"/>
      <c r="IZ149" s="47"/>
      <c r="JA149" s="47"/>
      <c r="JB149" s="47"/>
      <c r="JC149" s="47"/>
      <c r="JD149" s="47"/>
      <c r="JG149" s="47"/>
      <c r="JH149" s="47"/>
      <c r="JI149" s="47"/>
      <c r="JJ149" s="47"/>
      <c r="JK149" s="47"/>
      <c r="JL149" s="47"/>
      <c r="JM149" s="47"/>
      <c r="JN149" s="47"/>
      <c r="JQ149" s="47"/>
      <c r="JR149" s="47"/>
      <c r="JS149" s="47"/>
      <c r="JT149" s="47"/>
      <c r="JU149" s="47"/>
      <c r="JV149" s="47"/>
      <c r="JW149" s="47"/>
      <c r="JX149" s="47"/>
      <c r="KA149" s="47"/>
      <c r="KB149" s="47"/>
      <c r="KC149" s="47"/>
      <c r="KD149" s="47"/>
      <c r="KE149" s="47"/>
      <c r="KF149" s="47"/>
      <c r="KG149" s="47"/>
      <c r="KH149" s="47"/>
      <c r="KK149" s="47"/>
      <c r="KL149" s="47"/>
      <c r="KM149" s="47"/>
      <c r="KN149" s="47"/>
      <c r="KO149" s="47"/>
      <c r="KP149" s="47"/>
      <c r="KQ149" s="47"/>
      <c r="KR149" s="47"/>
      <c r="KU149" s="47"/>
      <c r="KV149" s="47"/>
      <c r="KW149" s="47"/>
      <c r="KX149" s="47"/>
      <c r="KY149" s="47"/>
      <c r="KZ149" s="47"/>
      <c r="LA149" s="47"/>
      <c r="LB149" s="47"/>
    </row>
    <row r="150" spans="29:314" x14ac:dyDescent="0.25">
      <c r="AC150" s="47"/>
      <c r="AD150" s="47"/>
      <c r="AE150" s="47"/>
      <c r="AF150" s="47"/>
      <c r="AG150" s="49"/>
      <c r="AH150" s="47"/>
      <c r="AI150" s="47"/>
      <c r="AJ150" s="47"/>
      <c r="AK150" s="47"/>
      <c r="AL150" s="47"/>
      <c r="AM150" s="47"/>
      <c r="AN150" s="47"/>
      <c r="AO150" s="47"/>
      <c r="AP150" s="47"/>
      <c r="AQ150" s="47"/>
      <c r="AR150" s="47"/>
      <c r="AS150" s="47"/>
      <c r="AT150" s="47"/>
      <c r="AU150" s="47"/>
      <c r="AV150" s="47"/>
      <c r="AW150" s="47"/>
      <c r="AX150" s="47"/>
      <c r="AY150" s="47"/>
      <c r="AZ150" s="47"/>
      <c r="BA150" s="47"/>
      <c r="BB150" s="47"/>
      <c r="BC150" s="47"/>
      <c r="BD150" s="47"/>
      <c r="BE150" s="47"/>
      <c r="BF150" s="47"/>
      <c r="BG150" s="47"/>
      <c r="BH150" s="47"/>
      <c r="BI150" s="47"/>
      <c r="BJ150" s="47"/>
      <c r="BK150" s="47"/>
      <c r="BL150" s="47"/>
      <c r="BM150" s="47"/>
      <c r="BN150" s="49"/>
      <c r="BO150" s="47"/>
      <c r="BP150" s="47"/>
      <c r="BQ150" s="47"/>
      <c r="BR150" s="47"/>
      <c r="BS150" s="47"/>
      <c r="BT150" s="47"/>
      <c r="BU150" s="47"/>
      <c r="BV150" s="47"/>
      <c r="BW150" s="47"/>
      <c r="BX150" s="47"/>
      <c r="BY150" s="47"/>
      <c r="BZ150" s="47"/>
      <c r="CA150" s="47"/>
      <c r="CB150" s="47"/>
      <c r="CC150" s="47"/>
      <c r="CD150" s="47"/>
      <c r="CE150" s="47"/>
      <c r="CF150" s="47"/>
      <c r="CG150" s="49"/>
      <c r="CH150" s="47"/>
      <c r="CI150" s="47"/>
      <c r="CJ150" s="47"/>
      <c r="CK150" s="47"/>
      <c r="CL150" s="47"/>
      <c r="CM150" s="47"/>
      <c r="CN150" s="47"/>
      <c r="CO150" s="47"/>
      <c r="CP150" s="47"/>
      <c r="CQ150" s="47"/>
      <c r="CS150" s="47"/>
      <c r="CT150" s="47"/>
      <c r="CU150" s="47"/>
      <c r="CV150" s="47"/>
      <c r="CW150" s="47"/>
      <c r="CX150" s="47"/>
      <c r="CY150" s="47"/>
      <c r="CZ150" s="47"/>
      <c r="DA150" s="47"/>
      <c r="DB150" s="47"/>
      <c r="DC150" s="47"/>
      <c r="DD150" s="47"/>
      <c r="DE150" s="47"/>
      <c r="DF150" s="47"/>
      <c r="DG150" s="47"/>
      <c r="DH150" s="47"/>
      <c r="DI150" s="47"/>
      <c r="DJ150" s="47"/>
      <c r="DK150" s="47"/>
      <c r="DM150" s="47"/>
      <c r="DN150" s="47"/>
      <c r="DO150" s="47"/>
      <c r="DP150" s="47"/>
      <c r="DQ150" s="47"/>
      <c r="DR150" s="47"/>
      <c r="DS150" s="47"/>
      <c r="DT150" s="47"/>
      <c r="DU150" s="47"/>
      <c r="DV150" s="49"/>
      <c r="DW150" s="47"/>
      <c r="DX150" s="47"/>
      <c r="DY150" s="47"/>
      <c r="DZ150" s="47"/>
      <c r="EA150" s="47"/>
      <c r="EB150" s="47"/>
      <c r="EC150" s="47"/>
      <c r="ED150" s="47"/>
      <c r="EE150" s="47"/>
      <c r="EF150" s="47"/>
      <c r="EG150" s="47"/>
      <c r="EH150" s="47"/>
      <c r="EI150" s="47"/>
      <c r="EJ150" s="47"/>
      <c r="EK150" s="47"/>
      <c r="EL150" s="47"/>
      <c r="EM150" s="47"/>
      <c r="EN150" s="47"/>
      <c r="EO150" s="47"/>
      <c r="EP150" s="47"/>
      <c r="EQ150" s="47"/>
      <c r="ER150" s="47"/>
      <c r="ES150" s="47"/>
      <c r="ET150" s="47"/>
      <c r="EU150" s="47"/>
      <c r="EV150" s="47"/>
      <c r="EW150" s="47"/>
      <c r="EX150" s="47"/>
      <c r="EY150" s="47"/>
      <c r="EZ150" s="47"/>
      <c r="FA150" s="47"/>
      <c r="FB150" s="47"/>
      <c r="FC150" s="47"/>
      <c r="FD150" s="47"/>
      <c r="FE150" s="47"/>
      <c r="FF150" s="47"/>
      <c r="FG150" s="47"/>
      <c r="FH150" s="47"/>
      <c r="FI150" s="47"/>
      <c r="FJ150" s="49"/>
      <c r="FK150" s="47"/>
      <c r="FL150" s="47"/>
      <c r="FM150" s="47"/>
      <c r="FN150" s="47"/>
      <c r="FO150" s="47"/>
      <c r="FP150" s="47"/>
      <c r="FQ150" s="47"/>
      <c r="FR150" s="47"/>
      <c r="FS150" s="47"/>
      <c r="FT150" s="47"/>
      <c r="FU150" s="47"/>
      <c r="FV150" s="47"/>
      <c r="FW150" s="47"/>
      <c r="FX150" s="47"/>
      <c r="FY150" s="47"/>
      <c r="FZ150" s="47"/>
      <c r="GA150" s="47"/>
      <c r="GB150" s="47"/>
      <c r="GC150" s="47"/>
      <c r="GD150" s="47"/>
      <c r="GE150" s="47"/>
      <c r="GF150" s="47"/>
      <c r="GG150" s="47"/>
      <c r="GH150" s="47"/>
      <c r="GI150" s="47"/>
      <c r="GJ150" s="47"/>
      <c r="GK150" s="47"/>
      <c r="GL150" s="47"/>
      <c r="GM150" s="47"/>
      <c r="GN150" s="47"/>
      <c r="GO150" s="47"/>
      <c r="GP150" s="47"/>
      <c r="GQ150" s="47"/>
      <c r="GR150" s="47"/>
      <c r="GS150" s="47"/>
      <c r="GT150" s="47"/>
      <c r="GU150" s="47"/>
      <c r="GV150" s="47"/>
      <c r="GW150" s="47"/>
      <c r="GX150" s="47"/>
      <c r="GY150" s="47"/>
      <c r="GZ150" s="47"/>
      <c r="HA150" s="47"/>
      <c r="HB150" s="47"/>
      <c r="HC150" s="47"/>
      <c r="HD150" s="47"/>
      <c r="HE150" s="47"/>
      <c r="HF150" s="47"/>
      <c r="HI150" s="47"/>
      <c r="HJ150" s="47"/>
      <c r="HK150" s="47"/>
      <c r="HL150" s="47"/>
      <c r="HM150" s="47"/>
      <c r="HN150" s="47"/>
      <c r="HO150" s="47"/>
      <c r="HP150" s="47"/>
      <c r="HS150" s="47"/>
      <c r="HT150" s="47"/>
      <c r="HU150" s="47"/>
      <c r="HV150" s="47"/>
      <c r="HW150" s="47"/>
      <c r="HX150" s="47"/>
      <c r="HY150" s="47"/>
      <c r="HZ150" s="47"/>
      <c r="IC150" s="47"/>
      <c r="ID150" s="47"/>
      <c r="IE150" s="47"/>
      <c r="IF150" s="47"/>
      <c r="IG150" s="47"/>
      <c r="IH150" s="47"/>
      <c r="II150" s="47"/>
      <c r="IJ150" s="47"/>
      <c r="IM150" s="47"/>
      <c r="IN150" s="47"/>
      <c r="IO150" s="47"/>
      <c r="IP150" s="47"/>
      <c r="IQ150" s="47"/>
      <c r="IR150" s="47"/>
      <c r="IS150" s="47"/>
      <c r="IT150" s="47"/>
      <c r="IW150" s="47"/>
      <c r="IX150" s="47"/>
      <c r="IY150" s="47"/>
      <c r="IZ150" s="47"/>
      <c r="JA150" s="47"/>
      <c r="JB150" s="47"/>
      <c r="JC150" s="47"/>
      <c r="JD150" s="47"/>
      <c r="JG150" s="47"/>
      <c r="JH150" s="47"/>
      <c r="JI150" s="47"/>
      <c r="JJ150" s="47"/>
      <c r="JK150" s="47"/>
      <c r="JL150" s="47"/>
      <c r="JM150" s="47"/>
      <c r="JN150" s="47"/>
      <c r="JQ150" s="47"/>
      <c r="JR150" s="47"/>
      <c r="JS150" s="47"/>
      <c r="JT150" s="47"/>
      <c r="JU150" s="47"/>
      <c r="JV150" s="47"/>
      <c r="JW150" s="47"/>
      <c r="JX150" s="47"/>
      <c r="KA150" s="47"/>
      <c r="KB150" s="47"/>
      <c r="KC150" s="47"/>
      <c r="KD150" s="47"/>
      <c r="KE150" s="47"/>
      <c r="KF150" s="47"/>
      <c r="KG150" s="47"/>
      <c r="KH150" s="47"/>
      <c r="KK150" s="47"/>
      <c r="KL150" s="47"/>
      <c r="KM150" s="47"/>
      <c r="KN150" s="47"/>
      <c r="KO150" s="47"/>
      <c r="KP150" s="47"/>
      <c r="KQ150" s="47"/>
      <c r="KR150" s="47"/>
      <c r="KU150" s="47"/>
      <c r="KV150" s="47"/>
      <c r="KW150" s="47"/>
      <c r="KX150" s="47"/>
      <c r="KY150" s="47"/>
      <c r="KZ150" s="47"/>
      <c r="LA150" s="47"/>
      <c r="LB150" s="47"/>
    </row>
    <row r="151" spans="29:314" x14ac:dyDescent="0.25">
      <c r="AC151" s="47"/>
      <c r="AD151" s="47"/>
      <c r="AE151" s="47"/>
      <c r="AF151" s="47"/>
      <c r="AG151" s="49"/>
      <c r="AH151" s="47"/>
      <c r="AI151" s="47"/>
      <c r="AJ151" s="47"/>
      <c r="AK151" s="47"/>
      <c r="AL151" s="47"/>
      <c r="AM151" s="47"/>
      <c r="AN151" s="47"/>
      <c r="AO151" s="47"/>
      <c r="AP151" s="47"/>
      <c r="AQ151" s="47"/>
      <c r="AR151" s="47"/>
      <c r="AS151" s="47"/>
      <c r="AT151" s="47"/>
      <c r="AU151" s="47"/>
      <c r="AV151" s="47"/>
      <c r="AW151" s="47"/>
      <c r="AX151" s="47"/>
      <c r="AY151" s="47"/>
      <c r="AZ151" s="47"/>
      <c r="BA151" s="47"/>
      <c r="BB151" s="47"/>
      <c r="BC151" s="47"/>
      <c r="BD151" s="47"/>
      <c r="BE151" s="47"/>
      <c r="BF151" s="47"/>
      <c r="BG151" s="47"/>
      <c r="BH151" s="47"/>
      <c r="BI151" s="47"/>
      <c r="BJ151" s="47"/>
      <c r="BK151" s="47"/>
      <c r="BL151" s="47"/>
      <c r="BM151" s="47"/>
      <c r="BN151" s="49"/>
      <c r="BO151" s="47"/>
      <c r="BP151" s="47"/>
      <c r="BQ151" s="47"/>
      <c r="BR151" s="47"/>
      <c r="BS151" s="47"/>
      <c r="BT151" s="47"/>
      <c r="BU151" s="47"/>
      <c r="BV151" s="47"/>
      <c r="BW151" s="47"/>
      <c r="BX151" s="47"/>
      <c r="BY151" s="47"/>
      <c r="BZ151" s="47"/>
      <c r="CA151" s="47"/>
      <c r="CB151" s="47"/>
      <c r="CC151" s="47"/>
      <c r="CD151" s="47"/>
      <c r="CE151" s="47"/>
      <c r="CF151" s="47"/>
      <c r="CG151" s="49"/>
      <c r="CH151" s="47"/>
      <c r="CI151" s="47"/>
      <c r="CJ151" s="47"/>
      <c r="CK151" s="47"/>
      <c r="CL151" s="47"/>
      <c r="CM151" s="47"/>
      <c r="CN151" s="47"/>
      <c r="CO151" s="47"/>
      <c r="CP151" s="47"/>
      <c r="CQ151" s="47"/>
      <c r="CS151" s="47"/>
      <c r="CT151" s="47"/>
      <c r="CU151" s="47"/>
      <c r="CV151" s="47"/>
      <c r="CW151" s="47"/>
      <c r="CX151" s="47"/>
      <c r="CY151" s="47"/>
      <c r="CZ151" s="47"/>
      <c r="DA151" s="47"/>
      <c r="DB151" s="47"/>
      <c r="DC151" s="47"/>
      <c r="DD151" s="47"/>
      <c r="DE151" s="47"/>
      <c r="DF151" s="47"/>
      <c r="DG151" s="47"/>
      <c r="DH151" s="47"/>
      <c r="DI151" s="47"/>
      <c r="DJ151" s="47"/>
      <c r="DK151" s="47"/>
      <c r="DM151" s="47"/>
      <c r="DN151" s="47"/>
      <c r="DO151" s="47"/>
      <c r="DP151" s="47"/>
      <c r="DQ151" s="47"/>
      <c r="DR151" s="47"/>
      <c r="DS151" s="47"/>
      <c r="DT151" s="47"/>
      <c r="DU151" s="47"/>
      <c r="DV151" s="49"/>
      <c r="DW151" s="47"/>
      <c r="DX151" s="47"/>
      <c r="DY151" s="47"/>
      <c r="DZ151" s="47"/>
      <c r="EA151" s="47"/>
      <c r="EB151" s="47"/>
      <c r="EC151" s="47"/>
      <c r="ED151" s="47"/>
      <c r="EE151" s="47"/>
      <c r="EF151" s="47"/>
      <c r="EG151" s="47"/>
      <c r="EH151" s="47"/>
      <c r="EI151" s="47"/>
      <c r="EJ151" s="47"/>
      <c r="EK151" s="47"/>
      <c r="EL151" s="47"/>
      <c r="EM151" s="47"/>
      <c r="EN151" s="47"/>
      <c r="EO151" s="47"/>
      <c r="EP151" s="47"/>
      <c r="EQ151" s="47"/>
      <c r="ER151" s="47"/>
      <c r="ES151" s="47"/>
      <c r="ET151" s="47"/>
      <c r="EU151" s="47"/>
      <c r="EV151" s="47"/>
      <c r="EW151" s="47"/>
      <c r="EX151" s="47"/>
      <c r="EY151" s="47"/>
      <c r="EZ151" s="47"/>
      <c r="FA151" s="47"/>
      <c r="FB151" s="47"/>
      <c r="FC151" s="47"/>
      <c r="FD151" s="47"/>
      <c r="FE151" s="47"/>
      <c r="FF151" s="47"/>
      <c r="FG151" s="47"/>
      <c r="FH151" s="47"/>
      <c r="FI151" s="47"/>
      <c r="FJ151" s="49"/>
      <c r="FK151" s="47"/>
      <c r="FL151" s="47"/>
      <c r="FM151" s="47"/>
      <c r="FN151" s="47"/>
      <c r="FO151" s="47"/>
      <c r="FP151" s="47"/>
      <c r="FQ151" s="47"/>
      <c r="FR151" s="47"/>
      <c r="FS151" s="47"/>
      <c r="FT151" s="47"/>
      <c r="FU151" s="47"/>
      <c r="FV151" s="47"/>
      <c r="FW151" s="47"/>
      <c r="FX151" s="47"/>
      <c r="FY151" s="47"/>
      <c r="FZ151" s="47"/>
      <c r="GA151" s="47"/>
      <c r="GB151" s="47"/>
      <c r="GC151" s="47"/>
      <c r="GD151" s="47"/>
      <c r="GE151" s="47"/>
      <c r="GF151" s="47"/>
      <c r="GG151" s="47"/>
      <c r="GH151" s="47"/>
      <c r="GI151" s="47"/>
      <c r="GJ151" s="47"/>
      <c r="GK151" s="47"/>
      <c r="GL151" s="47"/>
      <c r="GM151" s="47"/>
      <c r="GN151" s="47"/>
      <c r="GO151" s="47"/>
      <c r="GP151" s="47"/>
      <c r="GQ151" s="47"/>
      <c r="GR151" s="47"/>
      <c r="GS151" s="47"/>
      <c r="GT151" s="47"/>
      <c r="GU151" s="47"/>
      <c r="GV151" s="47"/>
      <c r="GW151" s="47"/>
      <c r="GX151" s="47"/>
      <c r="GY151" s="47"/>
      <c r="GZ151" s="47"/>
      <c r="HA151" s="47"/>
      <c r="HB151" s="47"/>
      <c r="HC151" s="47"/>
      <c r="HD151" s="47"/>
      <c r="HE151" s="47"/>
      <c r="HF151" s="47"/>
      <c r="HI151" s="47"/>
      <c r="HJ151" s="47"/>
      <c r="HK151" s="47"/>
      <c r="HL151" s="47"/>
      <c r="HM151" s="47"/>
      <c r="HN151" s="47"/>
      <c r="HO151" s="47"/>
      <c r="HP151" s="47"/>
      <c r="HS151" s="47"/>
      <c r="HT151" s="47"/>
      <c r="HU151" s="47"/>
      <c r="HV151" s="47"/>
      <c r="HW151" s="47"/>
      <c r="HX151" s="47"/>
      <c r="HY151" s="47"/>
      <c r="HZ151" s="47"/>
      <c r="IC151" s="47"/>
      <c r="ID151" s="47"/>
      <c r="IE151" s="47"/>
      <c r="IF151" s="47"/>
      <c r="IG151" s="47"/>
      <c r="IH151" s="47"/>
      <c r="II151" s="47"/>
      <c r="IJ151" s="47"/>
      <c r="IM151" s="47"/>
      <c r="IN151" s="47"/>
      <c r="IO151" s="47"/>
      <c r="IP151" s="47"/>
      <c r="IQ151" s="47"/>
      <c r="IR151" s="47"/>
      <c r="IS151" s="47"/>
      <c r="IT151" s="47"/>
      <c r="IW151" s="47"/>
      <c r="IX151" s="47"/>
      <c r="IY151" s="47"/>
      <c r="IZ151" s="47"/>
      <c r="JA151" s="47"/>
      <c r="JB151" s="47"/>
      <c r="JC151" s="47"/>
      <c r="JD151" s="47"/>
      <c r="JG151" s="47"/>
      <c r="JH151" s="47"/>
      <c r="JI151" s="47"/>
      <c r="JJ151" s="47"/>
      <c r="JK151" s="47"/>
      <c r="JL151" s="47"/>
      <c r="JM151" s="47"/>
      <c r="JN151" s="47"/>
      <c r="JQ151" s="47"/>
      <c r="JR151" s="47"/>
      <c r="JS151" s="47"/>
      <c r="JT151" s="47"/>
      <c r="JU151" s="47"/>
      <c r="JV151" s="47"/>
      <c r="JW151" s="47"/>
      <c r="JX151" s="47"/>
      <c r="KA151" s="47"/>
      <c r="KB151" s="47"/>
      <c r="KC151" s="47"/>
      <c r="KD151" s="47"/>
      <c r="KE151" s="47"/>
      <c r="KF151" s="47"/>
      <c r="KG151" s="47"/>
      <c r="KH151" s="47"/>
      <c r="KK151" s="47"/>
      <c r="KL151" s="47"/>
      <c r="KM151" s="47"/>
      <c r="KN151" s="47"/>
      <c r="KO151" s="47"/>
      <c r="KP151" s="47"/>
      <c r="KQ151" s="47"/>
      <c r="KR151" s="47"/>
      <c r="KU151" s="47"/>
      <c r="KV151" s="47"/>
      <c r="KW151" s="47"/>
      <c r="KX151" s="47"/>
      <c r="KY151" s="47"/>
      <c r="KZ151" s="47"/>
      <c r="LA151" s="47"/>
      <c r="LB151" s="47"/>
    </row>
    <row r="152" spans="29:314" x14ac:dyDescent="0.25">
      <c r="AC152" s="47"/>
      <c r="AD152" s="47"/>
      <c r="AE152" s="47"/>
      <c r="AF152" s="47"/>
      <c r="AG152" s="49"/>
      <c r="AH152" s="47"/>
      <c r="AI152" s="47"/>
      <c r="AJ152" s="47"/>
      <c r="AK152" s="47"/>
      <c r="AL152" s="47"/>
      <c r="AM152" s="47"/>
      <c r="AN152" s="47"/>
      <c r="AO152" s="47"/>
      <c r="AP152" s="47"/>
      <c r="AQ152" s="47"/>
      <c r="AR152" s="47"/>
      <c r="AS152" s="47"/>
      <c r="AT152" s="47"/>
      <c r="AU152" s="47"/>
      <c r="AV152" s="47"/>
      <c r="AW152" s="47"/>
      <c r="AX152" s="47"/>
      <c r="AY152" s="47"/>
      <c r="AZ152" s="47"/>
      <c r="BA152" s="47"/>
      <c r="BB152" s="47"/>
      <c r="BC152" s="47"/>
      <c r="BD152" s="47"/>
      <c r="BE152" s="47"/>
      <c r="BF152" s="47"/>
      <c r="BG152" s="47"/>
      <c r="BH152" s="47"/>
      <c r="BI152" s="47"/>
      <c r="BJ152" s="47"/>
      <c r="BK152" s="47"/>
      <c r="BL152" s="47"/>
      <c r="BM152" s="47"/>
      <c r="BN152" s="49"/>
      <c r="BO152" s="47"/>
      <c r="BP152" s="47"/>
      <c r="BQ152" s="47"/>
      <c r="BR152" s="47"/>
      <c r="BS152" s="47"/>
      <c r="BT152" s="47"/>
      <c r="BU152" s="47"/>
      <c r="BV152" s="47"/>
      <c r="BW152" s="47"/>
      <c r="BX152" s="47"/>
      <c r="BY152" s="47"/>
      <c r="BZ152" s="47"/>
      <c r="CA152" s="47"/>
      <c r="CB152" s="47"/>
      <c r="CC152" s="47"/>
      <c r="CD152" s="47"/>
      <c r="CE152" s="47"/>
      <c r="CF152" s="47"/>
      <c r="CG152" s="49"/>
      <c r="CH152" s="47"/>
      <c r="CI152" s="47"/>
      <c r="CJ152" s="47"/>
      <c r="CK152" s="47"/>
      <c r="CL152" s="47"/>
      <c r="CM152" s="47"/>
      <c r="CN152" s="47"/>
      <c r="CO152" s="47"/>
      <c r="CP152" s="47"/>
      <c r="CQ152" s="47"/>
      <c r="CS152" s="47"/>
      <c r="CT152" s="47"/>
      <c r="CU152" s="47"/>
      <c r="CV152" s="47"/>
      <c r="CW152" s="47"/>
      <c r="CX152" s="47"/>
      <c r="CY152" s="47"/>
      <c r="CZ152" s="47"/>
      <c r="DA152" s="47"/>
      <c r="DB152" s="47"/>
      <c r="DC152" s="47"/>
      <c r="DD152" s="47"/>
      <c r="DE152" s="47"/>
      <c r="DF152" s="47"/>
      <c r="DG152" s="47"/>
      <c r="DH152" s="47"/>
      <c r="DI152" s="47"/>
      <c r="DJ152" s="47"/>
      <c r="DK152" s="47"/>
      <c r="DM152" s="47"/>
      <c r="DN152" s="47"/>
      <c r="DO152" s="47"/>
      <c r="DP152" s="47"/>
      <c r="DQ152" s="47"/>
      <c r="DR152" s="47"/>
      <c r="DS152" s="47"/>
      <c r="DT152" s="47"/>
      <c r="DU152" s="47"/>
      <c r="DV152" s="49"/>
      <c r="DW152" s="47"/>
      <c r="DX152" s="47"/>
      <c r="DY152" s="47"/>
      <c r="DZ152" s="47"/>
      <c r="EA152" s="47"/>
      <c r="EB152" s="47"/>
      <c r="EC152" s="47"/>
      <c r="ED152" s="47"/>
      <c r="EE152" s="47"/>
      <c r="EF152" s="47"/>
      <c r="EG152" s="47"/>
      <c r="EH152" s="47"/>
      <c r="EI152" s="47"/>
      <c r="EJ152" s="47"/>
      <c r="EK152" s="47"/>
      <c r="EL152" s="47"/>
      <c r="EM152" s="47"/>
      <c r="EN152" s="47"/>
      <c r="EO152" s="47"/>
      <c r="EP152" s="47"/>
      <c r="EQ152" s="47"/>
      <c r="ER152" s="47"/>
      <c r="ES152" s="47"/>
      <c r="ET152" s="47"/>
      <c r="EU152" s="47"/>
      <c r="EV152" s="47"/>
      <c r="EW152" s="47"/>
      <c r="EX152" s="47"/>
      <c r="EY152" s="47"/>
      <c r="EZ152" s="47"/>
      <c r="FA152" s="47"/>
      <c r="FB152" s="47"/>
      <c r="FC152" s="47"/>
      <c r="FD152" s="47"/>
      <c r="FE152" s="47"/>
      <c r="FF152" s="47"/>
      <c r="FG152" s="47"/>
      <c r="FH152" s="47"/>
      <c r="FI152" s="47"/>
      <c r="FJ152" s="49"/>
      <c r="FK152" s="47"/>
      <c r="FL152" s="47"/>
      <c r="FM152" s="47"/>
      <c r="FN152" s="47"/>
      <c r="FO152" s="47"/>
      <c r="FP152" s="47"/>
      <c r="FQ152" s="47"/>
      <c r="FR152" s="47"/>
      <c r="FS152" s="47"/>
      <c r="FT152" s="47"/>
      <c r="FU152" s="47"/>
      <c r="FV152" s="47"/>
      <c r="FW152" s="47"/>
      <c r="FX152" s="47"/>
      <c r="FY152" s="47"/>
      <c r="FZ152" s="47"/>
      <c r="GA152" s="47"/>
      <c r="GB152" s="47"/>
      <c r="GC152" s="47"/>
      <c r="GD152" s="47"/>
      <c r="GE152" s="47"/>
      <c r="GF152" s="47"/>
      <c r="GG152" s="47"/>
      <c r="GH152" s="47"/>
      <c r="GI152" s="47"/>
      <c r="GJ152" s="47"/>
      <c r="GK152" s="47"/>
      <c r="GL152" s="47"/>
      <c r="GM152" s="47"/>
      <c r="GN152" s="47"/>
      <c r="GO152" s="47"/>
      <c r="GP152" s="47"/>
      <c r="GQ152" s="47"/>
      <c r="GR152" s="47"/>
      <c r="GS152" s="47"/>
      <c r="GT152" s="47"/>
      <c r="GU152" s="47"/>
      <c r="GV152" s="47"/>
      <c r="GW152" s="47"/>
      <c r="GX152" s="47"/>
      <c r="GY152" s="47"/>
      <c r="GZ152" s="47"/>
      <c r="HA152" s="47"/>
      <c r="HB152" s="47"/>
      <c r="HC152" s="47"/>
      <c r="HD152" s="47"/>
      <c r="HE152" s="47"/>
      <c r="HF152" s="47"/>
      <c r="HI152" s="47"/>
      <c r="HJ152" s="47"/>
      <c r="HK152" s="47"/>
      <c r="HL152" s="47"/>
      <c r="HM152" s="47"/>
      <c r="HN152" s="47"/>
      <c r="HO152" s="47"/>
      <c r="HP152" s="47"/>
      <c r="HS152" s="47"/>
      <c r="HT152" s="47"/>
      <c r="HU152" s="47"/>
      <c r="HV152" s="47"/>
      <c r="HW152" s="47"/>
      <c r="HX152" s="47"/>
      <c r="HY152" s="47"/>
      <c r="HZ152" s="47"/>
      <c r="IC152" s="47"/>
      <c r="ID152" s="47"/>
      <c r="IE152" s="47"/>
      <c r="IF152" s="47"/>
      <c r="IG152" s="47"/>
      <c r="IH152" s="47"/>
      <c r="II152" s="47"/>
      <c r="IJ152" s="47"/>
      <c r="IM152" s="47"/>
      <c r="IN152" s="47"/>
      <c r="IO152" s="47"/>
      <c r="IP152" s="47"/>
      <c r="IQ152" s="47"/>
      <c r="IR152" s="47"/>
      <c r="IS152" s="47"/>
      <c r="IT152" s="47"/>
      <c r="IW152" s="47"/>
      <c r="IX152" s="47"/>
      <c r="IY152" s="47"/>
      <c r="IZ152" s="47"/>
      <c r="JA152" s="47"/>
      <c r="JB152" s="47"/>
      <c r="JC152" s="47"/>
      <c r="JD152" s="47"/>
      <c r="JG152" s="47"/>
      <c r="JH152" s="47"/>
      <c r="JI152" s="47"/>
      <c r="JJ152" s="47"/>
      <c r="JK152" s="47"/>
      <c r="JL152" s="47"/>
      <c r="JM152" s="47"/>
      <c r="JN152" s="47"/>
      <c r="JQ152" s="47"/>
      <c r="JR152" s="47"/>
      <c r="JS152" s="47"/>
      <c r="JT152" s="47"/>
      <c r="JU152" s="47"/>
      <c r="JV152" s="47"/>
      <c r="JW152" s="47"/>
      <c r="JX152" s="47"/>
      <c r="KA152" s="47"/>
      <c r="KB152" s="47"/>
      <c r="KC152" s="47"/>
      <c r="KD152" s="47"/>
      <c r="KE152" s="47"/>
      <c r="KF152" s="47"/>
      <c r="KG152" s="47"/>
      <c r="KH152" s="47"/>
      <c r="KK152" s="47"/>
      <c r="KL152" s="47"/>
      <c r="KM152" s="47"/>
      <c r="KN152" s="47"/>
      <c r="KO152" s="47"/>
      <c r="KP152" s="47"/>
      <c r="KQ152" s="47"/>
      <c r="KR152" s="47"/>
      <c r="KU152" s="47"/>
      <c r="KV152" s="47"/>
      <c r="KW152" s="47"/>
      <c r="KX152" s="47"/>
      <c r="KY152" s="47"/>
      <c r="KZ152" s="47"/>
      <c r="LA152" s="47"/>
      <c r="LB152" s="47"/>
    </row>
    <row r="153" spans="29:314" x14ac:dyDescent="0.25">
      <c r="AC153" s="47"/>
      <c r="AD153" s="47"/>
      <c r="AE153" s="47"/>
      <c r="AF153" s="47"/>
      <c r="AG153" s="49"/>
      <c r="AH153" s="47"/>
      <c r="AI153" s="47"/>
      <c r="AJ153" s="47"/>
      <c r="AK153" s="47"/>
      <c r="AL153" s="47"/>
      <c r="AM153" s="47"/>
      <c r="AN153" s="47"/>
      <c r="AO153" s="47"/>
      <c r="AP153" s="47"/>
      <c r="AQ153" s="47"/>
      <c r="AR153" s="47"/>
      <c r="AS153" s="47"/>
      <c r="AT153" s="47"/>
      <c r="AU153" s="47"/>
      <c r="AV153" s="47"/>
      <c r="AW153" s="47"/>
      <c r="AX153" s="47"/>
      <c r="AY153" s="47"/>
      <c r="AZ153" s="47"/>
      <c r="BA153" s="47"/>
      <c r="BB153" s="47"/>
      <c r="BC153" s="47"/>
      <c r="BD153" s="47"/>
      <c r="BE153" s="47"/>
      <c r="BF153" s="47"/>
      <c r="BG153" s="47"/>
      <c r="BH153" s="47"/>
      <c r="BI153" s="47"/>
      <c r="BJ153" s="47"/>
      <c r="BK153" s="47"/>
      <c r="BL153" s="47"/>
      <c r="BM153" s="47"/>
      <c r="BN153" s="49"/>
      <c r="BO153" s="47"/>
      <c r="BP153" s="47"/>
      <c r="BQ153" s="47"/>
      <c r="BR153" s="47"/>
      <c r="BS153" s="47"/>
      <c r="BT153" s="47"/>
      <c r="BU153" s="47"/>
      <c r="BV153" s="47"/>
      <c r="BW153" s="47"/>
      <c r="BX153" s="47"/>
      <c r="BY153" s="47"/>
      <c r="BZ153" s="47"/>
      <c r="CA153" s="47"/>
      <c r="CB153" s="47"/>
      <c r="CC153" s="47"/>
      <c r="CD153" s="47"/>
      <c r="CE153" s="47"/>
      <c r="CF153" s="47"/>
      <c r="CG153" s="49"/>
      <c r="CH153" s="47"/>
      <c r="CI153" s="47"/>
      <c r="CJ153" s="47"/>
      <c r="CK153" s="47"/>
      <c r="CL153" s="47"/>
      <c r="CM153" s="47"/>
      <c r="CN153" s="47"/>
      <c r="CO153" s="47"/>
      <c r="CP153" s="47"/>
      <c r="CQ153" s="47"/>
      <c r="CS153" s="47"/>
      <c r="CT153" s="47"/>
      <c r="CU153" s="47"/>
      <c r="CV153" s="47"/>
      <c r="CW153" s="47"/>
      <c r="CX153" s="47"/>
      <c r="CY153" s="47"/>
      <c r="CZ153" s="47"/>
      <c r="DA153" s="47"/>
      <c r="DB153" s="47"/>
      <c r="DC153" s="47"/>
      <c r="DD153" s="47"/>
      <c r="DE153" s="47"/>
      <c r="DF153" s="47"/>
      <c r="DG153" s="47"/>
      <c r="DH153" s="47"/>
      <c r="DI153" s="47"/>
      <c r="DJ153" s="47"/>
      <c r="DK153" s="47"/>
      <c r="DM153" s="47"/>
      <c r="DN153" s="47"/>
      <c r="DO153" s="47"/>
      <c r="DP153" s="47"/>
      <c r="DQ153" s="47"/>
      <c r="DR153" s="47"/>
      <c r="DS153" s="47"/>
      <c r="DT153" s="47"/>
      <c r="DU153" s="47"/>
      <c r="DV153" s="49"/>
      <c r="DW153" s="47"/>
      <c r="DX153" s="47"/>
      <c r="DY153" s="47"/>
      <c r="DZ153" s="47"/>
      <c r="EA153" s="47"/>
      <c r="EB153" s="47"/>
      <c r="EC153" s="47"/>
      <c r="ED153" s="47"/>
      <c r="EE153" s="47"/>
      <c r="EF153" s="47"/>
      <c r="EG153" s="47"/>
      <c r="EH153" s="47"/>
      <c r="EI153" s="47"/>
      <c r="EJ153" s="47"/>
      <c r="EK153" s="47"/>
      <c r="EL153" s="47"/>
      <c r="EM153" s="47"/>
      <c r="EN153" s="47"/>
      <c r="EO153" s="47"/>
      <c r="EP153" s="47"/>
      <c r="EQ153" s="47"/>
      <c r="ER153" s="47"/>
      <c r="ES153" s="47"/>
      <c r="ET153" s="47"/>
      <c r="EU153" s="47"/>
      <c r="EV153" s="47"/>
      <c r="EW153" s="47"/>
      <c r="EX153" s="47"/>
      <c r="EY153" s="47"/>
      <c r="EZ153" s="47"/>
      <c r="FA153" s="47"/>
      <c r="FB153" s="47"/>
      <c r="FC153" s="47"/>
      <c r="FD153" s="47"/>
      <c r="FE153" s="47"/>
      <c r="FF153" s="47"/>
      <c r="FG153" s="47"/>
      <c r="FH153" s="47"/>
      <c r="FI153" s="47"/>
      <c r="FJ153" s="49"/>
      <c r="FK153" s="47"/>
      <c r="FL153" s="47"/>
      <c r="FM153" s="47"/>
      <c r="FN153" s="47"/>
      <c r="FO153" s="47"/>
      <c r="FP153" s="47"/>
      <c r="FQ153" s="47"/>
      <c r="FR153" s="47"/>
      <c r="FS153" s="47"/>
      <c r="FT153" s="47"/>
      <c r="FU153" s="47"/>
      <c r="FV153" s="47"/>
      <c r="FW153" s="47"/>
      <c r="FX153" s="47"/>
      <c r="FY153" s="47"/>
      <c r="FZ153" s="47"/>
      <c r="GA153" s="47"/>
      <c r="GB153" s="47"/>
      <c r="GC153" s="47"/>
      <c r="GD153" s="47"/>
      <c r="GE153" s="47"/>
      <c r="GF153" s="47"/>
      <c r="GG153" s="47"/>
      <c r="GH153" s="47"/>
      <c r="GI153" s="47"/>
      <c r="GJ153" s="47"/>
      <c r="GK153" s="47"/>
      <c r="GL153" s="47"/>
      <c r="GM153" s="47"/>
      <c r="GN153" s="47"/>
      <c r="GO153" s="47"/>
      <c r="GP153" s="47"/>
      <c r="GQ153" s="47"/>
      <c r="GR153" s="47"/>
      <c r="GS153" s="47"/>
      <c r="GT153" s="47"/>
      <c r="GU153" s="47"/>
      <c r="GV153" s="47"/>
      <c r="GW153" s="47"/>
      <c r="GX153" s="47"/>
      <c r="GY153" s="47"/>
      <c r="GZ153" s="47"/>
      <c r="HA153" s="47"/>
      <c r="HB153" s="47"/>
      <c r="HC153" s="47"/>
      <c r="HD153" s="47"/>
      <c r="HE153" s="47"/>
      <c r="HF153" s="47"/>
      <c r="HI153" s="47"/>
      <c r="HJ153" s="47"/>
      <c r="HK153" s="47"/>
      <c r="HL153" s="47"/>
      <c r="HM153" s="47"/>
      <c r="HN153" s="47"/>
      <c r="HO153" s="47"/>
      <c r="HP153" s="47"/>
      <c r="HS153" s="47"/>
      <c r="HT153" s="47"/>
      <c r="HU153" s="47"/>
      <c r="HV153" s="47"/>
      <c r="HW153" s="47"/>
      <c r="HX153" s="47"/>
      <c r="HY153" s="47"/>
      <c r="HZ153" s="47"/>
      <c r="IC153" s="47"/>
      <c r="ID153" s="47"/>
      <c r="IE153" s="47"/>
      <c r="IF153" s="47"/>
      <c r="IG153" s="47"/>
      <c r="IH153" s="47"/>
      <c r="II153" s="47"/>
      <c r="IJ153" s="47"/>
      <c r="IM153" s="47"/>
      <c r="IN153" s="47"/>
      <c r="IO153" s="47"/>
      <c r="IP153" s="47"/>
      <c r="IQ153" s="47"/>
      <c r="IR153" s="47"/>
      <c r="IS153" s="47"/>
      <c r="IT153" s="47"/>
      <c r="IW153" s="47"/>
      <c r="IX153" s="47"/>
      <c r="IY153" s="47"/>
      <c r="IZ153" s="47"/>
      <c r="JA153" s="47"/>
      <c r="JB153" s="47"/>
      <c r="JC153" s="47"/>
      <c r="JD153" s="47"/>
      <c r="JG153" s="47"/>
      <c r="JH153" s="47"/>
      <c r="JI153" s="47"/>
      <c r="JJ153" s="47"/>
      <c r="JK153" s="47"/>
      <c r="JL153" s="47"/>
      <c r="JM153" s="47"/>
      <c r="JN153" s="47"/>
      <c r="JQ153" s="47"/>
      <c r="JR153" s="47"/>
      <c r="JS153" s="47"/>
      <c r="JT153" s="47"/>
      <c r="JU153" s="47"/>
      <c r="JV153" s="47"/>
      <c r="JW153" s="47"/>
      <c r="JX153" s="47"/>
      <c r="KA153" s="47"/>
      <c r="KB153" s="47"/>
      <c r="KC153" s="47"/>
      <c r="KD153" s="47"/>
      <c r="KE153" s="47"/>
      <c r="KF153" s="47"/>
      <c r="KG153" s="47"/>
      <c r="KH153" s="47"/>
      <c r="KK153" s="47"/>
      <c r="KL153" s="47"/>
      <c r="KM153" s="47"/>
      <c r="KN153" s="47"/>
      <c r="KO153" s="47"/>
      <c r="KP153" s="47"/>
      <c r="KQ153" s="47"/>
      <c r="KR153" s="47"/>
      <c r="KU153" s="47"/>
      <c r="KV153" s="47"/>
      <c r="KW153" s="47"/>
      <c r="KX153" s="47"/>
      <c r="KY153" s="47"/>
      <c r="KZ153" s="47"/>
      <c r="LA153" s="47"/>
      <c r="LB153" s="47"/>
    </row>
    <row r="154" spans="29:314" x14ac:dyDescent="0.25">
      <c r="AC154" s="47"/>
      <c r="AD154" s="47"/>
      <c r="AE154" s="47"/>
      <c r="AF154" s="47"/>
      <c r="AG154" s="49"/>
      <c r="AH154" s="47"/>
      <c r="AI154" s="47"/>
      <c r="AJ154" s="47"/>
      <c r="AK154" s="47"/>
      <c r="AL154" s="47"/>
      <c r="AM154" s="47"/>
      <c r="AN154" s="47"/>
      <c r="AO154" s="47"/>
      <c r="AP154" s="47"/>
      <c r="AQ154" s="47"/>
      <c r="AR154" s="47"/>
      <c r="AS154" s="47"/>
      <c r="AT154" s="47"/>
      <c r="AU154" s="47"/>
      <c r="AV154" s="47"/>
      <c r="AW154" s="47"/>
      <c r="AX154" s="47"/>
      <c r="AY154" s="47"/>
      <c r="AZ154" s="47"/>
      <c r="BA154" s="47"/>
      <c r="BB154" s="47"/>
      <c r="BC154" s="47"/>
      <c r="BD154" s="47"/>
      <c r="BE154" s="47"/>
      <c r="BF154" s="47"/>
      <c r="BG154" s="47"/>
      <c r="BH154" s="47"/>
      <c r="BI154" s="47"/>
      <c r="BJ154" s="47"/>
      <c r="BK154" s="47"/>
      <c r="BL154" s="47"/>
      <c r="BM154" s="47"/>
      <c r="BN154" s="49"/>
      <c r="BO154" s="47"/>
      <c r="BP154" s="47"/>
      <c r="BQ154" s="47"/>
      <c r="BR154" s="47"/>
      <c r="BS154" s="47"/>
      <c r="BT154" s="47"/>
      <c r="BU154" s="47"/>
      <c r="BV154" s="47"/>
      <c r="BW154" s="47"/>
      <c r="BX154" s="47"/>
      <c r="BY154" s="47"/>
      <c r="BZ154" s="47"/>
      <c r="CA154" s="47"/>
      <c r="CB154" s="47"/>
      <c r="CC154" s="47"/>
      <c r="CD154" s="47"/>
      <c r="CE154" s="47"/>
      <c r="CF154" s="47"/>
      <c r="CG154" s="49"/>
      <c r="CH154" s="47"/>
      <c r="CI154" s="47"/>
      <c r="CJ154" s="47"/>
      <c r="CK154" s="47"/>
      <c r="CL154" s="47"/>
      <c r="CM154" s="47"/>
      <c r="CN154" s="47"/>
      <c r="CO154" s="47"/>
      <c r="CP154" s="47"/>
      <c r="CQ154" s="47"/>
      <c r="CS154" s="47"/>
      <c r="CT154" s="47"/>
      <c r="CU154" s="47"/>
      <c r="CV154" s="47"/>
      <c r="CW154" s="47"/>
      <c r="CX154" s="47"/>
      <c r="CY154" s="47"/>
      <c r="CZ154" s="47"/>
      <c r="DA154" s="47"/>
      <c r="DB154" s="47"/>
      <c r="DC154" s="47"/>
      <c r="DD154" s="47"/>
      <c r="DE154" s="47"/>
      <c r="DF154" s="47"/>
      <c r="DG154" s="47"/>
      <c r="DH154" s="47"/>
      <c r="DI154" s="47"/>
      <c r="DJ154" s="47"/>
      <c r="DK154" s="47"/>
      <c r="DM154" s="47"/>
      <c r="DN154" s="47"/>
      <c r="DO154" s="47"/>
      <c r="DP154" s="47"/>
      <c r="DQ154" s="47"/>
      <c r="DR154" s="47"/>
      <c r="DS154" s="47"/>
      <c r="DT154" s="47"/>
      <c r="DU154" s="47"/>
      <c r="DV154" s="49"/>
      <c r="DW154" s="47"/>
      <c r="DX154" s="47"/>
      <c r="DY154" s="47"/>
      <c r="DZ154" s="47"/>
      <c r="EA154" s="47"/>
      <c r="EB154" s="47"/>
      <c r="EC154" s="47"/>
      <c r="ED154" s="47"/>
      <c r="EE154" s="47"/>
      <c r="EF154" s="47"/>
      <c r="EG154" s="47"/>
      <c r="EH154" s="47"/>
      <c r="EI154" s="47"/>
      <c r="EJ154" s="47"/>
      <c r="EK154" s="47"/>
      <c r="EL154" s="47"/>
      <c r="EM154" s="47"/>
      <c r="EN154" s="47"/>
      <c r="EO154" s="47"/>
      <c r="EP154" s="47"/>
      <c r="EQ154" s="47"/>
      <c r="ER154" s="47"/>
      <c r="ES154" s="47"/>
      <c r="ET154" s="47"/>
      <c r="EU154" s="47"/>
      <c r="EV154" s="47"/>
      <c r="EW154" s="47"/>
      <c r="EX154" s="47"/>
      <c r="EY154" s="47"/>
      <c r="EZ154" s="47"/>
      <c r="FA154" s="47"/>
      <c r="FB154" s="47"/>
      <c r="FC154" s="47"/>
      <c r="FD154" s="47"/>
      <c r="FE154" s="47"/>
      <c r="FF154" s="47"/>
      <c r="FG154" s="47"/>
      <c r="FH154" s="47"/>
      <c r="FI154" s="47"/>
      <c r="FJ154" s="49"/>
      <c r="FK154" s="47"/>
      <c r="FL154" s="47"/>
      <c r="FM154" s="47"/>
      <c r="FN154" s="47"/>
      <c r="FO154" s="47"/>
      <c r="FP154" s="47"/>
      <c r="FQ154" s="47"/>
      <c r="FR154" s="47"/>
      <c r="FS154" s="47"/>
      <c r="FT154" s="47"/>
      <c r="FU154" s="47"/>
      <c r="FV154" s="47"/>
      <c r="FW154" s="47"/>
      <c r="FX154" s="47"/>
      <c r="FY154" s="47"/>
      <c r="FZ154" s="47"/>
      <c r="GA154" s="47"/>
      <c r="GB154" s="47"/>
      <c r="GC154" s="47"/>
      <c r="GD154" s="47"/>
      <c r="GE154" s="47"/>
      <c r="GF154" s="47"/>
      <c r="GG154" s="47"/>
      <c r="GH154" s="47"/>
      <c r="GI154" s="47"/>
      <c r="GJ154" s="47"/>
      <c r="GK154" s="47"/>
      <c r="GL154" s="47"/>
      <c r="GM154" s="47"/>
      <c r="GN154" s="47"/>
      <c r="GO154" s="47"/>
      <c r="GP154" s="47"/>
      <c r="GQ154" s="47"/>
      <c r="GR154" s="47"/>
      <c r="GS154" s="47"/>
      <c r="GT154" s="47"/>
      <c r="GU154" s="47"/>
      <c r="GV154" s="47"/>
      <c r="GW154" s="47"/>
      <c r="GX154" s="47"/>
      <c r="GY154" s="47"/>
      <c r="GZ154" s="47"/>
      <c r="HA154" s="47"/>
      <c r="HB154" s="47"/>
      <c r="HC154" s="47"/>
      <c r="HD154" s="47"/>
      <c r="HE154" s="47"/>
      <c r="HF154" s="47"/>
      <c r="HI154" s="47"/>
      <c r="HJ154" s="47"/>
      <c r="HK154" s="47"/>
      <c r="HL154" s="47"/>
      <c r="HM154" s="47"/>
      <c r="HN154" s="47"/>
      <c r="HO154" s="47"/>
      <c r="HP154" s="47"/>
      <c r="HS154" s="47"/>
      <c r="HT154" s="47"/>
      <c r="HU154" s="47"/>
      <c r="HV154" s="47"/>
      <c r="HW154" s="47"/>
      <c r="HX154" s="47"/>
      <c r="HY154" s="47"/>
      <c r="HZ154" s="47"/>
      <c r="IC154" s="47"/>
      <c r="ID154" s="47"/>
      <c r="IE154" s="47"/>
      <c r="IF154" s="47"/>
      <c r="IG154" s="47"/>
      <c r="IH154" s="47"/>
      <c r="II154" s="47"/>
      <c r="IJ154" s="47"/>
      <c r="IM154" s="47"/>
      <c r="IN154" s="47"/>
      <c r="IO154" s="47"/>
      <c r="IP154" s="47"/>
      <c r="IQ154" s="47"/>
      <c r="IR154" s="47"/>
      <c r="IS154" s="47"/>
      <c r="IT154" s="47"/>
      <c r="IW154" s="47"/>
      <c r="IX154" s="47"/>
      <c r="IY154" s="47"/>
      <c r="IZ154" s="47"/>
      <c r="JA154" s="47"/>
      <c r="JB154" s="47"/>
      <c r="JC154" s="47"/>
      <c r="JD154" s="47"/>
      <c r="JG154" s="47"/>
      <c r="JH154" s="47"/>
      <c r="JI154" s="47"/>
      <c r="JJ154" s="47"/>
      <c r="JK154" s="47"/>
      <c r="JL154" s="47"/>
      <c r="JM154" s="47"/>
      <c r="JN154" s="47"/>
      <c r="JQ154" s="47"/>
      <c r="JR154" s="47"/>
      <c r="JS154" s="47"/>
      <c r="JT154" s="47"/>
      <c r="JU154" s="47"/>
      <c r="JV154" s="47"/>
      <c r="JW154" s="47"/>
      <c r="JX154" s="47"/>
      <c r="KA154" s="47"/>
      <c r="KB154" s="47"/>
      <c r="KC154" s="47"/>
      <c r="KD154" s="47"/>
      <c r="KE154" s="47"/>
      <c r="KF154" s="47"/>
      <c r="KG154" s="47"/>
      <c r="KH154" s="47"/>
      <c r="KK154" s="47"/>
      <c r="KL154" s="47"/>
      <c r="KM154" s="47"/>
      <c r="KN154" s="47"/>
      <c r="KO154" s="47"/>
      <c r="KP154" s="47"/>
      <c r="KQ154" s="47"/>
      <c r="KR154" s="47"/>
      <c r="KU154" s="47"/>
      <c r="KV154" s="47"/>
      <c r="KW154" s="47"/>
      <c r="KX154" s="47"/>
      <c r="KY154" s="47"/>
      <c r="KZ154" s="47"/>
      <c r="LA154" s="47"/>
      <c r="LB154" s="47"/>
    </row>
    <row r="155" spans="29:314" x14ac:dyDescent="0.25">
      <c r="AC155" s="47"/>
      <c r="AD155" s="47"/>
      <c r="AE155" s="47"/>
      <c r="AF155" s="47"/>
      <c r="AG155" s="49"/>
      <c r="AH155" s="47"/>
      <c r="AI155" s="47"/>
      <c r="AJ155" s="47"/>
      <c r="AK155" s="47"/>
      <c r="AL155" s="47"/>
      <c r="AM155" s="47"/>
      <c r="AN155" s="47"/>
      <c r="AO155" s="47"/>
      <c r="AP155" s="47"/>
      <c r="AQ155" s="47"/>
      <c r="AR155" s="47"/>
      <c r="AS155" s="47"/>
      <c r="AT155" s="47"/>
      <c r="AU155" s="47"/>
      <c r="AV155" s="47"/>
      <c r="AW155" s="47"/>
      <c r="AX155" s="47"/>
      <c r="AY155" s="47"/>
      <c r="AZ155" s="47"/>
      <c r="BA155" s="47"/>
      <c r="BB155" s="47"/>
      <c r="BC155" s="47"/>
      <c r="BD155" s="47"/>
      <c r="BE155" s="47"/>
      <c r="BF155" s="47"/>
      <c r="BG155" s="47"/>
      <c r="BH155" s="47"/>
      <c r="BI155" s="47"/>
      <c r="BJ155" s="47"/>
      <c r="BK155" s="47"/>
      <c r="BL155" s="47"/>
      <c r="BM155" s="47"/>
      <c r="BN155" s="49"/>
      <c r="BO155" s="47"/>
      <c r="BP155" s="47"/>
      <c r="BQ155" s="47"/>
      <c r="BR155" s="47"/>
      <c r="BS155" s="47"/>
      <c r="BT155" s="47"/>
      <c r="BU155" s="47"/>
      <c r="BV155" s="47"/>
      <c r="BW155" s="47"/>
      <c r="BX155" s="47"/>
      <c r="BY155" s="47"/>
      <c r="BZ155" s="47"/>
      <c r="CA155" s="47"/>
      <c r="CB155" s="47"/>
      <c r="CC155" s="47"/>
      <c r="CD155" s="47"/>
      <c r="CE155" s="47"/>
      <c r="CF155" s="47"/>
      <c r="CG155" s="49"/>
      <c r="CH155" s="47"/>
      <c r="CI155" s="47"/>
      <c r="CJ155" s="47"/>
      <c r="CK155" s="47"/>
      <c r="CL155" s="47"/>
      <c r="CM155" s="47"/>
      <c r="CN155" s="47"/>
      <c r="CO155" s="47"/>
      <c r="CP155" s="47"/>
      <c r="CQ155" s="47"/>
      <c r="CS155" s="47"/>
      <c r="CT155" s="47"/>
      <c r="CU155" s="47"/>
      <c r="CV155" s="47"/>
      <c r="CW155" s="47"/>
      <c r="CX155" s="47"/>
      <c r="CY155" s="47"/>
      <c r="CZ155" s="47"/>
      <c r="DA155" s="47"/>
      <c r="DB155" s="47"/>
      <c r="DC155" s="47"/>
      <c r="DD155" s="47"/>
      <c r="DE155" s="47"/>
      <c r="DF155" s="47"/>
      <c r="DG155" s="47"/>
      <c r="DH155" s="47"/>
      <c r="DI155" s="47"/>
      <c r="DJ155" s="47"/>
      <c r="DK155" s="47"/>
      <c r="DM155" s="47"/>
      <c r="DN155" s="47"/>
      <c r="DO155" s="47"/>
      <c r="DP155" s="47"/>
      <c r="DQ155" s="47"/>
      <c r="DR155" s="47"/>
      <c r="DS155" s="47"/>
      <c r="DT155" s="47"/>
      <c r="DU155" s="47"/>
      <c r="DV155" s="49"/>
      <c r="DW155" s="47"/>
      <c r="DX155" s="47"/>
      <c r="DY155" s="47"/>
      <c r="DZ155" s="47"/>
      <c r="EA155" s="47"/>
      <c r="EB155" s="47"/>
      <c r="EC155" s="47"/>
      <c r="ED155" s="47"/>
      <c r="EE155" s="47"/>
      <c r="EF155" s="47"/>
      <c r="EG155" s="47"/>
      <c r="EH155" s="47"/>
      <c r="EI155" s="47"/>
      <c r="EJ155" s="47"/>
      <c r="EK155" s="47"/>
      <c r="EL155" s="47"/>
      <c r="EM155" s="47"/>
      <c r="EN155" s="47"/>
      <c r="EO155" s="47"/>
      <c r="EP155" s="47"/>
      <c r="EQ155" s="47"/>
      <c r="ER155" s="47"/>
      <c r="ES155" s="47"/>
      <c r="ET155" s="47"/>
      <c r="EU155" s="47"/>
      <c r="EV155" s="47"/>
      <c r="EW155" s="47"/>
      <c r="EX155" s="47"/>
      <c r="EY155" s="47"/>
      <c r="EZ155" s="47"/>
      <c r="FA155" s="47"/>
      <c r="FB155" s="47"/>
      <c r="FC155" s="47"/>
      <c r="FD155" s="47"/>
      <c r="FE155" s="47"/>
      <c r="FF155" s="47"/>
      <c r="FG155" s="47"/>
      <c r="FH155" s="47"/>
      <c r="FI155" s="47"/>
      <c r="FJ155" s="49"/>
      <c r="FK155" s="47"/>
      <c r="FL155" s="47"/>
      <c r="FM155" s="47"/>
      <c r="FN155" s="47"/>
      <c r="FO155" s="47"/>
      <c r="FP155" s="47"/>
      <c r="FQ155" s="47"/>
      <c r="FR155" s="47"/>
      <c r="FS155" s="47"/>
      <c r="FT155" s="47"/>
      <c r="FU155" s="47"/>
      <c r="FV155" s="47"/>
      <c r="FW155" s="47"/>
      <c r="FX155" s="47"/>
      <c r="FY155" s="47"/>
      <c r="FZ155" s="47"/>
      <c r="GA155" s="47"/>
      <c r="GB155" s="47"/>
      <c r="GC155" s="47"/>
      <c r="GD155" s="47"/>
      <c r="GE155" s="47"/>
      <c r="GF155" s="47"/>
      <c r="GG155" s="47"/>
      <c r="GH155" s="47"/>
      <c r="GI155" s="47"/>
      <c r="GJ155" s="47"/>
      <c r="GK155" s="47"/>
      <c r="GL155" s="47"/>
      <c r="GM155" s="47"/>
      <c r="GN155" s="47"/>
      <c r="GO155" s="47"/>
      <c r="GP155" s="47"/>
      <c r="GQ155" s="47"/>
      <c r="GR155" s="47"/>
      <c r="GS155" s="47"/>
      <c r="GT155" s="47"/>
      <c r="GU155" s="47"/>
      <c r="GV155" s="47"/>
      <c r="GW155" s="47"/>
      <c r="GX155" s="47"/>
      <c r="GY155" s="47"/>
      <c r="GZ155" s="47"/>
      <c r="HA155" s="47"/>
      <c r="HB155" s="47"/>
      <c r="HC155" s="47"/>
      <c r="HD155" s="47"/>
      <c r="HE155" s="47"/>
      <c r="HF155" s="47"/>
      <c r="HI155" s="47"/>
      <c r="HJ155" s="47"/>
      <c r="HK155" s="47"/>
      <c r="HL155" s="47"/>
      <c r="HM155" s="47"/>
      <c r="HN155" s="47"/>
      <c r="HO155" s="47"/>
      <c r="HP155" s="47"/>
      <c r="HS155" s="47"/>
      <c r="HT155" s="47"/>
      <c r="HU155" s="47"/>
      <c r="HV155" s="47"/>
      <c r="HW155" s="47"/>
      <c r="HX155" s="47"/>
      <c r="HY155" s="47"/>
      <c r="HZ155" s="47"/>
      <c r="IC155" s="47"/>
      <c r="ID155" s="47"/>
      <c r="IE155" s="47"/>
      <c r="IF155" s="47"/>
      <c r="IG155" s="47"/>
      <c r="IH155" s="47"/>
      <c r="II155" s="47"/>
      <c r="IJ155" s="47"/>
      <c r="IM155" s="47"/>
      <c r="IN155" s="47"/>
      <c r="IO155" s="47"/>
      <c r="IP155" s="47"/>
      <c r="IQ155" s="47"/>
      <c r="IR155" s="47"/>
      <c r="IS155" s="47"/>
      <c r="IT155" s="47"/>
      <c r="IW155" s="47"/>
      <c r="IX155" s="47"/>
      <c r="IY155" s="47"/>
      <c r="IZ155" s="47"/>
      <c r="JA155" s="47"/>
      <c r="JB155" s="47"/>
      <c r="JC155" s="47"/>
      <c r="JD155" s="47"/>
      <c r="JG155" s="47"/>
      <c r="JH155" s="47"/>
      <c r="JI155" s="47"/>
      <c r="JJ155" s="47"/>
      <c r="JK155" s="47"/>
      <c r="JL155" s="47"/>
      <c r="JM155" s="47"/>
      <c r="JN155" s="47"/>
      <c r="JQ155" s="47"/>
      <c r="JR155" s="47"/>
      <c r="JS155" s="47"/>
      <c r="JT155" s="47"/>
      <c r="JU155" s="47"/>
      <c r="JV155" s="47"/>
      <c r="JW155" s="47"/>
      <c r="JX155" s="47"/>
      <c r="KA155" s="47"/>
      <c r="KB155" s="47"/>
      <c r="KC155" s="47"/>
      <c r="KD155" s="47"/>
      <c r="KE155" s="47"/>
      <c r="KF155" s="47"/>
      <c r="KG155" s="47"/>
      <c r="KH155" s="47"/>
      <c r="KK155" s="47"/>
      <c r="KL155" s="47"/>
      <c r="KM155" s="47"/>
      <c r="KN155" s="47"/>
      <c r="KO155" s="47"/>
      <c r="KP155" s="47"/>
      <c r="KQ155" s="47"/>
      <c r="KR155" s="47"/>
      <c r="KU155" s="47"/>
      <c r="KV155" s="47"/>
      <c r="KW155" s="47"/>
      <c r="KX155" s="47"/>
      <c r="KY155" s="47"/>
      <c r="KZ155" s="47"/>
      <c r="LA155" s="47"/>
      <c r="LB155" s="47"/>
    </row>
    <row r="156" spans="29:314" x14ac:dyDescent="0.25">
      <c r="AC156" s="47"/>
      <c r="AD156" s="47"/>
      <c r="AE156" s="47"/>
      <c r="AF156" s="47"/>
      <c r="AG156" s="49"/>
      <c r="AH156" s="47"/>
      <c r="AI156" s="47"/>
      <c r="AJ156" s="47"/>
      <c r="AK156" s="47"/>
      <c r="AL156" s="47"/>
      <c r="AM156" s="47"/>
      <c r="AN156" s="47"/>
      <c r="AO156" s="47"/>
      <c r="AP156" s="47"/>
      <c r="AQ156" s="47"/>
      <c r="AR156" s="47"/>
      <c r="AS156" s="47"/>
      <c r="AT156" s="47"/>
      <c r="AU156" s="47"/>
      <c r="AV156" s="47"/>
      <c r="AW156" s="47"/>
      <c r="AX156" s="47"/>
      <c r="AY156" s="47"/>
      <c r="AZ156" s="47"/>
      <c r="BA156" s="47"/>
      <c r="BB156" s="47"/>
      <c r="BC156" s="47"/>
      <c r="BD156" s="47"/>
      <c r="BE156" s="47"/>
      <c r="BF156" s="47"/>
      <c r="BG156" s="47"/>
      <c r="BH156" s="47"/>
      <c r="BI156" s="47"/>
      <c r="BJ156" s="47"/>
      <c r="BK156" s="47"/>
      <c r="BL156" s="47"/>
      <c r="BM156" s="47"/>
      <c r="BN156" s="49"/>
      <c r="BO156" s="47"/>
      <c r="BP156" s="47"/>
      <c r="BQ156" s="47"/>
      <c r="BR156" s="47"/>
      <c r="BS156" s="47"/>
      <c r="BT156" s="47"/>
      <c r="BU156" s="47"/>
      <c r="BV156" s="47"/>
      <c r="BW156" s="47"/>
      <c r="BX156" s="47"/>
      <c r="BY156" s="47"/>
      <c r="BZ156" s="47"/>
      <c r="CA156" s="47"/>
      <c r="CB156" s="47"/>
      <c r="CC156" s="47"/>
      <c r="CD156" s="47"/>
      <c r="CE156" s="47"/>
      <c r="CF156" s="47"/>
      <c r="CG156" s="49"/>
      <c r="CH156" s="47"/>
      <c r="CI156" s="47"/>
      <c r="CJ156" s="47"/>
      <c r="CK156" s="47"/>
      <c r="CL156" s="47"/>
      <c r="CM156" s="47"/>
      <c r="CN156" s="47"/>
      <c r="CO156" s="47"/>
      <c r="CP156" s="47"/>
      <c r="CQ156" s="47"/>
      <c r="CS156" s="47"/>
      <c r="CT156" s="47"/>
      <c r="CU156" s="47"/>
      <c r="CV156" s="47"/>
      <c r="CW156" s="47"/>
      <c r="CX156" s="47"/>
      <c r="CY156" s="47"/>
      <c r="CZ156" s="47"/>
      <c r="DA156" s="47"/>
      <c r="DB156" s="47"/>
      <c r="DC156" s="47"/>
      <c r="DD156" s="47"/>
      <c r="DE156" s="47"/>
      <c r="DF156" s="47"/>
      <c r="DG156" s="47"/>
      <c r="DH156" s="47"/>
      <c r="DI156" s="47"/>
      <c r="DJ156" s="47"/>
      <c r="DK156" s="47"/>
      <c r="DM156" s="47"/>
      <c r="DN156" s="47"/>
      <c r="DO156" s="47"/>
      <c r="DP156" s="47"/>
      <c r="DQ156" s="47"/>
      <c r="DR156" s="47"/>
      <c r="DS156" s="47"/>
      <c r="DT156" s="47"/>
      <c r="DU156" s="47"/>
      <c r="DV156" s="49"/>
      <c r="DW156" s="47"/>
      <c r="DX156" s="47"/>
      <c r="DY156" s="47"/>
      <c r="DZ156" s="47"/>
      <c r="EA156" s="47"/>
      <c r="EB156" s="47"/>
      <c r="EC156" s="47"/>
      <c r="ED156" s="47"/>
      <c r="EE156" s="47"/>
      <c r="EF156" s="47"/>
      <c r="EG156" s="47"/>
      <c r="EH156" s="47"/>
      <c r="EI156" s="47"/>
      <c r="EJ156" s="47"/>
      <c r="EK156" s="47"/>
      <c r="EL156" s="47"/>
      <c r="EM156" s="47"/>
      <c r="EN156" s="47"/>
      <c r="EO156" s="47"/>
      <c r="EP156" s="47"/>
      <c r="EQ156" s="47"/>
      <c r="ER156" s="47"/>
      <c r="ES156" s="47"/>
      <c r="ET156" s="47"/>
      <c r="EU156" s="47"/>
      <c r="EV156" s="47"/>
      <c r="EW156" s="47"/>
      <c r="EX156" s="47"/>
      <c r="EY156" s="47"/>
      <c r="EZ156" s="47"/>
      <c r="FA156" s="47"/>
      <c r="FB156" s="47"/>
      <c r="FC156" s="47"/>
      <c r="FD156" s="47"/>
      <c r="FE156" s="47"/>
      <c r="FF156" s="47"/>
      <c r="FG156" s="47"/>
      <c r="FH156" s="47"/>
      <c r="FI156" s="47"/>
      <c r="FJ156" s="49"/>
      <c r="FK156" s="47"/>
      <c r="FL156" s="47"/>
      <c r="FM156" s="47"/>
      <c r="FN156" s="47"/>
      <c r="FO156" s="47"/>
      <c r="FP156" s="47"/>
      <c r="FQ156" s="47"/>
      <c r="FR156" s="47"/>
      <c r="FS156" s="47"/>
      <c r="FT156" s="47"/>
      <c r="FU156" s="47"/>
      <c r="FV156" s="47"/>
      <c r="FW156" s="47"/>
      <c r="FX156" s="47"/>
      <c r="FY156" s="47"/>
      <c r="FZ156" s="47"/>
      <c r="GA156" s="47"/>
      <c r="GB156" s="47"/>
      <c r="GC156" s="47"/>
      <c r="GD156" s="47"/>
      <c r="GE156" s="47"/>
      <c r="GF156" s="47"/>
      <c r="GG156" s="47"/>
      <c r="GH156" s="47"/>
      <c r="GI156" s="47"/>
      <c r="GJ156" s="47"/>
      <c r="GK156" s="47"/>
      <c r="GL156" s="47"/>
      <c r="GM156" s="47"/>
      <c r="GN156" s="47"/>
      <c r="GO156" s="47"/>
      <c r="GP156" s="47"/>
      <c r="GQ156" s="47"/>
      <c r="GR156" s="47"/>
      <c r="GS156" s="47"/>
      <c r="GT156" s="47"/>
      <c r="GU156" s="47"/>
      <c r="GV156" s="47"/>
      <c r="GW156" s="47"/>
      <c r="GX156" s="47"/>
      <c r="GY156" s="47"/>
      <c r="GZ156" s="47"/>
      <c r="HA156" s="47"/>
      <c r="HB156" s="47"/>
      <c r="HC156" s="47"/>
      <c r="HD156" s="47"/>
      <c r="HE156" s="47"/>
      <c r="HF156" s="47"/>
      <c r="HI156" s="47"/>
      <c r="HJ156" s="47"/>
      <c r="HK156" s="47"/>
      <c r="HL156" s="47"/>
      <c r="HM156" s="47"/>
      <c r="HN156" s="47"/>
      <c r="HO156" s="47"/>
      <c r="HP156" s="47"/>
      <c r="HS156" s="47"/>
      <c r="HT156" s="47"/>
      <c r="HU156" s="47"/>
      <c r="HV156" s="47"/>
      <c r="HW156" s="47"/>
      <c r="HX156" s="47"/>
      <c r="HY156" s="47"/>
      <c r="HZ156" s="47"/>
      <c r="IC156" s="47"/>
      <c r="ID156" s="47"/>
      <c r="IE156" s="47"/>
      <c r="IF156" s="47"/>
      <c r="IG156" s="47"/>
      <c r="IH156" s="47"/>
      <c r="II156" s="47"/>
      <c r="IJ156" s="47"/>
      <c r="IM156" s="47"/>
      <c r="IN156" s="47"/>
      <c r="IO156" s="47"/>
      <c r="IP156" s="47"/>
      <c r="IQ156" s="47"/>
      <c r="IR156" s="47"/>
      <c r="IS156" s="47"/>
      <c r="IT156" s="47"/>
      <c r="IW156" s="47"/>
      <c r="IX156" s="47"/>
      <c r="IY156" s="47"/>
      <c r="IZ156" s="47"/>
      <c r="JA156" s="47"/>
      <c r="JB156" s="47"/>
      <c r="JC156" s="47"/>
      <c r="JD156" s="47"/>
      <c r="JG156" s="47"/>
      <c r="JH156" s="47"/>
      <c r="JI156" s="47"/>
      <c r="JJ156" s="47"/>
      <c r="JK156" s="47"/>
      <c r="JL156" s="47"/>
      <c r="JM156" s="47"/>
      <c r="JN156" s="47"/>
      <c r="JQ156" s="47"/>
      <c r="JR156" s="47"/>
      <c r="JS156" s="47"/>
      <c r="JT156" s="47"/>
      <c r="JU156" s="47"/>
      <c r="JV156" s="47"/>
      <c r="JW156" s="47"/>
      <c r="JX156" s="47"/>
      <c r="KA156" s="47"/>
      <c r="KB156" s="47"/>
      <c r="KC156" s="47"/>
      <c r="KD156" s="47"/>
      <c r="KE156" s="47"/>
      <c r="KF156" s="47"/>
      <c r="KG156" s="47"/>
      <c r="KH156" s="47"/>
      <c r="KK156" s="47"/>
      <c r="KL156" s="47"/>
      <c r="KM156" s="47"/>
      <c r="KN156" s="47"/>
      <c r="KO156" s="47"/>
      <c r="KP156" s="47"/>
      <c r="KQ156" s="47"/>
      <c r="KR156" s="47"/>
      <c r="KU156" s="47"/>
      <c r="KV156" s="47"/>
      <c r="KW156" s="47"/>
      <c r="KX156" s="47"/>
      <c r="KY156" s="47"/>
      <c r="KZ156" s="47"/>
      <c r="LA156" s="47"/>
      <c r="LB156" s="47"/>
    </row>
    <row r="157" spans="29:314" x14ac:dyDescent="0.25">
      <c r="AC157" s="47"/>
      <c r="AD157" s="47"/>
      <c r="AE157" s="47"/>
      <c r="AF157" s="47"/>
      <c r="AG157" s="49"/>
      <c r="AH157" s="47"/>
      <c r="AI157" s="47"/>
      <c r="AJ157" s="47"/>
      <c r="AK157" s="47"/>
      <c r="AL157" s="47"/>
      <c r="AM157" s="47"/>
      <c r="AN157" s="47"/>
      <c r="AO157" s="47"/>
      <c r="AP157" s="47"/>
      <c r="AQ157" s="47"/>
      <c r="AR157" s="47"/>
      <c r="AS157" s="47"/>
      <c r="AT157" s="47"/>
      <c r="AU157" s="47"/>
      <c r="AV157" s="47"/>
      <c r="AW157" s="47"/>
      <c r="AX157" s="47"/>
      <c r="AY157" s="47"/>
      <c r="AZ157" s="47"/>
      <c r="BA157" s="47"/>
      <c r="BB157" s="47"/>
      <c r="BC157" s="47"/>
      <c r="BD157" s="47"/>
      <c r="BE157" s="47"/>
      <c r="BF157" s="47"/>
      <c r="BG157" s="47"/>
      <c r="BH157" s="47"/>
      <c r="BI157" s="47"/>
      <c r="BJ157" s="47"/>
      <c r="BK157" s="47"/>
      <c r="BL157" s="47"/>
      <c r="BM157" s="47"/>
      <c r="BN157" s="49"/>
      <c r="BO157" s="47"/>
      <c r="BP157" s="47"/>
      <c r="BQ157" s="47"/>
      <c r="BR157" s="47"/>
      <c r="BS157" s="47"/>
      <c r="BT157" s="47"/>
      <c r="BU157" s="47"/>
      <c r="BV157" s="47"/>
      <c r="BW157" s="47"/>
      <c r="BX157" s="47"/>
      <c r="BY157" s="47"/>
      <c r="BZ157" s="47"/>
      <c r="CA157" s="47"/>
      <c r="CB157" s="47"/>
      <c r="CC157" s="47"/>
      <c r="CD157" s="47"/>
      <c r="CE157" s="47"/>
      <c r="CF157" s="47"/>
      <c r="CG157" s="49"/>
      <c r="CH157" s="47"/>
      <c r="CI157" s="47"/>
      <c r="CJ157" s="47"/>
      <c r="CK157" s="47"/>
      <c r="CL157" s="47"/>
      <c r="CM157" s="47"/>
      <c r="CN157" s="47"/>
      <c r="CO157" s="47"/>
      <c r="CP157" s="47"/>
      <c r="CQ157" s="47"/>
      <c r="CS157" s="47"/>
      <c r="CT157" s="47"/>
      <c r="CU157" s="47"/>
      <c r="CV157" s="47"/>
      <c r="CW157" s="47"/>
      <c r="CX157" s="47"/>
      <c r="CY157" s="47"/>
      <c r="CZ157" s="47"/>
      <c r="DA157" s="47"/>
      <c r="DB157" s="47"/>
      <c r="DC157" s="47"/>
      <c r="DD157" s="47"/>
      <c r="DE157" s="47"/>
      <c r="DF157" s="47"/>
      <c r="DG157" s="47"/>
      <c r="DH157" s="47"/>
      <c r="DI157" s="47"/>
      <c r="DJ157" s="47"/>
      <c r="DK157" s="47"/>
      <c r="DM157" s="47"/>
      <c r="DN157" s="47"/>
      <c r="DO157" s="47"/>
      <c r="DP157" s="47"/>
      <c r="DQ157" s="47"/>
      <c r="DR157" s="47"/>
      <c r="DS157" s="47"/>
      <c r="DT157" s="47"/>
      <c r="DU157" s="47"/>
      <c r="DV157" s="49"/>
      <c r="DW157" s="47"/>
      <c r="DX157" s="47"/>
      <c r="DY157" s="47"/>
      <c r="DZ157" s="47"/>
      <c r="EA157" s="47"/>
      <c r="EB157" s="47"/>
      <c r="EC157" s="47"/>
      <c r="ED157" s="47"/>
      <c r="EE157" s="47"/>
      <c r="EF157" s="47"/>
      <c r="EG157" s="47"/>
      <c r="EH157" s="47"/>
      <c r="EI157" s="47"/>
      <c r="EJ157" s="47"/>
      <c r="EK157" s="47"/>
      <c r="EL157" s="47"/>
      <c r="EM157" s="47"/>
      <c r="EN157" s="47"/>
      <c r="EO157" s="47"/>
      <c r="EP157" s="47"/>
      <c r="EQ157" s="47"/>
      <c r="ER157" s="47"/>
      <c r="ES157" s="47"/>
      <c r="ET157" s="47"/>
      <c r="EU157" s="47"/>
      <c r="EV157" s="47"/>
      <c r="EW157" s="47"/>
      <c r="EX157" s="47"/>
      <c r="EY157" s="47"/>
      <c r="EZ157" s="47"/>
      <c r="FA157" s="47"/>
      <c r="FB157" s="47"/>
      <c r="FC157" s="47"/>
      <c r="FD157" s="47"/>
      <c r="FE157" s="47"/>
      <c r="FF157" s="47"/>
      <c r="FG157" s="47"/>
      <c r="FH157" s="47"/>
      <c r="FI157" s="47"/>
      <c r="FJ157" s="49"/>
      <c r="FK157" s="47"/>
      <c r="FL157" s="47"/>
      <c r="FM157" s="47"/>
      <c r="FN157" s="47"/>
      <c r="FO157" s="47"/>
      <c r="FP157" s="47"/>
      <c r="FQ157" s="47"/>
      <c r="FR157" s="47"/>
      <c r="FS157" s="47"/>
      <c r="FT157" s="47"/>
      <c r="FU157" s="47"/>
      <c r="FV157" s="47"/>
      <c r="FW157" s="47"/>
      <c r="FX157" s="47"/>
      <c r="FY157" s="47"/>
      <c r="FZ157" s="47"/>
      <c r="GA157" s="47"/>
      <c r="GB157" s="47"/>
      <c r="GC157" s="47"/>
      <c r="GD157" s="47"/>
      <c r="GE157" s="47"/>
      <c r="GF157" s="47"/>
      <c r="GG157" s="47"/>
      <c r="GH157" s="47"/>
      <c r="GI157" s="47"/>
      <c r="GJ157" s="47"/>
      <c r="GK157" s="47"/>
      <c r="GL157" s="47"/>
      <c r="GM157" s="47"/>
      <c r="GN157" s="47"/>
      <c r="GO157" s="47"/>
      <c r="GP157" s="47"/>
      <c r="GQ157" s="47"/>
      <c r="GR157" s="47"/>
      <c r="GS157" s="47"/>
      <c r="GT157" s="47"/>
      <c r="GU157" s="47"/>
      <c r="GV157" s="47"/>
      <c r="GW157" s="47"/>
      <c r="GX157" s="47"/>
      <c r="GY157" s="47"/>
      <c r="GZ157" s="47"/>
      <c r="HA157" s="47"/>
      <c r="HB157" s="47"/>
      <c r="HC157" s="47"/>
      <c r="HD157" s="47"/>
      <c r="HE157" s="47"/>
      <c r="HF157" s="47"/>
      <c r="HI157" s="47"/>
      <c r="HJ157" s="47"/>
      <c r="HK157" s="47"/>
      <c r="HL157" s="47"/>
      <c r="HM157" s="47"/>
      <c r="HN157" s="47"/>
      <c r="HO157" s="47"/>
      <c r="HP157" s="47"/>
      <c r="HS157" s="47"/>
      <c r="HT157" s="47"/>
      <c r="HU157" s="47"/>
      <c r="HV157" s="47"/>
      <c r="HW157" s="47"/>
      <c r="HX157" s="47"/>
      <c r="HY157" s="47"/>
      <c r="HZ157" s="47"/>
      <c r="IC157" s="47"/>
      <c r="ID157" s="47"/>
      <c r="IE157" s="47"/>
      <c r="IF157" s="47"/>
      <c r="IG157" s="47"/>
      <c r="IH157" s="47"/>
      <c r="II157" s="47"/>
      <c r="IJ157" s="47"/>
      <c r="IM157" s="47"/>
      <c r="IN157" s="47"/>
      <c r="IO157" s="47"/>
      <c r="IP157" s="47"/>
      <c r="IQ157" s="47"/>
      <c r="IR157" s="47"/>
      <c r="IS157" s="47"/>
      <c r="IT157" s="47"/>
      <c r="IW157" s="47"/>
      <c r="IX157" s="47"/>
      <c r="IY157" s="47"/>
      <c r="IZ157" s="47"/>
      <c r="JA157" s="47"/>
      <c r="JB157" s="47"/>
      <c r="JC157" s="47"/>
      <c r="JD157" s="47"/>
      <c r="JG157" s="47"/>
      <c r="JH157" s="47"/>
      <c r="JI157" s="47"/>
      <c r="JJ157" s="47"/>
      <c r="JK157" s="47"/>
      <c r="JL157" s="47"/>
      <c r="JM157" s="47"/>
      <c r="JN157" s="47"/>
      <c r="JQ157" s="47"/>
      <c r="JR157" s="47"/>
      <c r="JS157" s="47"/>
      <c r="JT157" s="47"/>
      <c r="JU157" s="47"/>
      <c r="JV157" s="47"/>
      <c r="JW157" s="47"/>
      <c r="JX157" s="47"/>
      <c r="KA157" s="47"/>
      <c r="KB157" s="47"/>
      <c r="KC157" s="47"/>
      <c r="KD157" s="47"/>
      <c r="KE157" s="47"/>
      <c r="KF157" s="47"/>
      <c r="KG157" s="47"/>
      <c r="KH157" s="47"/>
      <c r="KK157" s="47"/>
      <c r="KL157" s="47"/>
      <c r="KM157" s="47"/>
      <c r="KN157" s="47"/>
      <c r="KO157" s="47"/>
      <c r="KP157" s="47"/>
      <c r="KQ157" s="47"/>
      <c r="KR157" s="47"/>
      <c r="KU157" s="47"/>
      <c r="KV157" s="47"/>
      <c r="KW157" s="47"/>
      <c r="KX157" s="47"/>
      <c r="KY157" s="47"/>
      <c r="KZ157" s="47"/>
      <c r="LA157" s="47"/>
      <c r="LB157" s="47"/>
    </row>
    <row r="158" spans="29:314" x14ac:dyDescent="0.25">
      <c r="AC158" s="47"/>
      <c r="AD158" s="47"/>
      <c r="AE158" s="47"/>
      <c r="AF158" s="47"/>
      <c r="AG158" s="49"/>
      <c r="AH158" s="47"/>
      <c r="AI158" s="47"/>
      <c r="AJ158" s="47"/>
      <c r="AK158" s="47"/>
      <c r="AL158" s="47"/>
      <c r="AM158" s="47"/>
      <c r="AN158" s="47"/>
      <c r="AO158" s="47"/>
      <c r="AP158" s="47"/>
      <c r="AQ158" s="47"/>
      <c r="AR158" s="47"/>
      <c r="AS158" s="47"/>
      <c r="AT158" s="47"/>
      <c r="AU158" s="47"/>
      <c r="AV158" s="47"/>
      <c r="AW158" s="47"/>
      <c r="AX158" s="47"/>
      <c r="AY158" s="47"/>
      <c r="AZ158" s="47"/>
      <c r="BA158" s="47"/>
      <c r="BB158" s="47"/>
      <c r="BC158" s="47"/>
      <c r="BD158" s="47"/>
      <c r="BE158" s="47"/>
      <c r="BF158" s="47"/>
      <c r="BG158" s="47"/>
      <c r="BH158" s="47"/>
      <c r="BI158" s="47"/>
      <c r="BJ158" s="47"/>
      <c r="BK158" s="47"/>
      <c r="BL158" s="47"/>
      <c r="BM158" s="47"/>
      <c r="BN158" s="49"/>
      <c r="BO158" s="47"/>
      <c r="BP158" s="47"/>
      <c r="BQ158" s="47"/>
      <c r="BR158" s="47"/>
      <c r="BS158" s="47"/>
      <c r="BT158" s="47"/>
      <c r="BU158" s="47"/>
      <c r="BV158" s="47"/>
      <c r="BW158" s="47"/>
      <c r="BX158" s="47"/>
      <c r="BY158" s="47"/>
      <c r="BZ158" s="47"/>
      <c r="CA158" s="47"/>
      <c r="CB158" s="47"/>
      <c r="CC158" s="47"/>
      <c r="CD158" s="47"/>
      <c r="CE158" s="47"/>
      <c r="CF158" s="47"/>
      <c r="CG158" s="49"/>
      <c r="CH158" s="47"/>
      <c r="CI158" s="47"/>
      <c r="CJ158" s="47"/>
      <c r="CK158" s="47"/>
      <c r="CL158" s="47"/>
      <c r="CM158" s="47"/>
      <c r="CN158" s="47"/>
      <c r="CO158" s="47"/>
      <c r="CP158" s="47"/>
      <c r="CQ158" s="47"/>
      <c r="CS158" s="47"/>
      <c r="CT158" s="47"/>
      <c r="CU158" s="47"/>
      <c r="CV158" s="47"/>
      <c r="CW158" s="47"/>
      <c r="CX158" s="47"/>
      <c r="CY158" s="47"/>
      <c r="CZ158" s="47"/>
      <c r="DA158" s="47"/>
      <c r="DB158" s="47"/>
      <c r="DC158" s="47"/>
      <c r="DD158" s="47"/>
      <c r="DE158" s="47"/>
      <c r="DF158" s="47"/>
      <c r="DG158" s="47"/>
      <c r="DH158" s="47"/>
      <c r="DI158" s="47"/>
      <c r="DJ158" s="47"/>
      <c r="DK158" s="47"/>
      <c r="DM158" s="47"/>
      <c r="DN158" s="47"/>
      <c r="DO158" s="47"/>
      <c r="DP158" s="47"/>
      <c r="DQ158" s="47"/>
      <c r="DR158" s="47"/>
      <c r="DS158" s="47"/>
      <c r="DT158" s="47"/>
      <c r="DU158" s="47"/>
      <c r="DV158" s="49"/>
      <c r="DW158" s="47"/>
      <c r="DX158" s="47"/>
      <c r="DY158" s="47"/>
      <c r="DZ158" s="47"/>
      <c r="EA158" s="47"/>
      <c r="EB158" s="47"/>
      <c r="EC158" s="47"/>
      <c r="ED158" s="47"/>
      <c r="EE158" s="47"/>
      <c r="EF158" s="47"/>
      <c r="EG158" s="47"/>
      <c r="EH158" s="47"/>
      <c r="EI158" s="47"/>
      <c r="EJ158" s="47"/>
      <c r="EK158" s="47"/>
      <c r="EL158" s="47"/>
      <c r="EM158" s="47"/>
      <c r="EN158" s="47"/>
      <c r="EO158" s="47"/>
      <c r="EP158" s="47"/>
      <c r="EQ158" s="47"/>
      <c r="ER158" s="47"/>
      <c r="ES158" s="47"/>
      <c r="ET158" s="47"/>
      <c r="EU158" s="47"/>
      <c r="EV158" s="47"/>
      <c r="EW158" s="47"/>
      <c r="EX158" s="47"/>
      <c r="EY158" s="47"/>
      <c r="EZ158" s="47"/>
      <c r="FA158" s="47"/>
      <c r="FB158" s="47"/>
      <c r="FC158" s="47"/>
      <c r="FD158" s="47"/>
      <c r="FE158" s="47"/>
      <c r="FF158" s="47"/>
      <c r="FG158" s="47"/>
      <c r="FH158" s="47"/>
      <c r="FI158" s="47"/>
      <c r="FJ158" s="49"/>
      <c r="FK158" s="47"/>
      <c r="FL158" s="47"/>
      <c r="FM158" s="47"/>
      <c r="FN158" s="47"/>
      <c r="FO158" s="47"/>
      <c r="FP158" s="47"/>
      <c r="FQ158" s="47"/>
      <c r="FR158" s="47"/>
      <c r="FS158" s="47"/>
      <c r="FT158" s="47"/>
      <c r="FU158" s="47"/>
      <c r="FV158" s="47"/>
      <c r="FW158" s="47"/>
      <c r="FX158" s="47"/>
      <c r="FY158" s="47"/>
      <c r="FZ158" s="47"/>
      <c r="GA158" s="47"/>
      <c r="GB158" s="47"/>
      <c r="GC158" s="47"/>
      <c r="GD158" s="47"/>
      <c r="GE158" s="47"/>
      <c r="GF158" s="47"/>
      <c r="GG158" s="47"/>
      <c r="GH158" s="47"/>
      <c r="GI158" s="47"/>
      <c r="GJ158" s="47"/>
      <c r="GK158" s="47"/>
      <c r="GL158" s="47"/>
      <c r="GM158" s="47"/>
      <c r="GN158" s="47"/>
      <c r="GO158" s="47"/>
      <c r="GP158" s="47"/>
      <c r="GQ158" s="47"/>
      <c r="GR158" s="47"/>
      <c r="GS158" s="47"/>
      <c r="GT158" s="47"/>
      <c r="GU158" s="47"/>
      <c r="GV158" s="47"/>
      <c r="GW158" s="47"/>
      <c r="GX158" s="47"/>
      <c r="GY158" s="47"/>
      <c r="GZ158" s="47"/>
      <c r="HA158" s="47"/>
      <c r="HB158" s="47"/>
      <c r="HC158" s="47"/>
      <c r="HD158" s="47"/>
      <c r="HE158" s="47"/>
      <c r="HF158" s="47"/>
      <c r="HI158" s="47"/>
      <c r="HJ158" s="47"/>
      <c r="HK158" s="47"/>
      <c r="HL158" s="47"/>
      <c r="HM158" s="47"/>
      <c r="HN158" s="47"/>
      <c r="HO158" s="47"/>
      <c r="HP158" s="47"/>
      <c r="HS158" s="47"/>
      <c r="HT158" s="47"/>
      <c r="HU158" s="47"/>
      <c r="HV158" s="47"/>
      <c r="HW158" s="47"/>
      <c r="HX158" s="47"/>
      <c r="HY158" s="47"/>
      <c r="HZ158" s="47"/>
      <c r="IC158" s="47"/>
      <c r="ID158" s="47"/>
      <c r="IE158" s="47"/>
      <c r="IF158" s="47"/>
      <c r="IG158" s="47"/>
      <c r="IH158" s="47"/>
      <c r="II158" s="47"/>
      <c r="IJ158" s="47"/>
      <c r="IM158" s="47"/>
      <c r="IN158" s="47"/>
      <c r="IO158" s="47"/>
      <c r="IP158" s="47"/>
      <c r="IQ158" s="47"/>
      <c r="IR158" s="47"/>
      <c r="IS158" s="47"/>
      <c r="IT158" s="47"/>
      <c r="IW158" s="47"/>
      <c r="IX158" s="47"/>
      <c r="IY158" s="47"/>
      <c r="IZ158" s="47"/>
      <c r="JA158" s="47"/>
      <c r="JB158" s="47"/>
      <c r="JC158" s="47"/>
      <c r="JD158" s="47"/>
      <c r="JG158" s="47"/>
      <c r="JH158" s="47"/>
      <c r="JI158" s="47"/>
      <c r="JJ158" s="47"/>
      <c r="JK158" s="47"/>
      <c r="JL158" s="47"/>
      <c r="JM158" s="47"/>
      <c r="JN158" s="47"/>
      <c r="JQ158" s="47"/>
      <c r="JR158" s="47"/>
      <c r="JS158" s="47"/>
      <c r="JT158" s="47"/>
      <c r="JU158" s="47"/>
      <c r="JV158" s="47"/>
      <c r="JW158" s="47"/>
      <c r="JX158" s="47"/>
      <c r="KA158" s="47"/>
      <c r="KB158" s="47"/>
      <c r="KC158" s="47"/>
      <c r="KD158" s="47"/>
      <c r="KE158" s="47"/>
      <c r="KF158" s="47"/>
      <c r="KG158" s="47"/>
      <c r="KH158" s="47"/>
      <c r="KK158" s="47"/>
      <c r="KL158" s="47"/>
      <c r="KM158" s="47"/>
      <c r="KN158" s="47"/>
      <c r="KO158" s="47"/>
      <c r="KP158" s="47"/>
      <c r="KQ158" s="47"/>
      <c r="KR158" s="47"/>
      <c r="KU158" s="47"/>
      <c r="KV158" s="47"/>
      <c r="KW158" s="47"/>
      <c r="KX158" s="47"/>
      <c r="KY158" s="47"/>
      <c r="KZ158" s="47"/>
      <c r="LA158" s="47"/>
      <c r="LB158" s="47"/>
    </row>
    <row r="159" spans="29:314" x14ac:dyDescent="0.25">
      <c r="AC159" s="47"/>
      <c r="AD159" s="47"/>
      <c r="AE159" s="47"/>
      <c r="AF159" s="47"/>
      <c r="AG159" s="49"/>
      <c r="AH159" s="47"/>
      <c r="AI159" s="47"/>
      <c r="AJ159" s="47"/>
      <c r="AK159" s="47"/>
      <c r="AL159" s="47"/>
      <c r="AM159" s="47"/>
      <c r="AN159" s="47"/>
      <c r="AO159" s="47"/>
      <c r="AP159" s="47"/>
      <c r="AQ159" s="47"/>
      <c r="AR159" s="47"/>
      <c r="AS159" s="47"/>
      <c r="AT159" s="47"/>
      <c r="AU159" s="47"/>
      <c r="AV159" s="47"/>
      <c r="AW159" s="47"/>
      <c r="AX159" s="47"/>
      <c r="AY159" s="47"/>
      <c r="AZ159" s="47"/>
      <c r="BA159" s="47"/>
      <c r="BB159" s="47"/>
      <c r="BC159" s="47"/>
      <c r="BD159" s="47"/>
      <c r="BE159" s="47"/>
      <c r="BF159" s="47"/>
      <c r="BG159" s="47"/>
      <c r="BH159" s="47"/>
      <c r="BI159" s="47"/>
      <c r="BJ159" s="47"/>
      <c r="BK159" s="47"/>
      <c r="BL159" s="47"/>
      <c r="BM159" s="47"/>
      <c r="BN159" s="49"/>
      <c r="BO159" s="47"/>
      <c r="BP159" s="47"/>
      <c r="BQ159" s="47"/>
      <c r="BR159" s="47"/>
      <c r="BS159" s="47"/>
      <c r="BT159" s="47"/>
      <c r="BU159" s="47"/>
      <c r="BV159" s="47"/>
      <c r="BW159" s="47"/>
      <c r="BX159" s="47"/>
      <c r="BY159" s="47"/>
      <c r="BZ159" s="47"/>
      <c r="CA159" s="47"/>
      <c r="CB159" s="47"/>
      <c r="CC159" s="47"/>
      <c r="CD159" s="47"/>
      <c r="CE159" s="47"/>
      <c r="CF159" s="47"/>
      <c r="CG159" s="49"/>
      <c r="CH159" s="47"/>
      <c r="CI159" s="47"/>
      <c r="CJ159" s="47"/>
      <c r="CK159" s="47"/>
      <c r="CL159" s="47"/>
      <c r="CM159" s="47"/>
      <c r="CN159" s="47"/>
      <c r="CO159" s="47"/>
      <c r="CP159" s="47"/>
      <c r="CQ159" s="47"/>
      <c r="CS159" s="47"/>
      <c r="CT159" s="47"/>
      <c r="CU159" s="47"/>
      <c r="CV159" s="47"/>
      <c r="CW159" s="47"/>
      <c r="CX159" s="47"/>
      <c r="CY159" s="47"/>
      <c r="CZ159" s="47"/>
      <c r="DA159" s="47"/>
      <c r="DB159" s="47"/>
      <c r="DC159" s="47"/>
      <c r="DD159" s="47"/>
      <c r="DE159" s="47"/>
      <c r="DF159" s="47"/>
      <c r="DG159" s="47"/>
      <c r="DH159" s="47"/>
      <c r="DI159" s="47"/>
      <c r="DJ159" s="47"/>
      <c r="DK159" s="47"/>
      <c r="DM159" s="47"/>
      <c r="DN159" s="47"/>
      <c r="DO159" s="47"/>
      <c r="DP159" s="47"/>
      <c r="DQ159" s="47"/>
      <c r="DR159" s="47"/>
      <c r="DS159" s="47"/>
      <c r="DT159" s="47"/>
      <c r="DU159" s="47"/>
      <c r="DV159" s="49"/>
      <c r="DW159" s="47"/>
      <c r="DX159" s="47"/>
      <c r="DY159" s="47"/>
      <c r="DZ159" s="47"/>
      <c r="EA159" s="47"/>
      <c r="EB159" s="47"/>
      <c r="EC159" s="47"/>
      <c r="ED159" s="47"/>
      <c r="EE159" s="47"/>
      <c r="EF159" s="47"/>
      <c r="EG159" s="47"/>
      <c r="EH159" s="47"/>
      <c r="EI159" s="47"/>
      <c r="EJ159" s="47"/>
      <c r="EK159" s="47"/>
      <c r="EL159" s="47"/>
      <c r="EM159" s="47"/>
      <c r="EN159" s="47"/>
      <c r="EO159" s="47"/>
      <c r="EP159" s="47"/>
      <c r="EQ159" s="47"/>
      <c r="ER159" s="47"/>
      <c r="ES159" s="47"/>
      <c r="ET159" s="47"/>
      <c r="EU159" s="47"/>
      <c r="EV159" s="47"/>
      <c r="EW159" s="47"/>
      <c r="EX159" s="47"/>
      <c r="EY159" s="47"/>
      <c r="EZ159" s="47"/>
      <c r="FA159" s="47"/>
      <c r="FB159" s="47"/>
      <c r="FC159" s="47"/>
      <c r="FD159" s="47"/>
      <c r="FE159" s="47"/>
      <c r="FF159" s="47"/>
      <c r="FG159" s="47"/>
      <c r="FH159" s="47"/>
      <c r="FI159" s="47"/>
      <c r="FJ159" s="49"/>
      <c r="FK159" s="47"/>
      <c r="FL159" s="47"/>
      <c r="FM159" s="47"/>
      <c r="FN159" s="47"/>
      <c r="FO159" s="47"/>
      <c r="FP159" s="47"/>
      <c r="FQ159" s="47"/>
      <c r="FR159" s="47"/>
      <c r="FS159" s="47"/>
      <c r="FT159" s="47"/>
      <c r="FU159" s="47"/>
      <c r="FV159" s="47"/>
      <c r="FW159" s="47"/>
      <c r="FX159" s="47"/>
      <c r="FY159" s="47"/>
      <c r="FZ159" s="47"/>
      <c r="GA159" s="47"/>
      <c r="GB159" s="47"/>
      <c r="GC159" s="47"/>
      <c r="GD159" s="47"/>
      <c r="GE159" s="47"/>
      <c r="GF159" s="47"/>
      <c r="GG159" s="47"/>
      <c r="GH159" s="47"/>
      <c r="GI159" s="47"/>
      <c r="GJ159" s="47"/>
      <c r="GK159" s="47"/>
      <c r="GL159" s="47"/>
      <c r="GM159" s="47"/>
      <c r="GN159" s="47"/>
      <c r="GO159" s="47"/>
      <c r="GP159" s="47"/>
      <c r="GQ159" s="47"/>
      <c r="GR159" s="47"/>
      <c r="GS159" s="47"/>
      <c r="GT159" s="47"/>
      <c r="GU159" s="47"/>
      <c r="GV159" s="47"/>
      <c r="GW159" s="47"/>
      <c r="GX159" s="47"/>
      <c r="GY159" s="47"/>
      <c r="GZ159" s="47"/>
      <c r="HA159" s="47"/>
      <c r="HB159" s="47"/>
      <c r="HC159" s="47"/>
      <c r="HD159" s="47"/>
      <c r="HE159" s="47"/>
      <c r="HF159" s="47"/>
      <c r="HI159" s="47"/>
      <c r="HJ159" s="47"/>
      <c r="HK159" s="47"/>
      <c r="HL159" s="47"/>
      <c r="HM159" s="47"/>
      <c r="HN159" s="47"/>
      <c r="HO159" s="47"/>
      <c r="HP159" s="47"/>
      <c r="HS159" s="47"/>
      <c r="HT159" s="47"/>
      <c r="HU159" s="47"/>
      <c r="HV159" s="47"/>
      <c r="HW159" s="47"/>
      <c r="HX159" s="47"/>
      <c r="HY159" s="47"/>
      <c r="HZ159" s="47"/>
      <c r="IC159" s="47"/>
      <c r="ID159" s="47"/>
      <c r="IE159" s="47"/>
      <c r="IF159" s="47"/>
      <c r="IG159" s="47"/>
      <c r="IH159" s="47"/>
      <c r="II159" s="47"/>
      <c r="IJ159" s="47"/>
      <c r="IM159" s="47"/>
      <c r="IN159" s="47"/>
      <c r="IO159" s="47"/>
      <c r="IP159" s="47"/>
      <c r="IQ159" s="47"/>
      <c r="IR159" s="47"/>
      <c r="IS159" s="47"/>
      <c r="IT159" s="47"/>
      <c r="IW159" s="47"/>
      <c r="IX159" s="47"/>
      <c r="IY159" s="47"/>
      <c r="IZ159" s="47"/>
      <c r="JA159" s="47"/>
      <c r="JB159" s="47"/>
      <c r="JC159" s="47"/>
      <c r="JD159" s="47"/>
      <c r="JG159" s="47"/>
      <c r="JH159" s="47"/>
      <c r="JI159" s="47"/>
      <c r="JJ159" s="47"/>
      <c r="JK159" s="47"/>
      <c r="JL159" s="47"/>
      <c r="JM159" s="47"/>
      <c r="JN159" s="47"/>
      <c r="JQ159" s="47"/>
      <c r="JR159" s="47"/>
      <c r="JS159" s="47"/>
      <c r="JT159" s="47"/>
      <c r="JU159" s="47"/>
      <c r="JV159" s="47"/>
      <c r="JW159" s="47"/>
      <c r="JX159" s="47"/>
      <c r="KA159" s="47"/>
      <c r="KB159" s="47"/>
      <c r="KC159" s="47"/>
      <c r="KD159" s="47"/>
      <c r="KE159" s="47"/>
      <c r="KF159" s="47"/>
      <c r="KG159" s="47"/>
      <c r="KH159" s="47"/>
      <c r="KK159" s="47"/>
      <c r="KL159" s="47"/>
      <c r="KM159" s="47"/>
      <c r="KN159" s="47"/>
      <c r="KO159" s="47"/>
      <c r="KP159" s="47"/>
      <c r="KQ159" s="47"/>
      <c r="KR159" s="47"/>
      <c r="KU159" s="47"/>
      <c r="KV159" s="47"/>
      <c r="KW159" s="47"/>
      <c r="KX159" s="47"/>
      <c r="KY159" s="47"/>
      <c r="KZ159" s="47"/>
      <c r="LA159" s="47"/>
      <c r="LB159" s="47"/>
    </row>
    <row r="160" spans="29:314" x14ac:dyDescent="0.25">
      <c r="AC160" s="47"/>
      <c r="AD160" s="47"/>
      <c r="AE160" s="47"/>
      <c r="AF160" s="47"/>
      <c r="AG160" s="49"/>
      <c r="AH160" s="47"/>
      <c r="AI160" s="47"/>
      <c r="AJ160" s="47"/>
      <c r="AK160" s="47"/>
      <c r="AL160" s="47"/>
      <c r="AM160" s="47"/>
      <c r="AN160" s="47"/>
      <c r="AO160" s="47"/>
      <c r="AP160" s="47"/>
      <c r="AQ160" s="47"/>
      <c r="AR160" s="47"/>
      <c r="AS160" s="47"/>
      <c r="AT160" s="47"/>
      <c r="AU160" s="47"/>
      <c r="AV160" s="47"/>
      <c r="AW160" s="47"/>
      <c r="AX160" s="47"/>
      <c r="AY160" s="47"/>
      <c r="AZ160" s="47"/>
      <c r="BA160" s="47"/>
      <c r="BB160" s="47"/>
      <c r="BC160" s="47"/>
      <c r="BD160" s="47"/>
      <c r="BE160" s="47"/>
      <c r="BF160" s="47"/>
      <c r="BG160" s="47"/>
      <c r="BH160" s="47"/>
      <c r="BI160" s="47"/>
      <c r="BJ160" s="47"/>
      <c r="BK160" s="47"/>
      <c r="BL160" s="47"/>
      <c r="BM160" s="47"/>
      <c r="BN160" s="49"/>
      <c r="BO160" s="47"/>
      <c r="BP160" s="47"/>
      <c r="BQ160" s="47"/>
      <c r="BR160" s="47"/>
      <c r="BS160" s="47"/>
      <c r="BT160" s="47"/>
      <c r="BU160" s="47"/>
      <c r="BV160" s="47"/>
      <c r="BW160" s="47"/>
      <c r="BX160" s="47"/>
      <c r="BY160" s="47"/>
      <c r="BZ160" s="47"/>
      <c r="CA160" s="47"/>
      <c r="CB160" s="47"/>
      <c r="CC160" s="47"/>
      <c r="CD160" s="47"/>
      <c r="CE160" s="47"/>
      <c r="CF160" s="47"/>
      <c r="CG160" s="49"/>
      <c r="CH160" s="47"/>
      <c r="CI160" s="47"/>
      <c r="CJ160" s="47"/>
      <c r="CK160" s="47"/>
      <c r="CL160" s="47"/>
      <c r="CM160" s="47"/>
      <c r="CN160" s="47"/>
      <c r="CO160" s="47"/>
      <c r="CP160" s="47"/>
      <c r="CQ160" s="47"/>
      <c r="CS160" s="47"/>
      <c r="CT160" s="47"/>
      <c r="CU160" s="47"/>
      <c r="CV160" s="47"/>
      <c r="CW160" s="47"/>
      <c r="CX160" s="47"/>
      <c r="CY160" s="47"/>
      <c r="CZ160" s="47"/>
      <c r="DA160" s="47"/>
      <c r="DB160" s="47"/>
      <c r="DC160" s="47"/>
      <c r="DD160" s="47"/>
      <c r="DE160" s="47"/>
      <c r="DF160" s="47"/>
      <c r="DG160" s="47"/>
      <c r="DH160" s="47"/>
      <c r="DI160" s="47"/>
      <c r="DJ160" s="47"/>
      <c r="DK160" s="47"/>
      <c r="DM160" s="47"/>
      <c r="DN160" s="47"/>
      <c r="DO160" s="47"/>
      <c r="DP160" s="47"/>
      <c r="DQ160" s="47"/>
      <c r="DR160" s="47"/>
      <c r="DS160" s="47"/>
      <c r="DT160" s="47"/>
      <c r="DU160" s="47"/>
      <c r="DV160" s="49"/>
      <c r="DW160" s="47"/>
      <c r="DX160" s="47"/>
      <c r="DY160" s="47"/>
      <c r="DZ160" s="47"/>
      <c r="EA160" s="47"/>
      <c r="EB160" s="47"/>
      <c r="EC160" s="47"/>
      <c r="ED160" s="47"/>
      <c r="EE160" s="47"/>
      <c r="EF160" s="47"/>
      <c r="EG160" s="47"/>
      <c r="EH160" s="47"/>
      <c r="EI160" s="47"/>
      <c r="EJ160" s="47"/>
      <c r="EK160" s="47"/>
      <c r="EL160" s="47"/>
      <c r="EM160" s="47"/>
      <c r="EN160" s="47"/>
      <c r="EO160" s="47"/>
      <c r="EP160" s="47"/>
      <c r="EQ160" s="47"/>
      <c r="ER160" s="47"/>
      <c r="ES160" s="47"/>
      <c r="ET160" s="47"/>
      <c r="EU160" s="47"/>
      <c r="EV160" s="47"/>
      <c r="EW160" s="47"/>
      <c r="EX160" s="47"/>
      <c r="EY160" s="47"/>
      <c r="EZ160" s="47"/>
      <c r="FA160" s="47"/>
      <c r="FB160" s="47"/>
      <c r="FC160" s="47"/>
      <c r="FD160" s="47"/>
      <c r="FE160" s="47"/>
      <c r="FF160" s="47"/>
      <c r="FG160" s="47"/>
      <c r="FH160" s="47"/>
      <c r="FI160" s="47"/>
      <c r="FJ160" s="49"/>
      <c r="FK160" s="47"/>
      <c r="FL160" s="47"/>
      <c r="FM160" s="47"/>
      <c r="FN160" s="47"/>
      <c r="FO160" s="47"/>
      <c r="FP160" s="47"/>
      <c r="FQ160" s="47"/>
      <c r="FR160" s="47"/>
      <c r="FS160" s="47"/>
      <c r="FT160" s="47"/>
      <c r="FU160" s="47"/>
      <c r="FV160" s="47"/>
      <c r="FW160" s="47"/>
      <c r="FX160" s="47"/>
      <c r="FY160" s="47"/>
      <c r="FZ160" s="47"/>
      <c r="GA160" s="47"/>
      <c r="GB160" s="47"/>
      <c r="GC160" s="47"/>
      <c r="GD160" s="47"/>
      <c r="GE160" s="47"/>
      <c r="GF160" s="47"/>
      <c r="GG160" s="47"/>
      <c r="GH160" s="47"/>
      <c r="GI160" s="47"/>
      <c r="GJ160" s="47"/>
      <c r="GK160" s="47"/>
      <c r="GL160" s="47"/>
      <c r="GM160" s="47"/>
      <c r="GN160" s="47"/>
      <c r="GO160" s="47"/>
      <c r="GP160" s="47"/>
      <c r="GQ160" s="47"/>
      <c r="GR160" s="47"/>
      <c r="GS160" s="47"/>
      <c r="GT160" s="47"/>
      <c r="GU160" s="47"/>
      <c r="GV160" s="47"/>
      <c r="GW160" s="47"/>
      <c r="GX160" s="47"/>
      <c r="GY160" s="47"/>
      <c r="GZ160" s="47"/>
      <c r="HA160" s="47"/>
      <c r="HB160" s="47"/>
      <c r="HC160" s="47"/>
      <c r="HD160" s="47"/>
      <c r="HE160" s="47"/>
      <c r="HF160" s="47"/>
      <c r="HI160" s="47"/>
      <c r="HJ160" s="47"/>
      <c r="HK160" s="47"/>
      <c r="HL160" s="47"/>
      <c r="HM160" s="47"/>
      <c r="HN160" s="47"/>
      <c r="HO160" s="47"/>
      <c r="HP160" s="47"/>
      <c r="HS160" s="47"/>
      <c r="HT160" s="47"/>
      <c r="HU160" s="47"/>
      <c r="HV160" s="47"/>
      <c r="HW160" s="47"/>
      <c r="HX160" s="47"/>
      <c r="HY160" s="47"/>
      <c r="HZ160" s="47"/>
      <c r="IC160" s="47"/>
      <c r="ID160" s="47"/>
      <c r="IE160" s="47"/>
      <c r="IF160" s="47"/>
      <c r="IG160" s="47"/>
      <c r="IH160" s="47"/>
      <c r="II160" s="47"/>
      <c r="IJ160" s="47"/>
      <c r="IM160" s="47"/>
      <c r="IN160" s="47"/>
      <c r="IO160" s="47"/>
      <c r="IP160" s="47"/>
      <c r="IQ160" s="47"/>
      <c r="IR160" s="47"/>
      <c r="IS160" s="47"/>
      <c r="IT160" s="47"/>
      <c r="IW160" s="47"/>
      <c r="IX160" s="47"/>
      <c r="IY160" s="47"/>
      <c r="IZ160" s="47"/>
      <c r="JA160" s="47"/>
      <c r="JB160" s="47"/>
      <c r="JC160" s="47"/>
      <c r="JD160" s="47"/>
      <c r="JG160" s="47"/>
      <c r="JH160" s="47"/>
      <c r="JI160" s="47"/>
      <c r="JJ160" s="47"/>
      <c r="JK160" s="47"/>
      <c r="JL160" s="47"/>
      <c r="JM160" s="47"/>
      <c r="JN160" s="47"/>
      <c r="JQ160" s="47"/>
      <c r="JR160" s="47"/>
      <c r="JS160" s="47"/>
      <c r="JT160" s="47"/>
      <c r="JU160" s="47"/>
      <c r="JV160" s="47"/>
      <c r="JW160" s="47"/>
      <c r="JX160" s="47"/>
      <c r="KA160" s="47"/>
      <c r="KB160" s="47"/>
      <c r="KC160" s="47"/>
      <c r="KD160" s="47"/>
      <c r="KE160" s="47"/>
      <c r="KF160" s="47"/>
      <c r="KG160" s="47"/>
      <c r="KH160" s="47"/>
      <c r="KK160" s="47"/>
      <c r="KL160" s="47"/>
      <c r="KM160" s="47"/>
      <c r="KN160" s="47"/>
      <c r="KO160" s="47"/>
      <c r="KP160" s="47"/>
      <c r="KQ160" s="47"/>
      <c r="KR160" s="47"/>
      <c r="KU160" s="47"/>
      <c r="KV160" s="47"/>
      <c r="KW160" s="47"/>
      <c r="KX160" s="47"/>
      <c r="KY160" s="47"/>
      <c r="KZ160" s="47"/>
      <c r="LA160" s="47"/>
      <c r="LB160" s="47"/>
    </row>
    <row r="161" spans="29:314" x14ac:dyDescent="0.25">
      <c r="AC161" s="47"/>
      <c r="AD161" s="47"/>
      <c r="AE161" s="47"/>
      <c r="AF161" s="47"/>
      <c r="AG161" s="49"/>
      <c r="AH161" s="47"/>
      <c r="AI161" s="47"/>
      <c r="AJ161" s="47"/>
      <c r="AK161" s="47"/>
      <c r="AL161" s="47"/>
      <c r="AM161" s="47"/>
      <c r="AN161" s="47"/>
      <c r="AO161" s="47"/>
      <c r="AP161" s="47"/>
      <c r="AQ161" s="47"/>
      <c r="AR161" s="47"/>
      <c r="AS161" s="47"/>
      <c r="AT161" s="47"/>
      <c r="AU161" s="47"/>
      <c r="AV161" s="47"/>
      <c r="AW161" s="47"/>
      <c r="AX161" s="47"/>
      <c r="AY161" s="47"/>
      <c r="AZ161" s="47"/>
      <c r="BA161" s="47"/>
      <c r="BB161" s="47"/>
      <c r="BC161" s="47"/>
      <c r="BD161" s="47"/>
      <c r="BE161" s="47"/>
      <c r="BF161" s="47"/>
      <c r="BG161" s="47"/>
      <c r="BH161" s="47"/>
      <c r="BI161" s="47"/>
      <c r="BJ161" s="47"/>
      <c r="BK161" s="47"/>
      <c r="BL161" s="47"/>
      <c r="BM161" s="47"/>
      <c r="BN161" s="49"/>
      <c r="BO161" s="47"/>
      <c r="BP161" s="47"/>
      <c r="BQ161" s="47"/>
      <c r="BR161" s="47"/>
      <c r="BS161" s="47"/>
      <c r="BT161" s="47"/>
      <c r="BU161" s="47"/>
      <c r="BV161" s="47"/>
      <c r="BW161" s="47"/>
      <c r="BX161" s="47"/>
      <c r="BY161" s="47"/>
      <c r="BZ161" s="47"/>
      <c r="CA161" s="47"/>
      <c r="CB161" s="47"/>
      <c r="CC161" s="47"/>
      <c r="CD161" s="47"/>
      <c r="CE161" s="47"/>
      <c r="CF161" s="47"/>
      <c r="CG161" s="49"/>
      <c r="CH161" s="47"/>
      <c r="CI161" s="47"/>
      <c r="CJ161" s="47"/>
      <c r="CK161" s="47"/>
      <c r="CL161" s="47"/>
      <c r="CM161" s="47"/>
      <c r="CN161" s="47"/>
      <c r="CO161" s="47"/>
      <c r="CP161" s="47"/>
      <c r="CQ161" s="47"/>
      <c r="CS161" s="47"/>
      <c r="CT161" s="47"/>
      <c r="CU161" s="47"/>
      <c r="CV161" s="47"/>
      <c r="CW161" s="47"/>
      <c r="CX161" s="47"/>
      <c r="CY161" s="47"/>
      <c r="CZ161" s="47"/>
      <c r="DA161" s="47"/>
      <c r="DB161" s="47"/>
      <c r="DC161" s="47"/>
      <c r="DD161" s="47"/>
      <c r="DE161" s="47"/>
      <c r="DF161" s="47"/>
      <c r="DG161" s="47"/>
      <c r="DH161" s="47"/>
      <c r="DI161" s="47"/>
      <c r="DJ161" s="47"/>
      <c r="DK161" s="47"/>
      <c r="DM161" s="47"/>
      <c r="DN161" s="47"/>
      <c r="DO161" s="47"/>
      <c r="DP161" s="47"/>
      <c r="DQ161" s="47"/>
      <c r="DR161" s="47"/>
      <c r="DS161" s="47"/>
      <c r="DT161" s="47"/>
      <c r="DU161" s="47"/>
      <c r="DV161" s="49"/>
      <c r="DW161" s="47"/>
      <c r="DX161" s="47"/>
      <c r="DY161" s="47"/>
      <c r="DZ161" s="47"/>
      <c r="EA161" s="47"/>
      <c r="EB161" s="47"/>
      <c r="EC161" s="47"/>
      <c r="ED161" s="47"/>
      <c r="EE161" s="47"/>
      <c r="EF161" s="47"/>
      <c r="EG161" s="47"/>
      <c r="EH161" s="47"/>
      <c r="EI161" s="47"/>
      <c r="EJ161" s="47"/>
      <c r="EK161" s="47"/>
      <c r="EL161" s="47"/>
      <c r="EM161" s="47"/>
      <c r="EN161" s="47"/>
      <c r="EO161" s="47"/>
      <c r="EP161" s="47"/>
      <c r="EQ161" s="47"/>
      <c r="ER161" s="47"/>
      <c r="ES161" s="47"/>
      <c r="ET161" s="47"/>
      <c r="EU161" s="47"/>
      <c r="EV161" s="47"/>
      <c r="EW161" s="47"/>
      <c r="EX161" s="47"/>
      <c r="EY161" s="47"/>
      <c r="EZ161" s="47"/>
      <c r="FA161" s="47"/>
      <c r="FB161" s="47"/>
      <c r="FC161" s="47"/>
      <c r="FD161" s="47"/>
      <c r="FE161" s="47"/>
      <c r="FF161" s="47"/>
      <c r="FG161" s="47"/>
      <c r="FH161" s="47"/>
      <c r="FI161" s="47"/>
      <c r="FJ161" s="49"/>
      <c r="FK161" s="47"/>
      <c r="FL161" s="47"/>
      <c r="FM161" s="47"/>
      <c r="FN161" s="47"/>
      <c r="FO161" s="47"/>
      <c r="FP161" s="47"/>
      <c r="FQ161" s="47"/>
      <c r="FR161" s="47"/>
      <c r="FS161" s="47"/>
      <c r="FT161" s="47"/>
      <c r="FU161" s="47"/>
      <c r="FV161" s="47"/>
      <c r="FW161" s="47"/>
      <c r="FX161" s="47"/>
      <c r="FY161" s="47"/>
      <c r="FZ161" s="47"/>
      <c r="GA161" s="47"/>
      <c r="GB161" s="47"/>
      <c r="GC161" s="47"/>
      <c r="GD161" s="47"/>
      <c r="GE161" s="47"/>
      <c r="GF161" s="47"/>
      <c r="GG161" s="47"/>
      <c r="GH161" s="47"/>
      <c r="GI161" s="47"/>
      <c r="GJ161" s="47"/>
      <c r="GK161" s="47"/>
      <c r="GL161" s="47"/>
      <c r="GM161" s="47"/>
      <c r="GN161" s="47"/>
      <c r="GO161" s="47"/>
      <c r="GP161" s="47"/>
      <c r="GQ161" s="47"/>
      <c r="GR161" s="47"/>
      <c r="GS161" s="47"/>
      <c r="GT161" s="47"/>
      <c r="GU161" s="47"/>
      <c r="GV161" s="47"/>
      <c r="GW161" s="47"/>
      <c r="GX161" s="47"/>
      <c r="GY161" s="47"/>
      <c r="GZ161" s="47"/>
      <c r="HA161" s="47"/>
      <c r="HB161" s="47"/>
      <c r="HC161" s="47"/>
      <c r="HD161" s="47"/>
      <c r="HE161" s="47"/>
      <c r="HF161" s="47"/>
      <c r="HI161" s="47"/>
      <c r="HJ161" s="47"/>
      <c r="HK161" s="47"/>
      <c r="HL161" s="47"/>
      <c r="HM161" s="47"/>
      <c r="HN161" s="47"/>
      <c r="HO161" s="47"/>
      <c r="HP161" s="47"/>
      <c r="HS161" s="47"/>
      <c r="HT161" s="47"/>
      <c r="HU161" s="47"/>
      <c r="HV161" s="47"/>
      <c r="HW161" s="47"/>
      <c r="HX161" s="47"/>
      <c r="HY161" s="47"/>
      <c r="HZ161" s="47"/>
      <c r="IC161" s="47"/>
      <c r="ID161" s="47"/>
      <c r="IE161" s="47"/>
      <c r="IF161" s="47"/>
      <c r="IG161" s="47"/>
      <c r="IH161" s="47"/>
      <c r="II161" s="47"/>
      <c r="IJ161" s="47"/>
      <c r="IM161" s="47"/>
      <c r="IN161" s="47"/>
      <c r="IO161" s="47"/>
      <c r="IP161" s="47"/>
      <c r="IQ161" s="47"/>
      <c r="IR161" s="47"/>
      <c r="IS161" s="47"/>
      <c r="IT161" s="47"/>
      <c r="IW161" s="47"/>
      <c r="IX161" s="47"/>
      <c r="IY161" s="47"/>
      <c r="IZ161" s="47"/>
      <c r="JA161" s="47"/>
      <c r="JB161" s="47"/>
      <c r="JC161" s="47"/>
      <c r="JD161" s="47"/>
      <c r="JG161" s="47"/>
      <c r="JH161" s="47"/>
      <c r="JI161" s="47"/>
      <c r="JJ161" s="47"/>
      <c r="JK161" s="47"/>
      <c r="JL161" s="47"/>
      <c r="JM161" s="47"/>
      <c r="JN161" s="47"/>
      <c r="JQ161" s="47"/>
      <c r="JR161" s="47"/>
      <c r="JS161" s="47"/>
      <c r="JT161" s="47"/>
      <c r="JU161" s="47"/>
      <c r="JV161" s="47"/>
      <c r="JW161" s="47"/>
      <c r="JX161" s="47"/>
      <c r="KA161" s="47"/>
      <c r="KB161" s="47"/>
      <c r="KC161" s="47"/>
      <c r="KD161" s="47"/>
      <c r="KE161" s="47"/>
      <c r="KF161" s="47"/>
      <c r="KG161" s="47"/>
      <c r="KH161" s="47"/>
      <c r="KK161" s="47"/>
      <c r="KL161" s="47"/>
      <c r="KM161" s="47"/>
      <c r="KN161" s="47"/>
      <c r="KO161" s="47"/>
      <c r="KP161" s="47"/>
      <c r="KQ161" s="47"/>
      <c r="KR161" s="47"/>
      <c r="KU161" s="47"/>
      <c r="KV161" s="47"/>
      <c r="KW161" s="47"/>
      <c r="KX161" s="47"/>
      <c r="KY161" s="47"/>
      <c r="KZ161" s="47"/>
      <c r="LA161" s="47"/>
      <c r="LB161" s="47"/>
    </row>
    <row r="162" spans="29:314" x14ac:dyDescent="0.25">
      <c r="AC162" s="47"/>
      <c r="AD162" s="47"/>
      <c r="AE162" s="47"/>
      <c r="AF162" s="47"/>
      <c r="AG162" s="49"/>
      <c r="AH162" s="47"/>
      <c r="AI162" s="47"/>
      <c r="AJ162" s="47"/>
      <c r="AK162" s="47"/>
      <c r="AL162" s="47"/>
      <c r="AM162" s="47"/>
      <c r="AN162" s="47"/>
      <c r="AO162" s="47"/>
      <c r="AP162" s="47"/>
      <c r="AQ162" s="47"/>
      <c r="AR162" s="47"/>
      <c r="AS162" s="47"/>
      <c r="AT162" s="47"/>
      <c r="AU162" s="47"/>
      <c r="AV162" s="47"/>
      <c r="AW162" s="47"/>
      <c r="AX162" s="47"/>
      <c r="AY162" s="47"/>
      <c r="AZ162" s="47"/>
      <c r="BA162" s="47"/>
      <c r="BB162" s="47"/>
      <c r="BC162" s="47"/>
      <c r="BD162" s="47"/>
      <c r="BE162" s="47"/>
      <c r="BF162" s="47"/>
      <c r="BG162" s="47"/>
      <c r="BH162" s="47"/>
      <c r="BI162" s="47"/>
      <c r="BJ162" s="47"/>
      <c r="BK162" s="47"/>
      <c r="BL162" s="47"/>
      <c r="BM162" s="47"/>
      <c r="BN162" s="49"/>
      <c r="BO162" s="47"/>
      <c r="BP162" s="47"/>
      <c r="BQ162" s="47"/>
      <c r="BR162" s="47"/>
      <c r="BS162" s="47"/>
      <c r="BT162" s="47"/>
      <c r="BU162" s="47"/>
      <c r="BV162" s="47"/>
      <c r="BW162" s="47"/>
      <c r="BX162" s="47"/>
      <c r="BY162" s="47"/>
      <c r="BZ162" s="47"/>
      <c r="CA162" s="47"/>
      <c r="CB162" s="47"/>
      <c r="CC162" s="47"/>
      <c r="CD162" s="47"/>
      <c r="CE162" s="47"/>
      <c r="CF162" s="47"/>
      <c r="CG162" s="49"/>
      <c r="CH162" s="47"/>
      <c r="CI162" s="47"/>
      <c r="CJ162" s="47"/>
      <c r="CK162" s="47"/>
      <c r="CL162" s="47"/>
      <c r="CM162" s="47"/>
      <c r="CN162" s="47"/>
      <c r="CO162" s="47"/>
      <c r="CP162" s="47"/>
      <c r="CQ162" s="47"/>
      <c r="CS162" s="47"/>
      <c r="CT162" s="47"/>
      <c r="CU162" s="47"/>
      <c r="CV162" s="47"/>
      <c r="CW162" s="47"/>
      <c r="CX162" s="47"/>
      <c r="CY162" s="47"/>
      <c r="CZ162" s="47"/>
      <c r="DA162" s="47"/>
      <c r="DB162" s="47"/>
      <c r="DC162" s="47"/>
      <c r="DD162" s="47"/>
      <c r="DE162" s="47"/>
      <c r="DF162" s="47"/>
      <c r="DG162" s="47"/>
      <c r="DH162" s="47"/>
      <c r="DI162" s="47"/>
      <c r="DJ162" s="47"/>
      <c r="DK162" s="47"/>
      <c r="DM162" s="47"/>
      <c r="DN162" s="47"/>
      <c r="DO162" s="47"/>
      <c r="DP162" s="47"/>
      <c r="DQ162" s="47"/>
      <c r="DR162" s="47"/>
      <c r="DS162" s="47"/>
      <c r="DT162" s="47"/>
      <c r="DU162" s="47"/>
      <c r="DV162" s="49"/>
      <c r="DW162" s="47"/>
      <c r="DX162" s="47"/>
      <c r="DY162" s="47"/>
      <c r="DZ162" s="47"/>
      <c r="EA162" s="47"/>
      <c r="EB162" s="47"/>
      <c r="EC162" s="47"/>
      <c r="ED162" s="47"/>
      <c r="EE162" s="47"/>
      <c r="EF162" s="47"/>
      <c r="EG162" s="47"/>
      <c r="EH162" s="47"/>
      <c r="EI162" s="47"/>
      <c r="EJ162" s="47"/>
      <c r="EK162" s="47"/>
      <c r="EL162" s="47"/>
      <c r="EM162" s="47"/>
      <c r="EN162" s="47"/>
      <c r="EO162" s="47"/>
      <c r="EP162" s="47"/>
      <c r="EQ162" s="47"/>
      <c r="ER162" s="47"/>
      <c r="ES162" s="47"/>
      <c r="ET162" s="47"/>
      <c r="EU162" s="47"/>
      <c r="EV162" s="47"/>
      <c r="EW162" s="47"/>
      <c r="EX162" s="47"/>
      <c r="EY162" s="47"/>
      <c r="EZ162" s="47"/>
      <c r="FA162" s="47"/>
      <c r="FB162" s="47"/>
      <c r="FC162" s="47"/>
      <c r="FD162" s="47"/>
      <c r="FE162" s="47"/>
      <c r="FF162" s="47"/>
      <c r="FG162" s="47"/>
      <c r="FH162" s="47"/>
      <c r="FI162" s="47"/>
      <c r="FJ162" s="49"/>
      <c r="FK162" s="47"/>
      <c r="FL162" s="47"/>
      <c r="FM162" s="47"/>
      <c r="FN162" s="47"/>
      <c r="FO162" s="47"/>
      <c r="FP162" s="47"/>
      <c r="FQ162" s="47"/>
      <c r="FR162" s="47"/>
      <c r="FS162" s="47"/>
      <c r="FT162" s="47"/>
      <c r="FU162" s="47"/>
      <c r="FV162" s="47"/>
      <c r="FW162" s="47"/>
      <c r="FX162" s="47"/>
      <c r="FY162" s="47"/>
      <c r="FZ162" s="47"/>
      <c r="GA162" s="47"/>
      <c r="GB162" s="47"/>
      <c r="GC162" s="47"/>
      <c r="GD162" s="47"/>
      <c r="GE162" s="47"/>
      <c r="GF162" s="47"/>
      <c r="GG162" s="47"/>
      <c r="GH162" s="47"/>
      <c r="GI162" s="47"/>
      <c r="GJ162" s="47"/>
      <c r="GK162" s="47"/>
      <c r="GL162" s="47"/>
      <c r="GM162" s="47"/>
      <c r="GN162" s="47"/>
      <c r="GO162" s="47"/>
      <c r="GP162" s="47"/>
      <c r="GQ162" s="47"/>
      <c r="GR162" s="47"/>
      <c r="GS162" s="47"/>
      <c r="GT162" s="47"/>
      <c r="GU162" s="47"/>
      <c r="GV162" s="47"/>
      <c r="GW162" s="47"/>
      <c r="GX162" s="47"/>
      <c r="GY162" s="47"/>
      <c r="GZ162" s="47"/>
      <c r="HA162" s="47"/>
      <c r="HB162" s="47"/>
      <c r="HC162" s="47"/>
      <c r="HD162" s="47"/>
      <c r="HE162" s="47"/>
      <c r="HF162" s="47"/>
      <c r="HI162" s="47"/>
      <c r="HJ162" s="47"/>
      <c r="HK162" s="47"/>
      <c r="HL162" s="47"/>
      <c r="HM162" s="47"/>
      <c r="HN162" s="47"/>
      <c r="HO162" s="47"/>
      <c r="HP162" s="47"/>
      <c r="HS162" s="47"/>
      <c r="HT162" s="47"/>
      <c r="HU162" s="47"/>
      <c r="HV162" s="47"/>
      <c r="HW162" s="47"/>
      <c r="HX162" s="47"/>
      <c r="HY162" s="47"/>
      <c r="HZ162" s="47"/>
      <c r="IC162" s="47"/>
      <c r="ID162" s="47"/>
      <c r="IE162" s="47"/>
      <c r="IF162" s="47"/>
      <c r="IG162" s="47"/>
      <c r="IH162" s="47"/>
      <c r="II162" s="47"/>
      <c r="IJ162" s="47"/>
      <c r="IM162" s="47"/>
      <c r="IN162" s="47"/>
      <c r="IO162" s="47"/>
      <c r="IP162" s="47"/>
      <c r="IQ162" s="47"/>
      <c r="IR162" s="47"/>
      <c r="IS162" s="47"/>
      <c r="IT162" s="47"/>
      <c r="IW162" s="47"/>
      <c r="IX162" s="47"/>
      <c r="IY162" s="47"/>
      <c r="IZ162" s="47"/>
      <c r="JA162" s="47"/>
      <c r="JB162" s="47"/>
      <c r="JC162" s="47"/>
      <c r="JD162" s="47"/>
      <c r="JG162" s="47"/>
      <c r="JH162" s="47"/>
      <c r="JI162" s="47"/>
      <c r="JJ162" s="47"/>
      <c r="JK162" s="47"/>
      <c r="JL162" s="47"/>
      <c r="JM162" s="47"/>
      <c r="JN162" s="47"/>
      <c r="JQ162" s="47"/>
      <c r="JR162" s="47"/>
      <c r="JS162" s="47"/>
      <c r="JT162" s="47"/>
      <c r="JU162" s="47"/>
      <c r="JV162" s="47"/>
      <c r="JW162" s="47"/>
      <c r="JX162" s="47"/>
      <c r="KA162" s="47"/>
      <c r="KB162" s="47"/>
      <c r="KC162" s="47"/>
      <c r="KD162" s="47"/>
      <c r="KE162" s="47"/>
      <c r="KF162" s="47"/>
      <c r="KG162" s="47"/>
      <c r="KH162" s="47"/>
      <c r="KK162" s="47"/>
      <c r="KL162" s="47"/>
      <c r="KM162" s="47"/>
      <c r="KN162" s="47"/>
      <c r="KO162" s="47"/>
      <c r="KP162" s="47"/>
      <c r="KQ162" s="47"/>
      <c r="KR162" s="47"/>
      <c r="KU162" s="47"/>
      <c r="KV162" s="47"/>
      <c r="KW162" s="47"/>
      <c r="KX162" s="47"/>
      <c r="KY162" s="47"/>
      <c r="KZ162" s="47"/>
      <c r="LA162" s="47"/>
      <c r="LB162" s="47"/>
    </row>
    <row r="163" spans="29:314" x14ac:dyDescent="0.25">
      <c r="AC163" s="47"/>
      <c r="AD163" s="47"/>
      <c r="AE163" s="47"/>
      <c r="AF163" s="47"/>
      <c r="AG163" s="49"/>
      <c r="AH163" s="47"/>
      <c r="AI163" s="47"/>
      <c r="AJ163" s="47"/>
      <c r="AK163" s="47"/>
      <c r="AL163" s="47"/>
      <c r="AM163" s="47"/>
      <c r="AN163" s="47"/>
      <c r="AO163" s="47"/>
      <c r="AP163" s="47"/>
      <c r="AQ163" s="47"/>
      <c r="AR163" s="47"/>
      <c r="AS163" s="47"/>
      <c r="AT163" s="47"/>
      <c r="AU163" s="47"/>
      <c r="AV163" s="47"/>
      <c r="AW163" s="47"/>
      <c r="AX163" s="47"/>
      <c r="AY163" s="47"/>
      <c r="AZ163" s="47"/>
      <c r="BA163" s="47"/>
      <c r="BB163" s="47"/>
      <c r="BC163" s="47"/>
      <c r="BD163" s="47"/>
      <c r="BE163" s="47"/>
      <c r="BF163" s="47"/>
      <c r="BG163" s="47"/>
      <c r="BH163" s="47"/>
      <c r="BI163" s="47"/>
      <c r="BJ163" s="47"/>
      <c r="BK163" s="47"/>
      <c r="BL163" s="47"/>
      <c r="BM163" s="47"/>
      <c r="BN163" s="49"/>
      <c r="BO163" s="47"/>
      <c r="BP163" s="47"/>
      <c r="BQ163" s="47"/>
      <c r="BR163" s="47"/>
      <c r="BS163" s="47"/>
      <c r="BT163" s="47"/>
      <c r="BU163" s="47"/>
      <c r="BV163" s="47"/>
      <c r="BW163" s="47"/>
      <c r="BX163" s="47"/>
      <c r="BY163" s="47"/>
      <c r="BZ163" s="47"/>
      <c r="CA163" s="47"/>
      <c r="CB163" s="47"/>
      <c r="CC163" s="47"/>
      <c r="CD163" s="47"/>
      <c r="CE163" s="47"/>
      <c r="CF163" s="47"/>
      <c r="CG163" s="49"/>
      <c r="CH163" s="47"/>
      <c r="CI163" s="47"/>
      <c r="CJ163" s="47"/>
      <c r="CK163" s="47"/>
      <c r="CL163" s="47"/>
      <c r="CM163" s="47"/>
      <c r="CN163" s="47"/>
      <c r="CO163" s="47"/>
      <c r="CP163" s="47"/>
      <c r="CQ163" s="47"/>
      <c r="CS163" s="47"/>
      <c r="CT163" s="47"/>
      <c r="CU163" s="47"/>
      <c r="CV163" s="47"/>
      <c r="CW163" s="47"/>
      <c r="CX163" s="47"/>
      <c r="CY163" s="47"/>
      <c r="CZ163" s="47"/>
      <c r="DA163" s="47"/>
      <c r="DB163" s="47"/>
      <c r="DC163" s="47"/>
      <c r="DD163" s="47"/>
      <c r="DE163" s="47"/>
      <c r="DF163" s="47"/>
      <c r="DG163" s="47"/>
      <c r="DH163" s="47"/>
      <c r="DI163" s="47"/>
      <c r="DJ163" s="47"/>
      <c r="DK163" s="47"/>
      <c r="DM163" s="47"/>
      <c r="DN163" s="47"/>
      <c r="DO163" s="47"/>
      <c r="DP163" s="47"/>
      <c r="DQ163" s="47"/>
      <c r="DR163" s="47"/>
      <c r="DS163" s="47"/>
      <c r="DT163" s="47"/>
      <c r="DU163" s="47"/>
      <c r="DV163" s="49"/>
      <c r="DW163" s="47"/>
      <c r="DX163" s="47"/>
      <c r="DY163" s="47"/>
      <c r="DZ163" s="47"/>
      <c r="EA163" s="47"/>
      <c r="EB163" s="47"/>
      <c r="EC163" s="47"/>
      <c r="ED163" s="47"/>
      <c r="EE163" s="47"/>
      <c r="EF163" s="47"/>
      <c r="EG163" s="47"/>
      <c r="EH163" s="47"/>
      <c r="EI163" s="47"/>
      <c r="EJ163" s="47"/>
      <c r="EK163" s="47"/>
      <c r="EL163" s="47"/>
      <c r="EM163" s="47"/>
      <c r="EN163" s="47"/>
      <c r="EO163" s="47"/>
      <c r="EP163" s="47"/>
      <c r="EQ163" s="47"/>
      <c r="ER163" s="47"/>
      <c r="ES163" s="47"/>
      <c r="ET163" s="47"/>
      <c r="EU163" s="47"/>
      <c r="EV163" s="47"/>
      <c r="EW163" s="47"/>
      <c r="EX163" s="47"/>
      <c r="EY163" s="47"/>
      <c r="EZ163" s="47"/>
      <c r="FA163" s="47"/>
      <c r="FB163" s="47"/>
      <c r="FC163" s="47"/>
      <c r="FD163" s="47"/>
      <c r="FE163" s="47"/>
      <c r="FF163" s="47"/>
      <c r="FG163" s="47"/>
      <c r="FH163" s="47"/>
      <c r="FI163" s="47"/>
      <c r="FJ163" s="49"/>
      <c r="FK163" s="47"/>
      <c r="FL163" s="47"/>
      <c r="FM163" s="47"/>
      <c r="FN163" s="47"/>
      <c r="FO163" s="47"/>
      <c r="FP163" s="47"/>
      <c r="FQ163" s="47"/>
      <c r="FR163" s="47"/>
      <c r="FS163" s="47"/>
      <c r="FT163" s="47"/>
      <c r="FU163" s="47"/>
      <c r="FV163" s="47"/>
      <c r="FW163" s="47"/>
      <c r="FX163" s="47"/>
      <c r="FY163" s="47"/>
      <c r="FZ163" s="47"/>
      <c r="GA163" s="47"/>
      <c r="GB163" s="47"/>
      <c r="GC163" s="47"/>
      <c r="GD163" s="47"/>
      <c r="GE163" s="47"/>
      <c r="GF163" s="47"/>
      <c r="GG163" s="47"/>
      <c r="GH163" s="47"/>
      <c r="GI163" s="47"/>
      <c r="GJ163" s="47"/>
      <c r="GK163" s="47"/>
      <c r="GL163" s="47"/>
      <c r="GM163" s="47"/>
      <c r="GN163" s="47"/>
      <c r="GO163" s="47"/>
      <c r="GP163" s="47"/>
      <c r="GQ163" s="47"/>
      <c r="GR163" s="47"/>
      <c r="GS163" s="47"/>
      <c r="GT163" s="47"/>
      <c r="GU163" s="47"/>
      <c r="GV163" s="47"/>
      <c r="GW163" s="47"/>
      <c r="GX163" s="47"/>
      <c r="GY163" s="47"/>
      <c r="GZ163" s="47"/>
      <c r="HA163" s="47"/>
      <c r="HB163" s="47"/>
      <c r="HC163" s="47"/>
      <c r="HD163" s="47"/>
      <c r="HE163" s="47"/>
      <c r="HF163" s="47"/>
      <c r="HI163" s="47"/>
      <c r="HJ163" s="47"/>
      <c r="HK163" s="47"/>
      <c r="HL163" s="47"/>
      <c r="HM163" s="47"/>
      <c r="HN163" s="47"/>
      <c r="HO163" s="47"/>
      <c r="HP163" s="47"/>
      <c r="HS163" s="47"/>
      <c r="HT163" s="47"/>
      <c r="HU163" s="47"/>
      <c r="HV163" s="47"/>
      <c r="HW163" s="47"/>
      <c r="HX163" s="47"/>
      <c r="HY163" s="47"/>
      <c r="HZ163" s="47"/>
      <c r="IC163" s="47"/>
      <c r="ID163" s="47"/>
      <c r="IE163" s="47"/>
      <c r="IF163" s="47"/>
      <c r="IG163" s="47"/>
      <c r="IH163" s="47"/>
      <c r="II163" s="47"/>
      <c r="IJ163" s="47"/>
      <c r="IM163" s="47"/>
      <c r="IN163" s="47"/>
      <c r="IO163" s="47"/>
      <c r="IP163" s="47"/>
      <c r="IQ163" s="47"/>
      <c r="IR163" s="47"/>
      <c r="IS163" s="47"/>
      <c r="IT163" s="47"/>
      <c r="IW163" s="47"/>
      <c r="IX163" s="47"/>
      <c r="IY163" s="47"/>
      <c r="IZ163" s="47"/>
      <c r="JA163" s="47"/>
      <c r="JB163" s="47"/>
      <c r="JC163" s="47"/>
      <c r="JD163" s="47"/>
      <c r="JG163" s="47"/>
      <c r="JH163" s="47"/>
      <c r="JI163" s="47"/>
      <c r="JJ163" s="47"/>
      <c r="JK163" s="47"/>
      <c r="JL163" s="47"/>
      <c r="JM163" s="47"/>
      <c r="JN163" s="47"/>
      <c r="JQ163" s="47"/>
      <c r="JR163" s="47"/>
      <c r="JS163" s="47"/>
      <c r="JT163" s="47"/>
      <c r="JU163" s="47"/>
      <c r="JV163" s="47"/>
      <c r="JW163" s="47"/>
      <c r="JX163" s="47"/>
      <c r="KA163" s="47"/>
      <c r="KB163" s="47"/>
      <c r="KC163" s="47"/>
      <c r="KD163" s="47"/>
      <c r="KE163" s="47"/>
      <c r="KF163" s="47"/>
      <c r="KG163" s="47"/>
      <c r="KH163" s="47"/>
      <c r="KK163" s="47"/>
      <c r="KL163" s="47"/>
      <c r="KM163" s="47"/>
      <c r="KN163" s="47"/>
      <c r="KO163" s="47"/>
      <c r="KP163" s="47"/>
      <c r="KQ163" s="47"/>
      <c r="KR163" s="47"/>
      <c r="KU163" s="47"/>
      <c r="KV163" s="47"/>
      <c r="KW163" s="47"/>
      <c r="KX163" s="47"/>
      <c r="KY163" s="47"/>
      <c r="KZ163" s="47"/>
      <c r="LA163" s="47"/>
      <c r="LB163" s="47"/>
    </row>
    <row r="164" spans="29:314" x14ac:dyDescent="0.25">
      <c r="AC164" s="47"/>
      <c r="AD164" s="47"/>
      <c r="AE164" s="47"/>
      <c r="AF164" s="47"/>
      <c r="AG164" s="49"/>
      <c r="AH164" s="47"/>
      <c r="AI164" s="47"/>
      <c r="AJ164" s="47"/>
      <c r="AK164" s="47"/>
      <c r="AL164" s="47"/>
      <c r="AM164" s="47"/>
      <c r="AN164" s="47"/>
      <c r="AO164" s="47"/>
      <c r="AP164" s="47"/>
      <c r="AQ164" s="47"/>
      <c r="AR164" s="47"/>
      <c r="AS164" s="47"/>
      <c r="AT164" s="47"/>
      <c r="AU164" s="47"/>
      <c r="AV164" s="47"/>
      <c r="AW164" s="47"/>
      <c r="AX164" s="47"/>
      <c r="AY164" s="47"/>
      <c r="AZ164" s="47"/>
      <c r="BA164" s="47"/>
      <c r="BB164" s="47"/>
      <c r="BC164" s="47"/>
      <c r="BD164" s="47"/>
      <c r="BE164" s="47"/>
      <c r="BF164" s="47"/>
      <c r="BG164" s="47"/>
      <c r="BH164" s="47"/>
      <c r="BI164" s="47"/>
      <c r="BJ164" s="47"/>
      <c r="BK164" s="47"/>
      <c r="BL164" s="47"/>
      <c r="BM164" s="47"/>
      <c r="BN164" s="49"/>
      <c r="BO164" s="47"/>
      <c r="BP164" s="47"/>
      <c r="BQ164" s="47"/>
      <c r="BR164" s="47"/>
      <c r="BS164" s="47"/>
      <c r="BT164" s="47"/>
      <c r="BU164" s="47"/>
      <c r="BV164" s="47"/>
      <c r="BW164" s="47"/>
      <c r="BX164" s="47"/>
      <c r="BY164" s="47"/>
      <c r="BZ164" s="47"/>
      <c r="CA164" s="47"/>
      <c r="CB164" s="47"/>
      <c r="CC164" s="47"/>
      <c r="CD164" s="47"/>
      <c r="CE164" s="47"/>
      <c r="CF164" s="47"/>
      <c r="CG164" s="49"/>
      <c r="CH164" s="47"/>
      <c r="CI164" s="47"/>
      <c r="CJ164" s="47"/>
      <c r="CK164" s="47"/>
      <c r="CL164" s="47"/>
      <c r="CM164" s="47"/>
      <c r="CN164" s="47"/>
      <c r="CO164" s="47"/>
      <c r="CP164" s="47"/>
      <c r="CQ164" s="47"/>
      <c r="CS164" s="47"/>
      <c r="CT164" s="47"/>
      <c r="CU164" s="47"/>
      <c r="CV164" s="47"/>
      <c r="CW164" s="47"/>
      <c r="CX164" s="47"/>
      <c r="CY164" s="47"/>
      <c r="CZ164" s="47"/>
      <c r="DA164" s="47"/>
      <c r="DB164" s="47"/>
      <c r="DC164" s="47"/>
      <c r="DD164" s="47"/>
      <c r="DE164" s="47"/>
      <c r="DF164" s="47"/>
      <c r="DG164" s="47"/>
      <c r="DH164" s="47"/>
      <c r="DI164" s="47"/>
      <c r="DJ164" s="47"/>
      <c r="DK164" s="47"/>
      <c r="DM164" s="47"/>
      <c r="DN164" s="47"/>
      <c r="DO164" s="47"/>
      <c r="DP164" s="47"/>
      <c r="DQ164" s="47"/>
      <c r="DR164" s="47"/>
      <c r="DS164" s="47"/>
      <c r="DT164" s="47"/>
      <c r="DU164" s="47"/>
      <c r="DV164" s="49"/>
      <c r="DW164" s="47"/>
      <c r="DX164" s="47"/>
      <c r="DY164" s="47"/>
      <c r="DZ164" s="47"/>
      <c r="EA164" s="47"/>
      <c r="EB164" s="47"/>
      <c r="EC164" s="47"/>
      <c r="ED164" s="47"/>
      <c r="EE164" s="47"/>
      <c r="EF164" s="47"/>
      <c r="EG164" s="47"/>
      <c r="EH164" s="47"/>
      <c r="EI164" s="47"/>
      <c r="EJ164" s="47"/>
      <c r="EK164" s="47"/>
      <c r="EL164" s="47"/>
      <c r="EM164" s="47"/>
      <c r="EN164" s="47"/>
      <c r="EO164" s="47"/>
      <c r="EP164" s="47"/>
      <c r="EQ164" s="47"/>
      <c r="ER164" s="47"/>
      <c r="ES164" s="47"/>
      <c r="ET164" s="47"/>
      <c r="EU164" s="47"/>
      <c r="EV164" s="47"/>
      <c r="EW164" s="47"/>
      <c r="EX164" s="47"/>
      <c r="EY164" s="47"/>
      <c r="EZ164" s="47"/>
      <c r="FA164" s="47"/>
      <c r="FB164" s="47"/>
      <c r="FC164" s="47"/>
      <c r="FD164" s="47"/>
      <c r="FE164" s="47"/>
      <c r="FF164" s="47"/>
      <c r="FG164" s="47"/>
      <c r="FH164" s="47"/>
      <c r="FI164" s="47"/>
      <c r="FJ164" s="49"/>
      <c r="FK164" s="47"/>
      <c r="FL164" s="47"/>
      <c r="FM164" s="47"/>
      <c r="FN164" s="47"/>
      <c r="FO164" s="47"/>
      <c r="FP164" s="47"/>
      <c r="FQ164" s="47"/>
      <c r="FR164" s="47"/>
      <c r="FS164" s="47"/>
      <c r="FT164" s="47"/>
      <c r="FU164" s="47"/>
      <c r="FV164" s="47"/>
      <c r="FW164" s="47"/>
      <c r="FX164" s="47"/>
      <c r="FY164" s="47"/>
      <c r="FZ164" s="47"/>
      <c r="GA164" s="47"/>
      <c r="GB164" s="47"/>
      <c r="GC164" s="47"/>
      <c r="GD164" s="47"/>
      <c r="GE164" s="47"/>
      <c r="GF164" s="47"/>
      <c r="GG164" s="47"/>
      <c r="GH164" s="47"/>
      <c r="GI164" s="47"/>
      <c r="GJ164" s="47"/>
      <c r="GK164" s="47"/>
      <c r="GL164" s="47"/>
      <c r="GM164" s="47"/>
      <c r="GN164" s="47"/>
      <c r="GO164" s="47"/>
      <c r="GP164" s="47"/>
      <c r="GQ164" s="47"/>
      <c r="GR164" s="47"/>
      <c r="GS164" s="47"/>
      <c r="GT164" s="47"/>
      <c r="GU164" s="47"/>
      <c r="GV164" s="47"/>
      <c r="GW164" s="47"/>
      <c r="GX164" s="47"/>
      <c r="GY164" s="47"/>
      <c r="GZ164" s="47"/>
      <c r="HA164" s="47"/>
      <c r="HB164" s="47"/>
      <c r="HC164" s="47"/>
      <c r="HD164" s="47"/>
      <c r="HE164" s="47"/>
      <c r="HF164" s="47"/>
      <c r="HI164" s="47"/>
      <c r="HJ164" s="47"/>
      <c r="HK164" s="47"/>
      <c r="HL164" s="47"/>
      <c r="HM164" s="47"/>
      <c r="HN164" s="47"/>
      <c r="HO164" s="47"/>
      <c r="HP164" s="47"/>
      <c r="HS164" s="47"/>
      <c r="HT164" s="47"/>
      <c r="HU164" s="47"/>
      <c r="HV164" s="47"/>
      <c r="HW164" s="47"/>
      <c r="HX164" s="47"/>
      <c r="HY164" s="47"/>
      <c r="HZ164" s="47"/>
      <c r="IC164" s="47"/>
      <c r="ID164" s="47"/>
      <c r="IE164" s="47"/>
      <c r="IF164" s="47"/>
      <c r="IG164" s="47"/>
      <c r="IH164" s="47"/>
      <c r="II164" s="47"/>
      <c r="IJ164" s="47"/>
      <c r="IM164" s="47"/>
      <c r="IN164" s="47"/>
      <c r="IO164" s="47"/>
      <c r="IP164" s="47"/>
      <c r="IQ164" s="47"/>
      <c r="IR164" s="47"/>
      <c r="IS164" s="47"/>
      <c r="IT164" s="47"/>
      <c r="IW164" s="47"/>
      <c r="IX164" s="47"/>
      <c r="IY164" s="47"/>
      <c r="IZ164" s="47"/>
      <c r="JA164" s="47"/>
      <c r="JB164" s="47"/>
      <c r="JC164" s="47"/>
      <c r="JD164" s="47"/>
      <c r="JG164" s="47"/>
      <c r="JH164" s="47"/>
      <c r="JI164" s="47"/>
      <c r="JJ164" s="47"/>
      <c r="JK164" s="47"/>
      <c r="JL164" s="47"/>
      <c r="JM164" s="47"/>
      <c r="JN164" s="47"/>
      <c r="JQ164" s="47"/>
      <c r="JR164" s="47"/>
      <c r="JS164" s="47"/>
      <c r="JT164" s="47"/>
      <c r="JU164" s="47"/>
      <c r="JV164" s="47"/>
      <c r="JW164" s="47"/>
      <c r="JX164" s="47"/>
      <c r="KA164" s="47"/>
      <c r="KB164" s="47"/>
      <c r="KC164" s="47"/>
      <c r="KD164" s="47"/>
      <c r="KE164" s="47"/>
      <c r="KF164" s="47"/>
      <c r="KG164" s="47"/>
      <c r="KH164" s="47"/>
      <c r="KK164" s="47"/>
      <c r="KL164" s="47"/>
      <c r="KM164" s="47"/>
      <c r="KN164" s="47"/>
      <c r="KO164" s="47"/>
      <c r="KP164" s="47"/>
      <c r="KQ164" s="47"/>
      <c r="KR164" s="47"/>
      <c r="KU164" s="47"/>
      <c r="KV164" s="47"/>
      <c r="KW164" s="47"/>
      <c r="KX164" s="47"/>
      <c r="KY164" s="47"/>
      <c r="KZ164" s="47"/>
      <c r="LA164" s="47"/>
      <c r="LB164" s="47"/>
    </row>
    <row r="165" spans="29:314" x14ac:dyDescent="0.25">
      <c r="AC165" s="47"/>
      <c r="AD165" s="47"/>
      <c r="AE165" s="47"/>
      <c r="AF165" s="47"/>
      <c r="AG165" s="49"/>
      <c r="AH165" s="47"/>
      <c r="AI165" s="47"/>
      <c r="AJ165" s="47"/>
      <c r="AK165" s="47"/>
      <c r="AL165" s="47"/>
      <c r="AM165" s="47"/>
      <c r="AN165" s="47"/>
      <c r="AO165" s="47"/>
      <c r="AP165" s="47"/>
      <c r="AQ165" s="47"/>
      <c r="AR165" s="47"/>
      <c r="AS165" s="47"/>
      <c r="AT165" s="47"/>
      <c r="AU165" s="47"/>
      <c r="AV165" s="47"/>
      <c r="AW165" s="47"/>
      <c r="AX165" s="47"/>
      <c r="AY165" s="47"/>
      <c r="AZ165" s="47"/>
      <c r="BA165" s="47"/>
      <c r="BB165" s="47"/>
      <c r="BC165" s="47"/>
      <c r="BD165" s="47"/>
      <c r="BE165" s="47"/>
      <c r="BF165" s="47"/>
      <c r="BG165" s="47"/>
      <c r="BH165" s="47"/>
      <c r="BI165" s="47"/>
      <c r="BJ165" s="47"/>
      <c r="BK165" s="47"/>
      <c r="BL165" s="47"/>
      <c r="BM165" s="47"/>
      <c r="BN165" s="49"/>
      <c r="BO165" s="47"/>
      <c r="BP165" s="47"/>
      <c r="BQ165" s="47"/>
      <c r="BR165" s="47"/>
      <c r="BS165" s="47"/>
      <c r="BT165" s="47"/>
      <c r="BU165" s="47"/>
      <c r="BV165" s="47"/>
      <c r="BW165" s="47"/>
      <c r="BX165" s="47"/>
      <c r="BY165" s="47"/>
      <c r="BZ165" s="47"/>
      <c r="CA165" s="47"/>
      <c r="CB165" s="47"/>
      <c r="CC165" s="47"/>
      <c r="CD165" s="47"/>
      <c r="CE165" s="47"/>
      <c r="CF165" s="47"/>
      <c r="CG165" s="49"/>
      <c r="CH165" s="47"/>
      <c r="CI165" s="47"/>
      <c r="CJ165" s="47"/>
      <c r="CK165" s="47"/>
      <c r="CL165" s="47"/>
      <c r="CM165" s="47"/>
      <c r="CN165" s="47"/>
      <c r="CO165" s="47"/>
      <c r="CP165" s="47"/>
      <c r="CQ165" s="47"/>
      <c r="CS165" s="47"/>
      <c r="CT165" s="47"/>
      <c r="CU165" s="47"/>
      <c r="CV165" s="47"/>
      <c r="CW165" s="47"/>
      <c r="CX165" s="47"/>
      <c r="CY165" s="47"/>
      <c r="CZ165" s="47"/>
      <c r="DA165" s="47"/>
      <c r="DB165" s="47"/>
      <c r="DC165" s="47"/>
      <c r="DD165" s="47"/>
      <c r="DE165" s="47"/>
      <c r="DF165" s="47"/>
      <c r="DG165" s="47"/>
      <c r="DH165" s="47"/>
      <c r="DI165" s="47"/>
      <c r="DJ165" s="47"/>
      <c r="DK165" s="47"/>
      <c r="DM165" s="47"/>
      <c r="DN165" s="47"/>
      <c r="DO165" s="47"/>
      <c r="DP165" s="47"/>
      <c r="DQ165" s="47"/>
      <c r="DR165" s="47"/>
      <c r="DS165" s="47"/>
      <c r="DT165" s="47"/>
      <c r="DU165" s="47"/>
      <c r="DV165" s="49"/>
      <c r="DW165" s="47"/>
      <c r="DX165" s="47"/>
      <c r="DY165" s="47"/>
      <c r="DZ165" s="47"/>
      <c r="EA165" s="47"/>
      <c r="EB165" s="47"/>
      <c r="EC165" s="47"/>
      <c r="ED165" s="47"/>
      <c r="EE165" s="47"/>
      <c r="EF165" s="47"/>
      <c r="EG165" s="47"/>
      <c r="EH165" s="47"/>
      <c r="EI165" s="47"/>
      <c r="EJ165" s="47"/>
      <c r="EK165" s="47"/>
      <c r="EL165" s="47"/>
      <c r="EM165" s="47"/>
      <c r="EN165" s="47"/>
      <c r="EO165" s="47"/>
      <c r="EP165" s="47"/>
      <c r="EQ165" s="47"/>
      <c r="ER165" s="47"/>
      <c r="ES165" s="47"/>
      <c r="ET165" s="47"/>
      <c r="EU165" s="47"/>
      <c r="EV165" s="47"/>
      <c r="EW165" s="47"/>
      <c r="EX165" s="47"/>
      <c r="EY165" s="47"/>
      <c r="EZ165" s="47"/>
      <c r="FA165" s="47"/>
      <c r="FB165" s="47"/>
      <c r="FC165" s="47"/>
      <c r="FD165" s="47"/>
      <c r="FE165" s="47"/>
      <c r="FF165" s="47"/>
      <c r="FG165" s="47"/>
      <c r="FH165" s="47"/>
      <c r="FI165" s="47"/>
      <c r="FJ165" s="49"/>
      <c r="FK165" s="47"/>
      <c r="FL165" s="47"/>
      <c r="FM165" s="47"/>
      <c r="FN165" s="47"/>
      <c r="FO165" s="47"/>
      <c r="FP165" s="47"/>
      <c r="FQ165" s="47"/>
      <c r="FR165" s="47"/>
      <c r="FS165" s="47"/>
      <c r="FT165" s="47"/>
      <c r="FU165" s="47"/>
      <c r="FV165" s="47"/>
      <c r="FW165" s="47"/>
      <c r="FX165" s="47"/>
      <c r="FY165" s="47"/>
      <c r="FZ165" s="47"/>
      <c r="GA165" s="47"/>
      <c r="GB165" s="47"/>
      <c r="GC165" s="47"/>
      <c r="GD165" s="47"/>
      <c r="GE165" s="47"/>
      <c r="GF165" s="47"/>
      <c r="GG165" s="47"/>
      <c r="GH165" s="47"/>
      <c r="GI165" s="47"/>
      <c r="GJ165" s="47"/>
      <c r="GK165" s="47"/>
      <c r="GL165" s="47"/>
      <c r="GM165" s="47"/>
      <c r="GN165" s="47"/>
      <c r="GO165" s="47"/>
      <c r="GP165" s="47"/>
      <c r="GQ165" s="47"/>
      <c r="GR165" s="47"/>
      <c r="GS165" s="47"/>
      <c r="GT165" s="47"/>
      <c r="GU165" s="47"/>
      <c r="GV165" s="47"/>
      <c r="GW165" s="47"/>
      <c r="GX165" s="47"/>
      <c r="GY165" s="47"/>
      <c r="GZ165" s="47"/>
      <c r="HA165" s="47"/>
      <c r="HB165" s="47"/>
      <c r="HC165" s="47"/>
      <c r="HD165" s="47"/>
      <c r="HE165" s="47"/>
      <c r="HF165" s="47"/>
      <c r="HI165" s="47"/>
      <c r="HJ165" s="47"/>
      <c r="HK165" s="47"/>
      <c r="HL165" s="47"/>
      <c r="HM165" s="47"/>
      <c r="HN165" s="47"/>
      <c r="HO165" s="47"/>
      <c r="HP165" s="47"/>
      <c r="HS165" s="47"/>
      <c r="HT165" s="47"/>
      <c r="HU165" s="47"/>
      <c r="HV165" s="47"/>
      <c r="HW165" s="47"/>
      <c r="HX165" s="47"/>
      <c r="HY165" s="47"/>
      <c r="HZ165" s="47"/>
      <c r="IC165" s="47"/>
      <c r="ID165" s="47"/>
      <c r="IE165" s="47"/>
      <c r="IF165" s="47"/>
      <c r="IG165" s="47"/>
      <c r="IH165" s="47"/>
      <c r="II165" s="47"/>
      <c r="IJ165" s="47"/>
      <c r="IM165" s="47"/>
      <c r="IN165" s="47"/>
      <c r="IO165" s="47"/>
      <c r="IP165" s="47"/>
      <c r="IQ165" s="47"/>
      <c r="IR165" s="47"/>
      <c r="IS165" s="47"/>
      <c r="IT165" s="47"/>
      <c r="IW165" s="47"/>
      <c r="IX165" s="47"/>
      <c r="IY165" s="47"/>
      <c r="IZ165" s="47"/>
      <c r="JA165" s="47"/>
      <c r="JB165" s="47"/>
      <c r="JC165" s="47"/>
      <c r="JD165" s="47"/>
      <c r="JG165" s="47"/>
      <c r="JH165" s="47"/>
      <c r="JI165" s="47"/>
      <c r="JJ165" s="47"/>
      <c r="JK165" s="47"/>
      <c r="JL165" s="47"/>
      <c r="JM165" s="47"/>
      <c r="JN165" s="47"/>
      <c r="JQ165" s="47"/>
      <c r="JR165" s="47"/>
      <c r="JS165" s="47"/>
      <c r="JT165" s="47"/>
      <c r="JU165" s="47"/>
      <c r="JV165" s="47"/>
      <c r="JW165" s="47"/>
      <c r="JX165" s="47"/>
      <c r="KA165" s="47"/>
      <c r="KB165" s="47"/>
      <c r="KC165" s="47"/>
      <c r="KD165" s="47"/>
      <c r="KE165" s="47"/>
      <c r="KF165" s="47"/>
      <c r="KG165" s="47"/>
      <c r="KH165" s="47"/>
      <c r="KK165" s="47"/>
      <c r="KL165" s="47"/>
      <c r="KM165" s="47"/>
      <c r="KN165" s="47"/>
      <c r="KO165" s="47"/>
      <c r="KP165" s="47"/>
      <c r="KQ165" s="47"/>
      <c r="KR165" s="47"/>
      <c r="KU165" s="47"/>
      <c r="KV165" s="47"/>
      <c r="KW165" s="47"/>
      <c r="KX165" s="47"/>
      <c r="KY165" s="47"/>
      <c r="KZ165" s="47"/>
      <c r="LA165" s="47"/>
      <c r="LB165" s="47"/>
    </row>
    <row r="166" spans="29:314" x14ac:dyDescent="0.25">
      <c r="AC166" s="47"/>
      <c r="AD166" s="47"/>
      <c r="AE166" s="47"/>
      <c r="AF166" s="47"/>
      <c r="AG166" s="49"/>
      <c r="AH166" s="47"/>
      <c r="AI166" s="47"/>
      <c r="AJ166" s="47"/>
      <c r="AK166" s="47"/>
      <c r="AL166" s="47"/>
      <c r="AM166" s="47"/>
      <c r="AN166" s="47"/>
      <c r="AO166" s="47"/>
      <c r="AP166" s="47"/>
      <c r="AQ166" s="47"/>
      <c r="AR166" s="47"/>
      <c r="AS166" s="47"/>
      <c r="AT166" s="47"/>
      <c r="AU166" s="47"/>
      <c r="AV166" s="47"/>
      <c r="AW166" s="47"/>
      <c r="AX166" s="47"/>
      <c r="AY166" s="47"/>
      <c r="AZ166" s="47"/>
      <c r="BA166" s="47"/>
      <c r="BB166" s="47"/>
      <c r="BC166" s="47"/>
      <c r="BD166" s="47"/>
      <c r="BE166" s="47"/>
      <c r="BF166" s="47"/>
      <c r="BG166" s="47"/>
      <c r="BH166" s="47"/>
      <c r="BI166" s="47"/>
      <c r="BJ166" s="47"/>
      <c r="BK166" s="47"/>
      <c r="BL166" s="47"/>
      <c r="BM166" s="47"/>
      <c r="BN166" s="49"/>
      <c r="BO166" s="47"/>
      <c r="BP166" s="47"/>
      <c r="BQ166" s="47"/>
      <c r="BR166" s="47"/>
      <c r="BS166" s="47"/>
      <c r="BT166" s="47"/>
      <c r="BU166" s="47"/>
      <c r="BV166" s="47"/>
      <c r="BW166" s="47"/>
      <c r="BX166" s="47"/>
      <c r="BY166" s="47"/>
      <c r="BZ166" s="47"/>
      <c r="CA166" s="47"/>
      <c r="CB166" s="47"/>
      <c r="CC166" s="47"/>
      <c r="CD166" s="47"/>
      <c r="CE166" s="47"/>
      <c r="CF166" s="47"/>
      <c r="CG166" s="49"/>
      <c r="CH166" s="47"/>
      <c r="CI166" s="47"/>
      <c r="CJ166" s="47"/>
      <c r="CK166" s="47"/>
      <c r="CL166" s="47"/>
      <c r="CM166" s="47"/>
      <c r="CN166" s="47"/>
      <c r="CO166" s="47"/>
      <c r="CP166" s="47"/>
      <c r="CQ166" s="47"/>
      <c r="CS166" s="47"/>
      <c r="CT166" s="47"/>
      <c r="CU166" s="47"/>
      <c r="CV166" s="47"/>
      <c r="CW166" s="47"/>
      <c r="CX166" s="47"/>
      <c r="CY166" s="47"/>
      <c r="CZ166" s="47"/>
      <c r="DA166" s="47"/>
      <c r="DB166" s="47"/>
      <c r="DC166" s="47"/>
      <c r="DD166" s="47"/>
      <c r="DE166" s="47"/>
      <c r="DF166" s="47"/>
      <c r="DG166" s="47"/>
      <c r="DH166" s="47"/>
      <c r="DI166" s="47"/>
      <c r="DJ166" s="47"/>
      <c r="DK166" s="47"/>
      <c r="DM166" s="47"/>
      <c r="DN166" s="47"/>
      <c r="DO166" s="47"/>
      <c r="DP166" s="47"/>
      <c r="DQ166" s="47"/>
      <c r="DR166" s="47"/>
      <c r="DS166" s="47"/>
      <c r="DT166" s="47"/>
      <c r="DU166" s="47"/>
      <c r="DV166" s="49"/>
      <c r="DW166" s="47"/>
      <c r="DX166" s="47"/>
      <c r="DY166" s="47"/>
      <c r="DZ166" s="47"/>
      <c r="EA166" s="47"/>
      <c r="EB166" s="47"/>
      <c r="EC166" s="47"/>
      <c r="ED166" s="47"/>
      <c r="EE166" s="47"/>
      <c r="EF166" s="47"/>
      <c r="EG166" s="47"/>
      <c r="EH166" s="47"/>
      <c r="EI166" s="47"/>
      <c r="EJ166" s="47"/>
      <c r="EK166" s="47"/>
      <c r="EL166" s="47"/>
      <c r="EM166" s="47"/>
      <c r="EN166" s="47"/>
      <c r="EO166" s="47"/>
      <c r="EP166" s="47"/>
      <c r="EQ166" s="47"/>
      <c r="ER166" s="47"/>
      <c r="ES166" s="47"/>
      <c r="ET166" s="47"/>
      <c r="EU166" s="47"/>
      <c r="EV166" s="47"/>
      <c r="EW166" s="47"/>
      <c r="EX166" s="47"/>
      <c r="EY166" s="47"/>
      <c r="EZ166" s="47"/>
      <c r="FA166" s="47"/>
      <c r="FB166" s="47"/>
      <c r="FC166" s="47"/>
      <c r="FD166" s="47"/>
      <c r="FE166" s="47"/>
      <c r="FF166" s="47"/>
      <c r="FG166" s="47"/>
      <c r="FH166" s="47"/>
      <c r="FI166" s="47"/>
      <c r="FJ166" s="49"/>
      <c r="FK166" s="47"/>
      <c r="FL166" s="47"/>
      <c r="FM166" s="47"/>
      <c r="FN166" s="47"/>
      <c r="FO166" s="47"/>
      <c r="FP166" s="47"/>
      <c r="FQ166" s="47"/>
      <c r="FR166" s="47"/>
      <c r="FS166" s="47"/>
      <c r="FT166" s="47"/>
      <c r="FU166" s="47"/>
      <c r="FV166" s="47"/>
      <c r="FW166" s="47"/>
      <c r="FX166" s="47"/>
      <c r="FY166" s="47"/>
      <c r="FZ166" s="47"/>
      <c r="GA166" s="47"/>
      <c r="GB166" s="47"/>
      <c r="GC166" s="47"/>
      <c r="GD166" s="47"/>
      <c r="GE166" s="47"/>
      <c r="GF166" s="47"/>
      <c r="GG166" s="47"/>
      <c r="GH166" s="47"/>
      <c r="GI166" s="47"/>
      <c r="GJ166" s="47"/>
      <c r="GK166" s="47"/>
      <c r="GL166" s="47"/>
      <c r="GM166" s="47"/>
      <c r="GN166" s="47"/>
      <c r="GO166" s="47"/>
      <c r="GP166" s="47"/>
      <c r="GQ166" s="47"/>
      <c r="GR166" s="47"/>
      <c r="GS166" s="47"/>
      <c r="GT166" s="47"/>
      <c r="GU166" s="47"/>
      <c r="GV166" s="47"/>
      <c r="GW166" s="47"/>
      <c r="GX166" s="47"/>
      <c r="GY166" s="47"/>
      <c r="GZ166" s="47"/>
      <c r="HA166" s="47"/>
      <c r="HB166" s="47"/>
      <c r="HC166" s="47"/>
      <c r="HD166" s="47"/>
      <c r="HE166" s="47"/>
      <c r="HF166" s="47"/>
      <c r="HI166" s="47"/>
      <c r="HJ166" s="47"/>
      <c r="HK166" s="47"/>
      <c r="HL166" s="47"/>
      <c r="HM166" s="47"/>
      <c r="HN166" s="47"/>
      <c r="HO166" s="47"/>
      <c r="HP166" s="47"/>
      <c r="HS166" s="47"/>
      <c r="HT166" s="47"/>
      <c r="HU166" s="47"/>
      <c r="HV166" s="47"/>
      <c r="HW166" s="47"/>
      <c r="HX166" s="47"/>
      <c r="HY166" s="47"/>
      <c r="HZ166" s="47"/>
      <c r="IC166" s="47"/>
      <c r="ID166" s="47"/>
      <c r="IE166" s="47"/>
      <c r="IF166" s="47"/>
      <c r="IG166" s="47"/>
      <c r="IH166" s="47"/>
      <c r="II166" s="47"/>
      <c r="IJ166" s="47"/>
      <c r="IM166" s="47"/>
      <c r="IN166" s="47"/>
      <c r="IO166" s="47"/>
      <c r="IP166" s="47"/>
      <c r="IQ166" s="47"/>
      <c r="IR166" s="47"/>
      <c r="IS166" s="47"/>
      <c r="IT166" s="47"/>
      <c r="IW166" s="47"/>
      <c r="IX166" s="47"/>
      <c r="IY166" s="47"/>
      <c r="IZ166" s="47"/>
      <c r="JA166" s="47"/>
      <c r="JB166" s="47"/>
      <c r="JC166" s="47"/>
      <c r="JD166" s="47"/>
      <c r="JG166" s="47"/>
      <c r="JH166" s="47"/>
      <c r="JI166" s="47"/>
      <c r="JJ166" s="47"/>
      <c r="JK166" s="47"/>
      <c r="JL166" s="47"/>
      <c r="JM166" s="47"/>
      <c r="JN166" s="47"/>
      <c r="JQ166" s="47"/>
      <c r="JR166" s="47"/>
      <c r="JS166" s="47"/>
      <c r="JT166" s="47"/>
      <c r="JU166" s="47"/>
      <c r="JV166" s="47"/>
      <c r="JW166" s="47"/>
      <c r="JX166" s="47"/>
      <c r="KA166" s="47"/>
      <c r="KB166" s="47"/>
      <c r="KC166" s="47"/>
      <c r="KD166" s="47"/>
      <c r="KE166" s="47"/>
      <c r="KF166" s="47"/>
      <c r="KG166" s="47"/>
      <c r="KH166" s="47"/>
      <c r="KK166" s="47"/>
      <c r="KL166" s="47"/>
      <c r="KM166" s="47"/>
      <c r="KN166" s="47"/>
      <c r="KO166" s="47"/>
      <c r="KP166" s="47"/>
      <c r="KQ166" s="47"/>
      <c r="KR166" s="47"/>
      <c r="KU166" s="47"/>
      <c r="KV166" s="47"/>
      <c r="KW166" s="47"/>
      <c r="KX166" s="47"/>
      <c r="KY166" s="47"/>
      <c r="KZ166" s="47"/>
      <c r="LA166" s="47"/>
      <c r="LB166" s="47"/>
    </row>
    <row r="167" spans="29:314" x14ac:dyDescent="0.25">
      <c r="AC167" s="47"/>
      <c r="AD167" s="47"/>
      <c r="AE167" s="47"/>
      <c r="AF167" s="47"/>
      <c r="AG167" s="49"/>
      <c r="AH167" s="47"/>
      <c r="AI167" s="47"/>
      <c r="AJ167" s="47"/>
      <c r="AK167" s="47"/>
      <c r="AL167" s="47"/>
      <c r="AM167" s="47"/>
      <c r="AN167" s="47"/>
      <c r="AO167" s="47"/>
      <c r="AP167" s="47"/>
      <c r="AQ167" s="47"/>
      <c r="AR167" s="47"/>
      <c r="AS167" s="47"/>
      <c r="AT167" s="47"/>
      <c r="AU167" s="47"/>
      <c r="AV167" s="47"/>
      <c r="AW167" s="47"/>
      <c r="AX167" s="47"/>
      <c r="AY167" s="47"/>
      <c r="AZ167" s="47"/>
      <c r="BA167" s="47"/>
      <c r="BB167" s="47"/>
      <c r="BC167" s="47"/>
      <c r="BD167" s="47"/>
      <c r="BE167" s="47"/>
      <c r="BF167" s="47"/>
      <c r="BG167" s="47"/>
      <c r="BH167" s="47"/>
      <c r="BI167" s="47"/>
      <c r="BJ167" s="47"/>
      <c r="BK167" s="47"/>
      <c r="BL167" s="47"/>
      <c r="BM167" s="47"/>
      <c r="BN167" s="49"/>
      <c r="BO167" s="47"/>
      <c r="BP167" s="47"/>
      <c r="BQ167" s="47"/>
      <c r="BR167" s="47"/>
      <c r="BS167" s="47"/>
      <c r="BT167" s="47"/>
      <c r="BU167" s="47"/>
      <c r="BV167" s="47"/>
      <c r="BW167" s="47"/>
      <c r="BX167" s="47"/>
      <c r="BY167" s="47"/>
      <c r="BZ167" s="47"/>
      <c r="CA167" s="47"/>
      <c r="CB167" s="47"/>
      <c r="CC167" s="47"/>
      <c r="CD167" s="47"/>
      <c r="CE167" s="47"/>
      <c r="CF167" s="47"/>
      <c r="CG167" s="49"/>
      <c r="CH167" s="47"/>
      <c r="CI167" s="47"/>
      <c r="CJ167" s="47"/>
      <c r="CK167" s="47"/>
      <c r="CL167" s="47"/>
      <c r="CM167" s="47"/>
      <c r="CN167" s="47"/>
      <c r="CO167" s="47"/>
      <c r="CP167" s="47"/>
      <c r="CQ167" s="47"/>
      <c r="CS167" s="47"/>
      <c r="CT167" s="47"/>
      <c r="CU167" s="47"/>
      <c r="CV167" s="47"/>
      <c r="CW167" s="47"/>
      <c r="CX167" s="47"/>
      <c r="CY167" s="47"/>
      <c r="CZ167" s="47"/>
      <c r="DA167" s="47"/>
      <c r="DB167" s="47"/>
      <c r="DC167" s="47"/>
      <c r="DD167" s="47"/>
      <c r="DE167" s="47"/>
      <c r="DF167" s="47"/>
      <c r="DG167" s="47"/>
      <c r="DH167" s="47"/>
      <c r="DI167" s="47"/>
      <c r="DJ167" s="47"/>
      <c r="DK167" s="47"/>
      <c r="DM167" s="47"/>
      <c r="DN167" s="47"/>
      <c r="DO167" s="47"/>
      <c r="DP167" s="47"/>
      <c r="DQ167" s="47"/>
      <c r="DR167" s="47"/>
      <c r="DS167" s="47"/>
      <c r="DT167" s="47"/>
      <c r="DU167" s="47"/>
      <c r="DV167" s="49"/>
      <c r="DW167" s="47"/>
      <c r="DX167" s="47"/>
      <c r="DY167" s="47"/>
      <c r="DZ167" s="47"/>
      <c r="EA167" s="47"/>
      <c r="EB167" s="47"/>
      <c r="EC167" s="47"/>
      <c r="ED167" s="47"/>
      <c r="EE167" s="47"/>
      <c r="EF167" s="47"/>
      <c r="EG167" s="47"/>
      <c r="EH167" s="47"/>
      <c r="EI167" s="47"/>
      <c r="EJ167" s="47"/>
      <c r="EK167" s="47"/>
      <c r="EL167" s="47"/>
      <c r="EM167" s="47"/>
      <c r="EN167" s="47"/>
      <c r="EO167" s="47"/>
      <c r="EP167" s="47"/>
      <c r="EQ167" s="47"/>
      <c r="ER167" s="47"/>
      <c r="ES167" s="47"/>
      <c r="ET167" s="47"/>
      <c r="EU167" s="47"/>
      <c r="EV167" s="47"/>
      <c r="EW167" s="47"/>
      <c r="EX167" s="47"/>
      <c r="EY167" s="47"/>
      <c r="EZ167" s="47"/>
      <c r="FA167" s="47"/>
      <c r="FB167" s="47"/>
      <c r="FC167" s="47"/>
      <c r="FD167" s="47"/>
      <c r="FE167" s="47"/>
      <c r="FF167" s="47"/>
      <c r="FG167" s="47"/>
      <c r="FH167" s="47"/>
      <c r="FI167" s="47"/>
      <c r="FJ167" s="49"/>
      <c r="FK167" s="47"/>
      <c r="FL167" s="47"/>
      <c r="FM167" s="47"/>
      <c r="FN167" s="47"/>
      <c r="FO167" s="47"/>
      <c r="FP167" s="47"/>
      <c r="FQ167" s="47"/>
      <c r="FR167" s="47"/>
      <c r="FS167" s="47"/>
      <c r="FT167" s="47"/>
      <c r="FU167" s="47"/>
      <c r="FV167" s="47"/>
      <c r="FW167" s="47"/>
      <c r="FX167" s="47"/>
      <c r="FY167" s="47"/>
      <c r="FZ167" s="47"/>
      <c r="GA167" s="47"/>
      <c r="GB167" s="47"/>
      <c r="GC167" s="47"/>
      <c r="GD167" s="47"/>
      <c r="GE167" s="47"/>
      <c r="GF167" s="47"/>
      <c r="GG167" s="47"/>
      <c r="GH167" s="47"/>
      <c r="GI167" s="47"/>
      <c r="GJ167" s="47"/>
      <c r="GK167" s="47"/>
      <c r="GL167" s="47"/>
      <c r="GM167" s="47"/>
      <c r="GN167" s="47"/>
      <c r="GO167" s="47"/>
      <c r="GP167" s="47"/>
      <c r="GQ167" s="47"/>
      <c r="GR167" s="47"/>
      <c r="GS167" s="47"/>
      <c r="GT167" s="47"/>
      <c r="GU167" s="47"/>
      <c r="GV167" s="47"/>
      <c r="GW167" s="47"/>
      <c r="GX167" s="47"/>
      <c r="GY167" s="47"/>
      <c r="GZ167" s="47"/>
      <c r="HA167" s="47"/>
      <c r="HB167" s="47"/>
      <c r="HC167" s="47"/>
      <c r="HD167" s="47"/>
      <c r="HE167" s="47"/>
      <c r="HF167" s="47"/>
      <c r="HI167" s="47"/>
      <c r="HJ167" s="47"/>
      <c r="HK167" s="47"/>
      <c r="HL167" s="47"/>
      <c r="HM167" s="47"/>
      <c r="HN167" s="47"/>
      <c r="HO167" s="47"/>
      <c r="HP167" s="47"/>
      <c r="HS167" s="47"/>
      <c r="HT167" s="47"/>
      <c r="HU167" s="47"/>
      <c r="HV167" s="47"/>
      <c r="HW167" s="47"/>
      <c r="HX167" s="47"/>
      <c r="HY167" s="47"/>
      <c r="HZ167" s="47"/>
      <c r="IC167" s="47"/>
      <c r="ID167" s="47"/>
      <c r="IE167" s="47"/>
      <c r="IF167" s="47"/>
      <c r="IG167" s="47"/>
      <c r="IH167" s="47"/>
      <c r="II167" s="47"/>
      <c r="IJ167" s="47"/>
      <c r="IM167" s="47"/>
      <c r="IN167" s="47"/>
      <c r="IO167" s="47"/>
      <c r="IP167" s="47"/>
      <c r="IQ167" s="47"/>
      <c r="IR167" s="47"/>
      <c r="IS167" s="47"/>
      <c r="IT167" s="47"/>
      <c r="IW167" s="47"/>
      <c r="IX167" s="47"/>
      <c r="IY167" s="47"/>
      <c r="IZ167" s="47"/>
      <c r="JA167" s="47"/>
      <c r="JB167" s="47"/>
      <c r="JC167" s="47"/>
      <c r="JD167" s="47"/>
      <c r="JG167" s="47"/>
      <c r="JH167" s="47"/>
      <c r="JI167" s="47"/>
      <c r="JJ167" s="47"/>
      <c r="JK167" s="47"/>
      <c r="JL167" s="47"/>
      <c r="JM167" s="47"/>
      <c r="JN167" s="47"/>
      <c r="JQ167" s="47"/>
      <c r="JR167" s="47"/>
      <c r="JS167" s="47"/>
      <c r="JT167" s="47"/>
      <c r="JU167" s="47"/>
      <c r="JV167" s="47"/>
      <c r="JW167" s="47"/>
      <c r="JX167" s="47"/>
      <c r="KA167" s="47"/>
      <c r="KB167" s="47"/>
      <c r="KC167" s="47"/>
      <c r="KD167" s="47"/>
      <c r="KE167" s="47"/>
      <c r="KF167" s="47"/>
      <c r="KG167" s="47"/>
      <c r="KH167" s="47"/>
      <c r="KK167" s="47"/>
      <c r="KL167" s="47"/>
      <c r="KM167" s="47"/>
      <c r="KN167" s="47"/>
      <c r="KO167" s="47"/>
      <c r="KP167" s="47"/>
      <c r="KQ167" s="47"/>
      <c r="KR167" s="47"/>
      <c r="KU167" s="47"/>
      <c r="KV167" s="47"/>
      <c r="KW167" s="47"/>
      <c r="KX167" s="47"/>
      <c r="KY167" s="47"/>
      <c r="KZ167" s="47"/>
      <c r="LA167" s="47"/>
      <c r="LB167" s="47"/>
    </row>
    <row r="168" spans="29:314" x14ac:dyDescent="0.25">
      <c r="AC168" s="47"/>
      <c r="AD168" s="47"/>
      <c r="AE168" s="47"/>
      <c r="AF168" s="47"/>
      <c r="AG168" s="49"/>
      <c r="AH168" s="47"/>
      <c r="AI168" s="47"/>
      <c r="AJ168" s="47"/>
      <c r="AK168" s="47"/>
      <c r="AL168" s="47"/>
      <c r="AM168" s="47"/>
      <c r="AN168" s="47"/>
      <c r="AO168" s="47"/>
      <c r="AP168" s="47"/>
      <c r="AQ168" s="47"/>
      <c r="AR168" s="47"/>
      <c r="AS168" s="47"/>
      <c r="AT168" s="47"/>
      <c r="AU168" s="47"/>
      <c r="AV168" s="47"/>
      <c r="AW168" s="47"/>
      <c r="AX168" s="47"/>
      <c r="AY168" s="47"/>
      <c r="AZ168" s="47"/>
      <c r="BA168" s="47"/>
      <c r="BB168" s="47"/>
      <c r="BC168" s="47"/>
      <c r="BD168" s="47"/>
      <c r="BE168" s="47"/>
      <c r="BF168" s="47"/>
      <c r="BG168" s="47"/>
      <c r="BH168" s="47"/>
      <c r="BI168" s="47"/>
      <c r="BJ168" s="47"/>
      <c r="BK168" s="47"/>
      <c r="BL168" s="47"/>
      <c r="BM168" s="47"/>
      <c r="BN168" s="49"/>
      <c r="BO168" s="47"/>
      <c r="BP168" s="47"/>
      <c r="BQ168" s="47"/>
      <c r="BR168" s="47"/>
      <c r="BS168" s="47"/>
      <c r="BT168" s="47"/>
      <c r="BU168" s="47"/>
      <c r="BV168" s="47"/>
      <c r="BW168" s="47"/>
      <c r="BX168" s="47"/>
      <c r="BY168" s="47"/>
      <c r="BZ168" s="47"/>
      <c r="CA168" s="47"/>
      <c r="CB168" s="47"/>
      <c r="CC168" s="47"/>
      <c r="CD168" s="47"/>
      <c r="CE168" s="47"/>
      <c r="CF168" s="47"/>
      <c r="CG168" s="49"/>
      <c r="CH168" s="47"/>
      <c r="CI168" s="47"/>
      <c r="CJ168" s="47"/>
      <c r="CK168" s="47"/>
      <c r="CL168" s="47"/>
      <c r="CM168" s="47"/>
      <c r="CN168" s="47"/>
      <c r="CO168" s="47"/>
      <c r="CP168" s="47"/>
      <c r="CQ168" s="47"/>
      <c r="CS168" s="47"/>
      <c r="CT168" s="47"/>
      <c r="CU168" s="47"/>
      <c r="CV168" s="47"/>
      <c r="CW168" s="47"/>
      <c r="CX168" s="47"/>
      <c r="CY168" s="47"/>
      <c r="CZ168" s="47"/>
      <c r="DA168" s="47"/>
      <c r="DB168" s="47"/>
      <c r="DC168" s="47"/>
      <c r="DD168" s="47"/>
      <c r="DE168" s="47"/>
      <c r="DF168" s="47"/>
      <c r="DG168" s="47"/>
      <c r="DH168" s="47"/>
      <c r="DI168" s="47"/>
      <c r="DJ168" s="47"/>
      <c r="DK168" s="47"/>
      <c r="DM168" s="47"/>
      <c r="DN168" s="47"/>
      <c r="DO168" s="47"/>
      <c r="DP168" s="47"/>
      <c r="DQ168" s="47"/>
      <c r="DR168" s="47"/>
      <c r="DS168" s="47"/>
      <c r="DT168" s="47"/>
      <c r="DU168" s="47"/>
      <c r="DV168" s="49"/>
      <c r="DW168" s="47"/>
      <c r="DX168" s="47"/>
      <c r="DY168" s="47"/>
      <c r="DZ168" s="47"/>
      <c r="EA168" s="47"/>
      <c r="EB168" s="47"/>
      <c r="EC168" s="47"/>
      <c r="ED168" s="47"/>
      <c r="EE168" s="47"/>
      <c r="EF168" s="47"/>
      <c r="EG168" s="47"/>
      <c r="EH168" s="47"/>
      <c r="EI168" s="47"/>
      <c r="EJ168" s="47"/>
      <c r="EK168" s="47"/>
      <c r="EL168" s="47"/>
      <c r="EM168" s="47"/>
      <c r="EN168" s="47"/>
      <c r="EO168" s="47"/>
      <c r="EP168" s="47"/>
      <c r="EQ168" s="47"/>
      <c r="ER168" s="47"/>
      <c r="ES168" s="47"/>
      <c r="ET168" s="47"/>
      <c r="EU168" s="47"/>
      <c r="EV168" s="47"/>
      <c r="EW168" s="47"/>
      <c r="EX168" s="47"/>
      <c r="EY168" s="47"/>
      <c r="EZ168" s="47"/>
      <c r="FA168" s="47"/>
      <c r="FB168" s="47"/>
      <c r="FC168" s="47"/>
      <c r="FD168" s="47"/>
      <c r="FE168" s="47"/>
      <c r="FF168" s="47"/>
      <c r="FG168" s="47"/>
      <c r="FH168" s="47"/>
      <c r="FI168" s="47"/>
      <c r="FJ168" s="49"/>
      <c r="FK168" s="47"/>
      <c r="FL168" s="47"/>
      <c r="FM168" s="47"/>
      <c r="FN168" s="47"/>
      <c r="FO168" s="47"/>
      <c r="FP168" s="47"/>
      <c r="FQ168" s="47"/>
      <c r="FR168" s="47"/>
      <c r="FS168" s="47"/>
      <c r="FT168" s="47"/>
      <c r="FU168" s="47"/>
      <c r="FV168" s="47"/>
      <c r="FW168" s="47"/>
      <c r="FX168" s="47"/>
      <c r="FY168" s="47"/>
      <c r="FZ168" s="47"/>
      <c r="GA168" s="47"/>
      <c r="GB168" s="47"/>
      <c r="GC168" s="47"/>
      <c r="GD168" s="47"/>
      <c r="GE168" s="47"/>
      <c r="GF168" s="47"/>
      <c r="GG168" s="47"/>
      <c r="GH168" s="47"/>
      <c r="GI168" s="47"/>
      <c r="GJ168" s="47"/>
      <c r="GK168" s="47"/>
      <c r="GL168" s="47"/>
      <c r="GM168" s="47"/>
      <c r="GN168" s="47"/>
      <c r="GO168" s="47"/>
      <c r="GP168" s="47"/>
      <c r="GQ168" s="47"/>
      <c r="GR168" s="47"/>
      <c r="GS168" s="47"/>
      <c r="GT168" s="47"/>
      <c r="GU168" s="47"/>
      <c r="GV168" s="47"/>
      <c r="GW168" s="47"/>
      <c r="GX168" s="47"/>
      <c r="GY168" s="47"/>
      <c r="GZ168" s="47"/>
      <c r="HA168" s="47"/>
      <c r="HB168" s="47"/>
      <c r="HC168" s="47"/>
      <c r="HD168" s="47"/>
      <c r="HE168" s="47"/>
      <c r="HF168" s="47"/>
      <c r="HI168" s="47"/>
      <c r="HJ168" s="47"/>
      <c r="HK168" s="47"/>
      <c r="HL168" s="47"/>
      <c r="HM168" s="47"/>
      <c r="HN168" s="47"/>
      <c r="HO168" s="47"/>
      <c r="HP168" s="47"/>
      <c r="HS168" s="47"/>
      <c r="HT168" s="47"/>
      <c r="HU168" s="47"/>
      <c r="HV168" s="47"/>
      <c r="HW168" s="47"/>
      <c r="HX168" s="47"/>
      <c r="HY168" s="47"/>
      <c r="HZ168" s="47"/>
      <c r="IC168" s="47"/>
      <c r="ID168" s="47"/>
      <c r="IE168" s="47"/>
      <c r="IF168" s="47"/>
      <c r="IG168" s="47"/>
      <c r="IH168" s="47"/>
      <c r="II168" s="47"/>
      <c r="IJ168" s="47"/>
      <c r="IM168" s="47"/>
      <c r="IN168" s="47"/>
      <c r="IO168" s="47"/>
      <c r="IP168" s="47"/>
      <c r="IQ168" s="47"/>
      <c r="IR168" s="47"/>
      <c r="IS168" s="47"/>
      <c r="IT168" s="47"/>
      <c r="IW168" s="47"/>
      <c r="IX168" s="47"/>
      <c r="IY168" s="47"/>
      <c r="IZ168" s="47"/>
      <c r="JA168" s="47"/>
      <c r="JB168" s="47"/>
      <c r="JC168" s="47"/>
      <c r="JD168" s="47"/>
      <c r="JG168" s="47"/>
      <c r="JH168" s="47"/>
      <c r="JI168" s="47"/>
      <c r="JJ168" s="47"/>
      <c r="JK168" s="47"/>
      <c r="JL168" s="47"/>
      <c r="JM168" s="47"/>
      <c r="JN168" s="47"/>
      <c r="JQ168" s="47"/>
      <c r="JR168" s="47"/>
      <c r="JS168" s="47"/>
      <c r="JT168" s="47"/>
      <c r="JU168" s="47"/>
      <c r="JV168" s="47"/>
      <c r="JW168" s="47"/>
      <c r="JX168" s="47"/>
      <c r="KA168" s="47"/>
      <c r="KB168" s="47"/>
      <c r="KC168" s="47"/>
      <c r="KD168" s="47"/>
      <c r="KE168" s="47"/>
      <c r="KF168" s="47"/>
      <c r="KG168" s="47"/>
      <c r="KH168" s="47"/>
      <c r="KK168" s="47"/>
      <c r="KL168" s="47"/>
      <c r="KM168" s="47"/>
      <c r="KN168" s="47"/>
      <c r="KO168" s="47"/>
      <c r="KP168" s="47"/>
      <c r="KQ168" s="47"/>
      <c r="KR168" s="47"/>
      <c r="KU168" s="47"/>
      <c r="KV168" s="47"/>
      <c r="KW168" s="47"/>
      <c r="KX168" s="47"/>
      <c r="KY168" s="47"/>
      <c r="KZ168" s="47"/>
      <c r="LA168" s="47"/>
      <c r="LB168" s="47"/>
    </row>
    <row r="169" spans="29:314" x14ac:dyDescent="0.25">
      <c r="AC169" s="47"/>
      <c r="AD169" s="47"/>
      <c r="AE169" s="47"/>
      <c r="AF169" s="47"/>
      <c r="AG169" s="49"/>
      <c r="AH169" s="47"/>
      <c r="AI169" s="47"/>
      <c r="AJ169" s="47"/>
      <c r="AK169" s="47"/>
      <c r="AL169" s="47"/>
      <c r="AM169" s="47"/>
      <c r="AN169" s="47"/>
      <c r="AO169" s="47"/>
      <c r="AP169" s="47"/>
      <c r="AQ169" s="47"/>
      <c r="AR169" s="47"/>
      <c r="AS169" s="47"/>
      <c r="AT169" s="47"/>
      <c r="AU169" s="47"/>
      <c r="AV169" s="47"/>
      <c r="AW169" s="47"/>
      <c r="AX169" s="47"/>
      <c r="AY169" s="47"/>
      <c r="AZ169" s="47"/>
      <c r="BA169" s="47"/>
      <c r="BB169" s="47"/>
      <c r="BC169" s="47"/>
      <c r="BD169" s="47"/>
      <c r="BE169" s="47"/>
      <c r="BF169" s="47"/>
      <c r="BG169" s="47"/>
      <c r="BH169" s="47"/>
      <c r="BI169" s="47"/>
      <c r="BJ169" s="47"/>
      <c r="BK169" s="47"/>
      <c r="BL169" s="47"/>
      <c r="BM169" s="47"/>
      <c r="BN169" s="49"/>
      <c r="BO169" s="47"/>
      <c r="BP169" s="47"/>
      <c r="BQ169" s="47"/>
      <c r="BR169" s="47"/>
      <c r="BS169" s="47"/>
      <c r="BT169" s="47"/>
      <c r="BU169" s="47"/>
      <c r="BV169" s="47"/>
      <c r="BW169" s="47"/>
      <c r="BX169" s="47"/>
      <c r="BY169" s="47"/>
      <c r="BZ169" s="47"/>
      <c r="CA169" s="47"/>
      <c r="CB169" s="47"/>
      <c r="CC169" s="47"/>
      <c r="CD169" s="47"/>
      <c r="CE169" s="47"/>
      <c r="CF169" s="47"/>
      <c r="CG169" s="49"/>
      <c r="CH169" s="47"/>
      <c r="CI169" s="47"/>
      <c r="CJ169" s="47"/>
      <c r="CK169" s="47"/>
      <c r="CL169" s="47"/>
      <c r="CM169" s="47"/>
      <c r="CN169" s="47"/>
      <c r="CO169" s="47"/>
      <c r="CP169" s="47"/>
      <c r="CQ169" s="47"/>
      <c r="CS169" s="47"/>
      <c r="CT169" s="47"/>
      <c r="CU169" s="47"/>
      <c r="CV169" s="47"/>
      <c r="CW169" s="47"/>
      <c r="CX169" s="47"/>
      <c r="CY169" s="47"/>
      <c r="CZ169" s="47"/>
      <c r="DA169" s="47"/>
      <c r="DB169" s="47"/>
      <c r="DC169" s="47"/>
      <c r="DD169" s="47"/>
      <c r="DE169" s="47"/>
      <c r="DF169" s="47"/>
      <c r="DG169" s="47"/>
      <c r="DH169" s="47"/>
      <c r="DI169" s="47"/>
      <c r="DJ169" s="47"/>
      <c r="DK169" s="47"/>
      <c r="DM169" s="47"/>
      <c r="DN169" s="47"/>
      <c r="DO169" s="47"/>
      <c r="DP169" s="47"/>
      <c r="DQ169" s="47"/>
      <c r="DR169" s="47"/>
      <c r="DS169" s="47"/>
      <c r="DT169" s="47"/>
      <c r="DU169" s="47"/>
      <c r="DV169" s="49"/>
      <c r="DW169" s="47"/>
      <c r="DX169" s="47"/>
      <c r="DY169" s="47"/>
      <c r="DZ169" s="47"/>
      <c r="EA169" s="47"/>
      <c r="EB169" s="47"/>
      <c r="EC169" s="47"/>
      <c r="ED169" s="47"/>
      <c r="EE169" s="47"/>
      <c r="EF169" s="47"/>
      <c r="EG169" s="47"/>
      <c r="EH169" s="47"/>
      <c r="EI169" s="47"/>
      <c r="EJ169" s="47"/>
      <c r="EK169" s="47"/>
      <c r="EL169" s="47"/>
      <c r="EM169" s="47"/>
      <c r="EN169" s="47"/>
      <c r="EO169" s="47"/>
      <c r="EP169" s="47"/>
      <c r="EQ169" s="47"/>
      <c r="ER169" s="47"/>
      <c r="ES169" s="47"/>
      <c r="ET169" s="47"/>
      <c r="EU169" s="47"/>
      <c r="EV169" s="47"/>
      <c r="EW169" s="47"/>
      <c r="EX169" s="47"/>
      <c r="EY169" s="47"/>
      <c r="EZ169" s="47"/>
      <c r="FA169" s="47"/>
      <c r="FB169" s="47"/>
      <c r="FC169" s="47"/>
      <c r="FD169" s="47"/>
      <c r="FE169" s="47"/>
      <c r="FF169" s="47"/>
      <c r="FG169" s="47"/>
      <c r="FH169" s="47"/>
      <c r="FI169" s="47"/>
      <c r="FJ169" s="49"/>
      <c r="FK169" s="47"/>
      <c r="FL169" s="47"/>
      <c r="FM169" s="47"/>
      <c r="FN169" s="47"/>
      <c r="FO169" s="47"/>
      <c r="FP169" s="47"/>
      <c r="FQ169" s="47"/>
      <c r="FR169" s="47"/>
      <c r="FS169" s="47"/>
      <c r="FT169" s="47"/>
      <c r="FU169" s="47"/>
      <c r="FV169" s="47"/>
      <c r="FW169" s="47"/>
      <c r="FX169" s="47"/>
      <c r="FY169" s="47"/>
      <c r="FZ169" s="47"/>
      <c r="GA169" s="47"/>
      <c r="GB169" s="47"/>
      <c r="GC169" s="47"/>
      <c r="GD169" s="47"/>
      <c r="GE169" s="47"/>
      <c r="GF169" s="47"/>
      <c r="GG169" s="47"/>
      <c r="GH169" s="47"/>
      <c r="GI169" s="47"/>
      <c r="GJ169" s="47"/>
      <c r="GK169" s="47"/>
      <c r="GL169" s="47"/>
      <c r="GM169" s="47"/>
      <c r="GN169" s="47"/>
      <c r="GO169" s="47"/>
      <c r="GP169" s="47"/>
      <c r="GQ169" s="47"/>
      <c r="GR169" s="47"/>
      <c r="GS169" s="47"/>
      <c r="GT169" s="47"/>
      <c r="GU169" s="47"/>
      <c r="GV169" s="47"/>
      <c r="GW169" s="47"/>
      <c r="GX169" s="47"/>
      <c r="GY169" s="47"/>
      <c r="GZ169" s="47"/>
      <c r="HA169" s="47"/>
      <c r="HB169" s="47"/>
      <c r="HC169" s="47"/>
      <c r="HD169" s="47"/>
      <c r="HE169" s="47"/>
      <c r="HF169" s="47"/>
      <c r="HI169" s="47"/>
      <c r="HJ169" s="47"/>
      <c r="HK169" s="47"/>
      <c r="HL169" s="47"/>
      <c r="HM169" s="47"/>
      <c r="HN169" s="47"/>
      <c r="HO169" s="47"/>
      <c r="HP169" s="47"/>
      <c r="HS169" s="47"/>
      <c r="HT169" s="47"/>
      <c r="HU169" s="47"/>
      <c r="HV169" s="47"/>
      <c r="HW169" s="47"/>
      <c r="HX169" s="47"/>
      <c r="HY169" s="47"/>
      <c r="HZ169" s="47"/>
      <c r="IC169" s="47"/>
      <c r="ID169" s="47"/>
      <c r="IE169" s="47"/>
      <c r="IF169" s="47"/>
      <c r="IG169" s="47"/>
      <c r="IH169" s="47"/>
      <c r="II169" s="47"/>
      <c r="IJ169" s="47"/>
      <c r="IM169" s="47"/>
      <c r="IN169" s="47"/>
      <c r="IO169" s="47"/>
      <c r="IP169" s="47"/>
      <c r="IQ169" s="47"/>
      <c r="IR169" s="47"/>
      <c r="IS169" s="47"/>
      <c r="IT169" s="47"/>
      <c r="IW169" s="47"/>
      <c r="IX169" s="47"/>
      <c r="IY169" s="47"/>
      <c r="IZ169" s="47"/>
      <c r="JA169" s="47"/>
      <c r="JB169" s="47"/>
      <c r="JC169" s="47"/>
      <c r="JD169" s="47"/>
      <c r="JG169" s="47"/>
      <c r="JH169" s="47"/>
      <c r="JI169" s="47"/>
      <c r="JJ169" s="47"/>
      <c r="JK169" s="47"/>
      <c r="JL169" s="47"/>
      <c r="JM169" s="47"/>
      <c r="JN169" s="47"/>
      <c r="JQ169" s="47"/>
      <c r="JR169" s="47"/>
      <c r="JS169" s="47"/>
      <c r="JT169" s="47"/>
      <c r="JU169" s="47"/>
      <c r="JV169" s="47"/>
      <c r="JW169" s="47"/>
      <c r="JX169" s="47"/>
      <c r="KA169" s="47"/>
      <c r="KB169" s="47"/>
      <c r="KC169" s="47"/>
      <c r="KD169" s="47"/>
      <c r="KE169" s="47"/>
      <c r="KF169" s="47"/>
      <c r="KG169" s="47"/>
      <c r="KH169" s="47"/>
      <c r="KK169" s="47"/>
      <c r="KL169" s="47"/>
      <c r="KM169" s="47"/>
      <c r="KN169" s="47"/>
      <c r="KO169" s="47"/>
      <c r="KP169" s="47"/>
      <c r="KQ169" s="47"/>
      <c r="KR169" s="47"/>
      <c r="KU169" s="47"/>
      <c r="KV169" s="47"/>
      <c r="KW169" s="47"/>
      <c r="KX169" s="47"/>
      <c r="KY169" s="47"/>
      <c r="KZ169" s="47"/>
      <c r="LA169" s="47"/>
      <c r="LB169" s="47"/>
    </row>
    <row r="170" spans="29:314" x14ac:dyDescent="0.25">
      <c r="AC170" s="47"/>
      <c r="AD170" s="47"/>
      <c r="AE170" s="47"/>
      <c r="AF170" s="47"/>
      <c r="AG170" s="49"/>
      <c r="AH170" s="47"/>
      <c r="AI170" s="47"/>
      <c r="AJ170" s="47"/>
      <c r="AK170" s="47"/>
      <c r="AL170" s="47"/>
      <c r="AM170" s="47"/>
      <c r="AN170" s="47"/>
      <c r="AO170" s="47"/>
      <c r="AP170" s="47"/>
      <c r="AQ170" s="47"/>
      <c r="AR170" s="47"/>
      <c r="AS170" s="47"/>
      <c r="AT170" s="47"/>
      <c r="AU170" s="47"/>
      <c r="AV170" s="47"/>
      <c r="AW170" s="47"/>
      <c r="AX170" s="47"/>
      <c r="AY170" s="47"/>
      <c r="AZ170" s="47"/>
      <c r="BA170" s="47"/>
      <c r="BB170" s="47"/>
      <c r="BC170" s="47"/>
      <c r="BD170" s="47"/>
      <c r="BE170" s="47"/>
      <c r="BF170" s="47"/>
      <c r="BG170" s="47"/>
      <c r="BH170" s="47"/>
      <c r="BI170" s="47"/>
      <c r="BJ170" s="47"/>
      <c r="BK170" s="47"/>
      <c r="BL170" s="47"/>
      <c r="BM170" s="47"/>
      <c r="BN170" s="49"/>
      <c r="BO170" s="47"/>
      <c r="BP170" s="47"/>
      <c r="BQ170" s="47"/>
      <c r="BR170" s="47"/>
      <c r="BS170" s="47"/>
      <c r="BT170" s="47"/>
      <c r="BU170" s="47"/>
      <c r="BV170" s="47"/>
      <c r="BW170" s="47"/>
      <c r="BX170" s="47"/>
      <c r="BY170" s="47"/>
      <c r="BZ170" s="47"/>
      <c r="CA170" s="47"/>
      <c r="CB170" s="47"/>
      <c r="CC170" s="47"/>
      <c r="CD170" s="47"/>
      <c r="CE170" s="47"/>
      <c r="CF170" s="47"/>
      <c r="CG170" s="49"/>
      <c r="CH170" s="47"/>
      <c r="CI170" s="47"/>
      <c r="CJ170" s="47"/>
      <c r="CK170" s="47"/>
      <c r="CL170" s="47"/>
      <c r="CM170" s="47"/>
      <c r="CN170" s="47"/>
      <c r="CO170" s="47"/>
      <c r="CP170" s="47"/>
      <c r="CQ170" s="47"/>
      <c r="CS170" s="47"/>
      <c r="CT170" s="47"/>
      <c r="CU170" s="47"/>
      <c r="CV170" s="47"/>
      <c r="CW170" s="47"/>
      <c r="CX170" s="47"/>
      <c r="CY170" s="47"/>
      <c r="CZ170" s="47"/>
      <c r="DA170" s="47"/>
      <c r="DB170" s="47"/>
      <c r="DC170" s="47"/>
      <c r="DD170" s="47"/>
      <c r="DE170" s="47"/>
      <c r="DF170" s="47"/>
      <c r="DG170" s="47"/>
      <c r="DH170" s="47"/>
      <c r="DI170" s="47"/>
      <c r="DJ170" s="47"/>
      <c r="DK170" s="47"/>
      <c r="DM170" s="47"/>
      <c r="DN170" s="47"/>
      <c r="DO170" s="47"/>
      <c r="DP170" s="47"/>
      <c r="DQ170" s="47"/>
      <c r="DR170" s="47"/>
      <c r="DS170" s="47"/>
      <c r="DT170" s="47"/>
      <c r="DU170" s="47"/>
      <c r="DV170" s="49"/>
      <c r="DW170" s="47"/>
      <c r="DX170" s="47"/>
      <c r="DY170" s="47"/>
      <c r="DZ170" s="47"/>
      <c r="EA170" s="47"/>
      <c r="EB170" s="47"/>
      <c r="EC170" s="47"/>
      <c r="ED170" s="47"/>
      <c r="EE170" s="47"/>
      <c r="EF170" s="47"/>
      <c r="EG170" s="47"/>
      <c r="EH170" s="47"/>
      <c r="EI170" s="47"/>
      <c r="EJ170" s="47"/>
      <c r="EK170" s="47"/>
      <c r="EL170" s="47"/>
      <c r="EM170" s="47"/>
      <c r="EN170" s="47"/>
      <c r="EO170" s="47"/>
      <c r="EP170" s="47"/>
      <c r="EQ170" s="47"/>
      <c r="ER170" s="47"/>
      <c r="ES170" s="47"/>
      <c r="ET170" s="47"/>
      <c r="EU170" s="47"/>
      <c r="EV170" s="47"/>
      <c r="EW170" s="47"/>
      <c r="EX170" s="47"/>
      <c r="EY170" s="47"/>
      <c r="EZ170" s="47"/>
      <c r="FA170" s="47"/>
      <c r="FB170" s="47"/>
      <c r="FC170" s="47"/>
      <c r="FD170" s="47"/>
      <c r="FE170" s="47"/>
      <c r="FF170" s="47"/>
      <c r="FG170" s="47"/>
      <c r="FH170" s="47"/>
      <c r="FI170" s="47"/>
      <c r="FJ170" s="49"/>
      <c r="FK170" s="47"/>
      <c r="FL170" s="47"/>
      <c r="FM170" s="47"/>
      <c r="FN170" s="47"/>
      <c r="FO170" s="47"/>
      <c r="FP170" s="47"/>
      <c r="FQ170" s="47"/>
      <c r="FR170" s="47"/>
      <c r="FS170" s="47"/>
      <c r="FT170" s="47"/>
      <c r="FU170" s="47"/>
      <c r="FV170" s="47"/>
      <c r="FW170" s="47"/>
      <c r="FX170" s="47"/>
      <c r="FY170" s="47"/>
      <c r="FZ170" s="47"/>
      <c r="GA170" s="47"/>
      <c r="GB170" s="47"/>
      <c r="GC170" s="47"/>
      <c r="GD170" s="47"/>
      <c r="GE170" s="47"/>
      <c r="GF170" s="47"/>
      <c r="GG170" s="47"/>
      <c r="GH170" s="47"/>
      <c r="GI170" s="47"/>
      <c r="GJ170" s="47"/>
      <c r="GK170" s="47"/>
      <c r="GL170" s="47"/>
      <c r="GM170" s="47"/>
      <c r="GN170" s="47"/>
      <c r="GO170" s="47"/>
      <c r="GP170" s="47"/>
      <c r="GQ170" s="47"/>
      <c r="GR170" s="47"/>
      <c r="GS170" s="47"/>
      <c r="GT170" s="47"/>
      <c r="GU170" s="47"/>
      <c r="GV170" s="47"/>
      <c r="GW170" s="47"/>
      <c r="GX170" s="47"/>
      <c r="GY170" s="47"/>
      <c r="GZ170" s="47"/>
      <c r="HA170" s="47"/>
      <c r="HB170" s="47"/>
      <c r="HC170" s="47"/>
      <c r="HD170" s="47"/>
      <c r="HE170" s="47"/>
      <c r="HF170" s="47"/>
      <c r="HI170" s="47"/>
      <c r="HJ170" s="47"/>
      <c r="HK170" s="47"/>
      <c r="HL170" s="47"/>
      <c r="HM170" s="47"/>
      <c r="HN170" s="47"/>
      <c r="HO170" s="47"/>
      <c r="HP170" s="47"/>
      <c r="HS170" s="47"/>
      <c r="HT170" s="47"/>
      <c r="HU170" s="47"/>
      <c r="HV170" s="47"/>
      <c r="HW170" s="47"/>
      <c r="HX170" s="47"/>
      <c r="HY170" s="47"/>
      <c r="HZ170" s="47"/>
      <c r="IC170" s="47"/>
      <c r="ID170" s="47"/>
      <c r="IE170" s="47"/>
      <c r="IF170" s="47"/>
      <c r="IG170" s="47"/>
      <c r="IH170" s="47"/>
      <c r="II170" s="47"/>
      <c r="IJ170" s="47"/>
      <c r="IM170" s="47"/>
      <c r="IN170" s="47"/>
      <c r="IO170" s="47"/>
      <c r="IP170" s="47"/>
      <c r="IQ170" s="47"/>
      <c r="IR170" s="47"/>
      <c r="IS170" s="47"/>
      <c r="IT170" s="47"/>
      <c r="IW170" s="47"/>
      <c r="IX170" s="47"/>
      <c r="IY170" s="47"/>
      <c r="IZ170" s="47"/>
      <c r="JA170" s="47"/>
      <c r="JB170" s="47"/>
      <c r="JC170" s="47"/>
      <c r="JD170" s="47"/>
      <c r="JG170" s="47"/>
      <c r="JH170" s="47"/>
      <c r="JI170" s="47"/>
      <c r="JJ170" s="47"/>
      <c r="JK170" s="47"/>
      <c r="JL170" s="47"/>
      <c r="JM170" s="47"/>
      <c r="JN170" s="47"/>
      <c r="JQ170" s="47"/>
      <c r="JR170" s="47"/>
      <c r="JS170" s="47"/>
      <c r="JT170" s="47"/>
      <c r="JU170" s="47"/>
      <c r="JV170" s="47"/>
      <c r="JW170" s="47"/>
      <c r="JX170" s="47"/>
      <c r="KA170" s="47"/>
      <c r="KB170" s="47"/>
      <c r="KC170" s="47"/>
      <c r="KD170" s="47"/>
      <c r="KE170" s="47"/>
      <c r="KF170" s="47"/>
      <c r="KG170" s="47"/>
      <c r="KH170" s="47"/>
      <c r="KK170" s="47"/>
      <c r="KL170" s="47"/>
      <c r="KM170" s="47"/>
      <c r="KN170" s="47"/>
      <c r="KO170" s="47"/>
      <c r="KP170" s="47"/>
      <c r="KQ170" s="47"/>
      <c r="KR170" s="47"/>
      <c r="KU170" s="47"/>
      <c r="KV170" s="47"/>
      <c r="KW170" s="47"/>
      <c r="KX170" s="47"/>
      <c r="KY170" s="47"/>
      <c r="KZ170" s="47"/>
      <c r="LA170" s="47"/>
      <c r="LB170" s="47"/>
    </row>
    <row r="171" spans="29:314" x14ac:dyDescent="0.25">
      <c r="AC171" s="47"/>
      <c r="AD171" s="47"/>
      <c r="AE171" s="47"/>
      <c r="AF171" s="47"/>
      <c r="AG171" s="49"/>
      <c r="AH171" s="47"/>
      <c r="AI171" s="47"/>
      <c r="AJ171" s="47"/>
      <c r="AK171" s="47"/>
      <c r="AL171" s="47"/>
      <c r="AM171" s="47"/>
      <c r="AN171" s="47"/>
      <c r="AO171" s="47"/>
      <c r="AP171" s="47"/>
      <c r="AQ171" s="47"/>
      <c r="AR171" s="47"/>
      <c r="AS171" s="47"/>
      <c r="AT171" s="47"/>
      <c r="AU171" s="47"/>
      <c r="AV171" s="47"/>
      <c r="AW171" s="47"/>
      <c r="AX171" s="47"/>
      <c r="AY171" s="47"/>
      <c r="AZ171" s="47"/>
      <c r="BA171" s="47"/>
      <c r="BB171" s="47"/>
      <c r="BC171" s="47"/>
      <c r="BD171" s="47"/>
      <c r="BE171" s="47"/>
      <c r="BF171" s="47"/>
      <c r="BG171" s="47"/>
      <c r="BH171" s="47"/>
      <c r="BI171" s="47"/>
      <c r="BJ171" s="47"/>
      <c r="BK171" s="47"/>
      <c r="BL171" s="47"/>
      <c r="BM171" s="47"/>
      <c r="BN171" s="49"/>
      <c r="BO171" s="47"/>
      <c r="BP171" s="47"/>
      <c r="BQ171" s="47"/>
      <c r="BR171" s="47"/>
      <c r="BS171" s="47"/>
      <c r="BT171" s="47"/>
      <c r="BU171" s="47"/>
      <c r="BV171" s="47"/>
      <c r="BW171" s="47"/>
      <c r="BX171" s="47"/>
      <c r="BY171" s="47"/>
      <c r="BZ171" s="47"/>
      <c r="CA171" s="47"/>
      <c r="CB171" s="47"/>
      <c r="CC171" s="47"/>
      <c r="CD171" s="47"/>
      <c r="CE171" s="47"/>
      <c r="CF171" s="47"/>
      <c r="CG171" s="49"/>
      <c r="CH171" s="47"/>
      <c r="CI171" s="47"/>
      <c r="CJ171" s="47"/>
      <c r="CK171" s="47"/>
      <c r="CL171" s="47"/>
      <c r="CM171" s="47"/>
      <c r="CN171" s="47"/>
      <c r="CO171" s="47"/>
      <c r="CP171" s="47"/>
      <c r="CQ171" s="47"/>
      <c r="CS171" s="47"/>
      <c r="CT171" s="47"/>
      <c r="CU171" s="47"/>
      <c r="CV171" s="47"/>
      <c r="CW171" s="47"/>
      <c r="CX171" s="47"/>
      <c r="CY171" s="47"/>
      <c r="CZ171" s="47"/>
      <c r="DA171" s="47"/>
      <c r="DB171" s="47"/>
      <c r="DC171" s="47"/>
      <c r="DD171" s="47"/>
      <c r="DE171" s="47"/>
      <c r="DF171" s="47"/>
      <c r="DG171" s="47"/>
      <c r="DH171" s="47"/>
      <c r="DI171" s="47"/>
      <c r="DJ171" s="47"/>
      <c r="DK171" s="47"/>
      <c r="DM171" s="47"/>
      <c r="DN171" s="47"/>
      <c r="DO171" s="47"/>
      <c r="DP171" s="47"/>
      <c r="DQ171" s="47"/>
      <c r="DR171" s="47"/>
      <c r="DS171" s="47"/>
      <c r="DT171" s="47"/>
      <c r="DU171" s="47"/>
      <c r="DV171" s="49"/>
      <c r="DW171" s="47"/>
      <c r="DX171" s="47"/>
      <c r="DY171" s="47"/>
      <c r="DZ171" s="47"/>
      <c r="EA171" s="47"/>
      <c r="EB171" s="47"/>
      <c r="EC171" s="47"/>
      <c r="ED171" s="47"/>
      <c r="EE171" s="47"/>
      <c r="EF171" s="47"/>
      <c r="EG171" s="47"/>
      <c r="EH171" s="47"/>
      <c r="EI171" s="47"/>
      <c r="EJ171" s="47"/>
      <c r="EK171" s="47"/>
      <c r="EL171" s="47"/>
      <c r="EM171" s="47"/>
      <c r="EN171" s="47"/>
      <c r="EO171" s="47"/>
      <c r="EP171" s="47"/>
      <c r="EQ171" s="47"/>
      <c r="ER171" s="47"/>
      <c r="ES171" s="47"/>
      <c r="ET171" s="47"/>
      <c r="EU171" s="47"/>
      <c r="EV171" s="47"/>
      <c r="EW171" s="47"/>
      <c r="EX171" s="47"/>
      <c r="EY171" s="47"/>
      <c r="EZ171" s="47"/>
      <c r="FA171" s="47"/>
      <c r="FB171" s="47"/>
      <c r="FC171" s="47"/>
      <c r="FD171" s="47"/>
      <c r="FE171" s="47"/>
      <c r="FF171" s="47"/>
      <c r="FG171" s="47"/>
      <c r="FH171" s="47"/>
      <c r="FI171" s="47"/>
      <c r="FJ171" s="49"/>
      <c r="FK171" s="47"/>
      <c r="FL171" s="47"/>
      <c r="FM171" s="47"/>
      <c r="FN171" s="47"/>
      <c r="FO171" s="47"/>
      <c r="FP171" s="47"/>
      <c r="FQ171" s="47"/>
      <c r="FR171" s="47"/>
      <c r="FS171" s="47"/>
      <c r="FT171" s="47"/>
      <c r="FU171" s="47"/>
      <c r="FV171" s="47"/>
      <c r="FW171" s="47"/>
      <c r="FX171" s="47"/>
      <c r="FY171" s="47"/>
      <c r="FZ171" s="47"/>
      <c r="GA171" s="47"/>
      <c r="GB171" s="47"/>
      <c r="GC171" s="47"/>
      <c r="GD171" s="47"/>
      <c r="GE171" s="47"/>
      <c r="GF171" s="47"/>
      <c r="GG171" s="47"/>
      <c r="GH171" s="47"/>
      <c r="GI171" s="47"/>
      <c r="GJ171" s="47"/>
      <c r="GK171" s="47"/>
      <c r="GL171" s="47"/>
      <c r="GM171" s="47"/>
      <c r="GN171" s="47"/>
      <c r="GO171" s="47"/>
      <c r="GP171" s="47"/>
      <c r="GQ171" s="47"/>
      <c r="GR171" s="47"/>
      <c r="GS171" s="47"/>
      <c r="GT171" s="47"/>
      <c r="GU171" s="47"/>
      <c r="GV171" s="47"/>
      <c r="GW171" s="47"/>
      <c r="GX171" s="47"/>
      <c r="GY171" s="47"/>
      <c r="GZ171" s="47"/>
      <c r="HA171" s="47"/>
      <c r="HB171" s="47"/>
      <c r="HC171" s="47"/>
      <c r="HD171" s="47"/>
      <c r="HE171" s="47"/>
      <c r="HF171" s="47"/>
      <c r="HI171" s="47"/>
      <c r="HJ171" s="47"/>
      <c r="HK171" s="47"/>
      <c r="HL171" s="47"/>
      <c r="HM171" s="47"/>
      <c r="HN171" s="47"/>
      <c r="HO171" s="47"/>
      <c r="HP171" s="47"/>
      <c r="HS171" s="47"/>
      <c r="HT171" s="47"/>
      <c r="HU171" s="47"/>
      <c r="HV171" s="47"/>
      <c r="HW171" s="47"/>
      <c r="HX171" s="47"/>
      <c r="HY171" s="47"/>
      <c r="HZ171" s="47"/>
      <c r="IC171" s="47"/>
      <c r="ID171" s="47"/>
      <c r="IE171" s="47"/>
      <c r="IF171" s="47"/>
      <c r="IG171" s="47"/>
      <c r="IH171" s="47"/>
      <c r="II171" s="47"/>
      <c r="IJ171" s="47"/>
      <c r="IM171" s="47"/>
      <c r="IN171" s="47"/>
      <c r="IO171" s="47"/>
      <c r="IP171" s="47"/>
      <c r="IQ171" s="47"/>
      <c r="IR171" s="47"/>
      <c r="IS171" s="47"/>
      <c r="IT171" s="47"/>
      <c r="IW171" s="47"/>
      <c r="IX171" s="47"/>
      <c r="IY171" s="47"/>
      <c r="IZ171" s="47"/>
      <c r="JA171" s="47"/>
      <c r="JB171" s="47"/>
      <c r="JC171" s="47"/>
      <c r="JD171" s="47"/>
      <c r="JG171" s="47"/>
      <c r="JH171" s="47"/>
      <c r="JI171" s="47"/>
      <c r="JJ171" s="47"/>
      <c r="JK171" s="47"/>
      <c r="JL171" s="47"/>
      <c r="JM171" s="47"/>
      <c r="JN171" s="47"/>
      <c r="JQ171" s="47"/>
      <c r="JR171" s="47"/>
      <c r="JS171" s="47"/>
      <c r="JT171" s="47"/>
      <c r="JU171" s="47"/>
      <c r="JV171" s="47"/>
      <c r="JW171" s="47"/>
      <c r="JX171" s="47"/>
      <c r="KA171" s="47"/>
      <c r="KB171" s="47"/>
      <c r="KC171" s="47"/>
      <c r="KD171" s="47"/>
      <c r="KE171" s="47"/>
      <c r="KF171" s="47"/>
      <c r="KG171" s="47"/>
      <c r="KH171" s="47"/>
      <c r="KK171" s="47"/>
      <c r="KL171" s="47"/>
      <c r="KM171" s="47"/>
      <c r="KN171" s="47"/>
      <c r="KO171" s="47"/>
      <c r="KP171" s="47"/>
      <c r="KQ171" s="47"/>
      <c r="KR171" s="47"/>
      <c r="KU171" s="47"/>
      <c r="KV171" s="47"/>
      <c r="KW171" s="47"/>
      <c r="KX171" s="47"/>
      <c r="KY171" s="47"/>
      <c r="KZ171" s="47"/>
      <c r="LA171" s="47"/>
      <c r="LB171" s="47"/>
    </row>
    <row r="172" spans="29:314" x14ac:dyDescent="0.25">
      <c r="AC172" s="47"/>
      <c r="AD172" s="47"/>
      <c r="AE172" s="47"/>
      <c r="AF172" s="47"/>
      <c r="AG172" s="49"/>
      <c r="AH172" s="47"/>
      <c r="AI172" s="47"/>
      <c r="AJ172" s="47"/>
      <c r="AK172" s="47"/>
      <c r="AL172" s="47"/>
      <c r="AM172" s="47"/>
      <c r="AN172" s="47"/>
      <c r="AO172" s="47"/>
      <c r="AP172" s="47"/>
      <c r="AQ172" s="47"/>
      <c r="AR172" s="47"/>
      <c r="AS172" s="47"/>
      <c r="AT172" s="47"/>
      <c r="AU172" s="47"/>
      <c r="AV172" s="47"/>
      <c r="AW172" s="47"/>
      <c r="AX172" s="47"/>
      <c r="AY172" s="47"/>
      <c r="AZ172" s="47"/>
      <c r="BA172" s="47"/>
      <c r="BB172" s="47"/>
      <c r="BC172" s="47"/>
      <c r="BD172" s="47"/>
      <c r="BE172" s="47"/>
      <c r="BF172" s="47"/>
      <c r="BG172" s="47"/>
      <c r="BH172" s="47"/>
      <c r="BI172" s="47"/>
      <c r="BJ172" s="47"/>
      <c r="BK172" s="47"/>
      <c r="BL172" s="47"/>
      <c r="BM172" s="47"/>
      <c r="BN172" s="49"/>
      <c r="BO172" s="47"/>
      <c r="BP172" s="47"/>
      <c r="BQ172" s="47"/>
      <c r="BR172" s="47"/>
      <c r="BS172" s="47"/>
      <c r="BT172" s="47"/>
      <c r="BU172" s="47"/>
      <c r="BV172" s="47"/>
      <c r="BW172" s="47"/>
      <c r="BX172" s="47"/>
      <c r="BY172" s="47"/>
      <c r="BZ172" s="47"/>
      <c r="CA172" s="47"/>
      <c r="CB172" s="47"/>
      <c r="CC172" s="47"/>
      <c r="CD172" s="47"/>
      <c r="CE172" s="47"/>
      <c r="CF172" s="47"/>
      <c r="CG172" s="49"/>
      <c r="CH172" s="47"/>
      <c r="CI172" s="47"/>
      <c r="CJ172" s="47"/>
      <c r="CK172" s="47"/>
      <c r="CL172" s="47"/>
      <c r="CM172" s="47"/>
      <c r="CN172" s="47"/>
      <c r="CO172" s="47"/>
      <c r="CP172" s="47"/>
      <c r="CQ172" s="47"/>
      <c r="CS172" s="47"/>
      <c r="CT172" s="47"/>
      <c r="CU172" s="47"/>
      <c r="CV172" s="47"/>
      <c r="CW172" s="47"/>
      <c r="CX172" s="47"/>
      <c r="CY172" s="47"/>
      <c r="CZ172" s="47"/>
      <c r="DA172" s="47"/>
      <c r="DB172" s="47"/>
      <c r="DC172" s="47"/>
      <c r="DD172" s="47"/>
      <c r="DE172" s="47"/>
      <c r="DF172" s="47"/>
      <c r="DG172" s="47"/>
      <c r="DH172" s="47"/>
      <c r="DI172" s="47"/>
      <c r="DJ172" s="47"/>
      <c r="DK172" s="47"/>
      <c r="DM172" s="47"/>
      <c r="DN172" s="47"/>
      <c r="DO172" s="47"/>
      <c r="DP172" s="47"/>
      <c r="DQ172" s="47"/>
      <c r="DR172" s="47"/>
      <c r="DS172" s="47"/>
      <c r="DT172" s="47"/>
      <c r="DU172" s="47"/>
      <c r="DV172" s="49"/>
      <c r="DW172" s="47"/>
      <c r="DX172" s="47"/>
      <c r="DY172" s="47"/>
      <c r="DZ172" s="47"/>
      <c r="EA172" s="47"/>
      <c r="EB172" s="47"/>
      <c r="EC172" s="47"/>
      <c r="ED172" s="47"/>
      <c r="EE172" s="47"/>
      <c r="EF172" s="47"/>
      <c r="EG172" s="47"/>
      <c r="EH172" s="47"/>
      <c r="EI172" s="47"/>
      <c r="EJ172" s="47"/>
      <c r="EK172" s="47"/>
      <c r="EL172" s="47"/>
      <c r="EM172" s="47"/>
      <c r="EN172" s="47"/>
      <c r="EO172" s="47"/>
      <c r="EP172" s="47"/>
      <c r="EQ172" s="47"/>
      <c r="ER172" s="47"/>
      <c r="ES172" s="47"/>
      <c r="ET172" s="47"/>
      <c r="EU172" s="47"/>
      <c r="EV172" s="47"/>
      <c r="EW172" s="47"/>
      <c r="EX172" s="47"/>
      <c r="EY172" s="47"/>
      <c r="EZ172" s="47"/>
      <c r="FA172" s="47"/>
      <c r="FB172" s="47"/>
      <c r="FC172" s="47"/>
      <c r="FD172" s="47"/>
      <c r="FE172" s="47"/>
      <c r="FF172" s="47"/>
      <c r="FG172" s="47"/>
      <c r="FH172" s="47"/>
      <c r="FI172" s="47"/>
      <c r="FJ172" s="49"/>
      <c r="FK172" s="47"/>
      <c r="FL172" s="47"/>
      <c r="FM172" s="47"/>
      <c r="FN172" s="47"/>
      <c r="FO172" s="47"/>
      <c r="FP172" s="47"/>
      <c r="FQ172" s="47"/>
      <c r="FR172" s="47"/>
      <c r="FS172" s="47"/>
      <c r="FT172" s="47"/>
      <c r="FU172" s="47"/>
      <c r="FV172" s="47"/>
      <c r="FW172" s="47"/>
      <c r="FX172" s="47"/>
      <c r="FY172" s="47"/>
      <c r="FZ172" s="47"/>
      <c r="GA172" s="47"/>
      <c r="GB172" s="47"/>
      <c r="GC172" s="47"/>
      <c r="GD172" s="47"/>
      <c r="GE172" s="47"/>
      <c r="GF172" s="47"/>
      <c r="GG172" s="47"/>
      <c r="GH172" s="47"/>
      <c r="GI172" s="47"/>
      <c r="GJ172" s="47"/>
      <c r="GK172" s="47"/>
      <c r="GL172" s="47"/>
      <c r="GM172" s="47"/>
      <c r="GN172" s="47"/>
      <c r="GO172" s="47"/>
      <c r="GP172" s="47"/>
      <c r="GQ172" s="47"/>
      <c r="GR172" s="47"/>
      <c r="GS172" s="47"/>
      <c r="GT172" s="47"/>
      <c r="GU172" s="47"/>
      <c r="GV172" s="47"/>
      <c r="GW172" s="47"/>
      <c r="GX172" s="47"/>
      <c r="GY172" s="47"/>
      <c r="GZ172" s="47"/>
      <c r="HA172" s="47"/>
      <c r="HB172" s="47"/>
      <c r="HC172" s="47"/>
      <c r="HD172" s="47"/>
      <c r="HE172" s="47"/>
      <c r="HF172" s="47"/>
      <c r="HI172" s="47"/>
      <c r="HJ172" s="47"/>
      <c r="HK172" s="47"/>
      <c r="HL172" s="47"/>
      <c r="HM172" s="47"/>
      <c r="HN172" s="47"/>
      <c r="HO172" s="47"/>
      <c r="HP172" s="47"/>
      <c r="HS172" s="47"/>
      <c r="HT172" s="47"/>
      <c r="HU172" s="47"/>
      <c r="HV172" s="47"/>
      <c r="HW172" s="47"/>
      <c r="HX172" s="47"/>
      <c r="HY172" s="47"/>
      <c r="HZ172" s="47"/>
      <c r="IC172" s="47"/>
      <c r="ID172" s="47"/>
      <c r="IE172" s="47"/>
      <c r="IF172" s="47"/>
      <c r="IG172" s="47"/>
      <c r="IH172" s="47"/>
      <c r="II172" s="47"/>
      <c r="IJ172" s="47"/>
      <c r="IM172" s="47"/>
      <c r="IN172" s="47"/>
      <c r="IO172" s="47"/>
      <c r="IP172" s="47"/>
      <c r="IQ172" s="47"/>
      <c r="IR172" s="47"/>
      <c r="IS172" s="47"/>
      <c r="IT172" s="47"/>
      <c r="IW172" s="47"/>
      <c r="IX172" s="47"/>
      <c r="IY172" s="47"/>
      <c r="IZ172" s="47"/>
      <c r="JA172" s="47"/>
      <c r="JB172" s="47"/>
      <c r="JC172" s="47"/>
      <c r="JD172" s="47"/>
      <c r="JG172" s="47"/>
      <c r="JH172" s="47"/>
      <c r="JI172" s="47"/>
      <c r="JJ172" s="47"/>
      <c r="JK172" s="47"/>
      <c r="JL172" s="47"/>
      <c r="JM172" s="47"/>
      <c r="JN172" s="47"/>
      <c r="JQ172" s="47"/>
      <c r="JR172" s="47"/>
      <c r="JS172" s="47"/>
      <c r="JT172" s="47"/>
      <c r="JU172" s="47"/>
      <c r="JV172" s="47"/>
      <c r="JW172" s="47"/>
      <c r="JX172" s="47"/>
      <c r="KA172" s="47"/>
      <c r="KB172" s="47"/>
      <c r="KC172" s="47"/>
      <c r="KD172" s="47"/>
      <c r="KE172" s="47"/>
      <c r="KF172" s="47"/>
      <c r="KG172" s="47"/>
      <c r="KH172" s="47"/>
      <c r="KK172" s="47"/>
      <c r="KL172" s="47"/>
      <c r="KM172" s="47"/>
      <c r="KN172" s="47"/>
      <c r="KO172" s="47"/>
      <c r="KP172" s="47"/>
      <c r="KQ172" s="47"/>
      <c r="KR172" s="47"/>
      <c r="KU172" s="47"/>
      <c r="KV172" s="47"/>
      <c r="KW172" s="47"/>
      <c r="KX172" s="47"/>
      <c r="KY172" s="47"/>
      <c r="KZ172" s="47"/>
      <c r="LA172" s="47"/>
      <c r="LB172" s="47"/>
    </row>
    <row r="173" spans="29:314" x14ac:dyDescent="0.25">
      <c r="AC173" s="47"/>
      <c r="AD173" s="47"/>
      <c r="AE173" s="47"/>
      <c r="AF173" s="47"/>
      <c r="AG173" s="49"/>
      <c r="AH173" s="47"/>
      <c r="AI173" s="47"/>
      <c r="AJ173" s="47"/>
      <c r="AK173" s="47"/>
      <c r="AL173" s="47"/>
      <c r="AM173" s="47"/>
      <c r="AN173" s="47"/>
      <c r="AO173" s="47"/>
      <c r="AP173" s="47"/>
      <c r="AQ173" s="47"/>
      <c r="AR173" s="47"/>
      <c r="AS173" s="47"/>
      <c r="AT173" s="47"/>
      <c r="AU173" s="47"/>
      <c r="AV173" s="47"/>
      <c r="AW173" s="47"/>
      <c r="AX173" s="47"/>
      <c r="AY173" s="47"/>
      <c r="AZ173" s="47"/>
      <c r="BA173" s="47"/>
      <c r="BB173" s="47"/>
      <c r="BC173" s="47"/>
      <c r="BD173" s="47"/>
      <c r="BE173" s="47"/>
      <c r="BF173" s="47"/>
      <c r="BG173" s="47"/>
      <c r="BH173" s="47"/>
      <c r="BI173" s="47"/>
      <c r="BJ173" s="47"/>
      <c r="BK173" s="47"/>
      <c r="BL173" s="47"/>
      <c r="BM173" s="47"/>
      <c r="BN173" s="49"/>
      <c r="BO173" s="47"/>
      <c r="BP173" s="47"/>
      <c r="BQ173" s="47"/>
      <c r="BR173" s="47"/>
      <c r="BS173" s="47"/>
      <c r="BT173" s="47"/>
      <c r="BU173" s="47"/>
      <c r="BV173" s="47"/>
      <c r="BW173" s="47"/>
      <c r="BX173" s="47"/>
      <c r="BY173" s="47"/>
      <c r="BZ173" s="47"/>
      <c r="CA173" s="47"/>
      <c r="CB173" s="47"/>
      <c r="CC173" s="47"/>
      <c r="CD173" s="47"/>
      <c r="CE173" s="47"/>
      <c r="CF173" s="47"/>
      <c r="CG173" s="49"/>
      <c r="CH173" s="47"/>
      <c r="CI173" s="47"/>
      <c r="CJ173" s="47"/>
      <c r="CK173" s="47"/>
      <c r="CL173" s="47"/>
      <c r="CM173" s="47"/>
      <c r="CN173" s="47"/>
      <c r="CO173" s="47"/>
      <c r="CP173" s="47"/>
      <c r="CQ173" s="47"/>
      <c r="CS173" s="47"/>
      <c r="CT173" s="47"/>
      <c r="CU173" s="47"/>
      <c r="CV173" s="47"/>
      <c r="CW173" s="47"/>
      <c r="CX173" s="47"/>
      <c r="CY173" s="47"/>
      <c r="CZ173" s="47"/>
      <c r="DA173" s="47"/>
      <c r="DB173" s="47"/>
      <c r="DC173" s="47"/>
      <c r="DD173" s="47"/>
      <c r="DE173" s="47"/>
      <c r="DF173" s="47"/>
      <c r="DG173" s="47"/>
      <c r="DH173" s="47"/>
      <c r="DI173" s="47"/>
      <c r="DJ173" s="47"/>
      <c r="DK173" s="47"/>
      <c r="DM173" s="47"/>
      <c r="DN173" s="47"/>
      <c r="DO173" s="47"/>
      <c r="DP173" s="47"/>
      <c r="DQ173" s="47"/>
      <c r="DR173" s="47"/>
      <c r="DS173" s="47"/>
      <c r="DT173" s="47"/>
      <c r="DU173" s="47"/>
      <c r="DV173" s="49"/>
      <c r="DW173" s="47"/>
      <c r="DX173" s="47"/>
      <c r="DY173" s="47"/>
      <c r="DZ173" s="47"/>
      <c r="EA173" s="47"/>
      <c r="EB173" s="47"/>
      <c r="EC173" s="47"/>
      <c r="ED173" s="47"/>
      <c r="EE173" s="47"/>
      <c r="EF173" s="47"/>
      <c r="EG173" s="47"/>
      <c r="EH173" s="47"/>
      <c r="EI173" s="47"/>
      <c r="EJ173" s="47"/>
      <c r="EK173" s="47"/>
      <c r="EL173" s="47"/>
      <c r="EM173" s="47"/>
      <c r="EN173" s="47"/>
      <c r="EO173" s="47"/>
      <c r="EP173" s="47"/>
      <c r="EQ173" s="47"/>
      <c r="ER173" s="47"/>
      <c r="ES173" s="47"/>
      <c r="ET173" s="47"/>
      <c r="EU173" s="47"/>
      <c r="EV173" s="47"/>
      <c r="EW173" s="47"/>
      <c r="EX173" s="47"/>
      <c r="EY173" s="47"/>
      <c r="EZ173" s="47"/>
      <c r="FA173" s="47"/>
      <c r="FB173" s="47"/>
      <c r="FC173" s="47"/>
      <c r="FD173" s="47"/>
      <c r="FE173" s="47"/>
      <c r="FF173" s="47"/>
      <c r="FG173" s="47"/>
      <c r="FH173" s="47"/>
      <c r="FI173" s="47"/>
      <c r="FJ173" s="49"/>
      <c r="FK173" s="47"/>
      <c r="FL173" s="47"/>
      <c r="FM173" s="47"/>
      <c r="FN173" s="47"/>
      <c r="FO173" s="47"/>
      <c r="FP173" s="47"/>
      <c r="FQ173" s="47"/>
      <c r="FR173" s="47"/>
      <c r="FS173" s="47"/>
      <c r="FT173" s="47"/>
      <c r="FU173" s="47"/>
      <c r="FV173" s="47"/>
      <c r="FW173" s="47"/>
      <c r="FX173" s="47"/>
      <c r="FY173" s="47"/>
      <c r="FZ173" s="47"/>
      <c r="GA173" s="47"/>
      <c r="GB173" s="47"/>
      <c r="GC173" s="47"/>
      <c r="GD173" s="47"/>
      <c r="GE173" s="47"/>
      <c r="GF173" s="47"/>
      <c r="GG173" s="47"/>
      <c r="GH173" s="47"/>
      <c r="GI173" s="47"/>
      <c r="GJ173" s="47"/>
      <c r="GK173" s="47"/>
      <c r="GL173" s="47"/>
      <c r="GM173" s="47"/>
      <c r="GN173" s="47"/>
      <c r="GO173" s="47"/>
      <c r="GP173" s="47"/>
      <c r="GQ173" s="47"/>
      <c r="GR173" s="47"/>
      <c r="GS173" s="47"/>
      <c r="GT173" s="47"/>
      <c r="GU173" s="47"/>
      <c r="GV173" s="47"/>
      <c r="GW173" s="47"/>
      <c r="GX173" s="47"/>
      <c r="GY173" s="47"/>
      <c r="GZ173" s="47"/>
      <c r="HA173" s="47"/>
      <c r="HB173" s="47"/>
      <c r="HC173" s="47"/>
      <c r="HD173" s="47"/>
      <c r="HE173" s="47"/>
      <c r="HF173" s="47"/>
      <c r="HI173" s="47"/>
      <c r="HJ173" s="47"/>
      <c r="HK173" s="47"/>
      <c r="HL173" s="47"/>
      <c r="HM173" s="47"/>
      <c r="HN173" s="47"/>
      <c r="HO173" s="47"/>
      <c r="HP173" s="47"/>
      <c r="HS173" s="47"/>
      <c r="HT173" s="47"/>
      <c r="HU173" s="47"/>
      <c r="HV173" s="47"/>
      <c r="HW173" s="47"/>
      <c r="HX173" s="47"/>
      <c r="HY173" s="47"/>
      <c r="HZ173" s="47"/>
      <c r="IC173" s="47"/>
      <c r="ID173" s="47"/>
      <c r="IE173" s="47"/>
      <c r="IF173" s="47"/>
      <c r="IG173" s="47"/>
      <c r="IH173" s="47"/>
      <c r="II173" s="47"/>
      <c r="IJ173" s="47"/>
      <c r="IM173" s="47"/>
      <c r="IN173" s="47"/>
      <c r="IO173" s="47"/>
      <c r="IP173" s="47"/>
      <c r="IQ173" s="47"/>
      <c r="IR173" s="47"/>
      <c r="IS173" s="47"/>
      <c r="IT173" s="47"/>
      <c r="IW173" s="47"/>
      <c r="IX173" s="47"/>
      <c r="IY173" s="47"/>
      <c r="IZ173" s="47"/>
      <c r="JA173" s="47"/>
      <c r="JB173" s="47"/>
      <c r="JC173" s="47"/>
      <c r="JD173" s="47"/>
      <c r="JG173" s="47"/>
      <c r="JH173" s="47"/>
      <c r="JI173" s="47"/>
      <c r="JJ173" s="47"/>
      <c r="JK173" s="47"/>
      <c r="JL173" s="47"/>
      <c r="JM173" s="47"/>
      <c r="JN173" s="47"/>
      <c r="JQ173" s="47"/>
      <c r="JR173" s="47"/>
      <c r="JS173" s="47"/>
      <c r="JT173" s="47"/>
      <c r="JU173" s="47"/>
      <c r="JV173" s="47"/>
      <c r="JW173" s="47"/>
      <c r="JX173" s="47"/>
      <c r="KA173" s="47"/>
      <c r="KB173" s="47"/>
      <c r="KC173" s="47"/>
      <c r="KD173" s="47"/>
      <c r="KE173" s="47"/>
      <c r="KF173" s="47"/>
      <c r="KG173" s="47"/>
      <c r="KH173" s="47"/>
      <c r="KK173" s="47"/>
      <c r="KL173" s="47"/>
      <c r="KM173" s="47"/>
      <c r="KN173" s="47"/>
      <c r="KO173" s="47"/>
      <c r="KP173" s="47"/>
      <c r="KQ173" s="47"/>
      <c r="KR173" s="47"/>
      <c r="KU173" s="47"/>
      <c r="KV173" s="47"/>
      <c r="KW173" s="47"/>
      <c r="KX173" s="47"/>
      <c r="KY173" s="47"/>
      <c r="KZ173" s="47"/>
      <c r="LA173" s="47"/>
      <c r="LB173" s="47"/>
    </row>
    <row r="174" spans="29:314" x14ac:dyDescent="0.25">
      <c r="AC174" s="47"/>
      <c r="AD174" s="47"/>
      <c r="AE174" s="47"/>
      <c r="AF174" s="47"/>
      <c r="AG174" s="49"/>
      <c r="AH174" s="47"/>
      <c r="AI174" s="47"/>
      <c r="AJ174" s="47"/>
      <c r="AK174" s="47"/>
      <c r="AL174" s="47"/>
      <c r="AM174" s="47"/>
      <c r="AN174" s="47"/>
      <c r="AO174" s="47"/>
      <c r="AP174" s="47"/>
      <c r="AQ174" s="47"/>
      <c r="AR174" s="47"/>
      <c r="AS174" s="47"/>
      <c r="AT174" s="47"/>
      <c r="AU174" s="47"/>
      <c r="AV174" s="47"/>
      <c r="AW174" s="47"/>
      <c r="AX174" s="47"/>
      <c r="AY174" s="47"/>
      <c r="AZ174" s="47"/>
      <c r="BA174" s="47"/>
      <c r="BB174" s="47"/>
      <c r="BC174" s="47"/>
      <c r="BD174" s="47"/>
      <c r="BE174" s="47"/>
      <c r="BF174" s="47"/>
      <c r="BG174" s="47"/>
      <c r="BH174" s="47"/>
      <c r="BI174" s="47"/>
      <c r="BJ174" s="47"/>
      <c r="BK174" s="47"/>
      <c r="BL174" s="47"/>
      <c r="BM174" s="47"/>
      <c r="BN174" s="49"/>
      <c r="BO174" s="47"/>
      <c r="BP174" s="47"/>
      <c r="BQ174" s="47"/>
      <c r="BR174" s="47"/>
      <c r="BS174" s="47"/>
      <c r="BT174" s="47"/>
      <c r="BU174" s="47"/>
      <c r="BV174" s="47"/>
      <c r="BW174" s="47"/>
      <c r="BX174" s="47"/>
      <c r="BY174" s="47"/>
      <c r="BZ174" s="47"/>
      <c r="CA174" s="47"/>
      <c r="CB174" s="47"/>
      <c r="CC174" s="47"/>
      <c r="CD174" s="47"/>
      <c r="CE174" s="47"/>
      <c r="CF174" s="47"/>
      <c r="CG174" s="49"/>
      <c r="CH174" s="47"/>
      <c r="CI174" s="47"/>
      <c r="CJ174" s="47"/>
      <c r="CK174" s="47"/>
      <c r="CL174" s="47"/>
      <c r="CM174" s="47"/>
      <c r="CN174" s="47"/>
      <c r="CO174" s="47"/>
      <c r="CP174" s="47"/>
      <c r="CQ174" s="47"/>
      <c r="CS174" s="47"/>
      <c r="CT174" s="47"/>
      <c r="CU174" s="47"/>
      <c r="CV174" s="47"/>
      <c r="CW174" s="47"/>
      <c r="CX174" s="47"/>
      <c r="CY174" s="47"/>
      <c r="CZ174" s="47"/>
      <c r="DA174" s="47"/>
      <c r="DB174" s="47"/>
      <c r="DC174" s="47"/>
      <c r="DD174" s="47"/>
      <c r="DE174" s="47"/>
      <c r="DF174" s="47"/>
      <c r="DG174" s="47"/>
      <c r="DH174" s="47"/>
      <c r="DI174" s="47"/>
      <c r="DJ174" s="47"/>
      <c r="DK174" s="47"/>
      <c r="DM174" s="47"/>
      <c r="DN174" s="47"/>
      <c r="DO174" s="47"/>
      <c r="DP174" s="47"/>
      <c r="DQ174" s="47"/>
      <c r="DR174" s="47"/>
      <c r="DS174" s="47"/>
      <c r="DT174" s="47"/>
      <c r="DU174" s="47"/>
      <c r="DV174" s="49"/>
      <c r="DW174" s="47"/>
      <c r="DX174" s="47"/>
      <c r="DY174" s="47"/>
      <c r="DZ174" s="47"/>
      <c r="EA174" s="47"/>
      <c r="EB174" s="47"/>
      <c r="EC174" s="47"/>
      <c r="ED174" s="47"/>
      <c r="EE174" s="47"/>
      <c r="EF174" s="47"/>
      <c r="EG174" s="47"/>
      <c r="EH174" s="47"/>
      <c r="EI174" s="47"/>
      <c r="EJ174" s="47"/>
      <c r="EK174" s="47"/>
      <c r="EL174" s="47"/>
      <c r="EM174" s="47"/>
      <c r="EN174" s="47"/>
      <c r="EO174" s="47"/>
      <c r="EP174" s="47"/>
      <c r="EQ174" s="47"/>
      <c r="ER174" s="47"/>
      <c r="ES174" s="47"/>
      <c r="ET174" s="47"/>
      <c r="EU174" s="47"/>
      <c r="EV174" s="47"/>
      <c r="EW174" s="47"/>
      <c r="EX174" s="47"/>
      <c r="EY174" s="47"/>
      <c r="EZ174" s="47"/>
      <c r="FA174" s="47"/>
      <c r="FB174" s="47"/>
      <c r="FC174" s="47"/>
      <c r="FD174" s="47"/>
      <c r="FE174" s="47"/>
      <c r="FF174" s="47"/>
      <c r="FG174" s="47"/>
      <c r="FH174" s="47"/>
      <c r="FI174" s="47"/>
      <c r="FJ174" s="49"/>
      <c r="FK174" s="47"/>
      <c r="FL174" s="47"/>
      <c r="FM174" s="47"/>
      <c r="FN174" s="47"/>
      <c r="FO174" s="47"/>
      <c r="FP174" s="47"/>
      <c r="FQ174" s="47"/>
      <c r="FR174" s="47"/>
      <c r="FS174" s="47"/>
      <c r="FT174" s="47"/>
      <c r="FU174" s="47"/>
      <c r="FV174" s="47"/>
      <c r="FW174" s="47"/>
      <c r="FX174" s="47"/>
      <c r="FY174" s="47"/>
      <c r="FZ174" s="47"/>
      <c r="GA174" s="47"/>
      <c r="GB174" s="47"/>
      <c r="GC174" s="47"/>
      <c r="GD174" s="47"/>
      <c r="GE174" s="47"/>
      <c r="GF174" s="47"/>
      <c r="GG174" s="47"/>
      <c r="GH174" s="47"/>
      <c r="GI174" s="47"/>
      <c r="GJ174" s="47"/>
      <c r="GK174" s="47"/>
      <c r="GL174" s="47"/>
      <c r="GM174" s="47"/>
      <c r="GN174" s="47"/>
      <c r="GO174" s="47"/>
      <c r="GP174" s="47"/>
      <c r="GQ174" s="47"/>
      <c r="GR174" s="47"/>
      <c r="GS174" s="47"/>
      <c r="GT174" s="47"/>
      <c r="GU174" s="47"/>
      <c r="GV174" s="47"/>
      <c r="GW174" s="47"/>
      <c r="GX174" s="47"/>
      <c r="GY174" s="47"/>
      <c r="GZ174" s="47"/>
      <c r="HA174" s="47"/>
      <c r="HB174" s="47"/>
      <c r="HC174" s="47"/>
      <c r="HD174" s="47"/>
      <c r="HE174" s="47"/>
      <c r="HF174" s="47"/>
      <c r="HI174" s="47"/>
      <c r="HJ174" s="47"/>
      <c r="HK174" s="47"/>
      <c r="HL174" s="47"/>
      <c r="HM174" s="47"/>
      <c r="HN174" s="47"/>
      <c r="HO174" s="47"/>
      <c r="HP174" s="47"/>
      <c r="HS174" s="47"/>
      <c r="HT174" s="47"/>
      <c r="HU174" s="47"/>
      <c r="HV174" s="47"/>
      <c r="HW174" s="47"/>
      <c r="HX174" s="47"/>
      <c r="HY174" s="47"/>
      <c r="HZ174" s="47"/>
      <c r="IC174" s="47"/>
      <c r="ID174" s="47"/>
      <c r="IE174" s="47"/>
      <c r="IF174" s="47"/>
      <c r="IG174" s="47"/>
      <c r="IH174" s="47"/>
      <c r="II174" s="47"/>
      <c r="IJ174" s="47"/>
      <c r="IM174" s="47"/>
      <c r="IN174" s="47"/>
      <c r="IO174" s="47"/>
      <c r="IP174" s="47"/>
      <c r="IQ174" s="47"/>
      <c r="IR174" s="47"/>
      <c r="IS174" s="47"/>
      <c r="IT174" s="47"/>
      <c r="IW174" s="47"/>
      <c r="IX174" s="47"/>
      <c r="IY174" s="47"/>
      <c r="IZ174" s="47"/>
      <c r="JA174" s="47"/>
      <c r="JB174" s="47"/>
      <c r="JC174" s="47"/>
      <c r="JD174" s="47"/>
      <c r="JG174" s="47"/>
      <c r="JH174" s="47"/>
      <c r="JI174" s="47"/>
      <c r="JJ174" s="47"/>
      <c r="JK174" s="47"/>
      <c r="JL174" s="47"/>
      <c r="JM174" s="47"/>
      <c r="JN174" s="47"/>
      <c r="JQ174" s="47"/>
      <c r="JR174" s="47"/>
      <c r="JS174" s="47"/>
      <c r="JT174" s="47"/>
      <c r="JU174" s="47"/>
      <c r="JV174" s="47"/>
      <c r="JW174" s="47"/>
      <c r="JX174" s="47"/>
      <c r="KA174" s="47"/>
      <c r="KB174" s="47"/>
      <c r="KC174" s="47"/>
      <c r="KD174" s="47"/>
      <c r="KE174" s="47"/>
      <c r="KF174" s="47"/>
      <c r="KG174" s="47"/>
      <c r="KH174" s="47"/>
      <c r="KK174" s="47"/>
      <c r="KL174" s="47"/>
      <c r="KM174" s="47"/>
      <c r="KN174" s="47"/>
      <c r="KO174" s="47"/>
      <c r="KP174" s="47"/>
      <c r="KQ174" s="47"/>
      <c r="KR174" s="47"/>
      <c r="KU174" s="47"/>
      <c r="KV174" s="47"/>
      <c r="KW174" s="47"/>
      <c r="KX174" s="47"/>
      <c r="KY174" s="47"/>
      <c r="KZ174" s="47"/>
      <c r="LA174" s="47"/>
      <c r="LB174" s="47"/>
    </row>
    <row r="175" spans="29:314" x14ac:dyDescent="0.25">
      <c r="AC175" s="47"/>
      <c r="AD175" s="47"/>
      <c r="AE175" s="47"/>
      <c r="AF175" s="47"/>
      <c r="AG175" s="49"/>
      <c r="AH175" s="47"/>
      <c r="AI175" s="47"/>
      <c r="AJ175" s="47"/>
      <c r="AK175" s="47"/>
      <c r="AL175" s="47"/>
      <c r="AM175" s="47"/>
      <c r="AN175" s="47"/>
      <c r="AO175" s="47"/>
      <c r="AP175" s="47"/>
      <c r="AQ175" s="47"/>
      <c r="AR175" s="47"/>
      <c r="AS175" s="47"/>
      <c r="AT175" s="47"/>
      <c r="AU175" s="47"/>
      <c r="AV175" s="47"/>
      <c r="AW175" s="47"/>
      <c r="AX175" s="47"/>
      <c r="AY175" s="47"/>
      <c r="AZ175" s="47"/>
      <c r="BA175" s="47"/>
      <c r="BB175" s="47"/>
      <c r="BC175" s="47"/>
      <c r="BD175" s="47"/>
      <c r="BE175" s="47"/>
      <c r="BF175" s="47"/>
      <c r="BG175" s="47"/>
      <c r="BH175" s="47"/>
      <c r="BI175" s="47"/>
      <c r="BJ175" s="47"/>
      <c r="BK175" s="47"/>
      <c r="BL175" s="47"/>
      <c r="BM175" s="47"/>
      <c r="BN175" s="49"/>
      <c r="BO175" s="47"/>
      <c r="BP175" s="47"/>
      <c r="BQ175" s="47"/>
      <c r="BR175" s="47"/>
      <c r="BS175" s="47"/>
      <c r="BT175" s="47"/>
      <c r="BU175" s="47"/>
      <c r="BV175" s="47"/>
      <c r="BW175" s="47"/>
      <c r="BX175" s="47"/>
      <c r="BY175" s="47"/>
      <c r="BZ175" s="47"/>
      <c r="CA175" s="47"/>
      <c r="CB175" s="47"/>
      <c r="CC175" s="47"/>
      <c r="CD175" s="47"/>
      <c r="CE175" s="47"/>
      <c r="CF175" s="47"/>
      <c r="CG175" s="49"/>
      <c r="CH175" s="47"/>
      <c r="CI175" s="47"/>
      <c r="CJ175" s="47"/>
      <c r="CK175" s="47"/>
      <c r="CL175" s="47"/>
      <c r="CM175" s="47"/>
      <c r="CN175" s="47"/>
      <c r="CO175" s="47"/>
      <c r="CP175" s="47"/>
      <c r="CQ175" s="47"/>
      <c r="CS175" s="47"/>
      <c r="CT175" s="47"/>
      <c r="CU175" s="47"/>
      <c r="CV175" s="47"/>
      <c r="CW175" s="47"/>
      <c r="CX175" s="47"/>
      <c r="CY175" s="47"/>
      <c r="CZ175" s="47"/>
      <c r="DA175" s="47"/>
      <c r="DB175" s="47"/>
      <c r="DC175" s="47"/>
      <c r="DD175" s="47"/>
      <c r="DE175" s="47"/>
      <c r="DF175" s="47"/>
      <c r="DG175" s="47"/>
      <c r="DH175" s="47"/>
      <c r="DI175" s="47"/>
      <c r="DJ175" s="47"/>
      <c r="DK175" s="47"/>
      <c r="DM175" s="47"/>
      <c r="DN175" s="47"/>
      <c r="DO175" s="47"/>
      <c r="DP175" s="47"/>
      <c r="DQ175" s="47"/>
      <c r="DR175" s="47"/>
      <c r="DS175" s="47"/>
      <c r="DT175" s="47"/>
      <c r="DU175" s="47"/>
      <c r="DV175" s="49"/>
      <c r="DW175" s="47"/>
      <c r="DX175" s="47"/>
      <c r="DY175" s="47"/>
      <c r="DZ175" s="47"/>
      <c r="EA175" s="47"/>
      <c r="EB175" s="47"/>
      <c r="EC175" s="47"/>
      <c r="ED175" s="47"/>
      <c r="EE175" s="47"/>
      <c r="EF175" s="47"/>
      <c r="EG175" s="47"/>
      <c r="EH175" s="47"/>
      <c r="EI175" s="47"/>
      <c r="EJ175" s="47"/>
      <c r="EK175" s="47"/>
      <c r="EL175" s="47"/>
      <c r="EM175" s="47"/>
      <c r="EN175" s="47"/>
      <c r="EO175" s="47"/>
      <c r="EP175" s="47"/>
      <c r="EQ175" s="47"/>
      <c r="ER175" s="47"/>
      <c r="ES175" s="47"/>
      <c r="ET175" s="47"/>
      <c r="EU175" s="47"/>
      <c r="EV175" s="47"/>
      <c r="EW175" s="47"/>
      <c r="EX175" s="47"/>
      <c r="EY175" s="47"/>
      <c r="EZ175" s="47"/>
      <c r="FA175" s="47"/>
      <c r="FB175" s="47"/>
      <c r="FC175" s="47"/>
      <c r="FD175" s="47"/>
      <c r="FE175" s="47"/>
      <c r="FF175" s="47"/>
      <c r="FG175" s="47"/>
      <c r="FH175" s="47"/>
      <c r="FI175" s="47"/>
      <c r="FJ175" s="49"/>
      <c r="FK175" s="47"/>
      <c r="FL175" s="47"/>
      <c r="FM175" s="47"/>
      <c r="FN175" s="47"/>
      <c r="FO175" s="47"/>
      <c r="FP175" s="47"/>
      <c r="FQ175" s="47"/>
      <c r="FR175" s="47"/>
      <c r="FS175" s="47"/>
      <c r="FT175" s="47"/>
      <c r="FU175" s="47"/>
      <c r="FV175" s="47"/>
      <c r="FW175" s="47"/>
      <c r="FX175" s="47"/>
      <c r="FY175" s="47"/>
      <c r="FZ175" s="47"/>
      <c r="GA175" s="47"/>
      <c r="GB175" s="47"/>
      <c r="GC175" s="47"/>
      <c r="GD175" s="47"/>
      <c r="GE175" s="47"/>
      <c r="GF175" s="47"/>
      <c r="GG175" s="47"/>
      <c r="GH175" s="47"/>
      <c r="GI175" s="47"/>
      <c r="GJ175" s="47"/>
      <c r="GK175" s="47"/>
      <c r="GL175" s="47"/>
      <c r="GM175" s="47"/>
      <c r="GN175" s="47"/>
      <c r="GO175" s="47"/>
      <c r="GP175" s="47"/>
      <c r="GQ175" s="47"/>
      <c r="GR175" s="47"/>
      <c r="GS175" s="47"/>
      <c r="GT175" s="47"/>
      <c r="GU175" s="47"/>
      <c r="GV175" s="47"/>
      <c r="GW175" s="47"/>
      <c r="GX175" s="47"/>
      <c r="GY175" s="47"/>
      <c r="GZ175" s="47"/>
      <c r="HA175" s="47"/>
      <c r="HB175" s="47"/>
      <c r="HC175" s="47"/>
      <c r="HD175" s="47"/>
      <c r="HE175" s="47"/>
      <c r="HF175" s="47"/>
      <c r="HI175" s="47"/>
      <c r="HJ175" s="47"/>
      <c r="HK175" s="47"/>
      <c r="HL175" s="47"/>
      <c r="HM175" s="47"/>
      <c r="HN175" s="47"/>
      <c r="HO175" s="47"/>
      <c r="HP175" s="47"/>
      <c r="HS175" s="47"/>
      <c r="HT175" s="47"/>
      <c r="HU175" s="47"/>
      <c r="HV175" s="47"/>
      <c r="HW175" s="47"/>
      <c r="HX175" s="47"/>
      <c r="HY175" s="47"/>
      <c r="HZ175" s="47"/>
      <c r="IC175" s="47"/>
      <c r="ID175" s="47"/>
      <c r="IE175" s="47"/>
      <c r="IF175" s="47"/>
      <c r="IG175" s="47"/>
      <c r="IH175" s="47"/>
      <c r="II175" s="47"/>
      <c r="IJ175" s="47"/>
      <c r="IM175" s="47"/>
      <c r="IN175" s="47"/>
      <c r="IO175" s="47"/>
      <c r="IP175" s="47"/>
      <c r="IQ175" s="47"/>
      <c r="IR175" s="47"/>
      <c r="IS175" s="47"/>
      <c r="IT175" s="47"/>
      <c r="IW175" s="47"/>
      <c r="IX175" s="47"/>
      <c r="IY175" s="47"/>
      <c r="IZ175" s="47"/>
      <c r="JA175" s="47"/>
      <c r="JB175" s="47"/>
      <c r="JC175" s="47"/>
      <c r="JD175" s="47"/>
      <c r="JG175" s="47"/>
      <c r="JH175" s="47"/>
      <c r="JI175" s="47"/>
      <c r="JJ175" s="47"/>
      <c r="JK175" s="47"/>
      <c r="JL175" s="47"/>
      <c r="JM175" s="47"/>
      <c r="JN175" s="47"/>
      <c r="JQ175" s="47"/>
      <c r="JR175" s="47"/>
      <c r="JS175" s="47"/>
      <c r="JT175" s="47"/>
      <c r="JU175" s="47"/>
      <c r="JV175" s="47"/>
      <c r="JW175" s="47"/>
      <c r="JX175" s="47"/>
      <c r="KA175" s="47"/>
      <c r="KB175" s="47"/>
      <c r="KC175" s="47"/>
      <c r="KD175" s="47"/>
      <c r="KE175" s="47"/>
      <c r="KF175" s="47"/>
      <c r="KG175" s="47"/>
      <c r="KH175" s="47"/>
      <c r="KK175" s="47"/>
      <c r="KL175" s="47"/>
      <c r="KM175" s="47"/>
      <c r="KN175" s="47"/>
      <c r="KO175" s="47"/>
      <c r="KP175" s="47"/>
      <c r="KQ175" s="47"/>
      <c r="KR175" s="47"/>
      <c r="KU175" s="47"/>
      <c r="KV175" s="47"/>
      <c r="KW175" s="47"/>
      <c r="KX175" s="47"/>
      <c r="KY175" s="47"/>
      <c r="KZ175" s="47"/>
      <c r="LA175" s="47"/>
      <c r="LB175" s="47"/>
    </row>
    <row r="176" spans="29:314" x14ac:dyDescent="0.25">
      <c r="AC176" s="47"/>
      <c r="AD176" s="47"/>
      <c r="AE176" s="47"/>
      <c r="AF176" s="47"/>
      <c r="AG176" s="49"/>
      <c r="AH176" s="47"/>
      <c r="AI176" s="47"/>
      <c r="AJ176" s="47"/>
      <c r="AK176" s="47"/>
      <c r="AL176" s="47"/>
      <c r="AM176" s="47"/>
      <c r="AN176" s="47"/>
      <c r="AO176" s="47"/>
      <c r="AP176" s="47"/>
      <c r="AQ176" s="47"/>
      <c r="AR176" s="47"/>
      <c r="AS176" s="47"/>
      <c r="AT176" s="47"/>
      <c r="AU176" s="47"/>
      <c r="AV176" s="47"/>
      <c r="AW176" s="47"/>
      <c r="AX176" s="47"/>
      <c r="AY176" s="47"/>
      <c r="AZ176" s="47"/>
      <c r="BA176" s="47"/>
      <c r="BB176" s="47"/>
      <c r="BC176" s="47"/>
      <c r="BD176" s="47"/>
      <c r="BE176" s="47"/>
      <c r="BF176" s="47"/>
      <c r="BG176" s="47"/>
      <c r="BH176" s="47"/>
      <c r="BI176" s="47"/>
      <c r="BJ176" s="47"/>
      <c r="BK176" s="47"/>
      <c r="BL176" s="47"/>
      <c r="BM176" s="47"/>
      <c r="BN176" s="49"/>
      <c r="BO176" s="47"/>
      <c r="BP176" s="47"/>
      <c r="BQ176" s="47"/>
      <c r="BR176" s="47"/>
      <c r="BS176" s="47"/>
      <c r="BT176" s="47"/>
      <c r="BU176" s="47"/>
      <c r="BV176" s="47"/>
      <c r="BW176" s="47"/>
      <c r="BX176" s="47"/>
      <c r="BY176" s="47"/>
      <c r="BZ176" s="47"/>
      <c r="CA176" s="47"/>
      <c r="CB176" s="47"/>
      <c r="CC176" s="47"/>
      <c r="CD176" s="47"/>
      <c r="CE176" s="47"/>
      <c r="CF176" s="47"/>
      <c r="CG176" s="49"/>
      <c r="CH176" s="47"/>
      <c r="CI176" s="47"/>
      <c r="CJ176" s="47"/>
      <c r="CK176" s="47"/>
      <c r="CL176" s="47"/>
      <c r="CM176" s="47"/>
      <c r="CN176" s="47"/>
      <c r="CO176" s="47"/>
      <c r="CP176" s="47"/>
      <c r="CQ176" s="47"/>
      <c r="CS176" s="47"/>
      <c r="CT176" s="47"/>
      <c r="CU176" s="47"/>
      <c r="CV176" s="47"/>
      <c r="CW176" s="47"/>
      <c r="CX176" s="47"/>
      <c r="CY176" s="47"/>
      <c r="CZ176" s="47"/>
      <c r="DA176" s="47"/>
      <c r="DB176" s="47"/>
      <c r="DC176" s="47"/>
      <c r="DD176" s="47"/>
      <c r="DE176" s="47"/>
      <c r="DF176" s="47"/>
      <c r="DG176" s="47"/>
      <c r="DH176" s="47"/>
      <c r="DI176" s="47"/>
      <c r="DJ176" s="47"/>
      <c r="DK176" s="47"/>
      <c r="DM176" s="47"/>
      <c r="DN176" s="47"/>
      <c r="DO176" s="47"/>
      <c r="DP176" s="47"/>
      <c r="DQ176" s="47"/>
      <c r="DR176" s="47"/>
      <c r="DS176" s="47"/>
      <c r="DT176" s="47"/>
      <c r="DU176" s="47"/>
      <c r="DV176" s="49"/>
      <c r="DW176" s="47"/>
      <c r="DX176" s="47"/>
      <c r="DY176" s="47"/>
      <c r="DZ176" s="47"/>
      <c r="EA176" s="47"/>
      <c r="EB176" s="47"/>
      <c r="EC176" s="47"/>
      <c r="ED176" s="47"/>
      <c r="EE176" s="47"/>
      <c r="EF176" s="47"/>
      <c r="EG176" s="47"/>
      <c r="EH176" s="47"/>
      <c r="EI176" s="47"/>
      <c r="EJ176" s="47"/>
      <c r="EK176" s="47"/>
      <c r="EL176" s="47"/>
      <c r="EM176" s="47"/>
      <c r="EN176" s="47"/>
      <c r="EO176" s="47"/>
      <c r="EP176" s="47"/>
      <c r="EQ176" s="47"/>
      <c r="ER176" s="47"/>
      <c r="ES176" s="47"/>
      <c r="ET176" s="47"/>
      <c r="EU176" s="47"/>
      <c r="EV176" s="47"/>
      <c r="EW176" s="47"/>
      <c r="EX176" s="47"/>
      <c r="EY176" s="47"/>
      <c r="EZ176" s="47"/>
      <c r="FA176" s="47"/>
      <c r="FB176" s="47"/>
      <c r="FC176" s="47"/>
      <c r="FD176" s="47"/>
      <c r="FE176" s="47"/>
      <c r="FF176" s="47"/>
      <c r="FG176" s="47"/>
      <c r="FH176" s="47"/>
      <c r="FI176" s="47"/>
      <c r="FJ176" s="49"/>
      <c r="FK176" s="47"/>
      <c r="FL176" s="47"/>
      <c r="FM176" s="47"/>
      <c r="FN176" s="47"/>
      <c r="FO176" s="47"/>
      <c r="FP176" s="47"/>
      <c r="FQ176" s="47"/>
      <c r="FR176" s="47"/>
      <c r="FS176" s="47"/>
      <c r="FT176" s="47"/>
      <c r="FU176" s="47"/>
      <c r="FV176" s="47"/>
      <c r="FW176" s="47"/>
      <c r="FX176" s="47"/>
      <c r="FY176" s="47"/>
      <c r="FZ176" s="47"/>
      <c r="GA176" s="47"/>
      <c r="GB176" s="47"/>
      <c r="GC176" s="47"/>
      <c r="GD176" s="47"/>
      <c r="GE176" s="47"/>
      <c r="GF176" s="47"/>
      <c r="GG176" s="47"/>
      <c r="GH176" s="47"/>
      <c r="GI176" s="47"/>
      <c r="GJ176" s="47"/>
      <c r="GK176" s="47"/>
      <c r="GL176" s="47"/>
      <c r="GM176" s="47"/>
      <c r="GN176" s="47"/>
      <c r="GO176" s="47"/>
      <c r="GP176" s="47"/>
      <c r="GQ176" s="47"/>
      <c r="GR176" s="47"/>
      <c r="GS176" s="47"/>
      <c r="GT176" s="47"/>
      <c r="GU176" s="47"/>
      <c r="GV176" s="47"/>
      <c r="GW176" s="47"/>
      <c r="GX176" s="47"/>
      <c r="GY176" s="47"/>
      <c r="GZ176" s="47"/>
      <c r="HA176" s="47"/>
      <c r="HB176" s="47"/>
      <c r="HC176" s="47"/>
      <c r="HD176" s="47"/>
      <c r="HE176" s="47"/>
      <c r="HF176" s="47"/>
      <c r="HI176" s="47"/>
      <c r="HJ176" s="47"/>
      <c r="HK176" s="47"/>
      <c r="HL176" s="47"/>
      <c r="HM176" s="47"/>
      <c r="HN176" s="47"/>
      <c r="HO176" s="47"/>
      <c r="HP176" s="47"/>
      <c r="HS176" s="47"/>
      <c r="HT176" s="47"/>
      <c r="HU176" s="47"/>
      <c r="HV176" s="47"/>
      <c r="HW176" s="47"/>
      <c r="HX176" s="47"/>
      <c r="HY176" s="47"/>
      <c r="HZ176" s="47"/>
      <c r="IC176" s="47"/>
      <c r="ID176" s="47"/>
      <c r="IE176" s="47"/>
      <c r="IF176" s="47"/>
      <c r="IG176" s="47"/>
      <c r="IH176" s="47"/>
      <c r="II176" s="47"/>
      <c r="IJ176" s="47"/>
      <c r="IM176" s="47"/>
      <c r="IN176" s="47"/>
      <c r="IO176" s="47"/>
      <c r="IP176" s="47"/>
      <c r="IQ176" s="47"/>
      <c r="IR176" s="47"/>
      <c r="IS176" s="47"/>
      <c r="IT176" s="47"/>
      <c r="IW176" s="47"/>
      <c r="IX176" s="47"/>
      <c r="IY176" s="47"/>
      <c r="IZ176" s="47"/>
      <c r="JA176" s="47"/>
      <c r="JB176" s="47"/>
      <c r="JC176" s="47"/>
      <c r="JD176" s="47"/>
      <c r="JG176" s="47"/>
      <c r="JH176" s="47"/>
      <c r="JI176" s="47"/>
      <c r="JJ176" s="47"/>
      <c r="JK176" s="47"/>
      <c r="JL176" s="47"/>
      <c r="JM176" s="47"/>
      <c r="JN176" s="47"/>
      <c r="JQ176" s="47"/>
      <c r="JR176" s="47"/>
      <c r="JS176" s="47"/>
      <c r="JT176" s="47"/>
      <c r="JU176" s="47"/>
      <c r="JV176" s="47"/>
      <c r="JW176" s="47"/>
      <c r="JX176" s="47"/>
      <c r="KA176" s="47"/>
      <c r="KB176" s="47"/>
      <c r="KC176" s="47"/>
      <c r="KD176" s="47"/>
      <c r="KE176" s="47"/>
      <c r="KF176" s="47"/>
      <c r="KG176" s="47"/>
      <c r="KH176" s="47"/>
      <c r="KK176" s="47"/>
      <c r="KL176" s="47"/>
      <c r="KM176" s="47"/>
      <c r="KN176" s="47"/>
      <c r="KO176" s="47"/>
      <c r="KP176" s="47"/>
      <c r="KQ176" s="47"/>
      <c r="KR176" s="47"/>
      <c r="KU176" s="47"/>
      <c r="KV176" s="47"/>
      <c r="KW176" s="47"/>
      <c r="KX176" s="47"/>
      <c r="KY176" s="47"/>
      <c r="KZ176" s="47"/>
      <c r="LA176" s="47"/>
      <c r="LB176" s="47"/>
    </row>
    <row r="177" spans="29:314" x14ac:dyDescent="0.25">
      <c r="AC177" s="47"/>
      <c r="AD177" s="47"/>
      <c r="AE177" s="47"/>
      <c r="AF177" s="47"/>
      <c r="AG177" s="49"/>
      <c r="AH177" s="47"/>
      <c r="AI177" s="47"/>
      <c r="AJ177" s="47"/>
      <c r="AK177" s="47"/>
      <c r="AL177" s="47"/>
      <c r="AM177" s="47"/>
      <c r="AN177" s="47"/>
      <c r="AO177" s="47"/>
      <c r="AP177" s="47"/>
      <c r="AQ177" s="47"/>
      <c r="AR177" s="47"/>
      <c r="AS177" s="47"/>
      <c r="AT177" s="47"/>
      <c r="AU177" s="47"/>
      <c r="AV177" s="47"/>
      <c r="AW177" s="47"/>
      <c r="AX177" s="47"/>
      <c r="AY177" s="47"/>
      <c r="AZ177" s="47"/>
      <c r="BA177" s="47"/>
      <c r="BB177" s="47"/>
      <c r="BC177" s="47"/>
      <c r="BD177" s="47"/>
      <c r="BE177" s="47"/>
      <c r="BF177" s="47"/>
      <c r="BG177" s="47"/>
      <c r="BH177" s="47"/>
      <c r="BI177" s="47"/>
      <c r="BJ177" s="47"/>
      <c r="BK177" s="47"/>
      <c r="BL177" s="47"/>
      <c r="BM177" s="47"/>
      <c r="BN177" s="49"/>
      <c r="BO177" s="47"/>
      <c r="BP177" s="47"/>
      <c r="BQ177" s="47"/>
      <c r="BR177" s="47"/>
      <c r="BS177" s="47"/>
      <c r="BT177" s="47"/>
      <c r="BU177" s="47"/>
      <c r="BV177" s="47"/>
      <c r="BW177" s="47"/>
      <c r="BX177" s="47"/>
      <c r="BY177" s="47"/>
      <c r="BZ177" s="47"/>
      <c r="CA177" s="47"/>
      <c r="CB177" s="47"/>
      <c r="CC177" s="47"/>
      <c r="CD177" s="47"/>
      <c r="CE177" s="47"/>
      <c r="CF177" s="47"/>
      <c r="CG177" s="49"/>
      <c r="CH177" s="47"/>
      <c r="CI177" s="47"/>
      <c r="CJ177" s="47"/>
      <c r="CK177" s="47"/>
      <c r="CL177" s="47"/>
      <c r="CM177" s="47"/>
      <c r="CN177" s="47"/>
      <c r="CO177" s="47"/>
      <c r="CP177" s="47"/>
      <c r="CQ177" s="47"/>
      <c r="CS177" s="47"/>
      <c r="CT177" s="47"/>
      <c r="CU177" s="47"/>
      <c r="CV177" s="47"/>
      <c r="CW177" s="47"/>
      <c r="CX177" s="47"/>
      <c r="CY177" s="47"/>
      <c r="CZ177" s="47"/>
      <c r="DA177" s="47"/>
      <c r="DB177" s="47"/>
      <c r="DC177" s="47"/>
      <c r="DD177" s="47"/>
      <c r="DE177" s="47"/>
      <c r="DF177" s="47"/>
      <c r="DG177" s="47"/>
      <c r="DH177" s="47"/>
      <c r="DI177" s="47"/>
      <c r="DJ177" s="47"/>
      <c r="DK177" s="47"/>
      <c r="DM177" s="47"/>
      <c r="DN177" s="47"/>
      <c r="DO177" s="47"/>
      <c r="DP177" s="47"/>
      <c r="DQ177" s="47"/>
      <c r="DR177" s="47"/>
      <c r="DS177" s="47"/>
      <c r="DT177" s="47"/>
      <c r="DU177" s="47"/>
      <c r="DV177" s="49"/>
      <c r="DW177" s="47"/>
      <c r="DX177" s="47"/>
      <c r="DY177" s="47"/>
      <c r="DZ177" s="47"/>
      <c r="EA177" s="47"/>
      <c r="EB177" s="47"/>
      <c r="EC177" s="47"/>
      <c r="ED177" s="47"/>
      <c r="EE177" s="47"/>
      <c r="EF177" s="47"/>
      <c r="EG177" s="47"/>
      <c r="EH177" s="47"/>
      <c r="EI177" s="47"/>
      <c r="EJ177" s="47"/>
      <c r="EK177" s="47"/>
      <c r="EL177" s="47"/>
      <c r="EM177" s="47"/>
      <c r="EN177" s="47"/>
      <c r="EO177" s="47"/>
      <c r="EP177" s="47"/>
      <c r="EQ177" s="47"/>
      <c r="ER177" s="47"/>
      <c r="ES177" s="47"/>
      <c r="ET177" s="47"/>
      <c r="EU177" s="47"/>
      <c r="EV177" s="47"/>
      <c r="EW177" s="47"/>
      <c r="EX177" s="47"/>
      <c r="EY177" s="47"/>
      <c r="EZ177" s="47"/>
      <c r="FA177" s="47"/>
      <c r="FB177" s="47"/>
      <c r="FC177" s="47"/>
      <c r="FD177" s="47"/>
      <c r="FE177" s="47"/>
      <c r="FF177" s="47"/>
      <c r="FG177" s="47"/>
      <c r="FH177" s="47"/>
      <c r="FI177" s="47"/>
      <c r="FJ177" s="49"/>
      <c r="FK177" s="47"/>
      <c r="FL177" s="47"/>
      <c r="FM177" s="47"/>
      <c r="FN177" s="47"/>
      <c r="FO177" s="47"/>
      <c r="FP177" s="47"/>
      <c r="FQ177" s="47"/>
      <c r="FR177" s="47"/>
      <c r="FS177" s="47"/>
      <c r="FT177" s="47"/>
      <c r="FU177" s="47"/>
      <c r="FV177" s="47"/>
      <c r="FW177" s="47"/>
      <c r="FX177" s="47"/>
      <c r="FY177" s="47"/>
      <c r="FZ177" s="47"/>
      <c r="GA177" s="47"/>
      <c r="GB177" s="47"/>
      <c r="GC177" s="47"/>
      <c r="GD177" s="47"/>
      <c r="GE177" s="47"/>
      <c r="GF177" s="47"/>
      <c r="GG177" s="47"/>
      <c r="GH177" s="47"/>
      <c r="GI177" s="47"/>
      <c r="GJ177" s="47"/>
      <c r="GK177" s="47"/>
      <c r="GL177" s="47"/>
      <c r="GM177" s="47"/>
      <c r="GN177" s="47"/>
      <c r="GO177" s="47"/>
      <c r="GP177" s="47"/>
      <c r="GQ177" s="47"/>
      <c r="GR177" s="47"/>
      <c r="GS177" s="47"/>
      <c r="GT177" s="47"/>
      <c r="GU177" s="47"/>
      <c r="GV177" s="47"/>
      <c r="GW177" s="47"/>
      <c r="GX177" s="47"/>
      <c r="GY177" s="47"/>
      <c r="GZ177" s="47"/>
      <c r="HA177" s="47"/>
      <c r="HB177" s="47"/>
      <c r="HC177" s="47"/>
      <c r="HD177" s="47"/>
      <c r="HE177" s="47"/>
      <c r="HF177" s="47"/>
      <c r="HI177" s="47"/>
      <c r="HJ177" s="47"/>
      <c r="HK177" s="47"/>
      <c r="HL177" s="47"/>
      <c r="HM177" s="47"/>
      <c r="HN177" s="47"/>
      <c r="HO177" s="47"/>
      <c r="HP177" s="47"/>
      <c r="HS177" s="47"/>
      <c r="HT177" s="47"/>
      <c r="HU177" s="47"/>
      <c r="HV177" s="47"/>
      <c r="HW177" s="47"/>
      <c r="HX177" s="47"/>
      <c r="HY177" s="47"/>
      <c r="HZ177" s="47"/>
      <c r="IC177" s="47"/>
      <c r="ID177" s="47"/>
      <c r="IE177" s="47"/>
      <c r="IF177" s="47"/>
      <c r="IG177" s="47"/>
      <c r="IH177" s="47"/>
      <c r="II177" s="47"/>
      <c r="IJ177" s="47"/>
      <c r="IM177" s="47"/>
      <c r="IN177" s="47"/>
      <c r="IO177" s="47"/>
      <c r="IP177" s="47"/>
      <c r="IQ177" s="47"/>
      <c r="IR177" s="47"/>
      <c r="IS177" s="47"/>
      <c r="IT177" s="47"/>
      <c r="IW177" s="47"/>
      <c r="IX177" s="47"/>
      <c r="IY177" s="47"/>
      <c r="IZ177" s="47"/>
      <c r="JA177" s="47"/>
      <c r="JB177" s="47"/>
      <c r="JC177" s="47"/>
      <c r="JD177" s="47"/>
      <c r="JG177" s="47"/>
      <c r="JH177" s="47"/>
      <c r="JI177" s="47"/>
      <c r="JJ177" s="47"/>
      <c r="JK177" s="47"/>
      <c r="JL177" s="47"/>
      <c r="JM177" s="47"/>
      <c r="JN177" s="47"/>
      <c r="JQ177" s="47"/>
      <c r="JR177" s="47"/>
      <c r="JS177" s="47"/>
      <c r="JT177" s="47"/>
      <c r="JU177" s="47"/>
      <c r="JV177" s="47"/>
      <c r="JW177" s="47"/>
      <c r="JX177" s="47"/>
      <c r="KA177" s="47"/>
      <c r="KB177" s="47"/>
      <c r="KC177" s="47"/>
      <c r="KD177" s="47"/>
      <c r="KE177" s="47"/>
      <c r="KF177" s="47"/>
      <c r="KG177" s="47"/>
      <c r="KH177" s="47"/>
      <c r="KK177" s="47"/>
      <c r="KL177" s="47"/>
      <c r="KM177" s="47"/>
      <c r="KN177" s="47"/>
      <c r="KO177" s="47"/>
      <c r="KP177" s="47"/>
      <c r="KQ177" s="47"/>
      <c r="KR177" s="47"/>
      <c r="KU177" s="47"/>
      <c r="KV177" s="47"/>
      <c r="KW177" s="47"/>
      <c r="KX177" s="47"/>
      <c r="KY177" s="47"/>
      <c r="KZ177" s="47"/>
      <c r="LA177" s="47"/>
      <c r="LB177" s="47"/>
    </row>
    <row r="178" spans="29:314" x14ac:dyDescent="0.25">
      <c r="AC178" s="47"/>
      <c r="AD178" s="47"/>
      <c r="AE178" s="47"/>
      <c r="AF178" s="47"/>
      <c r="AG178" s="49"/>
      <c r="AH178" s="47"/>
      <c r="AI178" s="47"/>
      <c r="AJ178" s="47"/>
      <c r="AK178" s="47"/>
      <c r="AL178" s="47"/>
      <c r="AM178" s="47"/>
      <c r="AN178" s="47"/>
      <c r="AO178" s="47"/>
      <c r="AP178" s="47"/>
      <c r="AQ178" s="47"/>
      <c r="AR178" s="47"/>
      <c r="AS178" s="47"/>
      <c r="AT178" s="47"/>
      <c r="AU178" s="47"/>
      <c r="AV178" s="47"/>
      <c r="AW178" s="47"/>
      <c r="AX178" s="47"/>
      <c r="AY178" s="47"/>
      <c r="AZ178" s="47"/>
      <c r="BA178" s="47"/>
      <c r="BB178" s="47"/>
      <c r="BC178" s="47"/>
      <c r="BD178" s="47"/>
      <c r="BE178" s="47"/>
      <c r="BF178" s="47"/>
      <c r="BG178" s="47"/>
      <c r="BH178" s="47"/>
      <c r="BI178" s="47"/>
      <c r="BJ178" s="47"/>
      <c r="BK178" s="47"/>
      <c r="BL178" s="47"/>
      <c r="BM178" s="47"/>
      <c r="BN178" s="49"/>
      <c r="BO178" s="47"/>
      <c r="BP178" s="47"/>
      <c r="BQ178" s="47"/>
      <c r="BR178" s="47"/>
      <c r="BS178" s="47"/>
      <c r="BT178" s="47"/>
      <c r="BU178" s="47"/>
      <c r="BV178" s="47"/>
      <c r="BW178" s="47"/>
      <c r="BX178" s="47"/>
      <c r="BY178" s="47"/>
      <c r="BZ178" s="47"/>
      <c r="CA178" s="47"/>
      <c r="CB178" s="47"/>
      <c r="CC178" s="47"/>
      <c r="CD178" s="47"/>
      <c r="CE178" s="47"/>
      <c r="CF178" s="47"/>
      <c r="CG178" s="49"/>
      <c r="CH178" s="47"/>
      <c r="CI178" s="47"/>
      <c r="CJ178" s="47"/>
      <c r="CK178" s="47"/>
      <c r="CL178" s="47"/>
      <c r="CM178" s="47"/>
      <c r="CN178" s="47"/>
      <c r="CO178" s="47"/>
      <c r="CP178" s="47"/>
      <c r="CQ178" s="47"/>
      <c r="CS178" s="47"/>
      <c r="CT178" s="47"/>
      <c r="CU178" s="47"/>
      <c r="CV178" s="47"/>
      <c r="CW178" s="47"/>
      <c r="CX178" s="47"/>
      <c r="CY178" s="47"/>
      <c r="CZ178" s="47"/>
      <c r="DA178" s="47"/>
      <c r="DB178" s="47"/>
      <c r="DC178" s="47"/>
      <c r="DD178" s="47"/>
      <c r="DE178" s="47"/>
      <c r="DF178" s="47"/>
      <c r="DG178" s="47"/>
      <c r="DH178" s="47"/>
      <c r="DI178" s="47"/>
      <c r="DJ178" s="47"/>
      <c r="DK178" s="47"/>
      <c r="DM178" s="47"/>
      <c r="DN178" s="47"/>
      <c r="DO178" s="47"/>
      <c r="DP178" s="47"/>
      <c r="DQ178" s="47"/>
      <c r="DR178" s="47"/>
      <c r="DS178" s="47"/>
      <c r="DT178" s="47"/>
      <c r="DU178" s="47"/>
      <c r="DV178" s="49"/>
      <c r="DW178" s="47"/>
      <c r="DX178" s="47"/>
      <c r="DY178" s="47"/>
      <c r="DZ178" s="47"/>
      <c r="EA178" s="47"/>
      <c r="EB178" s="47"/>
      <c r="EC178" s="47"/>
      <c r="ED178" s="47"/>
      <c r="EE178" s="47"/>
      <c r="EF178" s="47"/>
      <c r="EG178" s="47"/>
      <c r="EH178" s="47"/>
      <c r="EI178" s="47"/>
      <c r="EJ178" s="47"/>
      <c r="EK178" s="47"/>
      <c r="EL178" s="47"/>
      <c r="EM178" s="47"/>
      <c r="EN178" s="47"/>
      <c r="EO178" s="47"/>
      <c r="EP178" s="47"/>
      <c r="EQ178" s="47"/>
      <c r="ER178" s="47"/>
      <c r="ES178" s="47"/>
      <c r="ET178" s="47"/>
      <c r="EU178" s="47"/>
      <c r="EV178" s="47"/>
      <c r="EW178" s="47"/>
      <c r="EX178" s="47"/>
      <c r="EY178" s="47"/>
      <c r="EZ178" s="47"/>
      <c r="FA178" s="47"/>
      <c r="FB178" s="47"/>
      <c r="FC178" s="47"/>
      <c r="FD178" s="47"/>
      <c r="FE178" s="47"/>
      <c r="FF178" s="47"/>
      <c r="FG178" s="47"/>
      <c r="FH178" s="47"/>
      <c r="FI178" s="47"/>
      <c r="FJ178" s="49"/>
      <c r="FK178" s="47"/>
      <c r="FL178" s="47"/>
      <c r="FM178" s="47"/>
      <c r="FN178" s="47"/>
      <c r="FO178" s="47"/>
      <c r="FP178" s="47"/>
      <c r="FQ178" s="47"/>
      <c r="FR178" s="47"/>
      <c r="FS178" s="47"/>
      <c r="FT178" s="47"/>
      <c r="FU178" s="47"/>
      <c r="FV178" s="47"/>
      <c r="FW178" s="47"/>
      <c r="FX178" s="47"/>
      <c r="FY178" s="47"/>
      <c r="FZ178" s="47"/>
      <c r="GA178" s="47"/>
      <c r="GB178" s="47"/>
      <c r="GC178" s="47"/>
      <c r="GD178" s="47"/>
      <c r="GE178" s="47"/>
      <c r="GF178" s="47"/>
      <c r="GG178" s="47"/>
      <c r="GH178" s="47"/>
      <c r="GI178" s="47"/>
      <c r="GJ178" s="47"/>
      <c r="GK178" s="47"/>
      <c r="GL178" s="47"/>
      <c r="GM178" s="47"/>
      <c r="GN178" s="47"/>
      <c r="GO178" s="47"/>
      <c r="GP178" s="47"/>
      <c r="GQ178" s="47"/>
      <c r="GR178" s="47"/>
      <c r="GS178" s="47"/>
      <c r="GT178" s="47"/>
      <c r="GU178" s="47"/>
      <c r="GV178" s="47"/>
      <c r="GW178" s="47"/>
      <c r="GX178" s="47"/>
      <c r="GY178" s="47"/>
      <c r="GZ178" s="47"/>
      <c r="HA178" s="47"/>
      <c r="HB178" s="47"/>
      <c r="HC178" s="47"/>
      <c r="HD178" s="47"/>
      <c r="HE178" s="47"/>
      <c r="HF178" s="47"/>
      <c r="HI178" s="47"/>
      <c r="HJ178" s="47"/>
      <c r="HK178" s="47"/>
      <c r="HL178" s="47"/>
      <c r="HM178" s="47"/>
      <c r="HN178" s="47"/>
      <c r="HO178" s="47"/>
      <c r="HP178" s="47"/>
      <c r="HS178" s="47"/>
      <c r="HT178" s="47"/>
      <c r="HU178" s="47"/>
      <c r="HV178" s="47"/>
      <c r="HW178" s="47"/>
      <c r="HX178" s="47"/>
      <c r="HY178" s="47"/>
      <c r="HZ178" s="47"/>
      <c r="IC178" s="47"/>
      <c r="ID178" s="47"/>
      <c r="IE178" s="47"/>
      <c r="IF178" s="47"/>
      <c r="IG178" s="47"/>
      <c r="IH178" s="47"/>
      <c r="II178" s="47"/>
      <c r="IJ178" s="47"/>
      <c r="IM178" s="47"/>
      <c r="IN178" s="47"/>
      <c r="IO178" s="47"/>
      <c r="IP178" s="47"/>
      <c r="IQ178" s="47"/>
      <c r="IR178" s="47"/>
      <c r="IS178" s="47"/>
      <c r="IT178" s="47"/>
      <c r="IW178" s="47"/>
      <c r="IX178" s="47"/>
      <c r="IY178" s="47"/>
      <c r="IZ178" s="47"/>
      <c r="JA178" s="47"/>
      <c r="JB178" s="47"/>
      <c r="JC178" s="47"/>
      <c r="JD178" s="47"/>
      <c r="JG178" s="47"/>
      <c r="JH178" s="47"/>
      <c r="JI178" s="47"/>
      <c r="JJ178" s="47"/>
      <c r="JK178" s="47"/>
      <c r="JL178" s="47"/>
      <c r="JM178" s="47"/>
      <c r="JN178" s="47"/>
      <c r="JQ178" s="47"/>
      <c r="JR178" s="47"/>
      <c r="JS178" s="47"/>
      <c r="JT178" s="47"/>
      <c r="JU178" s="47"/>
      <c r="JV178" s="47"/>
      <c r="JW178" s="47"/>
      <c r="JX178" s="47"/>
      <c r="KA178" s="47"/>
      <c r="KB178" s="47"/>
      <c r="KC178" s="47"/>
      <c r="KD178" s="47"/>
      <c r="KE178" s="47"/>
      <c r="KF178" s="47"/>
      <c r="KG178" s="47"/>
      <c r="KH178" s="47"/>
      <c r="KK178" s="47"/>
      <c r="KL178" s="47"/>
      <c r="KM178" s="47"/>
      <c r="KN178" s="47"/>
      <c r="KO178" s="47"/>
      <c r="KP178" s="47"/>
      <c r="KQ178" s="47"/>
      <c r="KR178" s="47"/>
      <c r="KU178" s="47"/>
      <c r="KV178" s="47"/>
      <c r="KW178" s="47"/>
      <c r="KX178" s="47"/>
      <c r="KY178" s="47"/>
      <c r="KZ178" s="47"/>
      <c r="LA178" s="47"/>
      <c r="LB178" s="47"/>
    </row>
    <row r="179" spans="29:314" x14ac:dyDescent="0.25">
      <c r="AC179" s="47"/>
      <c r="AD179" s="47"/>
      <c r="AE179" s="47"/>
      <c r="AF179" s="47"/>
      <c r="AG179" s="49"/>
      <c r="AH179" s="47"/>
      <c r="AI179" s="47"/>
      <c r="AJ179" s="47"/>
      <c r="AK179" s="47"/>
      <c r="AL179" s="47"/>
      <c r="AM179" s="47"/>
      <c r="AN179" s="47"/>
      <c r="AO179" s="47"/>
      <c r="AP179" s="47"/>
      <c r="AQ179" s="47"/>
      <c r="AR179" s="47"/>
      <c r="AS179" s="47"/>
      <c r="AT179" s="47"/>
      <c r="AU179" s="47"/>
      <c r="AV179" s="47"/>
      <c r="AW179" s="47"/>
      <c r="AX179" s="47"/>
      <c r="AY179" s="47"/>
      <c r="AZ179" s="47"/>
      <c r="BA179" s="47"/>
      <c r="BB179" s="47"/>
      <c r="BC179" s="47"/>
      <c r="BD179" s="47"/>
      <c r="BE179" s="47"/>
      <c r="BF179" s="47"/>
      <c r="BG179" s="47"/>
      <c r="BH179" s="47"/>
      <c r="BI179" s="47"/>
      <c r="BJ179" s="47"/>
      <c r="BK179" s="47"/>
      <c r="BL179" s="47"/>
      <c r="BM179" s="47"/>
      <c r="BN179" s="49"/>
      <c r="BO179" s="47"/>
      <c r="BP179" s="47"/>
      <c r="BQ179" s="47"/>
      <c r="BR179" s="47"/>
      <c r="BS179" s="47"/>
      <c r="BT179" s="47"/>
      <c r="BU179" s="47"/>
      <c r="BV179" s="47"/>
      <c r="BW179" s="47"/>
      <c r="BX179" s="47"/>
      <c r="BY179" s="47"/>
      <c r="BZ179" s="47"/>
      <c r="CA179" s="47"/>
      <c r="CB179" s="47"/>
      <c r="CC179" s="47"/>
      <c r="CD179" s="47"/>
      <c r="CE179" s="47"/>
      <c r="CF179" s="47"/>
      <c r="CG179" s="49"/>
      <c r="CH179" s="47"/>
      <c r="CI179" s="47"/>
      <c r="CJ179" s="47"/>
      <c r="CK179" s="47"/>
      <c r="CL179" s="47"/>
      <c r="CM179" s="47"/>
      <c r="CN179" s="47"/>
      <c r="CO179" s="47"/>
      <c r="CP179" s="47"/>
      <c r="CQ179" s="47"/>
      <c r="CS179" s="47"/>
      <c r="CT179" s="47"/>
      <c r="CU179" s="47"/>
      <c r="CV179" s="47"/>
      <c r="CW179" s="47"/>
      <c r="CX179" s="47"/>
      <c r="CY179" s="47"/>
      <c r="CZ179" s="47"/>
      <c r="DA179" s="47"/>
      <c r="DB179" s="47"/>
      <c r="DC179" s="47"/>
      <c r="DD179" s="47"/>
      <c r="DE179" s="47"/>
      <c r="DF179" s="47"/>
      <c r="DG179" s="47"/>
      <c r="DH179" s="47"/>
      <c r="DI179" s="47"/>
      <c r="DJ179" s="47"/>
      <c r="DK179" s="47"/>
      <c r="DM179" s="47"/>
      <c r="DN179" s="47"/>
      <c r="DO179" s="47"/>
      <c r="DP179" s="47"/>
      <c r="DQ179" s="47"/>
      <c r="DR179" s="47"/>
      <c r="DS179" s="47"/>
      <c r="DT179" s="47"/>
      <c r="DU179" s="47"/>
      <c r="DV179" s="49"/>
      <c r="DW179" s="47"/>
      <c r="DX179" s="47"/>
      <c r="DY179" s="47"/>
      <c r="DZ179" s="47"/>
      <c r="EA179" s="47"/>
      <c r="EB179" s="47"/>
      <c r="EC179" s="47"/>
      <c r="ED179" s="47"/>
      <c r="EE179" s="47"/>
      <c r="EF179" s="47"/>
      <c r="EG179" s="47"/>
      <c r="EH179" s="47"/>
      <c r="EI179" s="47"/>
      <c r="EJ179" s="47"/>
      <c r="EK179" s="47"/>
      <c r="EL179" s="47"/>
      <c r="EM179" s="47"/>
      <c r="EN179" s="47"/>
      <c r="EO179" s="47"/>
      <c r="EP179" s="47"/>
      <c r="EQ179" s="47"/>
      <c r="ER179" s="47"/>
      <c r="ES179" s="47"/>
      <c r="ET179" s="47"/>
      <c r="EU179" s="47"/>
      <c r="EV179" s="47"/>
      <c r="EW179" s="47"/>
      <c r="EX179" s="47"/>
      <c r="EY179" s="47"/>
      <c r="EZ179" s="47"/>
      <c r="FA179" s="47"/>
      <c r="FB179" s="47"/>
      <c r="FC179" s="47"/>
      <c r="FD179" s="47"/>
      <c r="FE179" s="47"/>
      <c r="FF179" s="47"/>
      <c r="FG179" s="47"/>
      <c r="FH179" s="47"/>
      <c r="FI179" s="47"/>
      <c r="FJ179" s="49"/>
      <c r="FK179" s="47"/>
      <c r="FL179" s="47"/>
      <c r="FM179" s="47"/>
      <c r="FN179" s="47"/>
      <c r="FO179" s="47"/>
      <c r="FP179" s="47"/>
      <c r="FQ179" s="47"/>
      <c r="FR179" s="47"/>
      <c r="FS179" s="47"/>
      <c r="FT179" s="47"/>
      <c r="FU179" s="47"/>
      <c r="FV179" s="47"/>
      <c r="FW179" s="47"/>
      <c r="FX179" s="47"/>
      <c r="FY179" s="47"/>
      <c r="FZ179" s="47"/>
      <c r="GA179" s="47"/>
      <c r="GB179" s="47"/>
      <c r="GC179" s="47"/>
      <c r="GD179" s="47"/>
      <c r="GE179" s="47"/>
      <c r="GF179" s="47"/>
      <c r="GG179" s="47"/>
      <c r="GH179" s="47"/>
      <c r="GI179" s="47"/>
      <c r="GJ179" s="47"/>
      <c r="GK179" s="47"/>
      <c r="GL179" s="47"/>
      <c r="GM179" s="47"/>
      <c r="GN179" s="47"/>
      <c r="GO179" s="47"/>
      <c r="GP179" s="47"/>
      <c r="GQ179" s="47"/>
      <c r="GR179" s="47"/>
      <c r="GS179" s="47"/>
      <c r="GT179" s="47"/>
      <c r="GU179" s="47"/>
      <c r="GV179" s="47"/>
      <c r="GW179" s="47"/>
      <c r="GX179" s="47"/>
      <c r="GY179" s="47"/>
      <c r="GZ179" s="47"/>
      <c r="HA179" s="47"/>
      <c r="HB179" s="47"/>
      <c r="HC179" s="47"/>
      <c r="HD179" s="47"/>
      <c r="HE179" s="47"/>
      <c r="HF179" s="47"/>
      <c r="HI179" s="47"/>
      <c r="HJ179" s="47"/>
      <c r="HK179" s="47"/>
      <c r="HL179" s="47"/>
      <c r="HM179" s="47"/>
      <c r="HN179" s="47"/>
      <c r="HO179" s="47"/>
      <c r="HP179" s="47"/>
      <c r="HS179" s="47"/>
      <c r="HT179" s="47"/>
      <c r="HU179" s="47"/>
      <c r="HV179" s="47"/>
      <c r="HW179" s="47"/>
      <c r="HX179" s="47"/>
      <c r="HY179" s="47"/>
      <c r="HZ179" s="47"/>
      <c r="IC179" s="47"/>
      <c r="ID179" s="47"/>
      <c r="IE179" s="47"/>
      <c r="IF179" s="47"/>
      <c r="IG179" s="47"/>
      <c r="IH179" s="47"/>
      <c r="II179" s="47"/>
      <c r="IJ179" s="47"/>
      <c r="IM179" s="47"/>
      <c r="IN179" s="47"/>
      <c r="IO179" s="47"/>
      <c r="IP179" s="47"/>
      <c r="IQ179" s="47"/>
      <c r="IR179" s="47"/>
      <c r="IS179" s="47"/>
      <c r="IT179" s="47"/>
      <c r="IW179" s="47"/>
      <c r="IX179" s="47"/>
      <c r="IY179" s="47"/>
      <c r="IZ179" s="47"/>
      <c r="JA179" s="47"/>
      <c r="JB179" s="47"/>
      <c r="JC179" s="47"/>
      <c r="JD179" s="47"/>
      <c r="JG179" s="47"/>
      <c r="JH179" s="47"/>
      <c r="JI179" s="47"/>
      <c r="JJ179" s="47"/>
      <c r="JK179" s="47"/>
      <c r="JL179" s="47"/>
      <c r="JM179" s="47"/>
      <c r="JN179" s="47"/>
      <c r="JQ179" s="47"/>
      <c r="JR179" s="47"/>
      <c r="JS179" s="47"/>
      <c r="JT179" s="47"/>
      <c r="JU179" s="47"/>
      <c r="JV179" s="47"/>
      <c r="JW179" s="47"/>
      <c r="JX179" s="47"/>
      <c r="KA179" s="47"/>
      <c r="KB179" s="47"/>
      <c r="KC179" s="47"/>
      <c r="KD179" s="47"/>
      <c r="KE179" s="47"/>
      <c r="KF179" s="47"/>
      <c r="KG179" s="47"/>
      <c r="KH179" s="47"/>
      <c r="KK179" s="47"/>
      <c r="KL179" s="47"/>
      <c r="KM179" s="47"/>
      <c r="KN179" s="47"/>
      <c r="KO179" s="47"/>
      <c r="KP179" s="47"/>
      <c r="KQ179" s="47"/>
      <c r="KR179" s="47"/>
      <c r="KU179" s="47"/>
      <c r="KV179" s="47"/>
      <c r="KW179" s="47"/>
      <c r="KX179" s="47"/>
      <c r="KY179" s="47"/>
      <c r="KZ179" s="47"/>
      <c r="LA179" s="47"/>
      <c r="LB179" s="47"/>
    </row>
    <row r="180" spans="29:314" x14ac:dyDescent="0.25">
      <c r="AC180" s="47"/>
      <c r="AD180" s="47"/>
      <c r="AE180" s="47"/>
      <c r="AF180" s="47"/>
      <c r="AG180" s="49"/>
      <c r="AH180" s="47"/>
      <c r="AI180" s="47"/>
      <c r="AJ180" s="47"/>
      <c r="AK180" s="47"/>
      <c r="AL180" s="47"/>
      <c r="AM180" s="47"/>
      <c r="AN180" s="47"/>
      <c r="AO180" s="47"/>
      <c r="AP180" s="47"/>
      <c r="AQ180" s="47"/>
      <c r="AR180" s="47"/>
      <c r="AS180" s="47"/>
      <c r="AT180" s="47"/>
      <c r="AU180" s="47"/>
      <c r="AV180" s="47"/>
      <c r="AW180" s="47"/>
      <c r="AX180" s="47"/>
      <c r="AY180" s="47"/>
      <c r="AZ180" s="47"/>
      <c r="BA180" s="47"/>
      <c r="BB180" s="47"/>
      <c r="BC180" s="47"/>
      <c r="BD180" s="47"/>
      <c r="BE180" s="47"/>
      <c r="BF180" s="47"/>
      <c r="BG180" s="47"/>
      <c r="BH180" s="47"/>
      <c r="BI180" s="47"/>
      <c r="BJ180" s="47"/>
      <c r="BK180" s="47"/>
      <c r="BL180" s="47"/>
      <c r="BM180" s="47"/>
      <c r="BN180" s="49"/>
      <c r="BO180" s="47"/>
      <c r="BP180" s="47"/>
      <c r="BQ180" s="47"/>
      <c r="BR180" s="47"/>
      <c r="BS180" s="47"/>
      <c r="BT180" s="47"/>
      <c r="BU180" s="47"/>
      <c r="BV180" s="47"/>
      <c r="BW180" s="47"/>
      <c r="BX180" s="47"/>
      <c r="BY180" s="47"/>
      <c r="BZ180" s="47"/>
      <c r="CA180" s="47"/>
      <c r="CB180" s="47"/>
      <c r="CC180" s="47"/>
      <c r="CD180" s="47"/>
      <c r="CE180" s="47"/>
      <c r="CF180" s="47"/>
      <c r="CG180" s="49"/>
      <c r="CH180" s="47"/>
      <c r="CI180" s="47"/>
      <c r="CJ180" s="47"/>
      <c r="CK180" s="47"/>
      <c r="CL180" s="47"/>
      <c r="CM180" s="47"/>
      <c r="CN180" s="47"/>
      <c r="CO180" s="47"/>
      <c r="CP180" s="47"/>
      <c r="CQ180" s="47"/>
      <c r="CS180" s="47"/>
      <c r="CT180" s="47"/>
      <c r="CU180" s="47"/>
      <c r="CV180" s="47"/>
      <c r="CW180" s="47"/>
      <c r="CX180" s="47"/>
      <c r="CY180" s="47"/>
      <c r="CZ180" s="47"/>
      <c r="DA180" s="47"/>
      <c r="DB180" s="47"/>
      <c r="DC180" s="47"/>
      <c r="DD180" s="47"/>
      <c r="DE180" s="47"/>
      <c r="DF180" s="47"/>
      <c r="DG180" s="47"/>
      <c r="DH180" s="47"/>
      <c r="DI180" s="47"/>
      <c r="DJ180" s="47"/>
      <c r="DK180" s="47"/>
      <c r="DM180" s="47"/>
      <c r="DN180" s="47"/>
      <c r="DO180" s="47"/>
      <c r="DP180" s="47"/>
      <c r="DQ180" s="47"/>
      <c r="DR180" s="47"/>
      <c r="DS180" s="47"/>
      <c r="DT180" s="47"/>
      <c r="DU180" s="47"/>
      <c r="DV180" s="49"/>
      <c r="DW180" s="47"/>
      <c r="DX180" s="47"/>
      <c r="DY180" s="47"/>
      <c r="DZ180" s="47"/>
      <c r="EA180" s="47"/>
      <c r="EB180" s="47"/>
      <c r="EC180" s="47"/>
      <c r="ED180" s="47"/>
      <c r="EE180" s="47"/>
      <c r="EF180" s="47"/>
      <c r="EG180" s="47"/>
      <c r="EH180" s="47"/>
      <c r="EI180" s="47"/>
      <c r="EJ180" s="47"/>
      <c r="EK180" s="47"/>
      <c r="EL180" s="47"/>
      <c r="EM180" s="47"/>
      <c r="EN180" s="47"/>
      <c r="EO180" s="47"/>
      <c r="EP180" s="47"/>
      <c r="EQ180" s="47"/>
      <c r="ER180" s="47"/>
      <c r="ES180" s="47"/>
      <c r="ET180" s="47"/>
      <c r="EU180" s="47"/>
      <c r="EV180" s="47"/>
      <c r="EW180" s="47"/>
      <c r="EX180" s="47"/>
      <c r="EY180" s="47"/>
      <c r="EZ180" s="47"/>
      <c r="FA180" s="47"/>
      <c r="FB180" s="47"/>
      <c r="FC180" s="47"/>
      <c r="FD180" s="47"/>
      <c r="FE180" s="47"/>
      <c r="FF180" s="47"/>
      <c r="FG180" s="47"/>
      <c r="FH180" s="47"/>
      <c r="FI180" s="47"/>
      <c r="FJ180" s="49"/>
      <c r="FK180" s="47"/>
      <c r="FL180" s="47"/>
      <c r="FM180" s="47"/>
      <c r="FN180" s="47"/>
      <c r="FO180" s="47"/>
      <c r="FP180" s="47"/>
      <c r="FQ180" s="47"/>
      <c r="FR180" s="47"/>
      <c r="FS180" s="47"/>
      <c r="FT180" s="47"/>
      <c r="FU180" s="47"/>
      <c r="FV180" s="47"/>
      <c r="FW180" s="47"/>
      <c r="FX180" s="47"/>
      <c r="FY180" s="47"/>
      <c r="FZ180" s="47"/>
      <c r="GA180" s="47"/>
      <c r="GB180" s="47"/>
      <c r="GC180" s="47"/>
      <c r="GD180" s="47"/>
      <c r="GE180" s="47"/>
      <c r="GF180" s="47"/>
      <c r="GG180" s="47"/>
      <c r="GH180" s="47"/>
      <c r="GI180" s="47"/>
      <c r="GJ180" s="47"/>
      <c r="GK180" s="47"/>
      <c r="GL180" s="47"/>
      <c r="GM180" s="47"/>
      <c r="GN180" s="47"/>
      <c r="GO180" s="47"/>
      <c r="GP180" s="47"/>
      <c r="GQ180" s="47"/>
      <c r="GR180" s="47"/>
      <c r="GS180" s="47"/>
      <c r="GT180" s="47"/>
      <c r="GU180" s="47"/>
      <c r="GV180" s="47"/>
      <c r="GW180" s="47"/>
      <c r="GX180" s="47"/>
      <c r="GY180" s="47"/>
      <c r="GZ180" s="47"/>
      <c r="HA180" s="47"/>
      <c r="HB180" s="47"/>
      <c r="HC180" s="47"/>
      <c r="HD180" s="47"/>
      <c r="HE180" s="47"/>
      <c r="HF180" s="47"/>
      <c r="HI180" s="47"/>
      <c r="HJ180" s="47"/>
      <c r="HK180" s="47"/>
      <c r="HL180" s="47"/>
      <c r="HM180" s="47"/>
      <c r="HN180" s="47"/>
      <c r="HO180" s="47"/>
      <c r="HP180" s="47"/>
      <c r="HS180" s="47"/>
      <c r="HT180" s="47"/>
      <c r="HU180" s="47"/>
      <c r="HV180" s="47"/>
      <c r="HW180" s="47"/>
      <c r="HX180" s="47"/>
      <c r="HY180" s="47"/>
      <c r="HZ180" s="47"/>
      <c r="IC180" s="47"/>
      <c r="ID180" s="47"/>
      <c r="IE180" s="47"/>
      <c r="IF180" s="47"/>
      <c r="IG180" s="47"/>
      <c r="IH180" s="47"/>
      <c r="II180" s="47"/>
      <c r="IJ180" s="47"/>
      <c r="IM180" s="47"/>
      <c r="IN180" s="47"/>
      <c r="IO180" s="47"/>
      <c r="IP180" s="47"/>
      <c r="IQ180" s="47"/>
      <c r="IR180" s="47"/>
      <c r="IS180" s="47"/>
      <c r="IT180" s="47"/>
      <c r="IW180" s="47"/>
      <c r="IX180" s="47"/>
      <c r="IY180" s="47"/>
      <c r="IZ180" s="47"/>
      <c r="JA180" s="47"/>
      <c r="JB180" s="47"/>
      <c r="JC180" s="47"/>
      <c r="JD180" s="47"/>
      <c r="JG180" s="47"/>
      <c r="JH180" s="47"/>
      <c r="JI180" s="47"/>
      <c r="JJ180" s="47"/>
      <c r="JK180" s="47"/>
      <c r="JL180" s="47"/>
      <c r="JM180" s="47"/>
      <c r="JN180" s="47"/>
      <c r="JQ180" s="47"/>
      <c r="JR180" s="47"/>
      <c r="JS180" s="47"/>
      <c r="JT180" s="47"/>
      <c r="JU180" s="47"/>
      <c r="JV180" s="47"/>
      <c r="JW180" s="47"/>
      <c r="JX180" s="47"/>
      <c r="KA180" s="47"/>
      <c r="KB180" s="47"/>
      <c r="KC180" s="47"/>
      <c r="KD180" s="47"/>
      <c r="KE180" s="47"/>
      <c r="KF180" s="47"/>
      <c r="KG180" s="47"/>
      <c r="KH180" s="47"/>
      <c r="KK180" s="47"/>
      <c r="KL180" s="47"/>
      <c r="KM180" s="47"/>
      <c r="KN180" s="47"/>
      <c r="KO180" s="47"/>
      <c r="KP180" s="47"/>
      <c r="KQ180" s="47"/>
      <c r="KR180" s="47"/>
      <c r="KU180" s="47"/>
      <c r="KV180" s="47"/>
      <c r="KW180" s="47"/>
      <c r="KX180" s="47"/>
      <c r="KY180" s="47"/>
      <c r="KZ180" s="47"/>
      <c r="LA180" s="47"/>
      <c r="LB180" s="47"/>
    </row>
    <row r="181" spans="29:314" x14ac:dyDescent="0.25">
      <c r="AC181" s="47"/>
      <c r="AD181" s="47"/>
      <c r="AE181" s="47"/>
      <c r="AF181" s="47"/>
      <c r="AG181" s="49"/>
      <c r="AH181" s="47"/>
      <c r="AI181" s="47"/>
      <c r="AJ181" s="47"/>
      <c r="AK181" s="47"/>
      <c r="AL181" s="47"/>
      <c r="AM181" s="47"/>
      <c r="AN181" s="47"/>
      <c r="AO181" s="47"/>
      <c r="AP181" s="47"/>
      <c r="AQ181" s="47"/>
      <c r="AR181" s="47"/>
      <c r="AS181" s="47"/>
      <c r="AT181" s="47"/>
      <c r="AU181" s="47"/>
      <c r="AV181" s="47"/>
      <c r="AW181" s="47"/>
      <c r="AX181" s="47"/>
      <c r="AY181" s="47"/>
      <c r="AZ181" s="47"/>
      <c r="BA181" s="47"/>
      <c r="BB181" s="47"/>
      <c r="BC181" s="47"/>
      <c r="BD181" s="47"/>
      <c r="BE181" s="47"/>
      <c r="BF181" s="47"/>
      <c r="BG181" s="47"/>
      <c r="BH181" s="47"/>
      <c r="BI181" s="47"/>
      <c r="BJ181" s="47"/>
      <c r="BK181" s="47"/>
      <c r="BL181" s="47"/>
      <c r="BM181" s="47"/>
      <c r="BN181" s="49"/>
      <c r="BO181" s="47"/>
      <c r="BP181" s="47"/>
      <c r="BQ181" s="47"/>
      <c r="BR181" s="47"/>
      <c r="BS181" s="47"/>
      <c r="BT181" s="47"/>
      <c r="BU181" s="47"/>
      <c r="BV181" s="47"/>
      <c r="BW181" s="47"/>
      <c r="BX181" s="47"/>
      <c r="BY181" s="47"/>
      <c r="BZ181" s="47"/>
      <c r="CA181" s="47"/>
      <c r="CB181" s="47"/>
      <c r="CC181" s="47"/>
      <c r="CD181" s="47"/>
      <c r="CE181" s="47"/>
      <c r="CF181" s="47"/>
      <c r="CG181" s="49"/>
      <c r="CH181" s="47"/>
      <c r="CI181" s="47"/>
      <c r="CJ181" s="47"/>
      <c r="CK181" s="47"/>
      <c r="CL181" s="47"/>
      <c r="CM181" s="47"/>
      <c r="CN181" s="47"/>
      <c r="CO181" s="47"/>
      <c r="CP181" s="47"/>
      <c r="CQ181" s="47"/>
      <c r="CS181" s="47"/>
      <c r="CT181" s="47"/>
      <c r="CU181" s="47"/>
      <c r="CV181" s="47"/>
      <c r="CW181" s="47"/>
      <c r="CX181" s="47"/>
      <c r="CY181" s="47"/>
      <c r="CZ181" s="47"/>
      <c r="DA181" s="47"/>
      <c r="DB181" s="47"/>
      <c r="DC181" s="47"/>
      <c r="DD181" s="47"/>
      <c r="DE181" s="47"/>
      <c r="DF181" s="47"/>
      <c r="DG181" s="47"/>
      <c r="DH181" s="47"/>
      <c r="DI181" s="47"/>
      <c r="DJ181" s="47"/>
      <c r="DK181" s="47"/>
      <c r="DM181" s="47"/>
      <c r="DN181" s="47"/>
      <c r="DO181" s="47"/>
      <c r="DP181" s="47"/>
      <c r="DQ181" s="47"/>
      <c r="DR181" s="47"/>
      <c r="DS181" s="47"/>
      <c r="DT181" s="47"/>
      <c r="DU181" s="47"/>
      <c r="DV181" s="49"/>
      <c r="DW181" s="47"/>
      <c r="DX181" s="47"/>
      <c r="DY181" s="47"/>
      <c r="DZ181" s="47"/>
      <c r="EA181" s="47"/>
      <c r="EB181" s="47"/>
      <c r="EC181" s="47"/>
      <c r="ED181" s="47"/>
      <c r="EE181" s="47"/>
      <c r="EF181" s="47"/>
      <c r="EG181" s="47"/>
      <c r="EH181" s="47"/>
      <c r="EI181" s="47"/>
      <c r="EJ181" s="47"/>
      <c r="EK181" s="47"/>
      <c r="EL181" s="47"/>
      <c r="EM181" s="47"/>
      <c r="EN181" s="47"/>
      <c r="EO181" s="47"/>
      <c r="EP181" s="47"/>
      <c r="EQ181" s="47"/>
      <c r="ER181" s="47"/>
      <c r="ES181" s="47"/>
      <c r="ET181" s="47"/>
      <c r="EU181" s="47"/>
      <c r="EV181" s="47"/>
      <c r="EW181" s="47"/>
      <c r="EX181" s="47"/>
      <c r="EY181" s="47"/>
      <c r="EZ181" s="47"/>
      <c r="FA181" s="47"/>
      <c r="FB181" s="47"/>
      <c r="FC181" s="47"/>
      <c r="FD181" s="47"/>
      <c r="FE181" s="47"/>
      <c r="FF181" s="47"/>
      <c r="FG181" s="47"/>
      <c r="FH181" s="47"/>
      <c r="FI181" s="47"/>
      <c r="FJ181" s="49"/>
      <c r="FK181" s="47"/>
      <c r="FL181" s="47"/>
      <c r="FM181" s="47"/>
      <c r="FN181" s="47"/>
      <c r="FO181" s="47"/>
      <c r="FP181" s="47"/>
      <c r="FQ181" s="47"/>
      <c r="FR181" s="47"/>
      <c r="FS181" s="47"/>
      <c r="FT181" s="47"/>
      <c r="FU181" s="47"/>
      <c r="FV181" s="47"/>
      <c r="FW181" s="47"/>
      <c r="FX181" s="47"/>
      <c r="FY181" s="47"/>
      <c r="FZ181" s="47"/>
      <c r="GA181" s="47"/>
      <c r="GB181" s="47"/>
      <c r="GC181" s="47"/>
      <c r="GD181" s="47"/>
      <c r="GE181" s="47"/>
      <c r="GF181" s="47"/>
      <c r="GG181" s="47"/>
      <c r="GH181" s="47"/>
      <c r="GI181" s="47"/>
      <c r="GJ181" s="47"/>
      <c r="GK181" s="47"/>
      <c r="GL181" s="47"/>
      <c r="GM181" s="47"/>
      <c r="GN181" s="47"/>
      <c r="GO181" s="47"/>
      <c r="GP181" s="47"/>
      <c r="GQ181" s="47"/>
      <c r="GR181" s="47"/>
      <c r="GS181" s="47"/>
      <c r="GT181" s="47"/>
      <c r="GU181" s="47"/>
      <c r="GV181" s="47"/>
      <c r="GW181" s="47"/>
      <c r="GX181" s="47"/>
      <c r="GY181" s="47"/>
      <c r="GZ181" s="47"/>
      <c r="HA181" s="47"/>
      <c r="HB181" s="47"/>
      <c r="HC181" s="47"/>
      <c r="HD181" s="47"/>
      <c r="HE181" s="47"/>
      <c r="HF181" s="47"/>
      <c r="HI181" s="47"/>
      <c r="HJ181" s="47"/>
      <c r="HK181" s="47"/>
      <c r="HL181" s="47"/>
      <c r="HM181" s="47"/>
      <c r="HN181" s="47"/>
      <c r="HO181" s="47"/>
      <c r="HP181" s="47"/>
      <c r="HS181" s="47"/>
      <c r="HT181" s="47"/>
      <c r="HU181" s="47"/>
      <c r="HV181" s="47"/>
      <c r="HW181" s="47"/>
      <c r="HX181" s="47"/>
      <c r="HY181" s="47"/>
      <c r="HZ181" s="47"/>
      <c r="IC181" s="47"/>
      <c r="ID181" s="47"/>
      <c r="IE181" s="47"/>
      <c r="IF181" s="47"/>
      <c r="IG181" s="47"/>
      <c r="IH181" s="47"/>
      <c r="II181" s="47"/>
      <c r="IJ181" s="47"/>
      <c r="IM181" s="47"/>
      <c r="IN181" s="47"/>
      <c r="IO181" s="47"/>
      <c r="IP181" s="47"/>
      <c r="IQ181" s="47"/>
      <c r="IR181" s="47"/>
      <c r="IS181" s="47"/>
      <c r="IT181" s="47"/>
      <c r="IW181" s="47"/>
      <c r="IX181" s="47"/>
      <c r="IY181" s="47"/>
      <c r="IZ181" s="47"/>
      <c r="JA181" s="47"/>
      <c r="JB181" s="47"/>
      <c r="JC181" s="47"/>
      <c r="JD181" s="47"/>
      <c r="JG181" s="47"/>
      <c r="JH181" s="47"/>
      <c r="JI181" s="47"/>
      <c r="JJ181" s="47"/>
      <c r="JK181" s="47"/>
      <c r="JL181" s="47"/>
      <c r="JM181" s="47"/>
      <c r="JN181" s="47"/>
      <c r="JQ181" s="47"/>
      <c r="JR181" s="47"/>
      <c r="JS181" s="47"/>
      <c r="JT181" s="47"/>
      <c r="JU181" s="47"/>
      <c r="JV181" s="47"/>
      <c r="JW181" s="47"/>
      <c r="JX181" s="47"/>
      <c r="KA181" s="47"/>
      <c r="KB181" s="47"/>
      <c r="KC181" s="47"/>
      <c r="KD181" s="47"/>
      <c r="KE181" s="47"/>
      <c r="KF181" s="47"/>
      <c r="KG181" s="47"/>
      <c r="KH181" s="47"/>
      <c r="KK181" s="47"/>
      <c r="KL181" s="47"/>
      <c r="KM181" s="47"/>
      <c r="KN181" s="47"/>
      <c r="KO181" s="47"/>
      <c r="KP181" s="47"/>
      <c r="KQ181" s="47"/>
      <c r="KR181" s="47"/>
      <c r="KU181" s="47"/>
      <c r="KV181" s="47"/>
      <c r="KW181" s="47"/>
      <c r="KX181" s="47"/>
      <c r="KY181" s="47"/>
      <c r="KZ181" s="47"/>
      <c r="LA181" s="47"/>
      <c r="LB181" s="47"/>
    </row>
    <row r="182" spans="29:314" x14ac:dyDescent="0.25">
      <c r="AC182" s="47"/>
      <c r="AD182" s="47"/>
      <c r="AE182" s="47"/>
      <c r="AF182" s="47"/>
      <c r="AG182" s="49"/>
      <c r="AH182" s="47"/>
      <c r="AI182" s="47"/>
      <c r="AJ182" s="47"/>
      <c r="AK182" s="47"/>
      <c r="AL182" s="47"/>
      <c r="AM182" s="47"/>
      <c r="AN182" s="47"/>
      <c r="AO182" s="47"/>
      <c r="AP182" s="47"/>
      <c r="AQ182" s="47"/>
      <c r="AR182" s="47"/>
      <c r="AS182" s="47"/>
      <c r="AT182" s="47"/>
      <c r="AU182" s="47"/>
      <c r="AV182" s="47"/>
      <c r="AW182" s="47"/>
      <c r="AX182" s="47"/>
      <c r="AY182" s="47"/>
      <c r="AZ182" s="47"/>
      <c r="BA182" s="47"/>
      <c r="BB182" s="47"/>
      <c r="BC182" s="47"/>
      <c r="BD182" s="47"/>
      <c r="BE182" s="47"/>
      <c r="BF182" s="47"/>
      <c r="BG182" s="47"/>
      <c r="BH182" s="47"/>
      <c r="BI182" s="47"/>
      <c r="BJ182" s="47"/>
      <c r="BK182" s="47"/>
      <c r="BL182" s="47"/>
      <c r="BM182" s="47"/>
      <c r="BN182" s="49"/>
      <c r="BO182" s="47"/>
      <c r="BP182" s="47"/>
      <c r="BQ182" s="47"/>
      <c r="BR182" s="47"/>
      <c r="BS182" s="47"/>
      <c r="BT182" s="47"/>
      <c r="BU182" s="47"/>
      <c r="BV182" s="47"/>
      <c r="BW182" s="47"/>
      <c r="BX182" s="47"/>
      <c r="BY182" s="47"/>
      <c r="BZ182" s="47"/>
      <c r="CA182" s="47"/>
      <c r="CB182" s="47"/>
      <c r="CC182" s="47"/>
      <c r="CD182" s="47"/>
      <c r="CE182" s="47"/>
      <c r="CF182" s="47"/>
      <c r="CG182" s="49"/>
      <c r="CH182" s="47"/>
      <c r="CI182" s="47"/>
      <c r="CJ182" s="47"/>
      <c r="CK182" s="47"/>
      <c r="CL182" s="47"/>
      <c r="CM182" s="47"/>
      <c r="CN182" s="47"/>
      <c r="CO182" s="47"/>
      <c r="CP182" s="47"/>
      <c r="CQ182" s="47"/>
      <c r="CS182" s="47"/>
      <c r="CT182" s="47"/>
      <c r="CU182" s="47"/>
      <c r="CV182" s="47"/>
      <c r="CW182" s="47"/>
      <c r="CX182" s="47"/>
      <c r="CY182" s="47"/>
      <c r="CZ182" s="47"/>
      <c r="DA182" s="47"/>
      <c r="DB182" s="47"/>
      <c r="DC182" s="47"/>
      <c r="DD182" s="47"/>
      <c r="DE182" s="47"/>
      <c r="DF182" s="47"/>
      <c r="DG182" s="47"/>
      <c r="DH182" s="47"/>
      <c r="DI182" s="47"/>
      <c r="DJ182" s="47"/>
      <c r="DK182" s="47"/>
      <c r="DM182" s="47"/>
      <c r="DN182" s="47"/>
      <c r="DO182" s="47"/>
      <c r="DP182" s="47"/>
      <c r="DQ182" s="47"/>
      <c r="DR182" s="47"/>
      <c r="DS182" s="47"/>
      <c r="DT182" s="47"/>
      <c r="DU182" s="47"/>
      <c r="DV182" s="49"/>
      <c r="DW182" s="47"/>
      <c r="DX182" s="47"/>
      <c r="DY182" s="47"/>
      <c r="DZ182" s="47"/>
      <c r="EA182" s="47"/>
      <c r="EB182" s="47"/>
      <c r="EC182" s="47"/>
      <c r="ED182" s="47"/>
      <c r="EE182" s="47"/>
      <c r="EF182" s="47"/>
      <c r="EG182" s="47"/>
      <c r="EH182" s="47"/>
      <c r="EI182" s="47"/>
      <c r="EJ182" s="47"/>
      <c r="EK182" s="47"/>
      <c r="EL182" s="47"/>
      <c r="EM182" s="47"/>
      <c r="EN182" s="47"/>
      <c r="EO182" s="47"/>
      <c r="EP182" s="47"/>
      <c r="EQ182" s="47"/>
      <c r="ER182" s="47"/>
      <c r="ES182" s="47"/>
      <c r="ET182" s="47"/>
      <c r="EU182" s="47"/>
      <c r="EV182" s="47"/>
      <c r="EW182" s="47"/>
      <c r="EX182" s="47"/>
      <c r="EY182" s="47"/>
      <c r="EZ182" s="47"/>
      <c r="FA182" s="47"/>
      <c r="FB182" s="47"/>
      <c r="FC182" s="47"/>
      <c r="FD182" s="47"/>
      <c r="FE182" s="47"/>
      <c r="FF182" s="47"/>
      <c r="FG182" s="47"/>
      <c r="FH182" s="47"/>
      <c r="FI182" s="47"/>
      <c r="FJ182" s="49"/>
      <c r="FK182" s="47"/>
      <c r="FL182" s="47"/>
      <c r="FM182" s="47"/>
      <c r="FN182" s="47"/>
      <c r="FO182" s="47"/>
      <c r="FP182" s="47"/>
      <c r="FQ182" s="47"/>
      <c r="FR182" s="47"/>
      <c r="FS182" s="47"/>
      <c r="FT182" s="47"/>
      <c r="FU182" s="47"/>
      <c r="FV182" s="47"/>
      <c r="FW182" s="47"/>
      <c r="FX182" s="47"/>
      <c r="FY182" s="47"/>
      <c r="FZ182" s="47"/>
      <c r="GA182" s="47"/>
      <c r="GB182" s="47"/>
      <c r="GC182" s="47"/>
      <c r="GD182" s="47"/>
      <c r="GE182" s="47"/>
      <c r="GF182" s="47"/>
      <c r="GG182" s="47"/>
      <c r="GH182" s="47"/>
      <c r="GI182" s="47"/>
      <c r="GJ182" s="47"/>
      <c r="GK182" s="47"/>
      <c r="GL182" s="47"/>
      <c r="GM182" s="47"/>
      <c r="GN182" s="47"/>
      <c r="GO182" s="47"/>
      <c r="GP182" s="47"/>
      <c r="GQ182" s="47"/>
      <c r="GR182" s="47"/>
      <c r="GS182" s="47"/>
      <c r="GT182" s="47"/>
      <c r="GU182" s="47"/>
      <c r="GV182" s="47"/>
      <c r="GW182" s="47"/>
      <c r="GX182" s="47"/>
      <c r="GY182" s="47"/>
      <c r="GZ182" s="47"/>
      <c r="HA182" s="47"/>
      <c r="HB182" s="47"/>
      <c r="HC182" s="47"/>
      <c r="HD182" s="47"/>
      <c r="HE182" s="47"/>
      <c r="HF182" s="47"/>
      <c r="HI182" s="47"/>
      <c r="HJ182" s="47"/>
      <c r="HK182" s="47"/>
      <c r="HL182" s="47"/>
      <c r="HM182" s="47"/>
      <c r="HN182" s="47"/>
      <c r="HO182" s="47"/>
      <c r="HP182" s="47"/>
      <c r="HS182" s="47"/>
      <c r="HT182" s="47"/>
      <c r="HU182" s="47"/>
      <c r="HV182" s="47"/>
      <c r="HW182" s="47"/>
      <c r="HX182" s="47"/>
      <c r="HY182" s="47"/>
      <c r="HZ182" s="47"/>
      <c r="IC182" s="47"/>
      <c r="ID182" s="47"/>
      <c r="IE182" s="47"/>
      <c r="IF182" s="47"/>
      <c r="IG182" s="47"/>
      <c r="IH182" s="47"/>
      <c r="II182" s="47"/>
      <c r="IJ182" s="47"/>
      <c r="IM182" s="47"/>
      <c r="IN182" s="47"/>
      <c r="IO182" s="47"/>
      <c r="IP182" s="47"/>
      <c r="IQ182" s="47"/>
      <c r="IR182" s="47"/>
      <c r="IS182" s="47"/>
      <c r="IT182" s="47"/>
      <c r="IW182" s="47"/>
      <c r="IX182" s="47"/>
      <c r="IY182" s="47"/>
      <c r="IZ182" s="47"/>
      <c r="JA182" s="47"/>
      <c r="JB182" s="47"/>
      <c r="JC182" s="47"/>
      <c r="JD182" s="47"/>
      <c r="JG182" s="47"/>
      <c r="JH182" s="47"/>
      <c r="JI182" s="47"/>
      <c r="JJ182" s="47"/>
      <c r="JK182" s="47"/>
      <c r="JL182" s="47"/>
      <c r="JM182" s="47"/>
      <c r="JN182" s="47"/>
      <c r="JQ182" s="47"/>
      <c r="JR182" s="47"/>
      <c r="JS182" s="47"/>
      <c r="JT182" s="47"/>
      <c r="JU182" s="47"/>
      <c r="JV182" s="47"/>
      <c r="JW182" s="47"/>
      <c r="JX182" s="47"/>
      <c r="KA182" s="47"/>
      <c r="KB182" s="47"/>
      <c r="KC182" s="47"/>
      <c r="KD182" s="47"/>
      <c r="KE182" s="47"/>
      <c r="KF182" s="47"/>
      <c r="KG182" s="47"/>
      <c r="KH182" s="47"/>
      <c r="KK182" s="47"/>
      <c r="KL182" s="47"/>
      <c r="KM182" s="47"/>
      <c r="KN182" s="47"/>
      <c r="KO182" s="47"/>
      <c r="KP182" s="47"/>
      <c r="KQ182" s="47"/>
      <c r="KR182" s="47"/>
      <c r="KU182" s="47"/>
      <c r="KV182" s="47"/>
      <c r="KW182" s="47"/>
      <c r="KX182" s="47"/>
      <c r="KY182" s="47"/>
      <c r="KZ182" s="47"/>
      <c r="LA182" s="47"/>
      <c r="LB182" s="47"/>
    </row>
    <row r="183" spans="29:314" x14ac:dyDescent="0.25">
      <c r="AC183" s="47"/>
      <c r="AD183" s="47"/>
      <c r="AE183" s="47"/>
      <c r="AF183" s="47"/>
      <c r="AG183" s="49"/>
      <c r="AH183" s="47"/>
      <c r="AI183" s="47"/>
      <c r="AJ183" s="47"/>
      <c r="AK183" s="47"/>
      <c r="AL183" s="47"/>
      <c r="AM183" s="47"/>
      <c r="AN183" s="47"/>
      <c r="AO183" s="47"/>
      <c r="AP183" s="47"/>
      <c r="AQ183" s="47"/>
      <c r="AR183" s="47"/>
      <c r="AS183" s="47"/>
      <c r="AT183" s="47"/>
      <c r="AU183" s="47"/>
      <c r="AV183" s="47"/>
      <c r="AW183" s="47"/>
      <c r="AX183" s="47"/>
      <c r="AY183" s="47"/>
      <c r="AZ183" s="47"/>
      <c r="BA183" s="47"/>
      <c r="BB183" s="47"/>
      <c r="BC183" s="47"/>
      <c r="BD183" s="47"/>
      <c r="BE183" s="47"/>
      <c r="BF183" s="47"/>
      <c r="BG183" s="47"/>
      <c r="BH183" s="47"/>
      <c r="BI183" s="47"/>
      <c r="BJ183" s="47"/>
      <c r="BK183" s="47"/>
      <c r="BL183" s="47"/>
      <c r="BM183" s="47"/>
      <c r="BN183" s="49"/>
      <c r="BO183" s="47"/>
      <c r="BP183" s="47"/>
      <c r="BQ183" s="47"/>
      <c r="BR183" s="47"/>
      <c r="BS183" s="47"/>
      <c r="BT183" s="47"/>
      <c r="BU183" s="47"/>
      <c r="BV183" s="47"/>
      <c r="BW183" s="47"/>
      <c r="BX183" s="47"/>
      <c r="BY183" s="47"/>
      <c r="BZ183" s="47"/>
      <c r="CA183" s="47"/>
      <c r="CB183" s="47"/>
      <c r="CC183" s="47"/>
      <c r="CD183" s="47"/>
      <c r="CE183" s="47"/>
      <c r="CF183" s="47"/>
      <c r="CG183" s="49"/>
      <c r="CH183" s="47"/>
      <c r="CI183" s="47"/>
      <c r="CJ183" s="47"/>
      <c r="CK183" s="47"/>
      <c r="CL183" s="47"/>
      <c r="CM183" s="47"/>
      <c r="CN183" s="47"/>
      <c r="CO183" s="47"/>
      <c r="CP183" s="47"/>
      <c r="CQ183" s="47"/>
      <c r="CS183" s="47"/>
      <c r="CT183" s="47"/>
      <c r="CU183" s="47"/>
      <c r="CV183" s="47"/>
      <c r="CW183" s="47"/>
      <c r="CX183" s="47"/>
      <c r="CY183" s="47"/>
      <c r="CZ183" s="47"/>
      <c r="DA183" s="47"/>
      <c r="DB183" s="47"/>
      <c r="DC183" s="47"/>
      <c r="DD183" s="47"/>
      <c r="DE183" s="47"/>
      <c r="DF183" s="47"/>
      <c r="DG183" s="47"/>
      <c r="DH183" s="47"/>
      <c r="DI183" s="47"/>
      <c r="DJ183" s="47"/>
      <c r="DK183" s="47"/>
      <c r="DM183" s="47"/>
      <c r="DN183" s="47"/>
      <c r="DO183" s="47"/>
      <c r="DP183" s="47"/>
      <c r="DQ183" s="47"/>
      <c r="DR183" s="47"/>
      <c r="DS183" s="47"/>
      <c r="DT183" s="47"/>
      <c r="DU183" s="47"/>
      <c r="DV183" s="49"/>
      <c r="DW183" s="47"/>
      <c r="DX183" s="47"/>
      <c r="DY183" s="47"/>
      <c r="DZ183" s="47"/>
      <c r="EA183" s="47"/>
      <c r="EB183" s="47"/>
      <c r="EC183" s="47"/>
      <c r="ED183" s="47"/>
      <c r="EE183" s="47"/>
      <c r="EF183" s="47"/>
      <c r="EG183" s="47"/>
      <c r="EH183" s="47"/>
      <c r="EI183" s="47"/>
      <c r="EJ183" s="47"/>
      <c r="EK183" s="47"/>
      <c r="EL183" s="47"/>
      <c r="EM183" s="47"/>
      <c r="EN183" s="47"/>
      <c r="EO183" s="47"/>
      <c r="EP183" s="47"/>
      <c r="EQ183" s="47"/>
      <c r="ER183" s="47"/>
      <c r="ES183" s="47"/>
      <c r="ET183" s="47"/>
      <c r="EU183" s="47"/>
      <c r="EV183" s="47"/>
      <c r="EW183" s="47"/>
      <c r="EX183" s="47"/>
      <c r="EY183" s="47"/>
      <c r="EZ183" s="47"/>
      <c r="FA183" s="47"/>
      <c r="FB183" s="47"/>
      <c r="FC183" s="47"/>
      <c r="FD183" s="47"/>
      <c r="FE183" s="47"/>
      <c r="FF183" s="47"/>
      <c r="FG183" s="47"/>
      <c r="FH183" s="47"/>
      <c r="FI183" s="47"/>
      <c r="FJ183" s="49"/>
      <c r="FK183" s="47"/>
      <c r="FL183" s="47"/>
      <c r="FM183" s="47"/>
      <c r="FN183" s="47"/>
      <c r="FO183" s="47"/>
      <c r="FP183" s="47"/>
      <c r="FQ183" s="47"/>
      <c r="FR183" s="47"/>
      <c r="FS183" s="47"/>
      <c r="FT183" s="47"/>
      <c r="FU183" s="47"/>
      <c r="FV183" s="47"/>
      <c r="FW183" s="47"/>
      <c r="FX183" s="47"/>
      <c r="FY183" s="47"/>
      <c r="FZ183" s="47"/>
      <c r="GA183" s="47"/>
      <c r="GB183" s="47"/>
      <c r="GC183" s="47"/>
      <c r="GD183" s="47"/>
      <c r="GE183" s="47"/>
      <c r="GF183" s="47"/>
      <c r="GG183" s="47"/>
      <c r="GH183" s="47"/>
      <c r="GI183" s="47"/>
      <c r="GJ183" s="47"/>
      <c r="GK183" s="47"/>
      <c r="GL183" s="47"/>
      <c r="GM183" s="47"/>
      <c r="GN183" s="47"/>
      <c r="GO183" s="47"/>
      <c r="GP183" s="47"/>
      <c r="GQ183" s="47"/>
      <c r="GR183" s="47"/>
      <c r="GS183" s="47"/>
      <c r="GT183" s="47"/>
      <c r="GU183" s="47"/>
      <c r="GV183" s="47"/>
      <c r="GW183" s="47"/>
      <c r="GX183" s="47"/>
      <c r="GY183" s="47"/>
      <c r="GZ183" s="47"/>
      <c r="HA183" s="47"/>
      <c r="HB183" s="47"/>
      <c r="HC183" s="47"/>
      <c r="HD183" s="47"/>
      <c r="HE183" s="47"/>
      <c r="HF183" s="47"/>
      <c r="HI183" s="47"/>
      <c r="HJ183" s="47"/>
      <c r="HK183" s="47"/>
      <c r="HL183" s="47"/>
      <c r="HM183" s="47"/>
      <c r="HN183" s="47"/>
      <c r="HO183" s="47"/>
      <c r="HP183" s="47"/>
      <c r="HS183" s="47"/>
      <c r="HT183" s="47"/>
      <c r="HU183" s="47"/>
      <c r="HV183" s="47"/>
      <c r="HW183" s="47"/>
      <c r="HX183" s="47"/>
      <c r="HY183" s="47"/>
      <c r="HZ183" s="47"/>
      <c r="IC183" s="47"/>
      <c r="ID183" s="47"/>
      <c r="IE183" s="47"/>
      <c r="IF183" s="47"/>
      <c r="IG183" s="47"/>
      <c r="IH183" s="47"/>
      <c r="II183" s="47"/>
      <c r="IJ183" s="47"/>
      <c r="IM183" s="47"/>
      <c r="IN183" s="47"/>
      <c r="IO183" s="47"/>
      <c r="IP183" s="47"/>
      <c r="IQ183" s="47"/>
      <c r="IR183" s="47"/>
      <c r="IS183" s="47"/>
      <c r="IT183" s="47"/>
      <c r="IW183" s="47"/>
      <c r="IX183" s="47"/>
      <c r="IY183" s="47"/>
      <c r="IZ183" s="47"/>
      <c r="JA183" s="47"/>
      <c r="JB183" s="47"/>
      <c r="JC183" s="47"/>
      <c r="JD183" s="47"/>
      <c r="JG183" s="47"/>
      <c r="JH183" s="47"/>
      <c r="JI183" s="47"/>
      <c r="JJ183" s="47"/>
      <c r="JK183" s="47"/>
      <c r="JL183" s="47"/>
      <c r="JM183" s="47"/>
      <c r="JN183" s="47"/>
      <c r="JQ183" s="47"/>
      <c r="JR183" s="47"/>
      <c r="JS183" s="47"/>
      <c r="JT183" s="47"/>
      <c r="JU183" s="47"/>
      <c r="JV183" s="47"/>
      <c r="JW183" s="47"/>
      <c r="JX183" s="47"/>
      <c r="KA183" s="47"/>
      <c r="KB183" s="47"/>
      <c r="KC183" s="47"/>
      <c r="KD183" s="47"/>
      <c r="KE183" s="47"/>
      <c r="KF183" s="47"/>
      <c r="KG183" s="47"/>
      <c r="KH183" s="47"/>
      <c r="KK183" s="47"/>
      <c r="KL183" s="47"/>
      <c r="KM183" s="47"/>
      <c r="KN183" s="47"/>
      <c r="KO183" s="47"/>
      <c r="KP183" s="47"/>
      <c r="KQ183" s="47"/>
      <c r="KR183" s="47"/>
      <c r="KU183" s="47"/>
      <c r="KV183" s="47"/>
      <c r="KW183" s="47"/>
      <c r="KX183" s="47"/>
      <c r="KY183" s="47"/>
      <c r="KZ183" s="47"/>
      <c r="LA183" s="47"/>
      <c r="LB183" s="47"/>
    </row>
    <row r="184" spans="29:314" x14ac:dyDescent="0.25">
      <c r="AC184" s="47"/>
      <c r="AD184" s="47"/>
      <c r="AE184" s="47"/>
      <c r="AF184" s="47"/>
      <c r="AG184" s="49"/>
      <c r="AH184" s="47"/>
      <c r="AI184" s="47"/>
      <c r="AJ184" s="47"/>
      <c r="AK184" s="47"/>
      <c r="AL184" s="47"/>
      <c r="AM184" s="47"/>
      <c r="AN184" s="47"/>
      <c r="AO184" s="47"/>
      <c r="AP184" s="47"/>
      <c r="AQ184" s="47"/>
      <c r="AR184" s="47"/>
      <c r="AS184" s="47"/>
      <c r="AT184" s="47"/>
      <c r="AU184" s="47"/>
      <c r="AV184" s="47"/>
      <c r="AW184" s="47"/>
      <c r="AX184" s="47"/>
      <c r="AY184" s="47"/>
      <c r="AZ184" s="47"/>
      <c r="BA184" s="47"/>
      <c r="BB184" s="47"/>
      <c r="BC184" s="47"/>
      <c r="BD184" s="47"/>
      <c r="BE184" s="47"/>
      <c r="BF184" s="47"/>
      <c r="BG184" s="47"/>
      <c r="BH184" s="47"/>
      <c r="BI184" s="47"/>
      <c r="BJ184" s="47"/>
      <c r="BK184" s="47"/>
      <c r="BL184" s="47"/>
      <c r="BM184" s="47"/>
      <c r="BN184" s="49"/>
      <c r="BO184" s="47"/>
      <c r="BP184" s="47"/>
      <c r="BQ184" s="47"/>
      <c r="BR184" s="47"/>
      <c r="BS184" s="47"/>
      <c r="BT184" s="47"/>
      <c r="BU184" s="47"/>
      <c r="BV184" s="47"/>
      <c r="BW184" s="47"/>
      <c r="BX184" s="47"/>
      <c r="BY184" s="47"/>
      <c r="BZ184" s="47"/>
      <c r="CA184" s="47"/>
      <c r="CB184" s="47"/>
      <c r="CC184" s="47"/>
      <c r="CD184" s="47"/>
      <c r="CE184" s="47"/>
      <c r="CF184" s="47"/>
      <c r="CG184" s="49"/>
      <c r="CH184" s="47"/>
      <c r="CI184" s="47"/>
      <c r="CJ184" s="47"/>
      <c r="CK184" s="47"/>
      <c r="CL184" s="47"/>
      <c r="CM184" s="47"/>
      <c r="CN184" s="47"/>
      <c r="CO184" s="47"/>
      <c r="CP184" s="47"/>
      <c r="CQ184" s="47"/>
      <c r="CS184" s="47"/>
      <c r="CT184" s="47"/>
      <c r="CU184" s="47"/>
      <c r="CV184" s="47"/>
      <c r="CW184" s="47"/>
      <c r="CX184" s="47"/>
      <c r="CY184" s="47"/>
      <c r="CZ184" s="47"/>
      <c r="DA184" s="47"/>
      <c r="DB184" s="47"/>
      <c r="DC184" s="47"/>
      <c r="DD184" s="47"/>
      <c r="DE184" s="47"/>
      <c r="DF184" s="47"/>
      <c r="DG184" s="47"/>
      <c r="DH184" s="47"/>
      <c r="DI184" s="47"/>
      <c r="DJ184" s="47"/>
      <c r="DK184" s="47"/>
      <c r="DM184" s="47"/>
      <c r="DN184" s="47"/>
      <c r="DO184" s="47"/>
      <c r="DP184" s="47"/>
      <c r="DQ184" s="47"/>
      <c r="DR184" s="47"/>
      <c r="DS184" s="47"/>
      <c r="DT184" s="47"/>
      <c r="DU184" s="47"/>
      <c r="DV184" s="49"/>
      <c r="DW184" s="47"/>
      <c r="DX184" s="47"/>
      <c r="DY184" s="47"/>
      <c r="DZ184" s="47"/>
      <c r="EA184" s="47"/>
      <c r="EB184" s="47"/>
      <c r="EC184" s="47"/>
      <c r="ED184" s="47"/>
      <c r="EE184" s="47"/>
      <c r="EF184" s="47"/>
      <c r="EG184" s="47"/>
      <c r="EH184" s="47"/>
      <c r="EI184" s="47"/>
      <c r="EJ184" s="47"/>
      <c r="EK184" s="47"/>
      <c r="EL184" s="47"/>
      <c r="EM184" s="47"/>
      <c r="EN184" s="47"/>
      <c r="EO184" s="47"/>
      <c r="EP184" s="47"/>
      <c r="EQ184" s="47"/>
      <c r="ER184" s="47"/>
      <c r="ES184" s="47"/>
      <c r="ET184" s="47"/>
      <c r="EU184" s="47"/>
      <c r="EV184" s="47"/>
      <c r="EW184" s="47"/>
      <c r="EX184" s="47"/>
      <c r="EY184" s="47"/>
      <c r="EZ184" s="47"/>
      <c r="FA184" s="47"/>
      <c r="FB184" s="47"/>
      <c r="FC184" s="47"/>
      <c r="FD184" s="47"/>
      <c r="FE184" s="47"/>
      <c r="FF184" s="47"/>
      <c r="FG184" s="47"/>
      <c r="FH184" s="47"/>
      <c r="FI184" s="47"/>
      <c r="FJ184" s="49"/>
      <c r="FK184" s="47"/>
      <c r="FL184" s="47"/>
      <c r="FM184" s="47"/>
      <c r="FN184" s="47"/>
      <c r="FO184" s="47"/>
      <c r="FP184" s="47"/>
      <c r="FQ184" s="47"/>
      <c r="FR184" s="47"/>
      <c r="FS184" s="47"/>
      <c r="FT184" s="47"/>
      <c r="FU184" s="47"/>
      <c r="FV184" s="47"/>
      <c r="FW184" s="47"/>
      <c r="FX184" s="47"/>
      <c r="FY184" s="47"/>
      <c r="FZ184" s="47"/>
      <c r="GA184" s="47"/>
      <c r="GB184" s="47"/>
      <c r="GC184" s="47"/>
      <c r="GD184" s="47"/>
      <c r="GE184" s="47"/>
      <c r="GF184" s="47"/>
      <c r="GG184" s="47"/>
      <c r="GH184" s="47"/>
      <c r="GI184" s="47"/>
      <c r="GJ184" s="47"/>
      <c r="GK184" s="47"/>
      <c r="GL184" s="47"/>
      <c r="GM184" s="47"/>
      <c r="GN184" s="47"/>
      <c r="GO184" s="47"/>
      <c r="GP184" s="47"/>
      <c r="GQ184" s="47"/>
      <c r="GR184" s="47"/>
      <c r="GS184" s="47"/>
      <c r="GT184" s="47"/>
      <c r="GU184" s="47"/>
      <c r="GV184" s="47"/>
      <c r="GW184" s="47"/>
      <c r="GX184" s="47"/>
      <c r="GY184" s="47"/>
      <c r="GZ184" s="47"/>
      <c r="HA184" s="47"/>
      <c r="HB184" s="47"/>
      <c r="HC184" s="47"/>
      <c r="HD184" s="47"/>
      <c r="HE184" s="47"/>
      <c r="HF184" s="47"/>
      <c r="HI184" s="47"/>
      <c r="HJ184" s="47"/>
      <c r="HK184" s="47"/>
      <c r="HL184" s="47"/>
      <c r="HM184" s="47"/>
      <c r="HN184" s="47"/>
      <c r="HO184" s="47"/>
      <c r="HP184" s="47"/>
      <c r="HS184" s="47"/>
      <c r="HT184" s="47"/>
      <c r="HU184" s="47"/>
      <c r="HV184" s="47"/>
      <c r="HW184" s="47"/>
      <c r="HX184" s="47"/>
      <c r="HY184" s="47"/>
      <c r="HZ184" s="47"/>
      <c r="IC184" s="47"/>
      <c r="ID184" s="47"/>
      <c r="IE184" s="47"/>
      <c r="IF184" s="47"/>
      <c r="IG184" s="47"/>
      <c r="IH184" s="47"/>
      <c r="II184" s="47"/>
      <c r="IJ184" s="47"/>
      <c r="IM184" s="47"/>
      <c r="IN184" s="47"/>
      <c r="IO184" s="47"/>
      <c r="IP184" s="47"/>
      <c r="IQ184" s="47"/>
      <c r="IR184" s="47"/>
      <c r="IS184" s="47"/>
      <c r="IT184" s="47"/>
      <c r="IW184" s="47"/>
      <c r="IX184" s="47"/>
      <c r="IY184" s="47"/>
      <c r="IZ184" s="47"/>
      <c r="JA184" s="47"/>
      <c r="JB184" s="47"/>
      <c r="JC184" s="47"/>
      <c r="JD184" s="47"/>
      <c r="JG184" s="47"/>
      <c r="JH184" s="47"/>
      <c r="JI184" s="47"/>
      <c r="JJ184" s="47"/>
      <c r="JK184" s="47"/>
      <c r="JL184" s="47"/>
      <c r="JM184" s="47"/>
      <c r="JN184" s="47"/>
      <c r="JQ184" s="47"/>
      <c r="JR184" s="47"/>
      <c r="JS184" s="47"/>
      <c r="JT184" s="47"/>
      <c r="JU184" s="47"/>
      <c r="JV184" s="47"/>
      <c r="JW184" s="47"/>
      <c r="JX184" s="47"/>
      <c r="KA184" s="47"/>
      <c r="KB184" s="47"/>
      <c r="KC184" s="47"/>
      <c r="KD184" s="47"/>
      <c r="KE184" s="47"/>
      <c r="KF184" s="47"/>
      <c r="KG184" s="47"/>
      <c r="KH184" s="47"/>
      <c r="KK184" s="47"/>
      <c r="KL184" s="47"/>
      <c r="KM184" s="47"/>
      <c r="KN184" s="47"/>
      <c r="KO184" s="47"/>
      <c r="KP184" s="47"/>
      <c r="KQ184" s="47"/>
      <c r="KR184" s="47"/>
      <c r="KU184" s="47"/>
      <c r="KV184" s="47"/>
      <c r="KW184" s="47"/>
      <c r="KX184" s="47"/>
      <c r="KY184" s="47"/>
      <c r="KZ184" s="47"/>
      <c r="LA184" s="47"/>
      <c r="LB184" s="47"/>
    </row>
    <row r="185" spans="29:314" x14ac:dyDescent="0.25">
      <c r="AC185" s="47"/>
      <c r="AD185" s="47"/>
      <c r="AE185" s="47"/>
      <c r="AF185" s="47"/>
      <c r="AG185" s="49"/>
      <c r="AH185" s="47"/>
      <c r="AI185" s="47"/>
      <c r="AJ185" s="47"/>
      <c r="AK185" s="47"/>
      <c r="AL185" s="47"/>
      <c r="AM185" s="47"/>
      <c r="AN185" s="47"/>
      <c r="AO185" s="47"/>
      <c r="AP185" s="47"/>
      <c r="AQ185" s="47"/>
      <c r="AR185" s="47"/>
      <c r="AS185" s="47"/>
      <c r="AT185" s="47"/>
      <c r="AU185" s="47"/>
      <c r="AV185" s="47"/>
      <c r="AW185" s="47"/>
      <c r="AX185" s="47"/>
      <c r="AY185" s="47"/>
      <c r="AZ185" s="47"/>
      <c r="BA185" s="47"/>
      <c r="BB185" s="47"/>
      <c r="BC185" s="47"/>
      <c r="BD185" s="47"/>
      <c r="BE185" s="47"/>
      <c r="BF185" s="47"/>
      <c r="BG185" s="47"/>
      <c r="BH185" s="47"/>
      <c r="BI185" s="47"/>
      <c r="BJ185" s="47"/>
      <c r="BK185" s="47"/>
      <c r="BL185" s="47"/>
      <c r="BM185" s="47"/>
      <c r="BN185" s="49"/>
      <c r="BO185" s="47"/>
      <c r="BP185" s="47"/>
      <c r="BQ185" s="47"/>
      <c r="BR185" s="47"/>
      <c r="BS185" s="47"/>
      <c r="BT185" s="47"/>
      <c r="BU185" s="47"/>
      <c r="BV185" s="47"/>
      <c r="BW185" s="47"/>
      <c r="BX185" s="47"/>
      <c r="BY185" s="47"/>
      <c r="BZ185" s="47"/>
      <c r="CA185" s="47"/>
      <c r="CB185" s="47"/>
      <c r="CC185" s="47"/>
      <c r="CD185" s="47"/>
      <c r="CE185" s="47"/>
      <c r="CF185" s="47"/>
      <c r="CG185" s="49"/>
      <c r="CH185" s="47"/>
      <c r="CI185" s="47"/>
      <c r="CJ185" s="47"/>
      <c r="CK185" s="47"/>
      <c r="CL185" s="47"/>
      <c r="CM185" s="47"/>
      <c r="CN185" s="47"/>
      <c r="CO185" s="47"/>
      <c r="CP185" s="47"/>
      <c r="CQ185" s="47"/>
      <c r="CS185" s="47"/>
      <c r="CT185" s="47"/>
      <c r="CU185" s="47"/>
      <c r="CV185" s="47"/>
      <c r="CW185" s="47"/>
      <c r="CX185" s="47"/>
      <c r="CY185" s="47"/>
      <c r="CZ185" s="47"/>
      <c r="DA185" s="47"/>
      <c r="DB185" s="47"/>
      <c r="DC185" s="47"/>
      <c r="DD185" s="47"/>
      <c r="DE185" s="47"/>
      <c r="DF185" s="47"/>
      <c r="DG185" s="47"/>
      <c r="DH185" s="47"/>
      <c r="DI185" s="47"/>
      <c r="DJ185" s="47"/>
      <c r="DK185" s="47"/>
      <c r="DM185" s="47"/>
      <c r="DN185" s="47"/>
      <c r="DO185" s="47"/>
      <c r="DP185" s="47"/>
      <c r="DQ185" s="47"/>
      <c r="DR185" s="47"/>
      <c r="DS185" s="47"/>
      <c r="DT185" s="47"/>
      <c r="DU185" s="47"/>
      <c r="DV185" s="49"/>
      <c r="DW185" s="47"/>
      <c r="DX185" s="47"/>
      <c r="DY185" s="47"/>
      <c r="DZ185" s="47"/>
      <c r="EA185" s="47"/>
      <c r="EB185" s="47"/>
      <c r="EC185" s="47"/>
      <c r="ED185" s="47"/>
      <c r="EE185" s="47"/>
      <c r="EF185" s="47"/>
      <c r="EG185" s="47"/>
      <c r="EH185" s="47"/>
      <c r="EI185" s="47"/>
      <c r="EJ185" s="47"/>
      <c r="EK185" s="47"/>
      <c r="EL185" s="47"/>
      <c r="EM185" s="47"/>
      <c r="EN185" s="47"/>
      <c r="EO185" s="47"/>
      <c r="EP185" s="47"/>
      <c r="EQ185" s="47"/>
      <c r="ER185" s="47"/>
      <c r="ES185" s="47"/>
      <c r="ET185" s="47"/>
      <c r="EU185" s="47"/>
      <c r="EV185" s="47"/>
      <c r="EW185" s="47"/>
      <c r="EX185" s="47"/>
      <c r="EY185" s="47"/>
      <c r="EZ185" s="47"/>
      <c r="FA185" s="47"/>
      <c r="FB185" s="47"/>
      <c r="FC185" s="47"/>
      <c r="FD185" s="47"/>
      <c r="FE185" s="47"/>
      <c r="FF185" s="47"/>
      <c r="FG185" s="47"/>
      <c r="FH185" s="47"/>
      <c r="FI185" s="47"/>
      <c r="FJ185" s="49"/>
      <c r="FK185" s="47"/>
      <c r="FL185" s="47"/>
      <c r="FM185" s="47"/>
      <c r="FN185" s="47"/>
      <c r="FO185" s="47"/>
      <c r="FP185" s="47"/>
      <c r="FQ185" s="47"/>
      <c r="FR185" s="47"/>
      <c r="FS185" s="47"/>
      <c r="FT185" s="47"/>
      <c r="FU185" s="47"/>
      <c r="FV185" s="47"/>
      <c r="FW185" s="47"/>
      <c r="FX185" s="47"/>
      <c r="FY185" s="47"/>
      <c r="FZ185" s="47"/>
      <c r="GA185" s="47"/>
      <c r="GB185" s="47"/>
      <c r="GC185" s="47"/>
      <c r="GD185" s="47"/>
      <c r="GE185" s="47"/>
      <c r="GF185" s="47"/>
      <c r="GG185" s="47"/>
      <c r="GH185" s="47"/>
      <c r="GI185" s="47"/>
      <c r="GJ185" s="47"/>
      <c r="GK185" s="47"/>
      <c r="GL185" s="47"/>
      <c r="GM185" s="47"/>
      <c r="GN185" s="47"/>
      <c r="GO185" s="47"/>
      <c r="GP185" s="47"/>
      <c r="GQ185" s="47"/>
      <c r="GR185" s="47"/>
      <c r="GS185" s="47"/>
      <c r="GT185" s="47"/>
      <c r="GU185" s="47"/>
      <c r="GV185" s="47"/>
      <c r="GW185" s="47"/>
      <c r="GX185" s="47"/>
      <c r="GY185" s="47"/>
      <c r="GZ185" s="47"/>
      <c r="HA185" s="47"/>
      <c r="HB185" s="47"/>
      <c r="HC185" s="47"/>
      <c r="HD185" s="47"/>
      <c r="HE185" s="47"/>
      <c r="HF185" s="47"/>
      <c r="HI185" s="47"/>
      <c r="HJ185" s="47"/>
      <c r="HK185" s="47"/>
      <c r="HL185" s="47"/>
      <c r="HM185" s="47"/>
      <c r="HN185" s="47"/>
      <c r="HO185" s="47"/>
      <c r="HP185" s="47"/>
      <c r="HS185" s="47"/>
      <c r="HT185" s="47"/>
      <c r="HU185" s="47"/>
      <c r="HV185" s="47"/>
      <c r="HW185" s="47"/>
      <c r="HX185" s="47"/>
      <c r="HY185" s="47"/>
      <c r="HZ185" s="47"/>
      <c r="IC185" s="47"/>
      <c r="ID185" s="47"/>
      <c r="IE185" s="47"/>
      <c r="IF185" s="47"/>
      <c r="IG185" s="47"/>
      <c r="IH185" s="47"/>
      <c r="II185" s="47"/>
      <c r="IJ185" s="47"/>
      <c r="IM185" s="47"/>
      <c r="IN185" s="47"/>
      <c r="IO185" s="47"/>
      <c r="IP185" s="47"/>
      <c r="IQ185" s="47"/>
      <c r="IR185" s="47"/>
      <c r="IS185" s="47"/>
      <c r="IT185" s="47"/>
      <c r="IW185" s="47"/>
      <c r="IX185" s="47"/>
      <c r="IY185" s="47"/>
      <c r="IZ185" s="47"/>
      <c r="JA185" s="47"/>
      <c r="JB185" s="47"/>
      <c r="JC185" s="47"/>
      <c r="JD185" s="47"/>
      <c r="JG185" s="47"/>
      <c r="JH185" s="47"/>
      <c r="JI185" s="47"/>
      <c r="JJ185" s="47"/>
      <c r="JK185" s="47"/>
      <c r="JL185" s="47"/>
      <c r="JM185" s="47"/>
      <c r="JN185" s="47"/>
      <c r="JQ185" s="47"/>
      <c r="JR185" s="47"/>
      <c r="JS185" s="47"/>
      <c r="JT185" s="47"/>
      <c r="JU185" s="47"/>
      <c r="JV185" s="47"/>
      <c r="JW185" s="47"/>
      <c r="JX185" s="47"/>
      <c r="KA185" s="47"/>
      <c r="KB185" s="47"/>
      <c r="KC185" s="47"/>
      <c r="KD185" s="47"/>
      <c r="KE185" s="47"/>
      <c r="KF185" s="47"/>
      <c r="KG185" s="47"/>
      <c r="KH185" s="47"/>
      <c r="KK185" s="47"/>
      <c r="KL185" s="47"/>
      <c r="KM185" s="47"/>
      <c r="KN185" s="47"/>
      <c r="KO185" s="47"/>
      <c r="KP185" s="47"/>
      <c r="KQ185" s="47"/>
      <c r="KR185" s="47"/>
      <c r="KU185" s="47"/>
      <c r="KV185" s="47"/>
      <c r="KW185" s="47"/>
      <c r="KX185" s="47"/>
      <c r="KY185" s="47"/>
      <c r="KZ185" s="47"/>
      <c r="LA185" s="47"/>
      <c r="LB185" s="47"/>
    </row>
    <row r="186" spans="29:314" x14ac:dyDescent="0.25">
      <c r="AC186" s="47"/>
      <c r="AD186" s="47"/>
      <c r="AE186" s="47"/>
      <c r="AF186" s="47"/>
      <c r="AG186" s="49"/>
      <c r="AH186" s="47"/>
      <c r="AI186" s="47"/>
      <c r="AJ186" s="47"/>
      <c r="AK186" s="47"/>
      <c r="AL186" s="47"/>
      <c r="AM186" s="47"/>
      <c r="AN186" s="47"/>
      <c r="AO186" s="47"/>
      <c r="AP186" s="47"/>
      <c r="AQ186" s="47"/>
      <c r="AR186" s="47"/>
      <c r="AS186" s="47"/>
      <c r="AT186" s="47"/>
      <c r="AU186" s="47"/>
      <c r="AV186" s="47"/>
      <c r="AW186" s="47"/>
      <c r="AX186" s="47"/>
      <c r="AY186" s="47"/>
      <c r="AZ186" s="47"/>
      <c r="BA186" s="47"/>
      <c r="BB186" s="47"/>
      <c r="BC186" s="47"/>
      <c r="BD186" s="47"/>
      <c r="BE186" s="47"/>
      <c r="BF186" s="47"/>
      <c r="BG186" s="47"/>
      <c r="BH186" s="47"/>
      <c r="BI186" s="47"/>
      <c r="BJ186" s="47"/>
      <c r="BK186" s="47"/>
      <c r="BL186" s="47"/>
      <c r="BM186" s="47"/>
      <c r="BN186" s="49"/>
      <c r="BO186" s="47"/>
      <c r="BP186" s="47"/>
      <c r="BQ186" s="47"/>
      <c r="BR186" s="47"/>
      <c r="BS186" s="47"/>
      <c r="BT186" s="47"/>
      <c r="BU186" s="47"/>
      <c r="BV186" s="47"/>
      <c r="BW186" s="47"/>
      <c r="BX186" s="47"/>
      <c r="BY186" s="47"/>
      <c r="BZ186" s="47"/>
      <c r="CA186" s="47"/>
      <c r="CB186" s="47"/>
      <c r="CC186" s="47"/>
      <c r="CD186" s="47"/>
      <c r="CE186" s="47"/>
      <c r="CF186" s="47"/>
      <c r="CG186" s="49"/>
      <c r="CH186" s="47"/>
      <c r="CI186" s="47"/>
      <c r="CJ186" s="47"/>
      <c r="CK186" s="47"/>
      <c r="CL186" s="47"/>
      <c r="CM186" s="47"/>
      <c r="CN186" s="47"/>
      <c r="CO186" s="47"/>
      <c r="CP186" s="47"/>
      <c r="CQ186" s="47"/>
      <c r="CS186" s="47"/>
      <c r="CT186" s="47"/>
      <c r="CU186" s="47"/>
      <c r="CV186" s="47"/>
      <c r="CW186" s="47"/>
      <c r="CX186" s="47"/>
      <c r="CY186" s="47"/>
      <c r="CZ186" s="47"/>
      <c r="DA186" s="47"/>
      <c r="DB186" s="47"/>
      <c r="DC186" s="47"/>
      <c r="DD186" s="47"/>
      <c r="DE186" s="47"/>
      <c r="DF186" s="47"/>
      <c r="DG186" s="47"/>
      <c r="DH186" s="47"/>
      <c r="DI186" s="47"/>
      <c r="DJ186" s="47"/>
      <c r="DK186" s="47"/>
      <c r="DM186" s="47"/>
      <c r="DN186" s="47"/>
      <c r="DO186" s="47"/>
      <c r="DP186" s="47"/>
      <c r="DQ186" s="47"/>
      <c r="DR186" s="47"/>
      <c r="DS186" s="47"/>
      <c r="DT186" s="47"/>
      <c r="DU186" s="47"/>
      <c r="DV186" s="49"/>
      <c r="DW186" s="47"/>
      <c r="DX186" s="47"/>
      <c r="DY186" s="47"/>
      <c r="DZ186" s="47"/>
      <c r="EA186" s="47"/>
      <c r="EB186" s="47"/>
      <c r="EC186" s="47"/>
      <c r="ED186" s="47"/>
      <c r="EE186" s="47"/>
      <c r="EF186" s="47"/>
      <c r="EG186" s="47"/>
      <c r="EH186" s="47"/>
      <c r="EI186" s="47"/>
      <c r="EJ186" s="47"/>
      <c r="EK186" s="47"/>
      <c r="EL186" s="47"/>
      <c r="EM186" s="47"/>
      <c r="EN186" s="47"/>
      <c r="EO186" s="47"/>
      <c r="EP186" s="47"/>
      <c r="EQ186" s="47"/>
      <c r="ER186" s="47"/>
      <c r="ES186" s="47"/>
      <c r="ET186" s="47"/>
      <c r="EU186" s="47"/>
      <c r="EV186" s="47"/>
      <c r="EW186" s="47"/>
      <c r="EX186" s="47"/>
      <c r="EY186" s="47"/>
      <c r="EZ186" s="47"/>
      <c r="FA186" s="47"/>
      <c r="FB186" s="47"/>
      <c r="FC186" s="47"/>
      <c r="FD186" s="47"/>
      <c r="FE186" s="47"/>
      <c r="FF186" s="47"/>
      <c r="FG186" s="47"/>
      <c r="FH186" s="47"/>
      <c r="FI186" s="47"/>
      <c r="FJ186" s="49"/>
      <c r="FK186" s="47"/>
      <c r="FL186" s="47"/>
      <c r="FM186" s="47"/>
      <c r="FN186" s="47"/>
      <c r="FO186" s="47"/>
      <c r="FP186" s="47"/>
      <c r="FQ186" s="47"/>
      <c r="FR186" s="47"/>
      <c r="FS186" s="47"/>
      <c r="FT186" s="47"/>
      <c r="FU186" s="47"/>
      <c r="FV186" s="47"/>
      <c r="FW186" s="47"/>
      <c r="FX186" s="47"/>
      <c r="FY186" s="47"/>
      <c r="FZ186" s="47"/>
      <c r="GA186" s="47"/>
      <c r="GB186" s="47"/>
      <c r="GC186" s="47"/>
      <c r="GD186" s="47"/>
      <c r="GE186" s="47"/>
      <c r="GF186" s="47"/>
      <c r="GG186" s="47"/>
      <c r="GH186" s="47"/>
      <c r="GI186" s="47"/>
      <c r="GJ186" s="47"/>
      <c r="GK186" s="47"/>
      <c r="GL186" s="47"/>
      <c r="GM186" s="47"/>
      <c r="GN186" s="47"/>
      <c r="GO186" s="47"/>
      <c r="GP186" s="47"/>
      <c r="GQ186" s="47"/>
      <c r="GR186" s="47"/>
      <c r="GS186" s="47"/>
      <c r="GT186" s="47"/>
      <c r="GU186" s="47"/>
      <c r="GV186" s="47"/>
      <c r="GW186" s="47"/>
      <c r="GX186" s="47"/>
      <c r="GY186" s="47"/>
      <c r="GZ186" s="47"/>
      <c r="HA186" s="47"/>
      <c r="HB186" s="47"/>
      <c r="HC186" s="47"/>
      <c r="HD186" s="47"/>
      <c r="HE186" s="47"/>
      <c r="HF186" s="47"/>
      <c r="HI186" s="47"/>
      <c r="HJ186" s="47"/>
      <c r="HK186" s="47"/>
      <c r="HL186" s="47"/>
      <c r="HM186" s="47"/>
      <c r="HN186" s="47"/>
      <c r="HO186" s="47"/>
      <c r="HP186" s="47"/>
      <c r="HS186" s="47"/>
      <c r="HT186" s="47"/>
      <c r="HU186" s="47"/>
      <c r="HV186" s="47"/>
      <c r="HW186" s="47"/>
      <c r="HX186" s="47"/>
      <c r="HY186" s="47"/>
      <c r="HZ186" s="47"/>
      <c r="IC186" s="47"/>
      <c r="ID186" s="47"/>
      <c r="IE186" s="47"/>
      <c r="IF186" s="47"/>
      <c r="IG186" s="47"/>
      <c r="IH186" s="47"/>
      <c r="II186" s="47"/>
      <c r="IJ186" s="47"/>
      <c r="IM186" s="47"/>
      <c r="IN186" s="47"/>
      <c r="IO186" s="47"/>
      <c r="IP186" s="47"/>
      <c r="IQ186" s="47"/>
      <c r="IR186" s="47"/>
      <c r="IS186" s="47"/>
      <c r="IT186" s="47"/>
      <c r="IW186" s="47"/>
      <c r="IX186" s="47"/>
      <c r="IY186" s="47"/>
      <c r="IZ186" s="47"/>
      <c r="JA186" s="47"/>
      <c r="JB186" s="47"/>
      <c r="JC186" s="47"/>
      <c r="JD186" s="47"/>
      <c r="JG186" s="47"/>
      <c r="JH186" s="47"/>
      <c r="JI186" s="47"/>
      <c r="JJ186" s="47"/>
      <c r="JK186" s="47"/>
      <c r="JL186" s="47"/>
      <c r="JM186" s="47"/>
      <c r="JN186" s="47"/>
      <c r="JQ186" s="47"/>
      <c r="JR186" s="47"/>
      <c r="JS186" s="47"/>
      <c r="JT186" s="47"/>
      <c r="JU186" s="47"/>
      <c r="JV186" s="47"/>
      <c r="JW186" s="47"/>
      <c r="JX186" s="47"/>
      <c r="KA186" s="47"/>
      <c r="KB186" s="47"/>
      <c r="KC186" s="47"/>
      <c r="KD186" s="47"/>
      <c r="KE186" s="47"/>
      <c r="KF186" s="47"/>
      <c r="KG186" s="47"/>
      <c r="KH186" s="47"/>
      <c r="KK186" s="47"/>
      <c r="KL186" s="47"/>
      <c r="KM186" s="47"/>
      <c r="KN186" s="47"/>
      <c r="KO186" s="47"/>
      <c r="KP186" s="47"/>
      <c r="KQ186" s="47"/>
      <c r="KR186" s="47"/>
      <c r="KU186" s="47"/>
      <c r="KV186" s="47"/>
      <c r="KW186" s="47"/>
      <c r="KX186" s="47"/>
      <c r="KY186" s="47"/>
      <c r="KZ186" s="47"/>
      <c r="LA186" s="47"/>
      <c r="LB186" s="47"/>
    </row>
    <row r="187" spans="29:314" x14ac:dyDescent="0.25">
      <c r="AC187" s="47"/>
      <c r="AD187" s="47"/>
      <c r="AE187" s="47"/>
      <c r="AF187" s="47"/>
      <c r="AG187" s="49"/>
      <c r="AH187" s="47"/>
      <c r="AI187" s="47"/>
      <c r="AJ187" s="47"/>
      <c r="AK187" s="47"/>
      <c r="AL187" s="47"/>
      <c r="AM187" s="47"/>
      <c r="AN187" s="47"/>
      <c r="AO187" s="47"/>
      <c r="AP187" s="47"/>
      <c r="AQ187" s="47"/>
      <c r="AR187" s="47"/>
      <c r="AS187" s="47"/>
      <c r="AT187" s="47"/>
      <c r="AU187" s="47"/>
      <c r="AV187" s="47"/>
      <c r="AW187" s="47"/>
      <c r="AX187" s="47"/>
      <c r="AY187" s="47"/>
      <c r="AZ187" s="47"/>
      <c r="BA187" s="47"/>
      <c r="BB187" s="47"/>
      <c r="BC187" s="47"/>
      <c r="BD187" s="47"/>
      <c r="BE187" s="47"/>
      <c r="BF187" s="47"/>
      <c r="BG187" s="47"/>
      <c r="BH187" s="47"/>
      <c r="BI187" s="47"/>
      <c r="BJ187" s="47"/>
      <c r="BK187" s="47"/>
      <c r="BL187" s="47"/>
      <c r="BM187" s="47"/>
      <c r="BN187" s="49"/>
      <c r="BO187" s="47"/>
      <c r="BP187" s="47"/>
      <c r="BQ187" s="47"/>
      <c r="BR187" s="47"/>
      <c r="BS187" s="47"/>
      <c r="BT187" s="47"/>
      <c r="BU187" s="47"/>
      <c r="BV187" s="47"/>
      <c r="BW187" s="47"/>
      <c r="BX187" s="47"/>
      <c r="BY187" s="47"/>
      <c r="BZ187" s="47"/>
      <c r="CA187" s="47"/>
      <c r="CB187" s="47"/>
      <c r="CC187" s="47"/>
      <c r="CD187" s="47"/>
      <c r="CE187" s="47"/>
      <c r="CF187" s="47"/>
      <c r="CG187" s="49"/>
      <c r="CH187" s="47"/>
      <c r="CI187" s="47"/>
      <c r="CJ187" s="47"/>
      <c r="CK187" s="47"/>
      <c r="CL187" s="47"/>
      <c r="CM187" s="47"/>
      <c r="CN187" s="47"/>
      <c r="CO187" s="47"/>
      <c r="CP187" s="47"/>
      <c r="CQ187" s="47"/>
      <c r="CS187" s="47"/>
      <c r="CT187" s="47"/>
      <c r="CU187" s="47"/>
      <c r="CV187" s="47"/>
      <c r="CW187" s="47"/>
      <c r="CX187" s="47"/>
      <c r="CY187" s="47"/>
      <c r="CZ187" s="47"/>
      <c r="DA187" s="47"/>
      <c r="DB187" s="47"/>
      <c r="DC187" s="47"/>
      <c r="DD187" s="47"/>
      <c r="DE187" s="47"/>
      <c r="DF187" s="47"/>
      <c r="DG187" s="47"/>
      <c r="DH187" s="47"/>
      <c r="DI187" s="47"/>
      <c r="DJ187" s="47"/>
      <c r="DK187" s="47"/>
      <c r="DM187" s="47"/>
      <c r="DN187" s="47"/>
      <c r="DO187" s="47"/>
      <c r="DP187" s="47"/>
      <c r="DQ187" s="47"/>
      <c r="DR187" s="47"/>
      <c r="DS187" s="47"/>
      <c r="DT187" s="47"/>
      <c r="DU187" s="47"/>
      <c r="DV187" s="49"/>
      <c r="DW187" s="47"/>
      <c r="DX187" s="47"/>
      <c r="DY187" s="47"/>
      <c r="DZ187" s="47"/>
      <c r="EA187" s="47"/>
      <c r="EB187" s="47"/>
      <c r="EC187" s="47"/>
      <c r="ED187" s="47"/>
      <c r="EE187" s="47"/>
      <c r="EF187" s="47"/>
      <c r="EG187" s="47"/>
      <c r="EH187" s="47"/>
      <c r="EI187" s="47"/>
      <c r="EJ187" s="47"/>
      <c r="EK187" s="47"/>
      <c r="EL187" s="47"/>
      <c r="EM187" s="47"/>
      <c r="EN187" s="47"/>
      <c r="EO187" s="47"/>
      <c r="EP187" s="47"/>
      <c r="EQ187" s="47"/>
      <c r="ER187" s="47"/>
      <c r="ES187" s="47"/>
      <c r="ET187" s="47"/>
      <c r="EU187" s="47"/>
      <c r="EV187" s="47"/>
      <c r="EW187" s="47"/>
      <c r="EX187" s="47"/>
      <c r="EY187" s="47"/>
      <c r="EZ187" s="47"/>
      <c r="FA187" s="47"/>
      <c r="FB187" s="47"/>
      <c r="FC187" s="47"/>
      <c r="FD187" s="47"/>
      <c r="FE187" s="47"/>
      <c r="FF187" s="47"/>
      <c r="FG187" s="47"/>
      <c r="FH187" s="47"/>
      <c r="FI187" s="47"/>
      <c r="FJ187" s="49"/>
      <c r="FK187" s="47"/>
      <c r="FL187" s="47"/>
      <c r="FM187" s="47"/>
      <c r="FN187" s="47"/>
      <c r="FO187" s="47"/>
      <c r="FP187" s="47"/>
      <c r="FQ187" s="47"/>
      <c r="FR187" s="47"/>
      <c r="FS187" s="47"/>
      <c r="FT187" s="47"/>
      <c r="FU187" s="47"/>
      <c r="FV187" s="47"/>
      <c r="FW187" s="47"/>
      <c r="FX187" s="47"/>
      <c r="FY187" s="47"/>
      <c r="FZ187" s="47"/>
      <c r="GA187" s="47"/>
      <c r="GB187" s="47"/>
      <c r="GC187" s="47"/>
      <c r="GD187" s="47"/>
      <c r="GE187" s="47"/>
      <c r="GF187" s="47"/>
      <c r="GG187" s="47"/>
      <c r="GH187" s="47"/>
      <c r="GI187" s="47"/>
      <c r="GJ187" s="47"/>
      <c r="GK187" s="47"/>
      <c r="GL187" s="47"/>
      <c r="GM187" s="47"/>
      <c r="GN187" s="47"/>
      <c r="GO187" s="47"/>
      <c r="GP187" s="47"/>
      <c r="GQ187" s="47"/>
      <c r="GR187" s="47"/>
      <c r="GS187" s="47"/>
      <c r="GT187" s="47"/>
      <c r="GU187" s="47"/>
      <c r="GV187" s="47"/>
      <c r="GW187" s="47"/>
      <c r="GX187" s="47"/>
      <c r="GY187" s="47"/>
      <c r="GZ187" s="47"/>
      <c r="HA187" s="47"/>
      <c r="HB187" s="47"/>
      <c r="HC187" s="47"/>
      <c r="HD187" s="47"/>
      <c r="HE187" s="47"/>
      <c r="HF187" s="47"/>
      <c r="HI187" s="47"/>
      <c r="HJ187" s="47"/>
      <c r="HK187" s="47"/>
      <c r="HL187" s="47"/>
      <c r="HM187" s="47"/>
      <c r="HN187" s="47"/>
      <c r="HO187" s="47"/>
      <c r="HP187" s="47"/>
      <c r="HS187" s="47"/>
      <c r="HT187" s="47"/>
      <c r="HU187" s="47"/>
      <c r="HV187" s="47"/>
      <c r="HW187" s="47"/>
      <c r="HX187" s="47"/>
      <c r="HY187" s="47"/>
      <c r="HZ187" s="47"/>
      <c r="IC187" s="47"/>
      <c r="ID187" s="47"/>
      <c r="IE187" s="47"/>
      <c r="IF187" s="47"/>
      <c r="IG187" s="47"/>
      <c r="IH187" s="47"/>
      <c r="II187" s="47"/>
      <c r="IJ187" s="47"/>
      <c r="IM187" s="47"/>
      <c r="IN187" s="47"/>
      <c r="IO187" s="47"/>
      <c r="IP187" s="47"/>
      <c r="IQ187" s="47"/>
      <c r="IR187" s="47"/>
      <c r="IS187" s="47"/>
      <c r="IT187" s="47"/>
      <c r="IW187" s="47"/>
      <c r="IX187" s="47"/>
      <c r="IY187" s="47"/>
      <c r="IZ187" s="47"/>
      <c r="JA187" s="47"/>
      <c r="JB187" s="47"/>
      <c r="JC187" s="47"/>
      <c r="JD187" s="47"/>
      <c r="JG187" s="47"/>
      <c r="JH187" s="47"/>
      <c r="JI187" s="47"/>
      <c r="JJ187" s="47"/>
      <c r="JK187" s="47"/>
      <c r="JL187" s="47"/>
      <c r="JM187" s="47"/>
      <c r="JN187" s="47"/>
      <c r="JQ187" s="47"/>
      <c r="JR187" s="47"/>
      <c r="JS187" s="47"/>
      <c r="JT187" s="47"/>
      <c r="JU187" s="47"/>
      <c r="JV187" s="47"/>
      <c r="JW187" s="47"/>
      <c r="JX187" s="47"/>
      <c r="KA187" s="47"/>
      <c r="KB187" s="47"/>
      <c r="KC187" s="47"/>
      <c r="KD187" s="47"/>
      <c r="KE187" s="47"/>
      <c r="KF187" s="47"/>
      <c r="KG187" s="47"/>
      <c r="KH187" s="47"/>
      <c r="KK187" s="47"/>
      <c r="KL187" s="47"/>
      <c r="KM187" s="47"/>
      <c r="KN187" s="47"/>
      <c r="KO187" s="47"/>
      <c r="KP187" s="47"/>
      <c r="KQ187" s="47"/>
      <c r="KR187" s="47"/>
      <c r="KU187" s="47"/>
      <c r="KV187" s="47"/>
      <c r="KW187" s="47"/>
      <c r="KX187" s="47"/>
      <c r="KY187" s="47"/>
      <c r="KZ187" s="47"/>
      <c r="LA187" s="47"/>
      <c r="LB187" s="47"/>
    </row>
    <row r="188" spans="29:314" x14ac:dyDescent="0.25">
      <c r="AC188" s="47"/>
      <c r="AD188" s="47"/>
      <c r="AE188" s="47"/>
      <c r="AF188" s="47"/>
      <c r="AG188" s="49"/>
      <c r="AH188" s="47"/>
      <c r="AI188" s="47"/>
      <c r="AJ188" s="47"/>
      <c r="AK188" s="47"/>
      <c r="AL188" s="47"/>
      <c r="AM188" s="47"/>
      <c r="AN188" s="47"/>
      <c r="AO188" s="47"/>
      <c r="AP188" s="47"/>
      <c r="AQ188" s="47"/>
      <c r="AR188" s="47"/>
      <c r="AS188" s="47"/>
      <c r="AT188" s="47"/>
      <c r="AU188" s="47"/>
      <c r="AV188" s="47"/>
      <c r="AW188" s="47"/>
      <c r="AX188" s="47"/>
      <c r="AY188" s="47"/>
      <c r="AZ188" s="47"/>
      <c r="BA188" s="47"/>
      <c r="BB188" s="47"/>
      <c r="BC188" s="47"/>
      <c r="BD188" s="47"/>
      <c r="BE188" s="47"/>
      <c r="BF188" s="47"/>
      <c r="BG188" s="47"/>
      <c r="BH188" s="47"/>
      <c r="BI188" s="47"/>
      <c r="BJ188" s="47"/>
      <c r="BK188" s="47"/>
      <c r="BL188" s="47"/>
      <c r="BM188" s="47"/>
      <c r="BN188" s="49"/>
      <c r="BO188" s="47"/>
      <c r="BP188" s="47"/>
      <c r="BQ188" s="47"/>
      <c r="BR188" s="47"/>
      <c r="BS188" s="47"/>
      <c r="BT188" s="47"/>
      <c r="BU188" s="47"/>
      <c r="BV188" s="47"/>
      <c r="BW188" s="47"/>
      <c r="BX188" s="47"/>
      <c r="BY188" s="47"/>
      <c r="BZ188" s="47"/>
      <c r="CA188" s="47"/>
      <c r="CB188" s="47"/>
      <c r="CC188" s="47"/>
      <c r="CD188" s="47"/>
      <c r="CE188" s="47"/>
      <c r="CF188" s="47"/>
      <c r="CG188" s="49"/>
      <c r="CH188" s="47"/>
      <c r="CI188" s="47"/>
      <c r="CJ188" s="47"/>
      <c r="CK188" s="47"/>
      <c r="CL188" s="47"/>
      <c r="CM188" s="47"/>
      <c r="CN188" s="47"/>
      <c r="CO188" s="47"/>
      <c r="CP188" s="47"/>
      <c r="CQ188" s="47"/>
      <c r="CS188" s="47"/>
      <c r="CT188" s="47"/>
      <c r="CU188" s="47"/>
      <c r="CV188" s="47"/>
      <c r="CW188" s="47"/>
      <c r="CX188" s="47"/>
      <c r="CY188" s="47"/>
      <c r="CZ188" s="47"/>
      <c r="DA188" s="47"/>
      <c r="DB188" s="47"/>
      <c r="DC188" s="47"/>
      <c r="DD188" s="47"/>
      <c r="DE188" s="47"/>
      <c r="DF188" s="47"/>
      <c r="DG188" s="47"/>
      <c r="DH188" s="47"/>
      <c r="DI188" s="47"/>
      <c r="DJ188" s="47"/>
      <c r="DK188" s="47"/>
      <c r="DM188" s="47"/>
      <c r="DN188" s="47"/>
      <c r="DO188" s="47"/>
      <c r="DP188" s="47"/>
      <c r="DQ188" s="47"/>
      <c r="DR188" s="47"/>
      <c r="DS188" s="47"/>
      <c r="DT188" s="47"/>
      <c r="DU188" s="47"/>
      <c r="DV188" s="49"/>
      <c r="DW188" s="47"/>
      <c r="DX188" s="47"/>
      <c r="DY188" s="47"/>
      <c r="DZ188" s="47"/>
      <c r="EA188" s="47"/>
      <c r="EB188" s="47"/>
      <c r="EC188" s="47"/>
      <c r="ED188" s="47"/>
      <c r="EE188" s="47"/>
      <c r="EF188" s="47"/>
      <c r="EG188" s="47"/>
      <c r="EH188" s="47"/>
      <c r="EI188" s="47"/>
      <c r="EJ188" s="47"/>
      <c r="EK188" s="47"/>
      <c r="EL188" s="47"/>
      <c r="EM188" s="47"/>
      <c r="EN188" s="47"/>
      <c r="EO188" s="47"/>
      <c r="EP188" s="47"/>
      <c r="EQ188" s="47"/>
      <c r="ER188" s="47"/>
      <c r="ES188" s="47"/>
      <c r="ET188" s="47"/>
      <c r="EU188" s="47"/>
      <c r="EV188" s="47"/>
      <c r="EW188" s="47"/>
      <c r="EX188" s="47"/>
      <c r="EY188" s="47"/>
      <c r="EZ188" s="47"/>
      <c r="FA188" s="47"/>
      <c r="FB188" s="47"/>
      <c r="FC188" s="47"/>
      <c r="FD188" s="47"/>
      <c r="FE188" s="47"/>
      <c r="FF188" s="47"/>
      <c r="FG188" s="47"/>
      <c r="FH188" s="47"/>
      <c r="FI188" s="47"/>
      <c r="FJ188" s="49"/>
      <c r="FK188" s="47"/>
      <c r="FL188" s="47"/>
      <c r="FM188" s="47"/>
      <c r="FN188" s="47"/>
      <c r="FO188" s="47"/>
      <c r="FP188" s="47"/>
      <c r="FQ188" s="47"/>
      <c r="FR188" s="47"/>
      <c r="FS188" s="47"/>
      <c r="FT188" s="47"/>
      <c r="FU188" s="47"/>
      <c r="FV188" s="47"/>
      <c r="FW188" s="47"/>
      <c r="FX188" s="47"/>
      <c r="FY188" s="47"/>
      <c r="FZ188" s="47"/>
      <c r="GA188" s="47"/>
      <c r="GB188" s="47"/>
      <c r="GC188" s="47"/>
      <c r="GD188" s="47"/>
      <c r="GE188" s="47"/>
      <c r="GF188" s="47"/>
      <c r="GG188" s="47"/>
      <c r="GH188" s="47"/>
      <c r="GI188" s="47"/>
      <c r="GJ188" s="47"/>
      <c r="GK188" s="47"/>
      <c r="GL188" s="47"/>
      <c r="GM188" s="47"/>
      <c r="GN188" s="47"/>
      <c r="GO188" s="47"/>
      <c r="GP188" s="47"/>
      <c r="GQ188" s="47"/>
      <c r="GR188" s="47"/>
      <c r="GS188" s="47"/>
      <c r="GT188" s="47"/>
      <c r="GU188" s="47"/>
      <c r="GV188" s="47"/>
      <c r="GW188" s="47"/>
      <c r="GX188" s="47"/>
      <c r="GY188" s="47"/>
      <c r="GZ188" s="47"/>
      <c r="HA188" s="47"/>
      <c r="HB188" s="47"/>
      <c r="HC188" s="47"/>
      <c r="HD188" s="47"/>
      <c r="HE188" s="47"/>
      <c r="HF188" s="47"/>
      <c r="HI188" s="47"/>
      <c r="HJ188" s="47"/>
      <c r="HK188" s="47"/>
      <c r="HL188" s="47"/>
      <c r="HM188" s="47"/>
      <c r="HN188" s="47"/>
      <c r="HO188" s="47"/>
      <c r="HP188" s="47"/>
      <c r="HS188" s="47"/>
      <c r="HT188" s="47"/>
      <c r="HU188" s="47"/>
      <c r="HV188" s="47"/>
      <c r="HW188" s="47"/>
      <c r="HX188" s="47"/>
      <c r="HY188" s="47"/>
      <c r="HZ188" s="47"/>
      <c r="IC188" s="47"/>
      <c r="ID188" s="47"/>
      <c r="IE188" s="47"/>
      <c r="IF188" s="47"/>
      <c r="IG188" s="47"/>
      <c r="IH188" s="47"/>
      <c r="II188" s="47"/>
      <c r="IJ188" s="47"/>
      <c r="IM188" s="47"/>
      <c r="IN188" s="47"/>
      <c r="IO188" s="47"/>
      <c r="IP188" s="47"/>
      <c r="IQ188" s="47"/>
      <c r="IR188" s="47"/>
      <c r="IS188" s="47"/>
      <c r="IT188" s="47"/>
      <c r="IW188" s="47"/>
      <c r="IX188" s="47"/>
      <c r="IY188" s="47"/>
      <c r="IZ188" s="47"/>
      <c r="JA188" s="47"/>
      <c r="JB188" s="47"/>
      <c r="JC188" s="47"/>
      <c r="JD188" s="47"/>
      <c r="JG188" s="47"/>
      <c r="JH188" s="47"/>
      <c r="JI188" s="47"/>
      <c r="JJ188" s="47"/>
      <c r="JK188" s="47"/>
      <c r="JL188" s="47"/>
      <c r="JM188" s="47"/>
      <c r="JN188" s="47"/>
      <c r="JQ188" s="47"/>
      <c r="JR188" s="47"/>
      <c r="JS188" s="47"/>
      <c r="JT188" s="47"/>
      <c r="JU188" s="47"/>
      <c r="JV188" s="47"/>
      <c r="JW188" s="47"/>
      <c r="JX188" s="47"/>
      <c r="KA188" s="47"/>
      <c r="KB188" s="47"/>
      <c r="KC188" s="47"/>
      <c r="KD188" s="47"/>
      <c r="KE188" s="47"/>
      <c r="KF188" s="47"/>
      <c r="KG188" s="47"/>
      <c r="KH188" s="47"/>
      <c r="KK188" s="47"/>
      <c r="KL188" s="47"/>
      <c r="KM188" s="47"/>
      <c r="KN188" s="47"/>
      <c r="KO188" s="47"/>
      <c r="KP188" s="47"/>
      <c r="KQ188" s="47"/>
      <c r="KR188" s="47"/>
      <c r="KU188" s="47"/>
      <c r="KV188" s="47"/>
      <c r="KW188" s="47"/>
      <c r="KX188" s="47"/>
      <c r="KY188" s="47"/>
      <c r="KZ188" s="47"/>
      <c r="LA188" s="47"/>
      <c r="LB188" s="47"/>
    </row>
    <row r="189" spans="29:314" x14ac:dyDescent="0.25">
      <c r="AC189" s="47"/>
      <c r="AD189" s="47"/>
      <c r="AE189" s="47"/>
      <c r="AF189" s="47"/>
      <c r="AG189" s="49"/>
      <c r="AH189" s="47"/>
      <c r="AI189" s="47"/>
      <c r="AJ189" s="47"/>
      <c r="AK189" s="47"/>
      <c r="AL189" s="47"/>
      <c r="AM189" s="47"/>
      <c r="AN189" s="47"/>
      <c r="AO189" s="47"/>
      <c r="AP189" s="47"/>
      <c r="AQ189" s="47"/>
      <c r="AR189" s="47"/>
      <c r="AS189" s="47"/>
      <c r="AT189" s="47"/>
      <c r="AU189" s="47"/>
      <c r="AV189" s="47"/>
      <c r="AW189" s="47"/>
      <c r="AX189" s="47"/>
      <c r="AY189" s="47"/>
      <c r="AZ189" s="47"/>
      <c r="BA189" s="47"/>
      <c r="BB189" s="47"/>
      <c r="BC189" s="47"/>
      <c r="BD189" s="47"/>
      <c r="BE189" s="47"/>
      <c r="BF189" s="47"/>
      <c r="BG189" s="47"/>
      <c r="BH189" s="47"/>
      <c r="BI189" s="47"/>
      <c r="BJ189" s="47"/>
      <c r="BK189" s="47"/>
      <c r="BL189" s="47"/>
      <c r="BM189" s="47"/>
      <c r="BN189" s="49"/>
      <c r="BO189" s="47"/>
      <c r="BP189" s="47"/>
      <c r="BQ189" s="47"/>
      <c r="BR189" s="47"/>
      <c r="BS189" s="47"/>
      <c r="BT189" s="47"/>
      <c r="BU189" s="47"/>
      <c r="BV189" s="47"/>
      <c r="BW189" s="47"/>
      <c r="BX189" s="47"/>
      <c r="BY189" s="47"/>
      <c r="BZ189" s="47"/>
      <c r="CA189" s="47"/>
      <c r="CB189" s="47"/>
      <c r="CC189" s="47"/>
      <c r="CD189" s="47"/>
      <c r="CE189" s="47"/>
      <c r="CF189" s="47"/>
      <c r="CG189" s="49"/>
      <c r="CH189" s="47"/>
      <c r="CI189" s="47"/>
      <c r="CJ189" s="47"/>
      <c r="CK189" s="47"/>
      <c r="CL189" s="47"/>
      <c r="CM189" s="47"/>
      <c r="CN189" s="47"/>
      <c r="CO189" s="47"/>
      <c r="CP189" s="47"/>
      <c r="CQ189" s="47"/>
      <c r="CS189" s="47"/>
      <c r="CT189" s="47"/>
      <c r="CU189" s="47"/>
      <c r="CV189" s="47"/>
      <c r="CW189" s="47"/>
      <c r="CX189" s="47"/>
      <c r="CY189" s="47"/>
      <c r="CZ189" s="47"/>
      <c r="DA189" s="47"/>
      <c r="DB189" s="47"/>
      <c r="DC189" s="47"/>
      <c r="DD189" s="47"/>
      <c r="DE189" s="47"/>
      <c r="DF189" s="47"/>
      <c r="DG189" s="47"/>
      <c r="DH189" s="47"/>
      <c r="DI189" s="47"/>
      <c r="DJ189" s="47"/>
      <c r="DK189" s="47"/>
      <c r="DM189" s="47"/>
      <c r="DN189" s="47"/>
      <c r="DO189" s="47"/>
      <c r="DP189" s="47"/>
      <c r="DQ189" s="47"/>
      <c r="DR189" s="47"/>
      <c r="DS189" s="47"/>
      <c r="DT189" s="47"/>
      <c r="DU189" s="47"/>
      <c r="DV189" s="49"/>
      <c r="DW189" s="47"/>
      <c r="DX189" s="47"/>
      <c r="DY189" s="47"/>
      <c r="DZ189" s="47"/>
      <c r="EA189" s="47"/>
      <c r="EB189" s="47"/>
      <c r="EC189" s="47"/>
      <c r="ED189" s="47"/>
      <c r="EE189" s="47"/>
      <c r="EF189" s="47"/>
      <c r="EG189" s="47"/>
      <c r="EH189" s="47"/>
      <c r="EI189" s="47"/>
      <c r="EJ189" s="47"/>
      <c r="EK189" s="47"/>
      <c r="EL189" s="47"/>
      <c r="EM189" s="47"/>
      <c r="EN189" s="47"/>
      <c r="EO189" s="47"/>
      <c r="EP189" s="47"/>
      <c r="EQ189" s="47"/>
      <c r="ER189" s="47"/>
      <c r="ES189" s="47"/>
      <c r="ET189" s="47"/>
      <c r="EU189" s="47"/>
      <c r="EV189" s="47"/>
      <c r="EW189" s="47"/>
      <c r="EX189" s="47"/>
      <c r="EY189" s="47"/>
      <c r="EZ189" s="47"/>
      <c r="FA189" s="47"/>
      <c r="FB189" s="47"/>
      <c r="FC189" s="47"/>
      <c r="FD189" s="47"/>
      <c r="FE189" s="47"/>
      <c r="FF189" s="47"/>
      <c r="FG189" s="47"/>
      <c r="FH189" s="47"/>
      <c r="FI189" s="47"/>
      <c r="FJ189" s="49"/>
      <c r="FK189" s="47"/>
      <c r="FL189" s="47"/>
      <c r="FM189" s="47"/>
      <c r="FN189" s="47"/>
      <c r="FO189" s="47"/>
      <c r="FP189" s="47"/>
      <c r="FQ189" s="47"/>
      <c r="FR189" s="47"/>
      <c r="FS189" s="47"/>
      <c r="FT189" s="47"/>
      <c r="FU189" s="47"/>
      <c r="FV189" s="47"/>
      <c r="FW189" s="47"/>
      <c r="FX189" s="47"/>
      <c r="FY189" s="47"/>
      <c r="FZ189" s="47"/>
      <c r="GA189" s="47"/>
      <c r="GB189" s="47"/>
      <c r="GC189" s="47"/>
      <c r="GD189" s="47"/>
      <c r="GE189" s="47"/>
      <c r="GF189" s="47"/>
      <c r="GG189" s="47"/>
      <c r="GH189" s="47"/>
      <c r="GI189" s="47"/>
      <c r="GJ189" s="47"/>
      <c r="GK189" s="47"/>
      <c r="GL189" s="47"/>
      <c r="GM189" s="47"/>
      <c r="GN189" s="47"/>
      <c r="GO189" s="47"/>
      <c r="GP189" s="47"/>
      <c r="GQ189" s="47"/>
      <c r="GR189" s="47"/>
      <c r="GS189" s="47"/>
      <c r="GT189" s="47"/>
      <c r="GU189" s="47"/>
      <c r="GV189" s="47"/>
      <c r="GW189" s="47"/>
      <c r="GX189" s="47"/>
      <c r="GY189" s="47"/>
      <c r="GZ189" s="47"/>
      <c r="HA189" s="47"/>
      <c r="HB189" s="47"/>
      <c r="HC189" s="47"/>
      <c r="HD189" s="47"/>
      <c r="HE189" s="47"/>
      <c r="HF189" s="47"/>
      <c r="HI189" s="47"/>
      <c r="HJ189" s="47"/>
      <c r="HK189" s="47"/>
      <c r="HL189" s="47"/>
      <c r="HM189" s="47"/>
      <c r="HN189" s="47"/>
      <c r="HO189" s="47"/>
      <c r="HP189" s="47"/>
      <c r="HS189" s="47"/>
      <c r="HT189" s="47"/>
      <c r="HU189" s="47"/>
      <c r="HV189" s="47"/>
      <c r="HW189" s="47"/>
      <c r="HX189" s="47"/>
      <c r="HY189" s="47"/>
      <c r="HZ189" s="47"/>
      <c r="IC189" s="47"/>
      <c r="ID189" s="47"/>
      <c r="IE189" s="47"/>
      <c r="IF189" s="47"/>
      <c r="IG189" s="47"/>
      <c r="IH189" s="47"/>
      <c r="II189" s="47"/>
      <c r="IJ189" s="47"/>
      <c r="IM189" s="47"/>
      <c r="IN189" s="47"/>
      <c r="IO189" s="47"/>
      <c r="IP189" s="47"/>
      <c r="IQ189" s="47"/>
      <c r="IR189" s="47"/>
      <c r="IS189" s="47"/>
      <c r="IT189" s="47"/>
      <c r="IW189" s="47"/>
      <c r="IX189" s="47"/>
      <c r="IY189" s="47"/>
      <c r="IZ189" s="47"/>
      <c r="JA189" s="47"/>
      <c r="JB189" s="47"/>
      <c r="JC189" s="47"/>
      <c r="JD189" s="47"/>
      <c r="JG189" s="47"/>
      <c r="JH189" s="47"/>
      <c r="JI189" s="47"/>
      <c r="JJ189" s="47"/>
      <c r="JK189" s="47"/>
      <c r="JL189" s="47"/>
      <c r="JM189" s="47"/>
      <c r="JN189" s="47"/>
      <c r="JQ189" s="47"/>
      <c r="JR189" s="47"/>
      <c r="JS189" s="47"/>
      <c r="JT189" s="47"/>
      <c r="JU189" s="47"/>
      <c r="JV189" s="47"/>
      <c r="JW189" s="47"/>
      <c r="JX189" s="47"/>
      <c r="KA189" s="47"/>
      <c r="KB189" s="47"/>
      <c r="KC189" s="47"/>
      <c r="KD189" s="47"/>
      <c r="KE189" s="47"/>
      <c r="KF189" s="47"/>
      <c r="KG189" s="47"/>
      <c r="KH189" s="47"/>
      <c r="KK189" s="47"/>
      <c r="KL189" s="47"/>
      <c r="KM189" s="47"/>
      <c r="KN189" s="47"/>
      <c r="KO189" s="47"/>
      <c r="KP189" s="47"/>
      <c r="KQ189" s="47"/>
      <c r="KR189" s="47"/>
      <c r="KU189" s="47"/>
      <c r="KV189" s="47"/>
      <c r="KW189" s="47"/>
      <c r="KX189" s="47"/>
      <c r="KY189" s="47"/>
      <c r="KZ189" s="47"/>
      <c r="LA189" s="47"/>
      <c r="LB189" s="47"/>
    </row>
    <row r="190" spans="29:314" x14ac:dyDescent="0.25">
      <c r="AC190" s="47"/>
      <c r="AD190" s="47"/>
      <c r="AE190" s="47"/>
      <c r="AF190" s="47"/>
      <c r="AG190" s="49"/>
      <c r="AH190" s="47"/>
      <c r="AI190" s="47"/>
      <c r="AJ190" s="47"/>
      <c r="AK190" s="47"/>
      <c r="AL190" s="47"/>
      <c r="AM190" s="47"/>
      <c r="AN190" s="47"/>
      <c r="AO190" s="47"/>
      <c r="AP190" s="47"/>
      <c r="AQ190" s="47"/>
      <c r="AR190" s="47"/>
      <c r="AS190" s="47"/>
      <c r="AT190" s="47"/>
      <c r="AU190" s="47"/>
      <c r="AV190" s="47"/>
      <c r="AW190" s="47"/>
      <c r="AX190" s="47"/>
      <c r="AY190" s="47"/>
      <c r="AZ190" s="47"/>
      <c r="BA190" s="47"/>
      <c r="BB190" s="47"/>
      <c r="BC190" s="47"/>
      <c r="BD190" s="47"/>
      <c r="BE190" s="47"/>
      <c r="BF190" s="47"/>
      <c r="BG190" s="47"/>
      <c r="BH190" s="47"/>
      <c r="BI190" s="47"/>
      <c r="BJ190" s="47"/>
      <c r="BK190" s="47"/>
      <c r="BL190" s="47"/>
      <c r="BM190" s="47"/>
      <c r="BN190" s="49"/>
      <c r="BO190" s="47"/>
      <c r="BP190" s="47"/>
      <c r="BQ190" s="47"/>
      <c r="BR190" s="47"/>
      <c r="BS190" s="47"/>
      <c r="BT190" s="47"/>
      <c r="BU190" s="47"/>
      <c r="BV190" s="47"/>
      <c r="BW190" s="47"/>
      <c r="BX190" s="47"/>
      <c r="BY190" s="47"/>
      <c r="BZ190" s="47"/>
      <c r="CA190" s="47"/>
      <c r="CB190" s="47"/>
      <c r="CC190" s="47"/>
      <c r="CD190" s="47"/>
      <c r="CE190" s="47"/>
      <c r="CF190" s="47"/>
      <c r="CG190" s="49"/>
      <c r="CH190" s="47"/>
      <c r="CI190" s="47"/>
      <c r="CJ190" s="47"/>
      <c r="CK190" s="47"/>
      <c r="CL190" s="47"/>
      <c r="CM190" s="47"/>
      <c r="CN190" s="47"/>
      <c r="CO190" s="47"/>
      <c r="CP190" s="47"/>
      <c r="CQ190" s="47"/>
      <c r="CS190" s="47"/>
      <c r="CT190" s="47"/>
      <c r="CU190" s="47"/>
      <c r="CV190" s="47"/>
      <c r="CW190" s="47"/>
      <c r="CX190" s="47"/>
      <c r="CY190" s="47"/>
      <c r="CZ190" s="47"/>
      <c r="DA190" s="47"/>
      <c r="DB190" s="47"/>
      <c r="DC190" s="47"/>
      <c r="DD190" s="47"/>
      <c r="DE190" s="47"/>
      <c r="DF190" s="47"/>
      <c r="DG190" s="47"/>
      <c r="DH190" s="47"/>
      <c r="DI190" s="47"/>
      <c r="DJ190" s="47"/>
      <c r="DK190" s="47"/>
      <c r="DM190" s="47"/>
      <c r="DN190" s="47"/>
      <c r="DO190" s="47"/>
      <c r="DP190" s="47"/>
      <c r="DQ190" s="47"/>
      <c r="DR190" s="47"/>
      <c r="DS190" s="47"/>
      <c r="DT190" s="47"/>
      <c r="DU190" s="47"/>
      <c r="DV190" s="49"/>
      <c r="DW190" s="47"/>
      <c r="DX190" s="47"/>
      <c r="DY190" s="47"/>
      <c r="DZ190" s="47"/>
      <c r="EA190" s="47"/>
      <c r="EB190" s="47"/>
      <c r="EC190" s="47"/>
      <c r="ED190" s="47"/>
      <c r="EE190" s="47"/>
      <c r="EF190" s="47"/>
      <c r="EG190" s="47"/>
      <c r="EH190" s="47"/>
      <c r="EI190" s="47"/>
      <c r="EJ190" s="47"/>
      <c r="EK190" s="47"/>
      <c r="EL190" s="47"/>
      <c r="EM190" s="47"/>
      <c r="EN190" s="47"/>
      <c r="EO190" s="47"/>
      <c r="EP190" s="47"/>
      <c r="EQ190" s="47"/>
      <c r="ER190" s="47"/>
      <c r="ES190" s="47"/>
      <c r="ET190" s="47"/>
      <c r="EU190" s="47"/>
      <c r="EV190" s="47"/>
      <c r="EW190" s="47"/>
      <c r="EX190" s="47"/>
      <c r="EY190" s="47"/>
      <c r="EZ190" s="47"/>
      <c r="FA190" s="47"/>
      <c r="FB190" s="47"/>
      <c r="FC190" s="47"/>
      <c r="FD190" s="47"/>
      <c r="FE190" s="47"/>
      <c r="FF190" s="47"/>
      <c r="FG190" s="47"/>
      <c r="FH190" s="47"/>
      <c r="FI190" s="47"/>
      <c r="FJ190" s="49"/>
      <c r="FK190" s="47"/>
      <c r="FL190" s="47"/>
      <c r="FM190" s="47"/>
      <c r="FN190" s="47"/>
      <c r="FO190" s="47"/>
      <c r="FP190" s="47"/>
      <c r="FQ190" s="47"/>
      <c r="FR190" s="47"/>
      <c r="FS190" s="47"/>
      <c r="FT190" s="47"/>
      <c r="FU190" s="47"/>
      <c r="FV190" s="47"/>
      <c r="FW190" s="47"/>
      <c r="FX190" s="47"/>
      <c r="FY190" s="47"/>
      <c r="FZ190" s="47"/>
      <c r="GA190" s="47"/>
      <c r="GB190" s="47"/>
      <c r="GC190" s="47"/>
      <c r="GD190" s="47"/>
      <c r="GE190" s="47"/>
      <c r="GF190" s="47"/>
      <c r="GG190" s="47"/>
      <c r="GH190" s="47"/>
      <c r="GI190" s="47"/>
      <c r="GJ190" s="47"/>
      <c r="GK190" s="47"/>
      <c r="GL190" s="47"/>
      <c r="GM190" s="47"/>
      <c r="GN190" s="47"/>
      <c r="GO190" s="47"/>
      <c r="GP190" s="47"/>
      <c r="GQ190" s="47"/>
      <c r="GR190" s="47"/>
      <c r="GS190" s="47"/>
      <c r="GT190" s="47"/>
      <c r="GU190" s="47"/>
      <c r="GV190" s="47"/>
      <c r="GW190" s="47"/>
      <c r="GX190" s="47"/>
      <c r="GY190" s="47"/>
      <c r="GZ190" s="47"/>
      <c r="HA190" s="47"/>
      <c r="HB190" s="47"/>
      <c r="HC190" s="47"/>
      <c r="HD190" s="47"/>
      <c r="HE190" s="47"/>
      <c r="HF190" s="47"/>
      <c r="HI190" s="47"/>
      <c r="HJ190" s="47"/>
      <c r="HK190" s="47"/>
      <c r="HL190" s="47"/>
      <c r="HM190" s="47"/>
      <c r="HN190" s="47"/>
      <c r="HO190" s="47"/>
      <c r="HP190" s="47"/>
      <c r="HS190" s="47"/>
      <c r="HT190" s="47"/>
      <c r="HU190" s="47"/>
      <c r="HV190" s="47"/>
      <c r="HW190" s="47"/>
      <c r="HX190" s="47"/>
      <c r="HY190" s="47"/>
      <c r="HZ190" s="47"/>
      <c r="IC190" s="47"/>
      <c r="ID190" s="47"/>
      <c r="IE190" s="47"/>
      <c r="IF190" s="47"/>
      <c r="IG190" s="47"/>
      <c r="IH190" s="47"/>
      <c r="II190" s="47"/>
      <c r="IJ190" s="47"/>
      <c r="IM190" s="47"/>
      <c r="IN190" s="47"/>
      <c r="IO190" s="47"/>
      <c r="IP190" s="47"/>
      <c r="IQ190" s="47"/>
      <c r="IR190" s="47"/>
      <c r="IS190" s="47"/>
      <c r="IT190" s="47"/>
      <c r="IW190" s="47"/>
      <c r="IX190" s="47"/>
      <c r="IY190" s="47"/>
      <c r="IZ190" s="47"/>
      <c r="JA190" s="47"/>
      <c r="JB190" s="47"/>
      <c r="JC190" s="47"/>
      <c r="JD190" s="47"/>
      <c r="JG190" s="47"/>
      <c r="JH190" s="47"/>
      <c r="JI190" s="47"/>
      <c r="JJ190" s="47"/>
      <c r="JK190" s="47"/>
      <c r="JL190" s="47"/>
      <c r="JM190" s="47"/>
      <c r="JN190" s="47"/>
      <c r="JQ190" s="47"/>
      <c r="JR190" s="47"/>
      <c r="JS190" s="47"/>
      <c r="JT190" s="47"/>
      <c r="JU190" s="47"/>
      <c r="JV190" s="47"/>
      <c r="JW190" s="47"/>
      <c r="JX190" s="47"/>
      <c r="KA190" s="47"/>
      <c r="KB190" s="47"/>
      <c r="KC190" s="47"/>
      <c r="KD190" s="47"/>
      <c r="KE190" s="47"/>
      <c r="KF190" s="47"/>
      <c r="KG190" s="47"/>
      <c r="KH190" s="47"/>
      <c r="KK190" s="47"/>
      <c r="KL190" s="47"/>
      <c r="KM190" s="47"/>
      <c r="KN190" s="47"/>
      <c r="KO190" s="47"/>
      <c r="KP190" s="47"/>
      <c r="KQ190" s="47"/>
      <c r="KR190" s="47"/>
      <c r="KU190" s="47"/>
      <c r="KV190" s="47"/>
      <c r="KW190" s="47"/>
      <c r="KX190" s="47"/>
      <c r="KY190" s="47"/>
      <c r="KZ190" s="47"/>
      <c r="LA190" s="47"/>
      <c r="LB190" s="47"/>
    </row>
    <row r="191" spans="29:314" x14ac:dyDescent="0.25">
      <c r="AC191" s="47"/>
      <c r="AD191" s="47"/>
      <c r="AE191" s="47"/>
      <c r="AF191" s="47"/>
      <c r="AG191" s="49"/>
      <c r="AH191" s="47"/>
      <c r="AI191" s="47"/>
      <c r="AJ191" s="47"/>
      <c r="AK191" s="47"/>
      <c r="AL191" s="47"/>
      <c r="AM191" s="47"/>
      <c r="AN191" s="47"/>
      <c r="AO191" s="47"/>
      <c r="AP191" s="47"/>
      <c r="AQ191" s="47"/>
      <c r="AR191" s="47"/>
      <c r="AS191" s="47"/>
      <c r="AT191" s="47"/>
      <c r="AU191" s="47"/>
      <c r="AV191" s="47"/>
      <c r="AW191" s="47"/>
      <c r="AX191" s="47"/>
      <c r="AY191" s="47"/>
      <c r="AZ191" s="47"/>
      <c r="BA191" s="47"/>
      <c r="BB191" s="47"/>
      <c r="BC191" s="47"/>
      <c r="BD191" s="47"/>
      <c r="BE191" s="47"/>
      <c r="BF191" s="47"/>
      <c r="BG191" s="47"/>
      <c r="BH191" s="47"/>
      <c r="BI191" s="47"/>
      <c r="BJ191" s="47"/>
      <c r="BK191" s="47"/>
      <c r="BL191" s="47"/>
      <c r="BM191" s="47"/>
      <c r="BN191" s="49"/>
      <c r="BO191" s="47"/>
      <c r="BP191" s="47"/>
      <c r="BQ191" s="47"/>
      <c r="BR191" s="47"/>
      <c r="BS191" s="47"/>
      <c r="BT191" s="47"/>
      <c r="BU191" s="47"/>
      <c r="BV191" s="47"/>
      <c r="BW191" s="47"/>
      <c r="BX191" s="47"/>
      <c r="BY191" s="47"/>
      <c r="BZ191" s="47"/>
      <c r="CA191" s="47"/>
      <c r="CB191" s="47"/>
      <c r="CC191" s="47"/>
      <c r="CD191" s="47"/>
      <c r="CE191" s="47"/>
      <c r="CF191" s="47"/>
      <c r="CG191" s="49"/>
      <c r="CH191" s="47"/>
      <c r="CI191" s="47"/>
      <c r="CJ191" s="47"/>
      <c r="CK191" s="47"/>
      <c r="CL191" s="47"/>
      <c r="CM191" s="47"/>
      <c r="CN191" s="47"/>
      <c r="CO191" s="47"/>
      <c r="CP191" s="47"/>
      <c r="CQ191" s="47"/>
      <c r="CS191" s="47"/>
      <c r="CT191" s="47"/>
      <c r="CU191" s="47"/>
      <c r="CV191" s="47"/>
      <c r="CW191" s="47"/>
      <c r="CX191" s="47"/>
      <c r="CY191" s="47"/>
      <c r="CZ191" s="47"/>
      <c r="DA191" s="47"/>
      <c r="DB191" s="47"/>
      <c r="DC191" s="47"/>
      <c r="DD191" s="47"/>
      <c r="DE191" s="47"/>
      <c r="DF191" s="47"/>
      <c r="DG191" s="47"/>
      <c r="DH191" s="47"/>
      <c r="DI191" s="47"/>
      <c r="DJ191" s="47"/>
      <c r="DK191" s="47"/>
      <c r="DM191" s="47"/>
      <c r="DN191" s="47"/>
      <c r="DO191" s="47"/>
      <c r="DP191" s="47"/>
      <c r="DQ191" s="47"/>
      <c r="DR191" s="47"/>
      <c r="DS191" s="47"/>
      <c r="DT191" s="47"/>
      <c r="DU191" s="47"/>
      <c r="DV191" s="49"/>
      <c r="DW191" s="47"/>
      <c r="DX191" s="47"/>
      <c r="DY191" s="47"/>
      <c r="DZ191" s="47"/>
      <c r="EA191" s="47"/>
      <c r="EB191" s="47"/>
      <c r="EC191" s="47"/>
      <c r="ED191" s="47"/>
      <c r="EE191" s="47"/>
      <c r="EF191" s="47"/>
      <c r="EG191" s="47"/>
      <c r="EH191" s="47"/>
      <c r="EI191" s="47"/>
      <c r="EJ191" s="47"/>
      <c r="EK191" s="47"/>
      <c r="EL191" s="47"/>
      <c r="EM191" s="47"/>
      <c r="EN191" s="47"/>
      <c r="EO191" s="47"/>
      <c r="EP191" s="47"/>
      <c r="EQ191" s="47"/>
      <c r="ER191" s="47"/>
      <c r="ES191" s="47"/>
      <c r="ET191" s="47"/>
      <c r="EU191" s="47"/>
      <c r="EV191" s="47"/>
      <c r="EW191" s="47"/>
      <c r="EX191" s="47"/>
      <c r="EY191" s="47"/>
      <c r="EZ191" s="47"/>
      <c r="FA191" s="47"/>
      <c r="FB191" s="47"/>
      <c r="FC191" s="47"/>
      <c r="FD191" s="47"/>
      <c r="FE191" s="47"/>
      <c r="FF191" s="47"/>
      <c r="FG191" s="47"/>
      <c r="FH191" s="47"/>
      <c r="FI191" s="47"/>
      <c r="FJ191" s="49"/>
      <c r="FK191" s="47"/>
      <c r="FL191" s="47"/>
      <c r="FM191" s="47"/>
      <c r="FN191" s="47"/>
      <c r="FO191" s="47"/>
      <c r="FP191" s="47"/>
      <c r="FQ191" s="47"/>
      <c r="FR191" s="47"/>
      <c r="FS191" s="47"/>
      <c r="FT191" s="47"/>
      <c r="FU191" s="47"/>
      <c r="FV191" s="47"/>
      <c r="FW191" s="47"/>
      <c r="FX191" s="47"/>
      <c r="FY191" s="47"/>
      <c r="FZ191" s="47"/>
      <c r="GA191" s="47"/>
      <c r="GB191" s="47"/>
      <c r="GC191" s="47"/>
      <c r="GD191" s="47"/>
      <c r="GE191" s="47"/>
      <c r="GF191" s="47"/>
      <c r="GG191" s="47"/>
      <c r="GH191" s="47"/>
      <c r="GI191" s="47"/>
      <c r="GJ191" s="47"/>
      <c r="GK191" s="47"/>
      <c r="GL191" s="47"/>
      <c r="GM191" s="47"/>
      <c r="GN191" s="47"/>
      <c r="GO191" s="47"/>
      <c r="GP191" s="47"/>
      <c r="GQ191" s="47"/>
      <c r="GR191" s="47"/>
      <c r="GS191" s="47"/>
      <c r="GT191" s="47"/>
      <c r="GU191" s="47"/>
      <c r="GV191" s="47"/>
      <c r="GW191" s="47"/>
      <c r="GX191" s="47"/>
      <c r="GY191" s="47"/>
      <c r="GZ191" s="47"/>
      <c r="HA191" s="47"/>
      <c r="HB191" s="47"/>
      <c r="HC191" s="47"/>
      <c r="HD191" s="47"/>
      <c r="HE191" s="47"/>
      <c r="HF191" s="47"/>
      <c r="HI191" s="47"/>
      <c r="HJ191" s="47"/>
      <c r="HK191" s="47"/>
      <c r="HL191" s="47"/>
      <c r="HM191" s="47"/>
      <c r="HN191" s="47"/>
      <c r="HO191" s="47"/>
      <c r="HP191" s="47"/>
      <c r="HS191" s="47"/>
      <c r="HT191" s="47"/>
      <c r="HU191" s="47"/>
      <c r="HV191" s="47"/>
      <c r="HW191" s="47"/>
      <c r="HX191" s="47"/>
      <c r="HY191" s="47"/>
      <c r="HZ191" s="47"/>
      <c r="IC191" s="47"/>
      <c r="ID191" s="47"/>
      <c r="IE191" s="47"/>
      <c r="IF191" s="47"/>
      <c r="IG191" s="47"/>
      <c r="IH191" s="47"/>
      <c r="II191" s="47"/>
      <c r="IJ191" s="47"/>
      <c r="IM191" s="47"/>
      <c r="IN191" s="47"/>
      <c r="IO191" s="47"/>
      <c r="IP191" s="47"/>
      <c r="IQ191" s="47"/>
      <c r="IR191" s="47"/>
      <c r="IS191" s="47"/>
      <c r="IT191" s="47"/>
      <c r="IW191" s="47"/>
      <c r="IX191" s="47"/>
      <c r="IY191" s="47"/>
      <c r="IZ191" s="47"/>
      <c r="JA191" s="47"/>
      <c r="JB191" s="47"/>
      <c r="JC191" s="47"/>
      <c r="JD191" s="47"/>
      <c r="JG191" s="47"/>
      <c r="JH191" s="47"/>
      <c r="JI191" s="47"/>
      <c r="JJ191" s="47"/>
      <c r="JK191" s="47"/>
      <c r="JL191" s="47"/>
      <c r="JM191" s="47"/>
      <c r="JN191" s="47"/>
      <c r="JQ191" s="47"/>
      <c r="JR191" s="47"/>
      <c r="JS191" s="47"/>
      <c r="JT191" s="47"/>
      <c r="JU191" s="47"/>
      <c r="JV191" s="47"/>
      <c r="JW191" s="47"/>
      <c r="JX191" s="47"/>
      <c r="KA191" s="47"/>
      <c r="KB191" s="47"/>
      <c r="KC191" s="47"/>
      <c r="KD191" s="47"/>
      <c r="KE191" s="47"/>
      <c r="KF191" s="47"/>
      <c r="KG191" s="47"/>
      <c r="KH191" s="47"/>
      <c r="KK191" s="47"/>
      <c r="KL191" s="47"/>
      <c r="KM191" s="47"/>
      <c r="KN191" s="47"/>
      <c r="KO191" s="47"/>
      <c r="KP191" s="47"/>
      <c r="KQ191" s="47"/>
      <c r="KR191" s="47"/>
      <c r="KU191" s="47"/>
      <c r="KV191" s="47"/>
      <c r="KW191" s="47"/>
      <c r="KX191" s="47"/>
      <c r="KY191" s="47"/>
      <c r="KZ191" s="47"/>
      <c r="LA191" s="47"/>
      <c r="LB191" s="47"/>
    </row>
    <row r="192" spans="29:314" x14ac:dyDescent="0.25">
      <c r="AC192" s="47"/>
      <c r="AD192" s="47"/>
      <c r="AE192" s="47"/>
      <c r="AF192" s="47"/>
      <c r="AG192" s="49"/>
      <c r="AH192" s="47"/>
      <c r="AI192" s="47"/>
      <c r="AJ192" s="47"/>
      <c r="AK192" s="47"/>
      <c r="AL192" s="47"/>
      <c r="AM192" s="47"/>
      <c r="AN192" s="47"/>
      <c r="AO192" s="47"/>
      <c r="AP192" s="47"/>
      <c r="AQ192" s="47"/>
      <c r="AR192" s="47"/>
      <c r="AS192" s="47"/>
      <c r="AT192" s="47"/>
      <c r="AU192" s="47"/>
      <c r="AV192" s="47"/>
      <c r="AW192" s="47"/>
      <c r="AX192" s="47"/>
      <c r="AY192" s="47"/>
      <c r="AZ192" s="47"/>
      <c r="BA192" s="47"/>
      <c r="BB192" s="47"/>
      <c r="BC192" s="47"/>
      <c r="BD192" s="47"/>
      <c r="BE192" s="47"/>
      <c r="BF192" s="47"/>
      <c r="BG192" s="47"/>
      <c r="BH192" s="47"/>
      <c r="BI192" s="47"/>
      <c r="BJ192" s="47"/>
      <c r="BK192" s="47"/>
      <c r="BL192" s="47"/>
      <c r="BM192" s="47"/>
      <c r="BN192" s="49"/>
      <c r="BO192" s="47"/>
      <c r="BP192" s="47"/>
      <c r="BQ192" s="47"/>
      <c r="BR192" s="47"/>
      <c r="BS192" s="47"/>
      <c r="BT192" s="47"/>
      <c r="BU192" s="47"/>
      <c r="BV192" s="47"/>
      <c r="BW192" s="47"/>
      <c r="BX192" s="47"/>
      <c r="BY192" s="47"/>
      <c r="BZ192" s="47"/>
      <c r="CA192" s="47"/>
      <c r="CB192" s="47"/>
      <c r="CC192" s="47"/>
      <c r="CD192" s="47"/>
      <c r="CE192" s="47"/>
      <c r="CF192" s="47"/>
      <c r="CG192" s="49"/>
      <c r="CH192" s="47"/>
      <c r="CI192" s="47"/>
      <c r="CJ192" s="47"/>
      <c r="CK192" s="47"/>
      <c r="CL192" s="47"/>
      <c r="CM192" s="47"/>
      <c r="CN192" s="47"/>
      <c r="CO192" s="47"/>
      <c r="CP192" s="47"/>
      <c r="CQ192" s="47"/>
      <c r="CS192" s="47"/>
      <c r="CT192" s="47"/>
      <c r="CU192" s="47"/>
      <c r="CV192" s="47"/>
      <c r="CW192" s="47"/>
      <c r="CX192" s="47"/>
      <c r="CY192" s="47"/>
      <c r="CZ192" s="47"/>
      <c r="DA192" s="47"/>
      <c r="DB192" s="47"/>
      <c r="DC192" s="47"/>
      <c r="DD192" s="47"/>
      <c r="DE192" s="47"/>
      <c r="DF192" s="47"/>
      <c r="DG192" s="47"/>
      <c r="DH192" s="47"/>
      <c r="DI192" s="47"/>
      <c r="DJ192" s="47"/>
      <c r="DK192" s="47"/>
      <c r="DM192" s="47"/>
      <c r="DN192" s="47"/>
      <c r="DO192" s="47"/>
      <c r="DP192" s="47"/>
      <c r="DQ192" s="47"/>
      <c r="DR192" s="47"/>
      <c r="DS192" s="47"/>
      <c r="DT192" s="47"/>
      <c r="DU192" s="47"/>
      <c r="DV192" s="49"/>
      <c r="DW192" s="47"/>
      <c r="DX192" s="47"/>
      <c r="DY192" s="47"/>
      <c r="DZ192" s="47"/>
      <c r="EA192" s="47"/>
      <c r="EB192" s="47"/>
      <c r="EC192" s="47"/>
      <c r="ED192" s="47"/>
      <c r="EE192" s="47"/>
      <c r="EF192" s="47"/>
      <c r="EG192" s="47"/>
      <c r="EH192" s="47"/>
      <c r="EI192" s="47"/>
      <c r="EJ192" s="47"/>
      <c r="EK192" s="47"/>
      <c r="EL192" s="47"/>
      <c r="EM192" s="47"/>
      <c r="EN192" s="47"/>
      <c r="EO192" s="47"/>
      <c r="EP192" s="47"/>
      <c r="EQ192" s="47"/>
      <c r="ER192" s="47"/>
      <c r="ES192" s="47"/>
      <c r="ET192" s="47"/>
      <c r="EU192" s="47"/>
      <c r="EV192" s="47"/>
      <c r="EW192" s="47"/>
      <c r="EX192" s="47"/>
      <c r="EY192" s="47"/>
      <c r="EZ192" s="47"/>
      <c r="FA192" s="47"/>
      <c r="FB192" s="47"/>
      <c r="FC192" s="47"/>
      <c r="FD192" s="47"/>
      <c r="FE192" s="47"/>
      <c r="FF192" s="47"/>
      <c r="FG192" s="47"/>
      <c r="FH192" s="47"/>
      <c r="FI192" s="47"/>
      <c r="FJ192" s="49"/>
      <c r="FK192" s="47"/>
      <c r="FL192" s="47"/>
      <c r="FM192" s="47"/>
      <c r="FN192" s="47"/>
      <c r="FO192" s="47"/>
      <c r="FP192" s="47"/>
      <c r="FQ192" s="47"/>
      <c r="FR192" s="47"/>
      <c r="FS192" s="47"/>
      <c r="FT192" s="47"/>
      <c r="FU192" s="47"/>
      <c r="FV192" s="47"/>
      <c r="FW192" s="47"/>
      <c r="FX192" s="47"/>
      <c r="FY192" s="47"/>
      <c r="FZ192" s="47"/>
      <c r="GA192" s="47"/>
      <c r="GB192" s="47"/>
      <c r="GC192" s="47"/>
      <c r="GD192" s="47"/>
      <c r="GE192" s="47"/>
      <c r="GF192" s="47"/>
      <c r="GG192" s="47"/>
      <c r="GH192" s="47"/>
      <c r="GI192" s="47"/>
      <c r="GJ192" s="47"/>
      <c r="GK192" s="47"/>
      <c r="GL192" s="47"/>
      <c r="GM192" s="47"/>
      <c r="GN192" s="47"/>
      <c r="GO192" s="47"/>
      <c r="GP192" s="47"/>
      <c r="GQ192" s="47"/>
      <c r="GR192" s="47"/>
      <c r="GS192" s="47"/>
      <c r="GT192" s="47"/>
      <c r="GU192" s="47"/>
      <c r="GV192" s="47"/>
      <c r="GW192" s="47"/>
      <c r="GX192" s="47"/>
      <c r="GY192" s="47"/>
      <c r="GZ192" s="47"/>
      <c r="HA192" s="47"/>
      <c r="HB192" s="47"/>
      <c r="HC192" s="47"/>
      <c r="HD192" s="47"/>
      <c r="HE192" s="47"/>
      <c r="HF192" s="47"/>
      <c r="HI192" s="47"/>
      <c r="HJ192" s="47"/>
      <c r="HK192" s="47"/>
      <c r="HL192" s="47"/>
      <c r="HM192" s="47"/>
      <c r="HN192" s="47"/>
      <c r="HO192" s="47"/>
      <c r="HP192" s="47"/>
      <c r="HS192" s="47"/>
      <c r="HT192" s="47"/>
      <c r="HU192" s="47"/>
      <c r="HV192" s="47"/>
      <c r="HW192" s="47"/>
      <c r="HX192" s="47"/>
      <c r="HY192" s="47"/>
      <c r="HZ192" s="47"/>
      <c r="IC192" s="47"/>
      <c r="ID192" s="47"/>
      <c r="IE192" s="47"/>
      <c r="IF192" s="47"/>
      <c r="IG192" s="47"/>
      <c r="IH192" s="47"/>
      <c r="II192" s="47"/>
      <c r="IJ192" s="47"/>
      <c r="IM192" s="47"/>
      <c r="IN192" s="47"/>
      <c r="IO192" s="47"/>
      <c r="IP192" s="47"/>
      <c r="IQ192" s="47"/>
      <c r="IR192" s="47"/>
      <c r="IS192" s="47"/>
      <c r="IT192" s="47"/>
      <c r="IW192" s="47"/>
      <c r="IX192" s="47"/>
      <c r="IY192" s="47"/>
      <c r="IZ192" s="47"/>
      <c r="JA192" s="47"/>
      <c r="JB192" s="47"/>
      <c r="JC192" s="47"/>
      <c r="JD192" s="47"/>
      <c r="JG192" s="47"/>
      <c r="JH192" s="47"/>
      <c r="JI192" s="47"/>
      <c r="JJ192" s="47"/>
      <c r="JK192" s="47"/>
      <c r="JL192" s="47"/>
      <c r="JM192" s="47"/>
      <c r="JN192" s="47"/>
      <c r="JQ192" s="47"/>
      <c r="JR192" s="47"/>
      <c r="JS192" s="47"/>
      <c r="JT192" s="47"/>
      <c r="JU192" s="47"/>
      <c r="JV192" s="47"/>
      <c r="JW192" s="47"/>
      <c r="JX192" s="47"/>
      <c r="KA192" s="47"/>
      <c r="KB192" s="47"/>
      <c r="KC192" s="47"/>
      <c r="KD192" s="47"/>
      <c r="KE192" s="47"/>
      <c r="KF192" s="47"/>
      <c r="KG192" s="47"/>
      <c r="KH192" s="47"/>
      <c r="KK192" s="47"/>
      <c r="KL192" s="47"/>
      <c r="KM192" s="47"/>
      <c r="KN192" s="47"/>
      <c r="KO192" s="47"/>
      <c r="KP192" s="47"/>
      <c r="KQ192" s="47"/>
      <c r="KR192" s="47"/>
      <c r="KU192" s="47"/>
      <c r="KV192" s="47"/>
      <c r="KW192" s="47"/>
      <c r="KX192" s="47"/>
      <c r="KY192" s="47"/>
      <c r="KZ192" s="47"/>
      <c r="LA192" s="47"/>
      <c r="LB192" s="47"/>
    </row>
    <row r="193" spans="29:314" x14ac:dyDescent="0.25">
      <c r="AC193" s="47"/>
      <c r="AD193" s="47"/>
      <c r="AE193" s="47"/>
      <c r="AF193" s="47"/>
      <c r="AG193" s="49"/>
      <c r="AH193" s="47"/>
      <c r="AI193" s="47"/>
      <c r="AJ193" s="47"/>
      <c r="AK193" s="47"/>
      <c r="AL193" s="47"/>
      <c r="AM193" s="47"/>
      <c r="AN193" s="47"/>
      <c r="AO193" s="47"/>
      <c r="AP193" s="47"/>
      <c r="AQ193" s="47"/>
      <c r="AR193" s="47"/>
      <c r="AS193" s="47"/>
      <c r="AT193" s="47"/>
      <c r="AU193" s="47"/>
      <c r="AV193" s="47"/>
      <c r="AW193" s="47"/>
      <c r="AX193" s="47"/>
      <c r="AY193" s="47"/>
      <c r="AZ193" s="47"/>
      <c r="BA193" s="47"/>
      <c r="BB193" s="47"/>
      <c r="BC193" s="47"/>
      <c r="BD193" s="47"/>
      <c r="BE193" s="47"/>
      <c r="BF193" s="47"/>
      <c r="BG193" s="47"/>
      <c r="BH193" s="47"/>
      <c r="BI193" s="47"/>
      <c r="BJ193" s="47"/>
      <c r="BK193" s="47"/>
      <c r="BL193" s="47"/>
      <c r="BM193" s="47"/>
      <c r="BN193" s="49"/>
      <c r="BO193" s="47"/>
      <c r="BP193" s="47"/>
      <c r="BQ193" s="47"/>
      <c r="BR193" s="47"/>
      <c r="BS193" s="47"/>
      <c r="BT193" s="47"/>
      <c r="BU193" s="47"/>
      <c r="BV193" s="47"/>
      <c r="BW193" s="47"/>
      <c r="BX193" s="47"/>
      <c r="BY193" s="47"/>
      <c r="BZ193" s="47"/>
      <c r="CA193" s="47"/>
      <c r="CB193" s="47"/>
      <c r="CC193" s="47"/>
      <c r="CD193" s="47"/>
      <c r="CE193" s="47"/>
      <c r="CF193" s="47"/>
      <c r="CG193" s="49"/>
      <c r="CH193" s="47"/>
      <c r="CI193" s="47"/>
      <c r="CJ193" s="47"/>
      <c r="CK193" s="47"/>
      <c r="CL193" s="47"/>
      <c r="CM193" s="47"/>
      <c r="CN193" s="47"/>
      <c r="CO193" s="47"/>
      <c r="CP193" s="47"/>
      <c r="CQ193" s="47"/>
      <c r="CS193" s="47"/>
      <c r="CT193" s="47"/>
      <c r="CU193" s="47"/>
      <c r="CV193" s="47"/>
      <c r="CW193" s="47"/>
      <c r="CX193" s="47"/>
      <c r="CY193" s="47"/>
      <c r="CZ193" s="47"/>
      <c r="DA193" s="47"/>
      <c r="DB193" s="47"/>
      <c r="DC193" s="47"/>
      <c r="DD193" s="47"/>
      <c r="DE193" s="47"/>
      <c r="DF193" s="47"/>
      <c r="DG193" s="47"/>
      <c r="DH193" s="47"/>
      <c r="DI193" s="47"/>
      <c r="DJ193" s="47"/>
      <c r="DK193" s="47"/>
      <c r="DM193" s="47"/>
      <c r="DN193" s="47"/>
      <c r="DO193" s="47"/>
      <c r="DP193" s="47"/>
      <c r="DQ193" s="47"/>
      <c r="DR193" s="47"/>
      <c r="DS193" s="47"/>
      <c r="DT193" s="47"/>
      <c r="DU193" s="47"/>
      <c r="DV193" s="49"/>
      <c r="DW193" s="47"/>
      <c r="DX193" s="47"/>
      <c r="DY193" s="47"/>
      <c r="DZ193" s="47"/>
      <c r="EA193" s="47"/>
      <c r="EB193" s="47"/>
      <c r="EC193" s="47"/>
      <c r="ED193" s="47"/>
      <c r="EE193" s="47"/>
      <c r="EF193" s="47"/>
      <c r="EG193" s="47"/>
      <c r="EH193" s="47"/>
      <c r="EI193" s="47"/>
      <c r="EJ193" s="47"/>
      <c r="EK193" s="47"/>
      <c r="EL193" s="47"/>
      <c r="EM193" s="47"/>
      <c r="EN193" s="47"/>
      <c r="EO193" s="47"/>
      <c r="EP193" s="47"/>
      <c r="EQ193" s="47"/>
      <c r="ER193" s="47"/>
      <c r="ES193" s="47"/>
      <c r="ET193" s="47"/>
      <c r="EU193" s="47"/>
      <c r="EV193" s="47"/>
      <c r="EW193" s="47"/>
      <c r="EX193" s="47"/>
      <c r="EY193" s="47"/>
      <c r="EZ193" s="47"/>
      <c r="FA193" s="47"/>
      <c r="FB193" s="47"/>
      <c r="FC193" s="47"/>
      <c r="FD193" s="47"/>
      <c r="FE193" s="47"/>
      <c r="FF193" s="47"/>
      <c r="FG193" s="47"/>
      <c r="FH193" s="47"/>
      <c r="FI193" s="47"/>
      <c r="FJ193" s="49"/>
      <c r="FK193" s="47"/>
      <c r="FL193" s="47"/>
      <c r="FM193" s="47"/>
      <c r="FN193" s="47"/>
      <c r="FO193" s="47"/>
      <c r="FP193" s="47"/>
      <c r="FQ193" s="47"/>
      <c r="FR193" s="47"/>
      <c r="FS193" s="47"/>
      <c r="FT193" s="47"/>
      <c r="FU193" s="47"/>
      <c r="FV193" s="47"/>
      <c r="FW193" s="47"/>
      <c r="FX193" s="47"/>
      <c r="FY193" s="47"/>
      <c r="FZ193" s="47"/>
      <c r="GA193" s="47"/>
      <c r="GB193" s="47"/>
      <c r="GC193" s="47"/>
      <c r="GD193" s="47"/>
      <c r="GE193" s="47"/>
      <c r="GF193" s="47"/>
      <c r="GG193" s="47"/>
      <c r="GH193" s="47"/>
      <c r="GI193" s="47"/>
      <c r="GJ193" s="47"/>
      <c r="GK193" s="47"/>
      <c r="GL193" s="47"/>
      <c r="GM193" s="47"/>
      <c r="GN193" s="47"/>
      <c r="GO193" s="47"/>
      <c r="GP193" s="47"/>
      <c r="GQ193" s="47"/>
      <c r="GR193" s="47"/>
      <c r="GS193" s="47"/>
      <c r="GT193" s="47"/>
      <c r="GU193" s="47"/>
      <c r="GV193" s="47"/>
      <c r="GW193" s="47"/>
      <c r="GX193" s="47"/>
      <c r="GY193" s="47"/>
      <c r="GZ193" s="47"/>
      <c r="HA193" s="47"/>
      <c r="HB193" s="47"/>
      <c r="HC193" s="47"/>
      <c r="HD193" s="47"/>
      <c r="HE193" s="47"/>
      <c r="HF193" s="47"/>
      <c r="HI193" s="47"/>
      <c r="HJ193" s="47"/>
      <c r="HK193" s="47"/>
      <c r="HL193" s="47"/>
      <c r="HM193" s="47"/>
      <c r="HN193" s="47"/>
      <c r="HO193" s="47"/>
      <c r="HP193" s="47"/>
      <c r="HS193" s="47"/>
      <c r="HT193" s="47"/>
      <c r="HU193" s="47"/>
      <c r="HV193" s="47"/>
      <c r="HW193" s="47"/>
      <c r="HX193" s="47"/>
      <c r="HY193" s="47"/>
      <c r="HZ193" s="47"/>
      <c r="IC193" s="47"/>
      <c r="ID193" s="47"/>
      <c r="IE193" s="47"/>
      <c r="IF193" s="47"/>
      <c r="IG193" s="47"/>
      <c r="IH193" s="47"/>
      <c r="II193" s="47"/>
      <c r="IJ193" s="47"/>
      <c r="IM193" s="47"/>
      <c r="IN193" s="47"/>
      <c r="IO193" s="47"/>
      <c r="IP193" s="47"/>
      <c r="IQ193" s="47"/>
      <c r="IR193" s="47"/>
      <c r="IS193" s="47"/>
      <c r="IT193" s="47"/>
      <c r="IW193" s="47"/>
      <c r="IX193" s="47"/>
      <c r="IY193" s="47"/>
      <c r="IZ193" s="47"/>
      <c r="JA193" s="47"/>
      <c r="JB193" s="47"/>
      <c r="JC193" s="47"/>
      <c r="JD193" s="47"/>
      <c r="JG193" s="47"/>
      <c r="JH193" s="47"/>
      <c r="JI193" s="47"/>
      <c r="JJ193" s="47"/>
      <c r="JK193" s="47"/>
      <c r="JL193" s="47"/>
      <c r="JM193" s="47"/>
      <c r="JN193" s="47"/>
      <c r="JQ193" s="47"/>
      <c r="JR193" s="47"/>
      <c r="JS193" s="47"/>
      <c r="JT193" s="47"/>
      <c r="JU193" s="47"/>
      <c r="JV193" s="47"/>
      <c r="JW193" s="47"/>
      <c r="JX193" s="47"/>
      <c r="KA193" s="47"/>
      <c r="KB193" s="47"/>
      <c r="KC193" s="47"/>
      <c r="KD193" s="47"/>
      <c r="KE193" s="47"/>
      <c r="KF193" s="47"/>
      <c r="KG193" s="47"/>
      <c r="KH193" s="47"/>
      <c r="KK193" s="47"/>
      <c r="KL193" s="47"/>
      <c r="KM193" s="47"/>
      <c r="KN193" s="47"/>
      <c r="KO193" s="47"/>
      <c r="KP193" s="47"/>
      <c r="KQ193" s="47"/>
      <c r="KR193" s="47"/>
      <c r="KU193" s="47"/>
      <c r="KV193" s="47"/>
      <c r="KW193" s="47"/>
      <c r="KX193" s="47"/>
      <c r="KY193" s="47"/>
      <c r="KZ193" s="47"/>
      <c r="LA193" s="47"/>
      <c r="LB193" s="47"/>
    </row>
    <row r="194" spans="29:314" x14ac:dyDescent="0.25">
      <c r="AC194" s="47"/>
      <c r="AD194" s="47"/>
      <c r="AE194" s="47"/>
      <c r="AF194" s="47"/>
      <c r="AG194" s="49"/>
      <c r="AH194" s="47"/>
      <c r="AI194" s="47"/>
      <c r="AJ194" s="47"/>
      <c r="AK194" s="47"/>
      <c r="AL194" s="47"/>
      <c r="AM194" s="47"/>
      <c r="AN194" s="47"/>
      <c r="AO194" s="47"/>
      <c r="AP194" s="47"/>
      <c r="AQ194" s="47"/>
      <c r="AR194" s="47"/>
      <c r="AS194" s="47"/>
      <c r="AT194" s="47"/>
      <c r="AU194" s="47"/>
      <c r="AV194" s="47"/>
      <c r="AW194" s="47"/>
      <c r="AX194" s="47"/>
      <c r="AY194" s="47"/>
      <c r="AZ194" s="47"/>
      <c r="BA194" s="47"/>
      <c r="BB194" s="47"/>
      <c r="BC194" s="47"/>
      <c r="BD194" s="47"/>
      <c r="BE194" s="47"/>
      <c r="BF194" s="47"/>
      <c r="BG194" s="47"/>
      <c r="BH194" s="47"/>
      <c r="BI194" s="47"/>
      <c r="BJ194" s="47"/>
      <c r="BK194" s="47"/>
      <c r="BL194" s="47"/>
      <c r="BM194" s="47"/>
      <c r="BN194" s="49"/>
      <c r="BO194" s="47"/>
      <c r="BP194" s="47"/>
      <c r="BQ194" s="47"/>
      <c r="BR194" s="47"/>
      <c r="BS194" s="47"/>
      <c r="BT194" s="47"/>
      <c r="BU194" s="47"/>
      <c r="BV194" s="47"/>
      <c r="BW194" s="47"/>
      <c r="BX194" s="47"/>
      <c r="BY194" s="47"/>
      <c r="BZ194" s="47"/>
      <c r="CA194" s="47"/>
      <c r="CB194" s="47"/>
      <c r="CC194" s="47"/>
      <c r="CD194" s="47"/>
      <c r="CE194" s="47"/>
      <c r="CF194" s="47"/>
      <c r="CG194" s="49"/>
      <c r="CH194" s="47"/>
      <c r="CI194" s="47"/>
      <c r="CJ194" s="47"/>
      <c r="CK194" s="47"/>
      <c r="CL194" s="47"/>
      <c r="CM194" s="47"/>
      <c r="CN194" s="47"/>
      <c r="CO194" s="47"/>
      <c r="CP194" s="47"/>
      <c r="CQ194" s="47"/>
      <c r="CS194" s="47"/>
      <c r="CT194" s="47"/>
      <c r="CU194" s="47"/>
      <c r="CV194" s="47"/>
      <c r="CW194" s="47"/>
      <c r="CX194" s="47"/>
      <c r="CY194" s="47"/>
      <c r="CZ194" s="47"/>
      <c r="DA194" s="47"/>
      <c r="DB194" s="47"/>
      <c r="DC194" s="47"/>
      <c r="DD194" s="47"/>
      <c r="DE194" s="47"/>
      <c r="DF194" s="47"/>
      <c r="DG194" s="47"/>
      <c r="DH194" s="47"/>
      <c r="DI194" s="47"/>
      <c r="DJ194" s="47"/>
      <c r="DK194" s="47"/>
      <c r="DM194" s="47"/>
      <c r="DN194" s="47"/>
      <c r="DO194" s="47"/>
      <c r="DP194" s="47"/>
      <c r="DQ194" s="47"/>
      <c r="DR194" s="47"/>
      <c r="DS194" s="47"/>
      <c r="DT194" s="47"/>
      <c r="DU194" s="47"/>
      <c r="DV194" s="49"/>
      <c r="DW194" s="47"/>
      <c r="DX194" s="47"/>
      <c r="DY194" s="47"/>
      <c r="DZ194" s="47"/>
      <c r="EA194" s="47"/>
      <c r="EB194" s="47"/>
      <c r="EC194" s="47"/>
      <c r="ED194" s="47"/>
      <c r="EE194" s="47"/>
      <c r="EF194" s="47"/>
      <c r="EG194" s="47"/>
      <c r="EH194" s="47"/>
      <c r="EI194" s="47"/>
      <c r="EJ194" s="47"/>
      <c r="EK194" s="47"/>
      <c r="EL194" s="47"/>
      <c r="EM194" s="47"/>
      <c r="EN194" s="47"/>
      <c r="EO194" s="47"/>
      <c r="EP194" s="47"/>
      <c r="EQ194" s="47"/>
      <c r="ER194" s="47"/>
      <c r="ES194" s="47"/>
      <c r="ET194" s="47"/>
      <c r="EU194" s="47"/>
      <c r="EV194" s="47"/>
      <c r="EW194" s="47"/>
      <c r="EX194" s="47"/>
      <c r="EY194" s="47"/>
      <c r="EZ194" s="47"/>
      <c r="FA194" s="47"/>
      <c r="FB194" s="47"/>
      <c r="FC194" s="47"/>
      <c r="FD194" s="47"/>
      <c r="FE194" s="47"/>
      <c r="FF194" s="47"/>
      <c r="FG194" s="47"/>
      <c r="FH194" s="47"/>
      <c r="FI194" s="47"/>
      <c r="FJ194" s="49"/>
      <c r="FK194" s="47"/>
      <c r="FL194" s="47"/>
      <c r="FM194" s="47"/>
      <c r="FN194" s="47"/>
      <c r="FO194" s="47"/>
      <c r="FP194" s="47"/>
      <c r="FQ194" s="47"/>
      <c r="FR194" s="47"/>
      <c r="FS194" s="47"/>
      <c r="FT194" s="47"/>
      <c r="FU194" s="47"/>
      <c r="FV194" s="47"/>
      <c r="FW194" s="47"/>
      <c r="FX194" s="47"/>
      <c r="FY194" s="47"/>
      <c r="FZ194" s="47"/>
      <c r="GA194" s="47"/>
      <c r="GB194" s="47"/>
      <c r="GC194" s="47"/>
      <c r="GD194" s="47"/>
      <c r="GE194" s="47"/>
      <c r="GF194" s="47"/>
      <c r="GG194" s="47"/>
      <c r="GH194" s="47"/>
      <c r="GI194" s="47"/>
      <c r="GJ194" s="47"/>
      <c r="GK194" s="47"/>
      <c r="GL194" s="47"/>
      <c r="GM194" s="47"/>
      <c r="GN194" s="47"/>
      <c r="GO194" s="47"/>
      <c r="GP194" s="47"/>
      <c r="GQ194" s="47"/>
      <c r="GR194" s="47"/>
      <c r="GS194" s="47"/>
      <c r="GT194" s="47"/>
      <c r="GU194" s="47"/>
      <c r="GV194" s="47"/>
      <c r="GW194" s="47"/>
      <c r="GX194" s="47"/>
      <c r="GY194" s="47"/>
      <c r="GZ194" s="47"/>
      <c r="HA194" s="47"/>
      <c r="HB194" s="47"/>
      <c r="HC194" s="47"/>
      <c r="HD194" s="47"/>
      <c r="HE194" s="47"/>
      <c r="HF194" s="47"/>
      <c r="HI194" s="47"/>
      <c r="HJ194" s="47"/>
      <c r="HK194" s="47"/>
      <c r="HL194" s="47"/>
      <c r="HM194" s="47"/>
      <c r="HN194" s="47"/>
      <c r="HO194" s="47"/>
      <c r="HP194" s="47"/>
      <c r="HS194" s="47"/>
      <c r="HT194" s="47"/>
      <c r="HU194" s="47"/>
      <c r="HV194" s="47"/>
      <c r="HW194" s="47"/>
      <c r="HX194" s="47"/>
      <c r="HY194" s="47"/>
      <c r="HZ194" s="47"/>
      <c r="IC194" s="47"/>
      <c r="ID194" s="47"/>
      <c r="IE194" s="47"/>
      <c r="IF194" s="47"/>
      <c r="IG194" s="47"/>
      <c r="IH194" s="47"/>
      <c r="II194" s="47"/>
      <c r="IJ194" s="47"/>
      <c r="IM194" s="47"/>
      <c r="IN194" s="47"/>
      <c r="IO194" s="47"/>
      <c r="IP194" s="47"/>
      <c r="IQ194" s="47"/>
      <c r="IR194" s="47"/>
      <c r="IS194" s="47"/>
      <c r="IT194" s="47"/>
      <c r="IW194" s="47"/>
      <c r="IX194" s="47"/>
      <c r="IY194" s="47"/>
      <c r="IZ194" s="47"/>
      <c r="JA194" s="47"/>
      <c r="JB194" s="47"/>
      <c r="JC194" s="47"/>
      <c r="JD194" s="47"/>
      <c r="JG194" s="47"/>
      <c r="JH194" s="47"/>
      <c r="JI194" s="47"/>
      <c r="JJ194" s="47"/>
      <c r="JK194" s="47"/>
      <c r="JL194" s="47"/>
      <c r="JM194" s="47"/>
      <c r="JN194" s="47"/>
      <c r="JQ194" s="47"/>
      <c r="JR194" s="47"/>
      <c r="JS194" s="47"/>
      <c r="JT194" s="47"/>
      <c r="JU194" s="47"/>
      <c r="JV194" s="47"/>
      <c r="JW194" s="47"/>
      <c r="JX194" s="47"/>
      <c r="KA194" s="47"/>
      <c r="KB194" s="47"/>
      <c r="KC194" s="47"/>
      <c r="KD194" s="47"/>
      <c r="KE194" s="47"/>
      <c r="KF194" s="47"/>
      <c r="KG194" s="47"/>
      <c r="KH194" s="47"/>
      <c r="KK194" s="47"/>
      <c r="KL194" s="47"/>
      <c r="KM194" s="47"/>
      <c r="KN194" s="47"/>
      <c r="KO194" s="47"/>
      <c r="KP194" s="47"/>
      <c r="KQ194" s="47"/>
      <c r="KR194" s="47"/>
      <c r="KU194" s="47"/>
      <c r="KV194" s="47"/>
      <c r="KW194" s="47"/>
      <c r="KX194" s="47"/>
      <c r="KY194" s="47"/>
      <c r="KZ194" s="47"/>
      <c r="LA194" s="47"/>
      <c r="LB194" s="47"/>
    </row>
    <row r="195" spans="29:314" x14ac:dyDescent="0.25">
      <c r="AC195" s="47"/>
      <c r="AD195" s="47"/>
      <c r="AE195" s="47"/>
      <c r="AF195" s="47"/>
      <c r="AG195" s="49"/>
      <c r="AH195" s="47"/>
      <c r="AI195" s="47"/>
      <c r="AJ195" s="47"/>
      <c r="AK195" s="47"/>
      <c r="AL195" s="47"/>
      <c r="AM195" s="47"/>
      <c r="AN195" s="47"/>
      <c r="AO195" s="47"/>
      <c r="AP195" s="47"/>
      <c r="AQ195" s="47"/>
      <c r="AR195" s="47"/>
      <c r="AS195" s="47"/>
      <c r="AT195" s="47"/>
      <c r="AU195" s="47"/>
      <c r="AV195" s="47"/>
      <c r="AW195" s="47"/>
      <c r="AX195" s="47"/>
      <c r="AY195" s="47"/>
      <c r="AZ195" s="47"/>
      <c r="BA195" s="47"/>
      <c r="BB195" s="47"/>
      <c r="BC195" s="47"/>
      <c r="BD195" s="47"/>
      <c r="BE195" s="47"/>
      <c r="BF195" s="47"/>
      <c r="BG195" s="47"/>
      <c r="BH195" s="47"/>
      <c r="BI195" s="47"/>
      <c r="BJ195" s="47"/>
      <c r="BK195" s="47"/>
      <c r="BL195" s="47"/>
      <c r="BM195" s="47"/>
      <c r="BN195" s="49"/>
      <c r="BO195" s="47"/>
      <c r="BP195" s="47"/>
      <c r="BQ195" s="47"/>
      <c r="BR195" s="47"/>
      <c r="BS195" s="47"/>
      <c r="BT195" s="47"/>
      <c r="BU195" s="47"/>
      <c r="BV195" s="47"/>
      <c r="BW195" s="47"/>
      <c r="BX195" s="47"/>
      <c r="BY195" s="47"/>
      <c r="BZ195" s="47"/>
      <c r="CA195" s="47"/>
      <c r="CB195" s="47"/>
      <c r="CC195" s="47"/>
      <c r="CD195" s="47"/>
      <c r="CE195" s="47"/>
      <c r="CF195" s="47"/>
      <c r="CG195" s="49"/>
      <c r="CH195" s="47"/>
      <c r="CI195" s="47"/>
      <c r="CJ195" s="47"/>
      <c r="CK195" s="47"/>
      <c r="CL195" s="47"/>
      <c r="CM195" s="47"/>
      <c r="CN195" s="47"/>
      <c r="CO195" s="47"/>
      <c r="CP195" s="47"/>
      <c r="CQ195" s="47"/>
      <c r="CS195" s="47"/>
      <c r="CT195" s="47"/>
      <c r="CU195" s="47"/>
      <c r="CV195" s="47"/>
      <c r="CW195" s="47"/>
      <c r="CX195" s="47"/>
      <c r="CY195" s="47"/>
      <c r="CZ195" s="47"/>
      <c r="DA195" s="47"/>
      <c r="DB195" s="47"/>
      <c r="DC195" s="47"/>
      <c r="DD195" s="47"/>
      <c r="DE195" s="47"/>
      <c r="DF195" s="47"/>
      <c r="DG195" s="47"/>
      <c r="DH195" s="47"/>
      <c r="DI195" s="47"/>
      <c r="DJ195" s="47"/>
      <c r="DK195" s="47"/>
      <c r="DM195" s="47"/>
      <c r="DN195" s="47"/>
      <c r="DO195" s="47"/>
      <c r="DP195" s="47"/>
      <c r="DQ195" s="47"/>
      <c r="DR195" s="47"/>
      <c r="DS195" s="47"/>
      <c r="DT195" s="47"/>
      <c r="DU195" s="47"/>
      <c r="DV195" s="49"/>
      <c r="DW195" s="47"/>
      <c r="DX195" s="47"/>
      <c r="DY195" s="47"/>
      <c r="DZ195" s="47"/>
      <c r="EA195" s="47"/>
      <c r="EB195" s="47"/>
      <c r="EC195" s="47"/>
      <c r="ED195" s="47"/>
      <c r="EE195" s="47"/>
      <c r="EF195" s="47"/>
      <c r="EG195" s="47"/>
      <c r="EH195" s="47"/>
      <c r="EI195" s="47"/>
      <c r="EJ195" s="47"/>
      <c r="EK195" s="47"/>
      <c r="EL195" s="47"/>
      <c r="EM195" s="47"/>
      <c r="EN195" s="47"/>
      <c r="EO195" s="47"/>
      <c r="EP195" s="47"/>
      <c r="EQ195" s="47"/>
      <c r="ER195" s="47"/>
      <c r="ES195" s="47"/>
      <c r="ET195" s="47"/>
      <c r="EU195" s="47"/>
      <c r="EV195" s="47"/>
      <c r="EW195" s="47"/>
      <c r="EX195" s="47"/>
      <c r="EY195" s="47"/>
      <c r="EZ195" s="47"/>
      <c r="FA195" s="47"/>
      <c r="FB195" s="47"/>
      <c r="FC195" s="47"/>
      <c r="FD195" s="47"/>
      <c r="FE195" s="47"/>
      <c r="FF195" s="47"/>
      <c r="FG195" s="47"/>
      <c r="FH195" s="47"/>
      <c r="FI195" s="47"/>
      <c r="FJ195" s="49"/>
      <c r="FK195" s="47"/>
      <c r="FL195" s="47"/>
      <c r="FM195" s="47"/>
      <c r="FN195" s="47"/>
      <c r="FO195" s="47"/>
      <c r="FP195" s="47"/>
      <c r="FQ195" s="47"/>
      <c r="FR195" s="47"/>
      <c r="FS195" s="47"/>
      <c r="FT195" s="47"/>
      <c r="FU195" s="47"/>
      <c r="FV195" s="47"/>
      <c r="FW195" s="47"/>
      <c r="FX195" s="47"/>
      <c r="FY195" s="47"/>
      <c r="FZ195" s="47"/>
      <c r="GA195" s="47"/>
      <c r="GB195" s="47"/>
      <c r="GC195" s="47"/>
      <c r="GD195" s="47"/>
      <c r="GE195" s="47"/>
      <c r="GF195" s="47"/>
      <c r="GG195" s="47"/>
      <c r="GH195" s="47"/>
      <c r="GI195" s="47"/>
      <c r="GJ195" s="47"/>
      <c r="GK195" s="47"/>
      <c r="GL195" s="47"/>
      <c r="GM195" s="47"/>
      <c r="GN195" s="47"/>
      <c r="GO195" s="47"/>
      <c r="GP195" s="47"/>
      <c r="GQ195" s="47"/>
      <c r="GR195" s="47"/>
      <c r="GS195" s="47"/>
      <c r="GT195" s="47"/>
      <c r="GU195" s="47"/>
      <c r="GV195" s="47"/>
      <c r="GW195" s="47"/>
      <c r="GX195" s="47"/>
      <c r="GY195" s="47"/>
      <c r="GZ195" s="47"/>
      <c r="HA195" s="47"/>
      <c r="HB195" s="47"/>
      <c r="HC195" s="47"/>
      <c r="HD195" s="47"/>
      <c r="HE195" s="47"/>
      <c r="HF195" s="47"/>
      <c r="HI195" s="47"/>
      <c r="HJ195" s="47"/>
      <c r="HK195" s="47"/>
      <c r="HL195" s="47"/>
      <c r="HM195" s="47"/>
      <c r="HN195" s="47"/>
      <c r="HO195" s="47"/>
      <c r="HP195" s="47"/>
      <c r="HS195" s="47"/>
      <c r="HT195" s="47"/>
      <c r="HU195" s="47"/>
      <c r="HV195" s="47"/>
      <c r="HW195" s="47"/>
      <c r="HX195" s="47"/>
      <c r="HY195" s="47"/>
      <c r="HZ195" s="47"/>
      <c r="IC195" s="47"/>
      <c r="ID195" s="47"/>
      <c r="IE195" s="47"/>
      <c r="IF195" s="47"/>
      <c r="IG195" s="47"/>
      <c r="IH195" s="47"/>
      <c r="II195" s="47"/>
      <c r="IJ195" s="47"/>
      <c r="IM195" s="47"/>
      <c r="IN195" s="47"/>
      <c r="IO195" s="47"/>
      <c r="IP195" s="47"/>
      <c r="IQ195" s="47"/>
      <c r="IR195" s="47"/>
      <c r="IS195" s="47"/>
      <c r="IT195" s="47"/>
      <c r="IW195" s="47"/>
      <c r="IX195" s="47"/>
      <c r="IY195" s="47"/>
      <c r="IZ195" s="47"/>
      <c r="JA195" s="47"/>
      <c r="JB195" s="47"/>
      <c r="JC195" s="47"/>
      <c r="JD195" s="47"/>
      <c r="JG195" s="47"/>
      <c r="JH195" s="47"/>
      <c r="JI195" s="47"/>
      <c r="JJ195" s="47"/>
      <c r="JK195" s="47"/>
      <c r="JL195" s="47"/>
      <c r="JM195" s="47"/>
      <c r="JN195" s="47"/>
      <c r="JQ195" s="47"/>
      <c r="JR195" s="47"/>
      <c r="JS195" s="47"/>
      <c r="JT195" s="47"/>
      <c r="JU195" s="47"/>
      <c r="JV195" s="47"/>
      <c r="JW195" s="47"/>
      <c r="JX195" s="47"/>
      <c r="KA195" s="47"/>
      <c r="KB195" s="47"/>
      <c r="KC195" s="47"/>
      <c r="KD195" s="47"/>
      <c r="KE195" s="47"/>
      <c r="KF195" s="47"/>
      <c r="KG195" s="47"/>
      <c r="KH195" s="47"/>
      <c r="KK195" s="47"/>
      <c r="KL195" s="47"/>
      <c r="KM195" s="47"/>
      <c r="KN195" s="47"/>
      <c r="KO195" s="47"/>
      <c r="KP195" s="47"/>
      <c r="KQ195" s="47"/>
      <c r="KR195" s="47"/>
      <c r="KU195" s="47"/>
      <c r="KV195" s="47"/>
      <c r="KW195" s="47"/>
      <c r="KX195" s="47"/>
      <c r="KY195" s="47"/>
      <c r="KZ195" s="47"/>
      <c r="LA195" s="47"/>
      <c r="LB195" s="47"/>
    </row>
    <row r="196" spans="29:314" x14ac:dyDescent="0.25">
      <c r="AC196" s="47"/>
      <c r="AD196" s="47"/>
      <c r="AE196" s="47"/>
      <c r="AF196" s="47"/>
      <c r="AG196" s="49"/>
      <c r="AH196" s="47"/>
      <c r="AI196" s="47"/>
      <c r="AJ196" s="47"/>
      <c r="AK196" s="47"/>
      <c r="AL196" s="47"/>
      <c r="AM196" s="47"/>
      <c r="AN196" s="47"/>
      <c r="AO196" s="47"/>
      <c r="AP196" s="47"/>
      <c r="AQ196" s="47"/>
      <c r="AR196" s="47"/>
      <c r="AS196" s="47"/>
      <c r="AT196" s="47"/>
      <c r="AU196" s="47"/>
      <c r="AV196" s="47"/>
      <c r="AW196" s="47"/>
      <c r="AX196" s="47"/>
      <c r="AY196" s="47"/>
      <c r="AZ196" s="47"/>
      <c r="BA196" s="47"/>
      <c r="BB196" s="47"/>
      <c r="BC196" s="47"/>
      <c r="BD196" s="47"/>
      <c r="BE196" s="47"/>
      <c r="BF196" s="47"/>
      <c r="BG196" s="47"/>
      <c r="BH196" s="47"/>
      <c r="BI196" s="47"/>
      <c r="BJ196" s="47"/>
      <c r="BK196" s="47"/>
      <c r="BL196" s="47"/>
      <c r="BM196" s="47"/>
      <c r="BN196" s="49"/>
      <c r="BO196" s="47"/>
      <c r="BP196" s="47"/>
      <c r="BQ196" s="47"/>
      <c r="BR196" s="47"/>
      <c r="BS196" s="47"/>
      <c r="BT196" s="47"/>
      <c r="BU196" s="47"/>
      <c r="BV196" s="47"/>
      <c r="BW196" s="47"/>
      <c r="BX196" s="47"/>
      <c r="BY196" s="47"/>
      <c r="BZ196" s="47"/>
      <c r="CA196" s="47"/>
      <c r="CB196" s="47"/>
      <c r="CC196" s="47"/>
      <c r="CD196" s="47"/>
      <c r="CE196" s="47"/>
      <c r="CF196" s="47"/>
      <c r="CG196" s="49"/>
      <c r="CH196" s="47"/>
      <c r="CI196" s="47"/>
      <c r="CJ196" s="47"/>
      <c r="CK196" s="47"/>
      <c r="CL196" s="47"/>
      <c r="CM196" s="47"/>
      <c r="CN196" s="47"/>
      <c r="CO196" s="47"/>
      <c r="CP196" s="47"/>
      <c r="CQ196" s="47"/>
      <c r="CS196" s="47"/>
      <c r="CT196" s="47"/>
      <c r="CU196" s="47"/>
      <c r="CV196" s="47"/>
      <c r="CW196" s="47"/>
      <c r="CX196" s="47"/>
      <c r="CY196" s="47"/>
      <c r="CZ196" s="47"/>
      <c r="DA196" s="47"/>
      <c r="DB196" s="47"/>
      <c r="DC196" s="47"/>
      <c r="DD196" s="47"/>
      <c r="DE196" s="47"/>
      <c r="DF196" s="47"/>
      <c r="DG196" s="47"/>
      <c r="DH196" s="47"/>
      <c r="DI196" s="47"/>
      <c r="DJ196" s="47"/>
      <c r="DK196" s="47"/>
      <c r="DM196" s="47"/>
      <c r="DN196" s="47"/>
      <c r="DO196" s="47"/>
      <c r="DP196" s="47"/>
      <c r="DQ196" s="47"/>
      <c r="DR196" s="47"/>
      <c r="DS196" s="47"/>
      <c r="DT196" s="47"/>
      <c r="DU196" s="47"/>
      <c r="DV196" s="49"/>
      <c r="DW196" s="47"/>
      <c r="DX196" s="47"/>
      <c r="DY196" s="47"/>
      <c r="DZ196" s="47"/>
      <c r="EA196" s="47"/>
      <c r="EB196" s="47"/>
      <c r="EC196" s="47"/>
      <c r="ED196" s="47"/>
      <c r="EE196" s="47"/>
      <c r="EF196" s="47"/>
      <c r="EG196" s="47"/>
      <c r="EH196" s="47"/>
      <c r="EI196" s="47"/>
      <c r="EJ196" s="47"/>
      <c r="EK196" s="47"/>
      <c r="EL196" s="47"/>
      <c r="EM196" s="47"/>
      <c r="EN196" s="47"/>
      <c r="EO196" s="47"/>
      <c r="EP196" s="47"/>
      <c r="EQ196" s="47"/>
      <c r="ER196" s="47"/>
      <c r="ES196" s="47"/>
      <c r="ET196" s="47"/>
      <c r="EU196" s="47"/>
      <c r="EV196" s="47"/>
      <c r="EW196" s="47"/>
      <c r="EX196" s="47"/>
      <c r="EY196" s="47"/>
      <c r="EZ196" s="47"/>
      <c r="FA196" s="47"/>
      <c r="FB196" s="47"/>
      <c r="FC196" s="47"/>
      <c r="FD196" s="47"/>
      <c r="FE196" s="47"/>
      <c r="FF196" s="47"/>
      <c r="FG196" s="47"/>
      <c r="FH196" s="47"/>
      <c r="FI196" s="47"/>
      <c r="FJ196" s="49"/>
      <c r="FK196" s="47"/>
      <c r="FL196" s="47"/>
      <c r="FM196" s="47"/>
      <c r="FN196" s="47"/>
      <c r="FO196" s="47"/>
      <c r="FP196" s="47"/>
      <c r="FQ196" s="47"/>
      <c r="FR196" s="47"/>
      <c r="FS196" s="47"/>
      <c r="FT196" s="47"/>
      <c r="FU196" s="47"/>
      <c r="FV196" s="47"/>
      <c r="FW196" s="47"/>
      <c r="FX196" s="47"/>
      <c r="FY196" s="47"/>
      <c r="FZ196" s="47"/>
      <c r="GA196" s="47"/>
      <c r="GB196" s="47"/>
      <c r="GC196" s="47"/>
      <c r="GD196" s="47"/>
      <c r="GE196" s="47"/>
      <c r="GF196" s="47"/>
      <c r="GG196" s="47"/>
      <c r="GH196" s="47"/>
      <c r="GI196" s="47"/>
      <c r="GJ196" s="47"/>
      <c r="GK196" s="47"/>
      <c r="GL196" s="47"/>
      <c r="GM196" s="47"/>
      <c r="GN196" s="47"/>
      <c r="GO196" s="47"/>
      <c r="GP196" s="47"/>
      <c r="GQ196" s="47"/>
      <c r="GR196" s="47"/>
      <c r="GS196" s="47"/>
      <c r="GT196" s="47"/>
      <c r="GU196" s="47"/>
      <c r="GV196" s="47"/>
      <c r="GW196" s="47"/>
      <c r="GX196" s="47"/>
      <c r="GY196" s="47"/>
      <c r="GZ196" s="47"/>
      <c r="HA196" s="47"/>
      <c r="HB196" s="47"/>
      <c r="HC196" s="47"/>
      <c r="HD196" s="47"/>
      <c r="HE196" s="47"/>
      <c r="HF196" s="47"/>
      <c r="HI196" s="47"/>
      <c r="HJ196" s="47"/>
      <c r="HK196" s="47"/>
      <c r="HL196" s="47"/>
      <c r="HM196" s="47"/>
      <c r="HN196" s="47"/>
      <c r="HO196" s="47"/>
      <c r="HP196" s="47"/>
      <c r="HS196" s="47"/>
      <c r="HT196" s="47"/>
      <c r="HU196" s="47"/>
      <c r="HV196" s="47"/>
      <c r="HW196" s="47"/>
      <c r="HX196" s="47"/>
      <c r="HY196" s="47"/>
      <c r="HZ196" s="47"/>
      <c r="IC196" s="47"/>
      <c r="ID196" s="47"/>
      <c r="IE196" s="47"/>
      <c r="IF196" s="47"/>
      <c r="IG196" s="47"/>
      <c r="IH196" s="47"/>
      <c r="II196" s="47"/>
      <c r="IJ196" s="47"/>
      <c r="IM196" s="47"/>
      <c r="IN196" s="47"/>
      <c r="IO196" s="47"/>
      <c r="IP196" s="47"/>
      <c r="IQ196" s="47"/>
      <c r="IR196" s="47"/>
      <c r="IS196" s="47"/>
      <c r="IT196" s="47"/>
      <c r="IW196" s="47"/>
      <c r="IX196" s="47"/>
      <c r="IY196" s="47"/>
      <c r="IZ196" s="47"/>
      <c r="JA196" s="47"/>
      <c r="JB196" s="47"/>
      <c r="JC196" s="47"/>
      <c r="JD196" s="47"/>
      <c r="JG196" s="47"/>
      <c r="JH196" s="47"/>
      <c r="JI196" s="47"/>
      <c r="JJ196" s="47"/>
      <c r="JK196" s="47"/>
      <c r="JL196" s="47"/>
      <c r="JM196" s="47"/>
      <c r="JN196" s="47"/>
      <c r="JQ196" s="47"/>
      <c r="JR196" s="47"/>
      <c r="JS196" s="47"/>
      <c r="JT196" s="47"/>
      <c r="JU196" s="47"/>
      <c r="JV196" s="47"/>
      <c r="JW196" s="47"/>
      <c r="JX196" s="47"/>
      <c r="KA196" s="47"/>
      <c r="KB196" s="47"/>
      <c r="KC196" s="47"/>
      <c r="KD196" s="47"/>
      <c r="KE196" s="47"/>
      <c r="KF196" s="47"/>
      <c r="KG196" s="47"/>
      <c r="KH196" s="47"/>
      <c r="KK196" s="47"/>
      <c r="KL196" s="47"/>
      <c r="KM196" s="47"/>
      <c r="KN196" s="47"/>
      <c r="KO196" s="47"/>
      <c r="KP196" s="47"/>
      <c r="KQ196" s="47"/>
      <c r="KR196" s="47"/>
      <c r="KU196" s="47"/>
      <c r="KV196" s="47"/>
      <c r="KW196" s="47"/>
      <c r="KX196" s="47"/>
      <c r="KY196" s="47"/>
      <c r="KZ196" s="47"/>
      <c r="LA196" s="47"/>
      <c r="LB196" s="47"/>
    </row>
    <row r="197" spans="29:314" x14ac:dyDescent="0.25">
      <c r="AC197" s="47"/>
      <c r="AD197" s="47"/>
      <c r="AE197" s="47"/>
      <c r="AF197" s="47"/>
      <c r="AG197" s="49"/>
      <c r="AH197" s="47"/>
      <c r="AI197" s="47"/>
      <c r="AJ197" s="47"/>
      <c r="AK197" s="47"/>
      <c r="AL197" s="47"/>
      <c r="AM197" s="47"/>
      <c r="AN197" s="47"/>
      <c r="AO197" s="47"/>
      <c r="AP197" s="47"/>
      <c r="AQ197" s="47"/>
      <c r="AR197" s="47"/>
      <c r="AS197" s="47"/>
      <c r="AT197" s="47"/>
      <c r="AU197" s="47"/>
      <c r="AV197" s="47"/>
      <c r="AW197" s="47"/>
      <c r="AX197" s="47"/>
      <c r="AY197" s="47"/>
      <c r="AZ197" s="47"/>
      <c r="BA197" s="47"/>
      <c r="BB197" s="47"/>
      <c r="BC197" s="47"/>
      <c r="BD197" s="47"/>
      <c r="BE197" s="47"/>
      <c r="BF197" s="47"/>
      <c r="BG197" s="47"/>
      <c r="BH197" s="47"/>
      <c r="BI197" s="47"/>
      <c r="BJ197" s="47"/>
      <c r="BK197" s="47"/>
      <c r="BL197" s="47"/>
      <c r="BM197" s="47"/>
      <c r="BN197" s="49"/>
      <c r="BO197" s="47"/>
      <c r="BP197" s="47"/>
      <c r="BQ197" s="47"/>
      <c r="BR197" s="47"/>
      <c r="BS197" s="47"/>
      <c r="BT197" s="47"/>
      <c r="BU197" s="47"/>
      <c r="BV197" s="47"/>
      <c r="BW197" s="47"/>
      <c r="BX197" s="47"/>
      <c r="BY197" s="47"/>
      <c r="BZ197" s="47"/>
      <c r="CA197" s="47"/>
      <c r="CB197" s="47"/>
      <c r="CC197" s="47"/>
      <c r="CD197" s="47"/>
      <c r="CE197" s="47"/>
      <c r="CF197" s="47"/>
      <c r="CG197" s="49"/>
      <c r="CH197" s="47"/>
      <c r="CI197" s="47"/>
      <c r="CJ197" s="47"/>
      <c r="CK197" s="47"/>
      <c r="CL197" s="47"/>
      <c r="CM197" s="47"/>
      <c r="CN197" s="47"/>
      <c r="CO197" s="47"/>
      <c r="CP197" s="47"/>
      <c r="CQ197" s="47"/>
      <c r="CS197" s="47"/>
      <c r="CT197" s="47"/>
      <c r="CU197" s="47"/>
      <c r="CV197" s="47"/>
      <c r="CW197" s="47"/>
      <c r="CX197" s="47"/>
      <c r="CY197" s="47"/>
      <c r="CZ197" s="47"/>
      <c r="DA197" s="47"/>
      <c r="DB197" s="47"/>
      <c r="DC197" s="47"/>
      <c r="DD197" s="47"/>
      <c r="DE197" s="47"/>
      <c r="DF197" s="47"/>
      <c r="DG197" s="47"/>
      <c r="DH197" s="47"/>
      <c r="DI197" s="47"/>
      <c r="DJ197" s="47"/>
      <c r="DK197" s="47"/>
      <c r="DM197" s="47"/>
      <c r="DN197" s="47"/>
      <c r="DO197" s="47"/>
      <c r="DP197" s="47"/>
      <c r="DQ197" s="47"/>
      <c r="DR197" s="47"/>
      <c r="DS197" s="47"/>
      <c r="DT197" s="47"/>
      <c r="DU197" s="47"/>
      <c r="DV197" s="49"/>
      <c r="DW197" s="47"/>
      <c r="DX197" s="47"/>
      <c r="DY197" s="47"/>
      <c r="DZ197" s="47"/>
      <c r="EA197" s="47"/>
      <c r="EB197" s="47"/>
      <c r="EC197" s="47"/>
      <c r="ED197" s="47"/>
      <c r="EE197" s="47"/>
      <c r="EF197" s="47"/>
      <c r="EG197" s="47"/>
      <c r="EH197" s="47"/>
      <c r="EI197" s="47"/>
      <c r="EJ197" s="47"/>
      <c r="EK197" s="47"/>
      <c r="EL197" s="47"/>
      <c r="EM197" s="47"/>
      <c r="EN197" s="47"/>
      <c r="EO197" s="47"/>
      <c r="EP197" s="47"/>
      <c r="EQ197" s="47"/>
      <c r="ER197" s="47"/>
      <c r="ES197" s="47"/>
      <c r="ET197" s="47"/>
      <c r="EU197" s="47"/>
      <c r="EV197" s="47"/>
      <c r="EW197" s="47"/>
      <c r="EX197" s="47"/>
      <c r="EY197" s="47"/>
      <c r="EZ197" s="47"/>
      <c r="FA197" s="47"/>
      <c r="FB197" s="47"/>
      <c r="FC197" s="47"/>
      <c r="FD197" s="47"/>
      <c r="FE197" s="47"/>
      <c r="FF197" s="47"/>
      <c r="FG197" s="47"/>
      <c r="FH197" s="47"/>
      <c r="FI197" s="47"/>
      <c r="FJ197" s="49"/>
      <c r="FK197" s="47"/>
      <c r="FL197" s="47"/>
      <c r="FM197" s="47"/>
      <c r="FN197" s="47"/>
      <c r="FO197" s="47"/>
      <c r="FP197" s="47"/>
      <c r="FQ197" s="47"/>
      <c r="FR197" s="47"/>
      <c r="FS197" s="47"/>
      <c r="FT197" s="47"/>
      <c r="FU197" s="47"/>
      <c r="FV197" s="47"/>
      <c r="FW197" s="47"/>
      <c r="FX197" s="47"/>
      <c r="FY197" s="47"/>
      <c r="FZ197" s="47"/>
      <c r="GA197" s="47"/>
      <c r="GB197" s="47"/>
      <c r="GC197" s="47"/>
      <c r="GD197" s="47"/>
      <c r="GE197" s="47"/>
      <c r="GF197" s="47"/>
      <c r="GG197" s="47"/>
      <c r="GH197" s="47"/>
      <c r="GI197" s="47"/>
      <c r="GJ197" s="47"/>
      <c r="GK197" s="47"/>
      <c r="GL197" s="47"/>
      <c r="GM197" s="47"/>
      <c r="GN197" s="47"/>
      <c r="GO197" s="47"/>
      <c r="GP197" s="47"/>
      <c r="GQ197" s="47"/>
      <c r="GR197" s="47"/>
      <c r="GS197" s="47"/>
      <c r="GT197" s="47"/>
      <c r="GU197" s="47"/>
      <c r="GV197" s="47"/>
      <c r="GW197" s="47"/>
      <c r="GX197" s="47"/>
      <c r="GY197" s="47"/>
      <c r="GZ197" s="47"/>
      <c r="HA197" s="47"/>
      <c r="HB197" s="47"/>
      <c r="HC197" s="47"/>
      <c r="HD197" s="47"/>
      <c r="HE197" s="47"/>
      <c r="HF197" s="47"/>
      <c r="HI197" s="47"/>
      <c r="HJ197" s="47"/>
      <c r="HK197" s="47"/>
      <c r="HL197" s="47"/>
      <c r="HM197" s="47"/>
      <c r="HN197" s="47"/>
      <c r="HO197" s="47"/>
      <c r="HP197" s="47"/>
      <c r="HS197" s="47"/>
      <c r="HT197" s="47"/>
      <c r="HU197" s="47"/>
      <c r="HV197" s="47"/>
      <c r="HW197" s="47"/>
      <c r="HX197" s="47"/>
      <c r="HY197" s="47"/>
      <c r="HZ197" s="47"/>
      <c r="IC197" s="47"/>
      <c r="ID197" s="47"/>
      <c r="IE197" s="47"/>
      <c r="IF197" s="47"/>
      <c r="IG197" s="47"/>
      <c r="IH197" s="47"/>
      <c r="II197" s="47"/>
      <c r="IJ197" s="47"/>
      <c r="IM197" s="47"/>
      <c r="IN197" s="47"/>
      <c r="IO197" s="47"/>
      <c r="IP197" s="47"/>
      <c r="IQ197" s="47"/>
      <c r="IR197" s="47"/>
      <c r="IS197" s="47"/>
      <c r="IT197" s="47"/>
      <c r="IW197" s="47"/>
      <c r="IX197" s="47"/>
      <c r="IY197" s="47"/>
      <c r="IZ197" s="47"/>
      <c r="JA197" s="47"/>
      <c r="JB197" s="47"/>
      <c r="JC197" s="47"/>
      <c r="JD197" s="47"/>
      <c r="JG197" s="47"/>
      <c r="JH197" s="47"/>
      <c r="JI197" s="47"/>
      <c r="JJ197" s="47"/>
      <c r="JK197" s="47"/>
      <c r="JL197" s="47"/>
      <c r="JM197" s="47"/>
      <c r="JN197" s="47"/>
      <c r="JQ197" s="47"/>
      <c r="JR197" s="47"/>
      <c r="JS197" s="47"/>
      <c r="JT197" s="47"/>
      <c r="JU197" s="47"/>
      <c r="JV197" s="47"/>
      <c r="JW197" s="47"/>
      <c r="JX197" s="47"/>
      <c r="KA197" s="47"/>
      <c r="KB197" s="47"/>
      <c r="KC197" s="47"/>
      <c r="KD197" s="47"/>
      <c r="KE197" s="47"/>
      <c r="KF197" s="47"/>
      <c r="KG197" s="47"/>
      <c r="KH197" s="47"/>
      <c r="KK197" s="47"/>
      <c r="KL197" s="47"/>
      <c r="KM197" s="47"/>
      <c r="KN197" s="47"/>
      <c r="KO197" s="47"/>
      <c r="KP197" s="47"/>
      <c r="KQ197" s="47"/>
      <c r="KR197" s="47"/>
      <c r="KU197" s="47"/>
      <c r="KV197" s="47"/>
      <c r="KW197" s="47"/>
      <c r="KX197" s="47"/>
      <c r="KY197" s="47"/>
      <c r="KZ197" s="47"/>
      <c r="LA197" s="47"/>
      <c r="LB197" s="47"/>
    </row>
    <row r="198" spans="29:314" x14ac:dyDescent="0.25">
      <c r="AC198" s="47"/>
      <c r="AD198" s="47"/>
      <c r="AE198" s="47"/>
      <c r="AF198" s="47"/>
      <c r="AG198" s="49"/>
      <c r="AH198" s="47"/>
      <c r="AI198" s="47"/>
      <c r="AJ198" s="47"/>
      <c r="AK198" s="47"/>
      <c r="AL198" s="47"/>
      <c r="AM198" s="47"/>
      <c r="AN198" s="47"/>
      <c r="AO198" s="47"/>
      <c r="AP198" s="47"/>
      <c r="AQ198" s="47"/>
      <c r="AR198" s="47"/>
      <c r="AS198" s="47"/>
      <c r="AT198" s="47"/>
      <c r="AU198" s="47"/>
      <c r="AV198" s="47"/>
      <c r="AW198" s="47"/>
      <c r="AX198" s="47"/>
      <c r="AY198" s="47"/>
      <c r="AZ198" s="47"/>
      <c r="BA198" s="47"/>
      <c r="BB198" s="47"/>
      <c r="BC198" s="47"/>
      <c r="BD198" s="47"/>
      <c r="BE198" s="47"/>
      <c r="BF198" s="47"/>
      <c r="BG198" s="47"/>
      <c r="BH198" s="47"/>
      <c r="BI198" s="47"/>
      <c r="BJ198" s="47"/>
      <c r="BK198" s="47"/>
      <c r="BL198" s="47"/>
      <c r="BM198" s="47"/>
      <c r="BN198" s="49"/>
      <c r="BO198" s="47"/>
      <c r="BP198" s="47"/>
      <c r="BQ198" s="47"/>
      <c r="BR198" s="47"/>
      <c r="BS198" s="47"/>
      <c r="BT198" s="47"/>
      <c r="BU198" s="47"/>
      <c r="BV198" s="47"/>
      <c r="BW198" s="47"/>
      <c r="BX198" s="47"/>
      <c r="BY198" s="47"/>
      <c r="BZ198" s="47"/>
      <c r="CA198" s="47"/>
      <c r="CB198" s="47"/>
      <c r="CC198" s="47"/>
      <c r="CD198" s="47"/>
      <c r="CE198" s="47"/>
      <c r="CF198" s="47"/>
      <c r="CG198" s="49"/>
      <c r="CH198" s="47"/>
      <c r="CI198" s="47"/>
      <c r="CJ198" s="47"/>
      <c r="CK198" s="47"/>
      <c r="CL198" s="47"/>
      <c r="CM198" s="47"/>
      <c r="CN198" s="47"/>
      <c r="CO198" s="47"/>
      <c r="CP198" s="47"/>
      <c r="CQ198" s="47"/>
      <c r="CS198" s="47"/>
      <c r="CT198" s="47"/>
      <c r="CU198" s="47"/>
      <c r="CV198" s="47"/>
      <c r="CW198" s="47"/>
      <c r="CX198" s="47"/>
      <c r="CY198" s="47"/>
      <c r="CZ198" s="47"/>
      <c r="DA198" s="47"/>
      <c r="DB198" s="47"/>
      <c r="DC198" s="47"/>
      <c r="DD198" s="47"/>
      <c r="DE198" s="47"/>
      <c r="DF198" s="47"/>
      <c r="DG198" s="47"/>
      <c r="DH198" s="47"/>
      <c r="DI198" s="47"/>
      <c r="DJ198" s="47"/>
      <c r="DK198" s="47"/>
      <c r="DM198" s="47"/>
      <c r="DN198" s="47"/>
      <c r="DO198" s="47"/>
      <c r="DP198" s="47"/>
      <c r="DQ198" s="47"/>
      <c r="DR198" s="47"/>
      <c r="DS198" s="47"/>
      <c r="DT198" s="47"/>
      <c r="DU198" s="47"/>
      <c r="DV198" s="49"/>
      <c r="DW198" s="47"/>
      <c r="DX198" s="47"/>
      <c r="DY198" s="47"/>
      <c r="DZ198" s="47"/>
      <c r="EA198" s="47"/>
      <c r="EB198" s="47"/>
      <c r="EC198" s="47"/>
      <c r="ED198" s="47"/>
      <c r="EE198" s="47"/>
      <c r="EF198" s="47"/>
      <c r="EG198" s="47"/>
      <c r="EH198" s="47"/>
      <c r="EI198" s="47"/>
      <c r="EJ198" s="47"/>
      <c r="EK198" s="47"/>
      <c r="EL198" s="47"/>
      <c r="EM198" s="47"/>
      <c r="EN198" s="47"/>
      <c r="EO198" s="47"/>
      <c r="EP198" s="47"/>
      <c r="EQ198" s="47"/>
      <c r="ER198" s="47"/>
      <c r="ES198" s="47"/>
      <c r="ET198" s="47"/>
      <c r="EU198" s="47"/>
      <c r="EV198" s="47"/>
      <c r="EW198" s="47"/>
      <c r="EX198" s="47"/>
      <c r="EY198" s="47"/>
      <c r="EZ198" s="47"/>
      <c r="FA198" s="47"/>
      <c r="FB198" s="47"/>
      <c r="FC198" s="47"/>
      <c r="FD198" s="47"/>
      <c r="FE198" s="47"/>
      <c r="FF198" s="47"/>
      <c r="FG198" s="47"/>
      <c r="FH198" s="47"/>
      <c r="FI198" s="47"/>
      <c r="FJ198" s="49"/>
      <c r="FK198" s="47"/>
      <c r="FL198" s="47"/>
      <c r="FM198" s="47"/>
      <c r="FN198" s="47"/>
      <c r="FO198" s="47"/>
      <c r="FP198" s="47"/>
      <c r="FQ198" s="47"/>
      <c r="FR198" s="47"/>
      <c r="FS198" s="47"/>
      <c r="FT198" s="47"/>
      <c r="FU198" s="47"/>
      <c r="FV198" s="47"/>
      <c r="FW198" s="47"/>
      <c r="FX198" s="47"/>
      <c r="FY198" s="47"/>
      <c r="FZ198" s="47"/>
      <c r="GA198" s="47"/>
      <c r="GB198" s="47"/>
      <c r="GC198" s="47"/>
      <c r="GD198" s="47"/>
      <c r="GE198" s="47"/>
      <c r="GF198" s="47"/>
      <c r="GG198" s="47"/>
      <c r="GH198" s="47"/>
      <c r="GI198" s="47"/>
      <c r="GJ198" s="47"/>
      <c r="GK198" s="47"/>
      <c r="GL198" s="47"/>
      <c r="GM198" s="47"/>
      <c r="GN198" s="47"/>
      <c r="GO198" s="47"/>
      <c r="GP198" s="47"/>
      <c r="GQ198" s="47"/>
      <c r="GR198" s="47"/>
      <c r="GS198" s="47"/>
      <c r="GT198" s="47"/>
      <c r="GU198" s="47"/>
      <c r="GV198" s="47"/>
      <c r="GW198" s="47"/>
      <c r="GX198" s="47"/>
      <c r="GY198" s="47"/>
      <c r="GZ198" s="47"/>
      <c r="HA198" s="47"/>
      <c r="HB198" s="47"/>
      <c r="HC198" s="47"/>
      <c r="HD198" s="47"/>
      <c r="HE198" s="47"/>
      <c r="HF198" s="47"/>
      <c r="HI198" s="47"/>
      <c r="HJ198" s="47"/>
      <c r="HK198" s="47"/>
      <c r="HL198" s="47"/>
      <c r="HM198" s="47"/>
      <c r="HN198" s="47"/>
      <c r="HO198" s="47"/>
      <c r="HP198" s="47"/>
      <c r="HS198" s="47"/>
      <c r="HT198" s="47"/>
      <c r="HU198" s="47"/>
      <c r="HV198" s="47"/>
      <c r="HW198" s="47"/>
      <c r="HX198" s="47"/>
      <c r="HY198" s="47"/>
      <c r="HZ198" s="47"/>
      <c r="IC198" s="47"/>
      <c r="ID198" s="47"/>
      <c r="IE198" s="47"/>
      <c r="IF198" s="47"/>
      <c r="IG198" s="47"/>
      <c r="IH198" s="47"/>
      <c r="II198" s="47"/>
      <c r="IJ198" s="47"/>
      <c r="IM198" s="47"/>
      <c r="IN198" s="47"/>
      <c r="IO198" s="47"/>
      <c r="IP198" s="47"/>
      <c r="IQ198" s="47"/>
      <c r="IR198" s="47"/>
      <c r="IS198" s="47"/>
      <c r="IT198" s="47"/>
      <c r="IW198" s="47"/>
      <c r="IX198" s="47"/>
      <c r="IY198" s="47"/>
      <c r="IZ198" s="47"/>
      <c r="JA198" s="47"/>
      <c r="JB198" s="47"/>
      <c r="JC198" s="47"/>
      <c r="JD198" s="47"/>
      <c r="JG198" s="47"/>
      <c r="JH198" s="47"/>
      <c r="JI198" s="47"/>
      <c r="JJ198" s="47"/>
      <c r="JK198" s="47"/>
      <c r="JL198" s="47"/>
      <c r="JM198" s="47"/>
      <c r="JN198" s="47"/>
      <c r="JQ198" s="47"/>
      <c r="JR198" s="47"/>
      <c r="JS198" s="47"/>
      <c r="JT198" s="47"/>
      <c r="JU198" s="47"/>
      <c r="JV198" s="47"/>
      <c r="JW198" s="47"/>
      <c r="JX198" s="47"/>
      <c r="KA198" s="47"/>
      <c r="KB198" s="47"/>
      <c r="KC198" s="47"/>
      <c r="KD198" s="47"/>
      <c r="KE198" s="47"/>
      <c r="KF198" s="47"/>
      <c r="KG198" s="47"/>
      <c r="KH198" s="47"/>
      <c r="KK198" s="47"/>
      <c r="KL198" s="47"/>
      <c r="KM198" s="47"/>
      <c r="KN198" s="47"/>
      <c r="KO198" s="47"/>
      <c r="KP198" s="47"/>
      <c r="KQ198" s="47"/>
      <c r="KR198" s="47"/>
      <c r="KU198" s="47"/>
      <c r="KV198" s="47"/>
      <c r="KW198" s="47"/>
      <c r="KX198" s="47"/>
      <c r="KY198" s="47"/>
      <c r="KZ198" s="47"/>
      <c r="LA198" s="47"/>
      <c r="LB198" s="47"/>
    </row>
    <row r="199" spans="29:314" x14ac:dyDescent="0.25">
      <c r="AC199" s="47"/>
      <c r="AD199" s="47"/>
      <c r="AE199" s="47"/>
      <c r="AF199" s="47"/>
      <c r="AG199" s="49"/>
      <c r="AH199" s="47"/>
      <c r="AI199" s="47"/>
      <c r="AJ199" s="47"/>
      <c r="AK199" s="47"/>
      <c r="AL199" s="47"/>
      <c r="AM199" s="47"/>
      <c r="AN199" s="47"/>
      <c r="AO199" s="47"/>
      <c r="AP199" s="47"/>
      <c r="AQ199" s="47"/>
      <c r="AR199" s="47"/>
      <c r="AS199" s="47"/>
      <c r="AT199" s="47"/>
      <c r="AU199" s="47"/>
      <c r="AV199" s="47"/>
      <c r="AW199" s="47"/>
      <c r="AX199" s="47"/>
      <c r="AY199" s="47"/>
      <c r="AZ199" s="47"/>
      <c r="BA199" s="47"/>
      <c r="BB199" s="47"/>
      <c r="BC199" s="47"/>
      <c r="BD199" s="47"/>
      <c r="BE199" s="47"/>
      <c r="BF199" s="47"/>
      <c r="BG199" s="47"/>
      <c r="BH199" s="47"/>
      <c r="BI199" s="47"/>
      <c r="BJ199" s="47"/>
      <c r="BK199" s="47"/>
      <c r="BL199" s="47"/>
      <c r="BM199" s="47"/>
      <c r="BN199" s="49"/>
      <c r="BO199" s="47"/>
      <c r="BP199" s="47"/>
      <c r="BQ199" s="47"/>
      <c r="BR199" s="47"/>
      <c r="BS199" s="47"/>
      <c r="BT199" s="47"/>
      <c r="BU199" s="47"/>
      <c r="BV199" s="47"/>
      <c r="BW199" s="47"/>
      <c r="BX199" s="47"/>
      <c r="BY199" s="47"/>
      <c r="BZ199" s="47"/>
      <c r="CA199" s="47"/>
      <c r="CB199" s="47"/>
      <c r="CC199" s="47"/>
      <c r="CD199" s="47"/>
      <c r="CE199" s="47"/>
      <c r="CF199" s="47"/>
      <c r="CG199" s="49"/>
      <c r="CH199" s="47"/>
      <c r="CI199" s="47"/>
      <c r="CJ199" s="47"/>
      <c r="CK199" s="47"/>
      <c r="CL199" s="47"/>
      <c r="CM199" s="47"/>
      <c r="CN199" s="47"/>
      <c r="CO199" s="47"/>
      <c r="CP199" s="47"/>
      <c r="CQ199" s="47"/>
      <c r="CS199" s="47"/>
      <c r="CT199" s="47"/>
      <c r="CU199" s="47"/>
      <c r="CV199" s="47"/>
      <c r="CW199" s="47"/>
      <c r="CX199" s="47"/>
      <c r="CY199" s="47"/>
      <c r="CZ199" s="47"/>
      <c r="DA199" s="47"/>
      <c r="DB199" s="47"/>
      <c r="DC199" s="47"/>
      <c r="DD199" s="47"/>
      <c r="DE199" s="47"/>
      <c r="DF199" s="47"/>
      <c r="DG199" s="47"/>
      <c r="DH199" s="47"/>
      <c r="DI199" s="47"/>
      <c r="DJ199" s="47"/>
      <c r="DK199" s="47"/>
      <c r="DM199" s="47"/>
      <c r="DN199" s="47"/>
      <c r="DO199" s="47"/>
      <c r="DP199" s="47"/>
      <c r="DQ199" s="47"/>
      <c r="DR199" s="47"/>
      <c r="DS199" s="47"/>
      <c r="DT199" s="47"/>
      <c r="DU199" s="47"/>
      <c r="DV199" s="49"/>
      <c r="DW199" s="47"/>
      <c r="DX199" s="47"/>
      <c r="DY199" s="47"/>
      <c r="DZ199" s="47"/>
      <c r="EA199" s="47"/>
      <c r="EB199" s="47"/>
      <c r="EC199" s="47"/>
      <c r="ED199" s="47"/>
      <c r="EE199" s="47"/>
      <c r="EF199" s="47"/>
      <c r="EG199" s="47"/>
      <c r="EH199" s="47"/>
      <c r="EI199" s="47"/>
      <c r="EJ199" s="47"/>
      <c r="EK199" s="47"/>
      <c r="EL199" s="47"/>
      <c r="EM199" s="47"/>
      <c r="EN199" s="47"/>
      <c r="EO199" s="47"/>
      <c r="EP199" s="47"/>
      <c r="EQ199" s="47"/>
      <c r="ER199" s="47"/>
      <c r="ES199" s="47"/>
      <c r="ET199" s="47"/>
      <c r="EU199" s="47"/>
      <c r="EV199" s="47"/>
      <c r="EW199" s="47"/>
      <c r="EX199" s="47"/>
      <c r="EY199" s="47"/>
      <c r="EZ199" s="47"/>
      <c r="FA199" s="47"/>
      <c r="FB199" s="47"/>
      <c r="FC199" s="47"/>
      <c r="FD199" s="47"/>
      <c r="FE199" s="47"/>
      <c r="FF199" s="47"/>
      <c r="FG199" s="47"/>
      <c r="FH199" s="47"/>
      <c r="FI199" s="47"/>
      <c r="FJ199" s="49"/>
      <c r="FK199" s="47"/>
      <c r="FL199" s="47"/>
      <c r="FM199" s="47"/>
      <c r="FN199" s="47"/>
      <c r="FO199" s="47"/>
      <c r="FP199" s="47"/>
      <c r="FQ199" s="47"/>
      <c r="FR199" s="47"/>
      <c r="FS199" s="47"/>
      <c r="FT199" s="47"/>
      <c r="FU199" s="47"/>
      <c r="FV199" s="47"/>
      <c r="FW199" s="47"/>
      <c r="FX199" s="47"/>
      <c r="FY199" s="47"/>
      <c r="FZ199" s="47"/>
      <c r="GA199" s="47"/>
      <c r="GB199" s="47"/>
      <c r="GC199" s="47"/>
      <c r="GD199" s="47"/>
      <c r="GE199" s="47"/>
      <c r="GF199" s="47"/>
      <c r="GG199" s="47"/>
      <c r="GH199" s="47"/>
      <c r="GI199" s="47"/>
      <c r="GJ199" s="47"/>
      <c r="GK199" s="47"/>
      <c r="GL199" s="47"/>
      <c r="GM199" s="47"/>
      <c r="GN199" s="47"/>
      <c r="GO199" s="47"/>
      <c r="GP199" s="47"/>
      <c r="GQ199" s="47"/>
      <c r="GR199" s="47"/>
      <c r="GS199" s="47"/>
      <c r="GT199" s="47"/>
      <c r="GU199" s="47"/>
      <c r="GV199" s="47"/>
      <c r="GW199" s="47"/>
      <c r="GX199" s="47"/>
      <c r="GY199" s="47"/>
      <c r="GZ199" s="47"/>
      <c r="HA199" s="47"/>
      <c r="HB199" s="47"/>
      <c r="HC199" s="47"/>
      <c r="HD199" s="47"/>
      <c r="HE199" s="47"/>
      <c r="HF199" s="47"/>
      <c r="HI199" s="47"/>
      <c r="HJ199" s="47"/>
      <c r="HK199" s="47"/>
      <c r="HL199" s="47"/>
      <c r="HM199" s="47"/>
      <c r="HN199" s="47"/>
      <c r="HO199" s="47"/>
      <c r="HP199" s="47"/>
      <c r="HS199" s="47"/>
      <c r="HT199" s="47"/>
      <c r="HU199" s="47"/>
      <c r="HV199" s="47"/>
      <c r="HW199" s="47"/>
      <c r="HX199" s="47"/>
      <c r="HY199" s="47"/>
      <c r="HZ199" s="47"/>
      <c r="IC199" s="47"/>
      <c r="ID199" s="47"/>
      <c r="IE199" s="47"/>
      <c r="IF199" s="47"/>
      <c r="IG199" s="47"/>
      <c r="IH199" s="47"/>
      <c r="II199" s="47"/>
      <c r="IJ199" s="47"/>
      <c r="IM199" s="47"/>
      <c r="IN199" s="47"/>
      <c r="IO199" s="47"/>
      <c r="IP199" s="47"/>
      <c r="IQ199" s="47"/>
      <c r="IR199" s="47"/>
      <c r="IS199" s="47"/>
      <c r="IT199" s="47"/>
      <c r="IW199" s="47"/>
      <c r="IX199" s="47"/>
      <c r="IY199" s="47"/>
      <c r="IZ199" s="47"/>
      <c r="JA199" s="47"/>
      <c r="JB199" s="47"/>
      <c r="JC199" s="47"/>
      <c r="JD199" s="47"/>
      <c r="JG199" s="47"/>
      <c r="JH199" s="47"/>
      <c r="JI199" s="47"/>
      <c r="JJ199" s="47"/>
      <c r="JK199" s="47"/>
      <c r="JL199" s="47"/>
      <c r="JM199" s="47"/>
      <c r="JN199" s="47"/>
      <c r="JQ199" s="47"/>
      <c r="JR199" s="47"/>
      <c r="JS199" s="47"/>
      <c r="JT199" s="47"/>
      <c r="JU199" s="47"/>
      <c r="JV199" s="47"/>
      <c r="JW199" s="47"/>
      <c r="JX199" s="47"/>
      <c r="KA199" s="47"/>
      <c r="KB199" s="47"/>
      <c r="KC199" s="47"/>
      <c r="KD199" s="47"/>
      <c r="KE199" s="47"/>
      <c r="KF199" s="47"/>
      <c r="KG199" s="47"/>
      <c r="KH199" s="47"/>
      <c r="KK199" s="47"/>
      <c r="KL199" s="47"/>
      <c r="KM199" s="47"/>
      <c r="KN199" s="47"/>
      <c r="KO199" s="47"/>
      <c r="KP199" s="47"/>
      <c r="KQ199" s="47"/>
      <c r="KR199" s="47"/>
      <c r="KU199" s="47"/>
      <c r="KV199" s="47"/>
      <c r="KW199" s="47"/>
      <c r="KX199" s="47"/>
      <c r="KY199" s="47"/>
      <c r="KZ199" s="47"/>
      <c r="LA199" s="47"/>
      <c r="LB199" s="47"/>
    </row>
    <row r="200" spans="29:314" x14ac:dyDescent="0.25">
      <c r="AC200" s="47"/>
      <c r="AD200" s="47"/>
      <c r="AE200" s="47"/>
      <c r="AF200" s="47"/>
      <c r="AG200" s="49"/>
      <c r="AH200" s="47"/>
      <c r="AI200" s="47"/>
      <c r="AJ200" s="47"/>
      <c r="AK200" s="47"/>
      <c r="AL200" s="47"/>
      <c r="AM200" s="47"/>
      <c r="AN200" s="47"/>
      <c r="AO200" s="47"/>
      <c r="AP200" s="47"/>
      <c r="AQ200" s="47"/>
      <c r="AR200" s="47"/>
      <c r="AS200" s="47"/>
      <c r="AT200" s="47"/>
      <c r="AU200" s="47"/>
      <c r="AV200" s="47"/>
      <c r="AW200" s="47"/>
      <c r="AX200" s="47"/>
      <c r="AY200" s="47"/>
      <c r="AZ200" s="47"/>
      <c r="BA200" s="47"/>
      <c r="BB200" s="47"/>
      <c r="BC200" s="47"/>
      <c r="BD200" s="47"/>
      <c r="BE200" s="47"/>
      <c r="BF200" s="47"/>
      <c r="BG200" s="47"/>
      <c r="BH200" s="47"/>
      <c r="BI200" s="47"/>
      <c r="BJ200" s="47"/>
      <c r="BK200" s="47"/>
      <c r="BL200" s="47"/>
      <c r="BM200" s="47"/>
      <c r="BN200" s="49"/>
      <c r="BO200" s="47"/>
      <c r="BP200" s="47"/>
      <c r="BQ200" s="47"/>
      <c r="BR200" s="47"/>
      <c r="BS200" s="47"/>
      <c r="BT200" s="47"/>
      <c r="BU200" s="47"/>
      <c r="BV200" s="47"/>
      <c r="BW200" s="47"/>
      <c r="BX200" s="47"/>
      <c r="BY200" s="47"/>
      <c r="BZ200" s="47"/>
      <c r="CA200" s="47"/>
      <c r="CB200" s="47"/>
      <c r="CC200" s="47"/>
      <c r="CD200" s="47"/>
      <c r="CE200" s="47"/>
      <c r="CF200" s="47"/>
      <c r="CG200" s="49"/>
      <c r="CH200" s="47"/>
      <c r="CI200" s="47"/>
      <c r="CJ200" s="47"/>
      <c r="CK200" s="47"/>
      <c r="CL200" s="47"/>
      <c r="CM200" s="47"/>
      <c r="CN200" s="47"/>
      <c r="CO200" s="47"/>
      <c r="CP200" s="47"/>
      <c r="CQ200" s="47"/>
      <c r="CS200" s="47"/>
      <c r="CT200" s="47"/>
      <c r="CU200" s="47"/>
      <c r="CV200" s="47"/>
      <c r="CW200" s="47"/>
      <c r="CX200" s="47"/>
      <c r="CY200" s="47"/>
      <c r="CZ200" s="47"/>
      <c r="DA200" s="47"/>
      <c r="DB200" s="47"/>
      <c r="DC200" s="47"/>
      <c r="DD200" s="47"/>
      <c r="DE200" s="47"/>
      <c r="DF200" s="47"/>
      <c r="DG200" s="47"/>
      <c r="DH200" s="47"/>
      <c r="DI200" s="47"/>
      <c r="DJ200" s="47"/>
      <c r="DK200" s="47"/>
      <c r="DM200" s="47"/>
      <c r="DN200" s="47"/>
      <c r="DO200" s="47"/>
      <c r="DP200" s="47"/>
      <c r="DQ200" s="47"/>
      <c r="DR200" s="47"/>
      <c r="DS200" s="47"/>
      <c r="DT200" s="47"/>
      <c r="DU200" s="47"/>
      <c r="DV200" s="49"/>
      <c r="DW200" s="47"/>
      <c r="DX200" s="47"/>
      <c r="DY200" s="47"/>
      <c r="DZ200" s="47"/>
      <c r="EA200" s="47"/>
      <c r="EB200" s="47"/>
      <c r="EC200" s="47"/>
      <c r="ED200" s="47"/>
      <c r="EE200" s="47"/>
      <c r="EF200" s="47"/>
      <c r="EG200" s="47"/>
      <c r="EH200" s="47"/>
      <c r="EI200" s="47"/>
      <c r="EJ200" s="47"/>
      <c r="EK200" s="47"/>
      <c r="EL200" s="47"/>
      <c r="EM200" s="47"/>
      <c r="EN200" s="47"/>
      <c r="EO200" s="47"/>
      <c r="EP200" s="47"/>
      <c r="EQ200" s="47"/>
      <c r="ER200" s="47"/>
      <c r="ES200" s="47"/>
      <c r="ET200" s="47"/>
      <c r="EU200" s="47"/>
      <c r="EV200" s="47"/>
      <c r="EW200" s="47"/>
      <c r="EX200" s="47"/>
      <c r="EY200" s="47"/>
      <c r="EZ200" s="47"/>
      <c r="FA200" s="47"/>
      <c r="FB200" s="47"/>
      <c r="FC200" s="47"/>
      <c r="FD200" s="47"/>
      <c r="FE200" s="47"/>
      <c r="FF200" s="47"/>
      <c r="FG200" s="47"/>
      <c r="FH200" s="47"/>
      <c r="FI200" s="47"/>
      <c r="FJ200" s="49"/>
      <c r="FK200" s="47"/>
      <c r="FL200" s="47"/>
      <c r="FM200" s="47"/>
      <c r="FN200" s="47"/>
      <c r="FO200" s="47"/>
      <c r="FP200" s="47"/>
      <c r="FQ200" s="47"/>
      <c r="FR200" s="47"/>
      <c r="FS200" s="47"/>
      <c r="FT200" s="47"/>
      <c r="FU200" s="47"/>
      <c r="FV200" s="47"/>
      <c r="FW200" s="47"/>
      <c r="FX200" s="47"/>
      <c r="FY200" s="47"/>
      <c r="FZ200" s="47"/>
      <c r="GA200" s="47"/>
      <c r="GB200" s="47"/>
      <c r="GC200" s="47"/>
      <c r="GD200" s="47"/>
      <c r="GE200" s="47"/>
      <c r="GF200" s="47"/>
      <c r="GG200" s="47"/>
      <c r="GH200" s="47"/>
      <c r="GI200" s="47"/>
      <c r="GJ200" s="47"/>
      <c r="GK200" s="47"/>
      <c r="GL200" s="47"/>
      <c r="GM200" s="47"/>
      <c r="GN200" s="47"/>
      <c r="GO200" s="47"/>
      <c r="GP200" s="47"/>
      <c r="GQ200" s="47"/>
      <c r="GR200" s="47"/>
      <c r="GS200" s="47"/>
      <c r="GT200" s="47"/>
      <c r="GU200" s="47"/>
      <c r="GV200" s="47"/>
      <c r="GW200" s="47"/>
      <c r="GX200" s="47"/>
      <c r="GY200" s="47"/>
      <c r="GZ200" s="47"/>
      <c r="HA200" s="47"/>
      <c r="HB200" s="47"/>
      <c r="HC200" s="47"/>
      <c r="HD200" s="47"/>
      <c r="HE200" s="47"/>
      <c r="HF200" s="47"/>
      <c r="HI200" s="47"/>
      <c r="HJ200" s="47"/>
      <c r="HK200" s="47"/>
      <c r="HL200" s="47"/>
      <c r="HM200" s="47"/>
      <c r="HN200" s="47"/>
      <c r="HO200" s="47"/>
      <c r="HP200" s="47"/>
      <c r="HS200" s="47"/>
      <c r="HT200" s="47"/>
      <c r="HU200" s="47"/>
      <c r="HV200" s="47"/>
      <c r="HW200" s="47"/>
      <c r="HX200" s="47"/>
      <c r="HY200" s="47"/>
      <c r="HZ200" s="47"/>
      <c r="IC200" s="47"/>
      <c r="ID200" s="47"/>
      <c r="IE200" s="47"/>
      <c r="IF200" s="47"/>
      <c r="IG200" s="47"/>
      <c r="IH200" s="47"/>
      <c r="II200" s="47"/>
      <c r="IJ200" s="47"/>
      <c r="IM200" s="47"/>
      <c r="IN200" s="47"/>
      <c r="IO200" s="47"/>
      <c r="IP200" s="47"/>
      <c r="IQ200" s="47"/>
      <c r="IR200" s="47"/>
      <c r="IS200" s="47"/>
      <c r="IT200" s="47"/>
      <c r="IW200" s="47"/>
      <c r="IX200" s="47"/>
      <c r="IY200" s="47"/>
      <c r="IZ200" s="47"/>
      <c r="JA200" s="47"/>
      <c r="JB200" s="47"/>
      <c r="JC200" s="47"/>
      <c r="JD200" s="47"/>
      <c r="JG200" s="47"/>
      <c r="JH200" s="47"/>
      <c r="JI200" s="47"/>
      <c r="JJ200" s="47"/>
      <c r="JK200" s="47"/>
      <c r="JL200" s="47"/>
      <c r="JM200" s="47"/>
      <c r="JN200" s="47"/>
      <c r="JQ200" s="47"/>
      <c r="JR200" s="47"/>
      <c r="JS200" s="47"/>
      <c r="JT200" s="47"/>
      <c r="JU200" s="47"/>
      <c r="JV200" s="47"/>
      <c r="JW200" s="47"/>
      <c r="JX200" s="47"/>
      <c r="KA200" s="47"/>
      <c r="KB200" s="47"/>
      <c r="KC200" s="47"/>
      <c r="KD200" s="47"/>
      <c r="KE200" s="47"/>
      <c r="KF200" s="47"/>
      <c r="KG200" s="47"/>
      <c r="KH200" s="47"/>
      <c r="KK200" s="47"/>
      <c r="KL200" s="47"/>
      <c r="KM200" s="47"/>
      <c r="KN200" s="47"/>
      <c r="KO200" s="47"/>
      <c r="KP200" s="47"/>
      <c r="KQ200" s="47"/>
      <c r="KR200" s="47"/>
      <c r="KU200" s="47"/>
      <c r="KV200" s="47"/>
      <c r="KW200" s="47"/>
      <c r="KX200" s="47"/>
      <c r="KY200" s="47"/>
      <c r="KZ200" s="47"/>
      <c r="LA200" s="47"/>
      <c r="LB200" s="47"/>
    </row>
    <row r="201" spans="29:314" x14ac:dyDescent="0.25">
      <c r="AC201" s="47"/>
      <c r="AD201" s="47"/>
      <c r="AE201" s="47"/>
      <c r="AF201" s="47"/>
      <c r="AG201" s="49"/>
      <c r="AH201" s="47"/>
      <c r="AI201" s="47"/>
      <c r="AJ201" s="47"/>
      <c r="AK201" s="47"/>
      <c r="AL201" s="47"/>
      <c r="AM201" s="47"/>
      <c r="AN201" s="47"/>
      <c r="AO201" s="47"/>
      <c r="AP201" s="47"/>
      <c r="AQ201" s="47"/>
      <c r="AR201" s="47"/>
      <c r="AS201" s="47"/>
      <c r="AT201" s="47"/>
      <c r="AU201" s="47"/>
      <c r="AV201" s="47"/>
      <c r="AW201" s="47"/>
      <c r="AX201" s="47"/>
      <c r="AY201" s="47"/>
      <c r="AZ201" s="47"/>
      <c r="BA201" s="47"/>
      <c r="BB201" s="47"/>
      <c r="BC201" s="47"/>
      <c r="BD201" s="47"/>
      <c r="BE201" s="47"/>
      <c r="BF201" s="47"/>
      <c r="BG201" s="47"/>
      <c r="BH201" s="47"/>
      <c r="BI201" s="47"/>
      <c r="BJ201" s="47"/>
      <c r="BK201" s="47"/>
      <c r="BL201" s="47"/>
      <c r="BM201" s="47"/>
      <c r="BN201" s="49"/>
      <c r="BO201" s="47"/>
      <c r="BP201" s="47"/>
      <c r="BQ201" s="47"/>
      <c r="BR201" s="47"/>
      <c r="BS201" s="47"/>
      <c r="BT201" s="47"/>
      <c r="BU201" s="47"/>
      <c r="BV201" s="47"/>
      <c r="BW201" s="47"/>
      <c r="BX201" s="47"/>
      <c r="BY201" s="47"/>
      <c r="BZ201" s="47"/>
      <c r="CA201" s="47"/>
      <c r="CB201" s="47"/>
      <c r="CC201" s="47"/>
      <c r="CD201" s="47"/>
      <c r="CE201" s="47"/>
      <c r="CF201" s="47"/>
      <c r="CG201" s="49"/>
      <c r="CH201" s="47"/>
      <c r="CI201" s="47"/>
      <c r="CJ201" s="47"/>
      <c r="CK201" s="47"/>
      <c r="CL201" s="47"/>
      <c r="CM201" s="47"/>
      <c r="CN201" s="47"/>
      <c r="CO201" s="47"/>
      <c r="CP201" s="47"/>
      <c r="CQ201" s="47"/>
      <c r="CS201" s="47"/>
      <c r="CT201" s="47"/>
      <c r="CU201" s="47"/>
      <c r="CV201" s="47"/>
      <c r="CW201" s="47"/>
      <c r="CX201" s="47"/>
      <c r="CY201" s="47"/>
      <c r="CZ201" s="47"/>
      <c r="DA201" s="47"/>
      <c r="DB201" s="47"/>
      <c r="DC201" s="47"/>
      <c r="DD201" s="47"/>
      <c r="DE201" s="47"/>
      <c r="DF201" s="47"/>
      <c r="DG201" s="47"/>
      <c r="DH201" s="47"/>
      <c r="DI201" s="47"/>
      <c r="DJ201" s="47"/>
      <c r="DK201" s="47"/>
      <c r="DM201" s="47"/>
      <c r="DN201" s="47"/>
      <c r="DO201" s="47"/>
      <c r="DP201" s="47"/>
      <c r="DQ201" s="47"/>
      <c r="DR201" s="47"/>
      <c r="DS201" s="47"/>
      <c r="DT201" s="47"/>
      <c r="DU201" s="47"/>
      <c r="DV201" s="49"/>
      <c r="DW201" s="47"/>
      <c r="DX201" s="47"/>
      <c r="DY201" s="47"/>
      <c r="DZ201" s="47"/>
      <c r="EA201" s="47"/>
      <c r="EB201" s="47"/>
      <c r="EC201" s="47"/>
      <c r="ED201" s="47"/>
      <c r="EE201" s="47"/>
      <c r="EF201" s="47"/>
      <c r="EG201" s="47"/>
      <c r="EH201" s="47"/>
      <c r="EI201" s="47"/>
      <c r="EJ201" s="47"/>
      <c r="EK201" s="47"/>
      <c r="EL201" s="47"/>
      <c r="EM201" s="47"/>
      <c r="EN201" s="47"/>
      <c r="EO201" s="47"/>
      <c r="EP201" s="47"/>
      <c r="EQ201" s="47"/>
      <c r="ER201" s="47"/>
      <c r="ES201" s="47"/>
      <c r="ET201" s="47"/>
      <c r="EU201" s="47"/>
      <c r="EV201" s="47"/>
      <c r="EW201" s="47"/>
      <c r="EX201" s="47"/>
      <c r="EY201" s="47"/>
      <c r="EZ201" s="47"/>
      <c r="FA201" s="47"/>
      <c r="FB201" s="47"/>
      <c r="FC201" s="47"/>
      <c r="FD201" s="47"/>
      <c r="FE201" s="47"/>
      <c r="FF201" s="47"/>
      <c r="FG201" s="47"/>
      <c r="FH201" s="47"/>
      <c r="FI201" s="47"/>
      <c r="FJ201" s="49"/>
      <c r="FK201" s="47"/>
      <c r="FL201" s="47"/>
      <c r="FM201" s="47"/>
      <c r="FN201" s="47"/>
      <c r="FO201" s="47"/>
      <c r="FP201" s="47"/>
      <c r="FQ201" s="47"/>
      <c r="FR201" s="47"/>
      <c r="FS201" s="47"/>
      <c r="FT201" s="47"/>
      <c r="FU201" s="47"/>
      <c r="FV201" s="47"/>
      <c r="FW201" s="47"/>
      <c r="FX201" s="47"/>
      <c r="FY201" s="47"/>
      <c r="FZ201" s="47"/>
      <c r="GA201" s="47"/>
      <c r="GB201" s="47"/>
      <c r="GC201" s="47"/>
      <c r="GD201" s="47"/>
      <c r="GE201" s="47"/>
      <c r="GF201" s="47"/>
      <c r="GG201" s="47"/>
      <c r="GH201" s="47"/>
      <c r="GI201" s="47"/>
      <c r="GJ201" s="47"/>
      <c r="GK201" s="47"/>
      <c r="GL201" s="47"/>
      <c r="GM201" s="47"/>
      <c r="GN201" s="47"/>
      <c r="GO201" s="47"/>
      <c r="GP201" s="47"/>
      <c r="GQ201" s="47"/>
      <c r="GR201" s="47"/>
      <c r="GS201" s="47"/>
      <c r="GT201" s="47"/>
      <c r="GU201" s="47"/>
      <c r="GV201" s="47"/>
      <c r="GW201" s="47"/>
      <c r="GX201" s="47"/>
      <c r="GY201" s="47"/>
      <c r="GZ201" s="47"/>
      <c r="HA201" s="47"/>
      <c r="HB201" s="47"/>
      <c r="HC201" s="47"/>
      <c r="HD201" s="47"/>
      <c r="HE201" s="47"/>
      <c r="HF201" s="47"/>
      <c r="HI201" s="47"/>
      <c r="HJ201" s="47"/>
      <c r="HK201" s="47"/>
      <c r="HL201" s="47"/>
      <c r="HM201" s="47"/>
      <c r="HN201" s="47"/>
      <c r="HO201" s="47"/>
      <c r="HP201" s="47"/>
      <c r="HS201" s="47"/>
      <c r="HT201" s="47"/>
      <c r="HU201" s="47"/>
      <c r="HV201" s="47"/>
      <c r="HW201" s="47"/>
      <c r="HX201" s="47"/>
      <c r="HY201" s="47"/>
      <c r="HZ201" s="47"/>
      <c r="IC201" s="47"/>
      <c r="ID201" s="47"/>
      <c r="IE201" s="47"/>
      <c r="IF201" s="47"/>
      <c r="IG201" s="47"/>
      <c r="IH201" s="47"/>
      <c r="II201" s="47"/>
      <c r="IJ201" s="47"/>
      <c r="IM201" s="47"/>
      <c r="IN201" s="47"/>
      <c r="IO201" s="47"/>
      <c r="IP201" s="47"/>
      <c r="IQ201" s="47"/>
      <c r="IR201" s="47"/>
      <c r="IS201" s="47"/>
      <c r="IT201" s="47"/>
      <c r="IW201" s="47"/>
      <c r="IX201" s="47"/>
      <c r="IY201" s="47"/>
      <c r="IZ201" s="47"/>
      <c r="JA201" s="47"/>
      <c r="JB201" s="47"/>
      <c r="JC201" s="47"/>
      <c r="JD201" s="47"/>
      <c r="JG201" s="47"/>
      <c r="JH201" s="47"/>
      <c r="JI201" s="47"/>
      <c r="JJ201" s="47"/>
      <c r="JK201" s="47"/>
      <c r="JL201" s="47"/>
      <c r="JM201" s="47"/>
      <c r="JN201" s="47"/>
      <c r="JQ201" s="47"/>
      <c r="JR201" s="47"/>
      <c r="JS201" s="47"/>
      <c r="JT201" s="47"/>
      <c r="JU201" s="47"/>
      <c r="JV201" s="47"/>
      <c r="JW201" s="47"/>
      <c r="JX201" s="47"/>
      <c r="KA201" s="47"/>
      <c r="KB201" s="47"/>
      <c r="KC201" s="47"/>
      <c r="KD201" s="47"/>
      <c r="KE201" s="47"/>
      <c r="KF201" s="47"/>
      <c r="KG201" s="47"/>
      <c r="KH201" s="47"/>
      <c r="KK201" s="47"/>
      <c r="KL201" s="47"/>
      <c r="KM201" s="47"/>
      <c r="KN201" s="47"/>
      <c r="KO201" s="47"/>
      <c r="KP201" s="47"/>
      <c r="KQ201" s="47"/>
      <c r="KR201" s="47"/>
      <c r="KU201" s="47"/>
      <c r="KV201" s="47"/>
      <c r="KW201" s="47"/>
      <c r="KX201" s="47"/>
      <c r="KY201" s="47"/>
      <c r="KZ201" s="47"/>
      <c r="LA201" s="47"/>
      <c r="LB201" s="47"/>
    </row>
    <row r="202" spans="29:314" x14ac:dyDescent="0.25">
      <c r="AC202" s="47"/>
      <c r="AD202" s="47"/>
      <c r="AE202" s="47"/>
      <c r="AF202" s="47"/>
      <c r="AG202" s="49"/>
      <c r="AH202" s="47"/>
      <c r="AI202" s="47"/>
      <c r="AJ202" s="47"/>
      <c r="AK202" s="47"/>
      <c r="AL202" s="47"/>
      <c r="AM202" s="47"/>
      <c r="AN202" s="47"/>
      <c r="AO202" s="47"/>
      <c r="AP202" s="47"/>
      <c r="AQ202" s="47"/>
      <c r="AR202" s="47"/>
      <c r="AS202" s="47"/>
      <c r="AT202" s="47"/>
      <c r="AU202" s="47"/>
      <c r="AV202" s="47"/>
      <c r="AW202" s="47"/>
      <c r="AX202" s="47"/>
      <c r="AY202" s="47"/>
      <c r="AZ202" s="47"/>
      <c r="BA202" s="47"/>
      <c r="BB202" s="47"/>
      <c r="BC202" s="47"/>
      <c r="BD202" s="47"/>
      <c r="BE202" s="47"/>
      <c r="BF202" s="47"/>
      <c r="BG202" s="47"/>
      <c r="BH202" s="47"/>
      <c r="BI202" s="47"/>
      <c r="BJ202" s="47"/>
      <c r="BK202" s="47"/>
      <c r="BL202" s="47"/>
      <c r="BM202" s="47"/>
      <c r="BN202" s="49"/>
      <c r="BO202" s="47"/>
      <c r="BP202" s="47"/>
      <c r="BQ202" s="47"/>
      <c r="BR202" s="47"/>
      <c r="BS202" s="47"/>
      <c r="BT202" s="47"/>
      <c r="BU202" s="47"/>
      <c r="BV202" s="47"/>
      <c r="BW202" s="47"/>
      <c r="BX202" s="47"/>
      <c r="BY202" s="47"/>
      <c r="BZ202" s="47"/>
      <c r="CA202" s="47"/>
      <c r="CB202" s="47"/>
      <c r="CC202" s="47"/>
      <c r="CD202" s="47"/>
      <c r="CE202" s="47"/>
      <c r="CF202" s="47"/>
      <c r="CG202" s="49"/>
      <c r="CH202" s="47"/>
      <c r="CI202" s="47"/>
      <c r="CJ202" s="47"/>
      <c r="CK202" s="47"/>
      <c r="CL202" s="47"/>
      <c r="CM202" s="47"/>
      <c r="CN202" s="47"/>
      <c r="CO202" s="47"/>
      <c r="CP202" s="47"/>
      <c r="CQ202" s="47"/>
      <c r="CS202" s="47"/>
      <c r="CT202" s="47"/>
      <c r="CU202" s="47"/>
      <c r="CV202" s="47"/>
      <c r="CW202" s="47"/>
      <c r="CX202" s="47"/>
      <c r="CY202" s="47"/>
      <c r="CZ202" s="47"/>
      <c r="DA202" s="47"/>
      <c r="DB202" s="47"/>
      <c r="DC202" s="47"/>
      <c r="DD202" s="47"/>
      <c r="DE202" s="47"/>
      <c r="DF202" s="47"/>
      <c r="DG202" s="47"/>
      <c r="DH202" s="47"/>
      <c r="DI202" s="47"/>
      <c r="DJ202" s="47"/>
      <c r="DK202" s="47"/>
      <c r="DM202" s="47"/>
      <c r="DN202" s="47"/>
      <c r="DO202" s="47"/>
      <c r="DP202" s="47"/>
      <c r="DQ202" s="47"/>
      <c r="DR202" s="47"/>
      <c r="DS202" s="47"/>
      <c r="DT202" s="47"/>
      <c r="DU202" s="47"/>
      <c r="DV202" s="49"/>
      <c r="DW202" s="47"/>
      <c r="DX202" s="47"/>
      <c r="DY202" s="47"/>
      <c r="DZ202" s="47"/>
      <c r="EA202" s="47"/>
      <c r="EB202" s="47"/>
      <c r="EC202" s="47"/>
      <c r="ED202" s="47"/>
      <c r="EE202" s="47"/>
      <c r="EF202" s="47"/>
      <c r="EG202" s="47"/>
      <c r="EH202" s="47"/>
      <c r="EI202" s="47"/>
      <c r="EJ202" s="47"/>
      <c r="EK202" s="47"/>
      <c r="EL202" s="47"/>
      <c r="EM202" s="47"/>
      <c r="EN202" s="47"/>
      <c r="EO202" s="47"/>
      <c r="EP202" s="47"/>
      <c r="EQ202" s="47"/>
      <c r="ER202" s="47"/>
      <c r="ES202" s="47"/>
      <c r="ET202" s="47"/>
      <c r="EU202" s="47"/>
      <c r="EV202" s="47"/>
      <c r="EW202" s="47"/>
      <c r="EX202" s="47"/>
      <c r="EY202" s="47"/>
      <c r="EZ202" s="47"/>
      <c r="FA202" s="47"/>
      <c r="FB202" s="47"/>
      <c r="FC202" s="47"/>
      <c r="FD202" s="47"/>
      <c r="FE202" s="47"/>
      <c r="FF202" s="47"/>
      <c r="FG202" s="47"/>
      <c r="FH202" s="47"/>
      <c r="FI202" s="47"/>
      <c r="FJ202" s="49"/>
      <c r="FK202" s="47"/>
      <c r="FL202" s="47"/>
      <c r="FM202" s="47"/>
      <c r="FN202" s="47"/>
      <c r="FO202" s="47"/>
      <c r="FP202" s="47"/>
      <c r="FQ202" s="47"/>
      <c r="FR202" s="47"/>
      <c r="FS202" s="47"/>
      <c r="FT202" s="47"/>
      <c r="FU202" s="47"/>
      <c r="FV202" s="47"/>
      <c r="FW202" s="47"/>
      <c r="FX202" s="47"/>
      <c r="FY202" s="47"/>
      <c r="FZ202" s="47"/>
      <c r="GA202" s="47"/>
      <c r="GB202" s="47"/>
      <c r="GC202" s="47"/>
      <c r="GD202" s="47"/>
      <c r="GE202" s="47"/>
      <c r="GF202" s="47"/>
      <c r="GG202" s="47"/>
      <c r="GH202" s="47"/>
      <c r="GI202" s="47"/>
      <c r="GJ202" s="47"/>
      <c r="GK202" s="47"/>
      <c r="GL202" s="47"/>
      <c r="GM202" s="47"/>
      <c r="GN202" s="47"/>
      <c r="GO202" s="47"/>
      <c r="GP202" s="47"/>
      <c r="GQ202" s="47"/>
      <c r="GR202" s="47"/>
      <c r="GS202" s="47"/>
      <c r="GT202" s="47"/>
      <c r="GU202" s="47"/>
      <c r="GV202" s="47"/>
      <c r="GW202" s="47"/>
      <c r="GX202" s="47"/>
      <c r="GY202" s="47"/>
      <c r="GZ202" s="47"/>
      <c r="HA202" s="47"/>
      <c r="HB202" s="47"/>
      <c r="HC202" s="47"/>
      <c r="HD202" s="47"/>
      <c r="HE202" s="47"/>
      <c r="HF202" s="47"/>
      <c r="HI202" s="47"/>
      <c r="HJ202" s="47"/>
      <c r="HK202" s="47"/>
      <c r="HL202" s="47"/>
      <c r="HM202" s="47"/>
      <c r="HN202" s="47"/>
      <c r="HO202" s="47"/>
      <c r="HP202" s="47"/>
      <c r="HS202" s="47"/>
      <c r="HT202" s="47"/>
      <c r="HU202" s="47"/>
      <c r="HV202" s="47"/>
      <c r="HW202" s="47"/>
      <c r="HX202" s="47"/>
      <c r="HY202" s="47"/>
      <c r="HZ202" s="47"/>
      <c r="IC202" s="47"/>
      <c r="ID202" s="47"/>
      <c r="IE202" s="47"/>
      <c r="IF202" s="47"/>
      <c r="IG202" s="47"/>
      <c r="IH202" s="47"/>
      <c r="II202" s="47"/>
      <c r="IJ202" s="47"/>
      <c r="IM202" s="47"/>
      <c r="IN202" s="47"/>
      <c r="IO202" s="47"/>
      <c r="IP202" s="47"/>
      <c r="IQ202" s="47"/>
      <c r="IR202" s="47"/>
      <c r="IS202" s="47"/>
      <c r="IT202" s="47"/>
      <c r="IW202" s="47"/>
      <c r="IX202" s="47"/>
      <c r="IY202" s="47"/>
      <c r="IZ202" s="47"/>
      <c r="JA202" s="47"/>
      <c r="JB202" s="47"/>
      <c r="JC202" s="47"/>
      <c r="JD202" s="47"/>
      <c r="JG202" s="47"/>
      <c r="JH202" s="47"/>
      <c r="JI202" s="47"/>
      <c r="JJ202" s="47"/>
      <c r="JK202" s="47"/>
      <c r="JL202" s="47"/>
      <c r="JM202" s="47"/>
      <c r="JN202" s="47"/>
      <c r="JQ202" s="47"/>
      <c r="JR202" s="47"/>
      <c r="JS202" s="47"/>
      <c r="JT202" s="47"/>
      <c r="JU202" s="47"/>
      <c r="JV202" s="47"/>
      <c r="JW202" s="47"/>
      <c r="JX202" s="47"/>
      <c r="KA202" s="47"/>
      <c r="KB202" s="47"/>
      <c r="KC202" s="47"/>
      <c r="KD202" s="47"/>
      <c r="KE202" s="47"/>
      <c r="KF202" s="47"/>
      <c r="KG202" s="47"/>
      <c r="KH202" s="47"/>
      <c r="KK202" s="47"/>
      <c r="KL202" s="47"/>
      <c r="KM202" s="47"/>
      <c r="KN202" s="47"/>
      <c r="KO202" s="47"/>
      <c r="KP202" s="47"/>
      <c r="KQ202" s="47"/>
      <c r="KR202" s="47"/>
      <c r="KU202" s="47"/>
      <c r="KV202" s="47"/>
      <c r="KW202" s="47"/>
      <c r="KX202" s="47"/>
      <c r="KY202" s="47"/>
      <c r="KZ202" s="47"/>
      <c r="LA202" s="47"/>
      <c r="LB202" s="47"/>
    </row>
    <row r="203" spans="29:314" x14ac:dyDescent="0.25">
      <c r="AC203" s="47"/>
      <c r="AD203" s="47"/>
      <c r="AE203" s="47"/>
      <c r="AF203" s="47"/>
      <c r="AG203" s="49"/>
      <c r="AH203" s="47"/>
      <c r="AI203" s="47"/>
      <c r="AJ203" s="47"/>
      <c r="AK203" s="47"/>
      <c r="AL203" s="47"/>
      <c r="AM203" s="47"/>
      <c r="AN203" s="47"/>
      <c r="AO203" s="47"/>
      <c r="AP203" s="47"/>
      <c r="AQ203" s="47"/>
      <c r="AR203" s="47"/>
      <c r="AS203" s="47"/>
      <c r="AT203" s="47"/>
      <c r="AU203" s="47"/>
      <c r="AV203" s="47"/>
      <c r="AW203" s="47"/>
      <c r="AX203" s="47"/>
      <c r="AY203" s="47"/>
      <c r="AZ203" s="47"/>
      <c r="BA203" s="47"/>
      <c r="BB203" s="47"/>
      <c r="BC203" s="47"/>
      <c r="BD203" s="47"/>
      <c r="BE203" s="47"/>
      <c r="BF203" s="47"/>
      <c r="BG203" s="47"/>
      <c r="BH203" s="47"/>
      <c r="BI203" s="47"/>
      <c r="BJ203" s="47"/>
      <c r="BK203" s="47"/>
      <c r="BL203" s="47"/>
      <c r="BM203" s="47"/>
      <c r="BN203" s="49"/>
      <c r="BO203" s="47"/>
      <c r="BP203" s="47"/>
      <c r="BQ203" s="47"/>
      <c r="BR203" s="47"/>
      <c r="BS203" s="47"/>
      <c r="BT203" s="47"/>
      <c r="BU203" s="47"/>
      <c r="BV203" s="47"/>
      <c r="BW203" s="47"/>
      <c r="BX203" s="47"/>
      <c r="BY203" s="47"/>
      <c r="BZ203" s="47"/>
      <c r="CA203" s="47"/>
      <c r="CB203" s="47"/>
      <c r="CC203" s="47"/>
      <c r="CD203" s="47"/>
      <c r="CE203" s="47"/>
      <c r="CF203" s="47"/>
      <c r="CG203" s="49"/>
      <c r="CH203" s="47"/>
      <c r="CI203" s="47"/>
      <c r="CJ203" s="47"/>
      <c r="CK203" s="47"/>
      <c r="CL203" s="47"/>
      <c r="CM203" s="47"/>
      <c r="CN203" s="47"/>
      <c r="CO203" s="47"/>
      <c r="CP203" s="47"/>
      <c r="CQ203" s="47"/>
      <c r="CS203" s="47"/>
      <c r="CT203" s="47"/>
      <c r="CU203" s="47"/>
      <c r="CV203" s="47"/>
      <c r="CW203" s="47"/>
      <c r="CX203" s="47"/>
      <c r="CY203" s="47"/>
      <c r="CZ203" s="47"/>
      <c r="DA203" s="47"/>
      <c r="DB203" s="47"/>
      <c r="DC203" s="47"/>
      <c r="DD203" s="47"/>
      <c r="DE203" s="47"/>
      <c r="DF203" s="47"/>
      <c r="DG203" s="47"/>
      <c r="DH203" s="47"/>
      <c r="DI203" s="47"/>
      <c r="DJ203" s="47"/>
      <c r="DK203" s="47"/>
      <c r="DM203" s="47"/>
      <c r="DN203" s="47"/>
      <c r="DO203" s="47"/>
      <c r="DP203" s="47"/>
      <c r="DQ203" s="47"/>
      <c r="DR203" s="47"/>
      <c r="DS203" s="47"/>
      <c r="DT203" s="47"/>
      <c r="DU203" s="47"/>
      <c r="DV203" s="49"/>
      <c r="DW203" s="47"/>
      <c r="DX203" s="47"/>
      <c r="DY203" s="47"/>
      <c r="DZ203" s="47"/>
      <c r="EA203" s="47"/>
      <c r="EB203" s="47"/>
      <c r="EC203" s="47"/>
      <c r="ED203" s="47"/>
      <c r="EE203" s="47"/>
      <c r="EF203" s="47"/>
      <c r="EG203" s="47"/>
      <c r="EH203" s="47"/>
      <c r="EI203" s="47"/>
      <c r="EJ203" s="47"/>
      <c r="EK203" s="47"/>
      <c r="EL203" s="47"/>
      <c r="EM203" s="47"/>
      <c r="EN203" s="47"/>
      <c r="EO203" s="47"/>
      <c r="EP203" s="47"/>
      <c r="EQ203" s="47"/>
      <c r="ER203" s="47"/>
      <c r="ES203" s="47"/>
      <c r="ET203" s="47"/>
      <c r="EU203" s="47"/>
      <c r="EV203" s="47"/>
      <c r="EW203" s="47"/>
      <c r="EX203" s="47"/>
      <c r="EY203" s="47"/>
      <c r="EZ203" s="47"/>
      <c r="FA203" s="47"/>
      <c r="FB203" s="47"/>
      <c r="FC203" s="47"/>
      <c r="FD203" s="47"/>
      <c r="FE203" s="47"/>
      <c r="FF203" s="47"/>
      <c r="FG203" s="47"/>
      <c r="FH203" s="47"/>
      <c r="FI203" s="47"/>
      <c r="FJ203" s="49"/>
      <c r="FK203" s="47"/>
      <c r="FL203" s="47"/>
      <c r="FM203" s="47"/>
      <c r="FN203" s="47"/>
      <c r="FO203" s="47"/>
      <c r="FP203" s="47"/>
      <c r="FQ203" s="47"/>
      <c r="FR203" s="47"/>
      <c r="FS203" s="47"/>
      <c r="FT203" s="47"/>
      <c r="FU203" s="47"/>
      <c r="FV203" s="47"/>
      <c r="FW203" s="47"/>
      <c r="FX203" s="47"/>
      <c r="FY203" s="47"/>
      <c r="FZ203" s="47"/>
      <c r="GA203" s="47"/>
      <c r="GB203" s="47"/>
      <c r="GC203" s="47"/>
      <c r="GD203" s="47"/>
      <c r="GE203" s="47"/>
      <c r="GF203" s="47"/>
      <c r="GG203" s="47"/>
      <c r="GH203" s="47"/>
      <c r="GI203" s="47"/>
      <c r="GJ203" s="47"/>
      <c r="GK203" s="47"/>
      <c r="GL203" s="47"/>
      <c r="GM203" s="47"/>
      <c r="GN203" s="47"/>
      <c r="GO203" s="47"/>
      <c r="GP203" s="47"/>
      <c r="GQ203" s="47"/>
      <c r="GR203" s="47"/>
      <c r="GS203" s="47"/>
      <c r="GT203" s="47"/>
      <c r="GU203" s="47"/>
      <c r="GV203" s="47"/>
      <c r="GW203" s="47"/>
      <c r="GX203" s="47"/>
      <c r="GY203" s="47"/>
      <c r="GZ203" s="47"/>
      <c r="HA203" s="47"/>
      <c r="HB203" s="47"/>
      <c r="HC203" s="47"/>
      <c r="HD203" s="47"/>
      <c r="HE203" s="47"/>
      <c r="HF203" s="47"/>
      <c r="HI203" s="47"/>
      <c r="HJ203" s="47"/>
      <c r="HK203" s="47"/>
      <c r="HL203" s="47"/>
      <c r="HM203" s="47"/>
      <c r="HN203" s="47"/>
      <c r="HO203" s="47"/>
      <c r="HP203" s="47"/>
      <c r="HS203" s="47"/>
      <c r="HT203" s="47"/>
      <c r="HU203" s="47"/>
      <c r="HV203" s="47"/>
      <c r="HW203" s="47"/>
      <c r="HX203" s="47"/>
      <c r="HY203" s="47"/>
      <c r="HZ203" s="47"/>
      <c r="IC203" s="47"/>
      <c r="ID203" s="47"/>
      <c r="IE203" s="47"/>
      <c r="IF203" s="47"/>
      <c r="IG203" s="47"/>
      <c r="IH203" s="47"/>
      <c r="II203" s="47"/>
      <c r="IJ203" s="47"/>
      <c r="IM203" s="47"/>
      <c r="IN203" s="47"/>
      <c r="IO203" s="47"/>
      <c r="IP203" s="47"/>
      <c r="IQ203" s="47"/>
      <c r="IR203" s="47"/>
      <c r="IS203" s="47"/>
      <c r="IT203" s="47"/>
      <c r="IW203" s="47"/>
      <c r="IX203" s="47"/>
      <c r="IY203" s="47"/>
      <c r="IZ203" s="47"/>
      <c r="JA203" s="47"/>
      <c r="JB203" s="47"/>
      <c r="JC203" s="47"/>
      <c r="JD203" s="47"/>
      <c r="JG203" s="47"/>
      <c r="JH203" s="47"/>
      <c r="JI203" s="47"/>
      <c r="JJ203" s="47"/>
      <c r="JK203" s="47"/>
      <c r="JL203" s="47"/>
      <c r="JM203" s="47"/>
      <c r="JN203" s="47"/>
      <c r="JQ203" s="47"/>
      <c r="JR203" s="47"/>
      <c r="JS203" s="47"/>
      <c r="JT203" s="47"/>
      <c r="JU203" s="47"/>
      <c r="JV203" s="47"/>
      <c r="JW203" s="47"/>
      <c r="JX203" s="47"/>
      <c r="KA203" s="47"/>
      <c r="KB203" s="47"/>
      <c r="KC203" s="47"/>
      <c r="KD203" s="47"/>
      <c r="KE203" s="47"/>
      <c r="KF203" s="47"/>
      <c r="KG203" s="47"/>
      <c r="KH203" s="47"/>
      <c r="KK203" s="47"/>
      <c r="KL203" s="47"/>
      <c r="KM203" s="47"/>
      <c r="KN203" s="47"/>
      <c r="KO203" s="47"/>
      <c r="KP203" s="47"/>
      <c r="KQ203" s="47"/>
      <c r="KR203" s="47"/>
      <c r="KU203" s="47"/>
      <c r="KV203" s="47"/>
      <c r="KW203" s="47"/>
      <c r="KX203" s="47"/>
      <c r="KY203" s="47"/>
      <c r="KZ203" s="47"/>
      <c r="LA203" s="47"/>
      <c r="LB203" s="47"/>
    </row>
    <row r="204" spans="29:314" x14ac:dyDescent="0.25">
      <c r="AC204" s="47"/>
      <c r="AD204" s="47"/>
      <c r="AE204" s="47"/>
      <c r="AF204" s="47"/>
      <c r="AG204" s="49"/>
      <c r="AH204" s="47"/>
      <c r="AI204" s="47"/>
      <c r="AJ204" s="47"/>
      <c r="AK204" s="47"/>
      <c r="AL204" s="47"/>
      <c r="AM204" s="47"/>
      <c r="AN204" s="47"/>
      <c r="AO204" s="47"/>
      <c r="AP204" s="47"/>
      <c r="AQ204" s="47"/>
      <c r="AR204" s="47"/>
      <c r="AS204" s="47"/>
      <c r="AT204" s="47"/>
      <c r="AU204" s="47"/>
      <c r="AV204" s="47"/>
      <c r="AW204" s="47"/>
      <c r="AX204" s="47"/>
      <c r="AY204" s="47"/>
      <c r="AZ204" s="47"/>
      <c r="BA204" s="47"/>
      <c r="BB204" s="47"/>
      <c r="BC204" s="47"/>
      <c r="BD204" s="47"/>
      <c r="BE204" s="47"/>
      <c r="BF204" s="47"/>
      <c r="BG204" s="47"/>
      <c r="BH204" s="47"/>
      <c r="BI204" s="47"/>
      <c r="BJ204" s="47"/>
      <c r="BK204" s="47"/>
      <c r="BL204" s="47"/>
      <c r="BM204" s="47"/>
      <c r="BN204" s="49"/>
      <c r="BO204" s="47"/>
      <c r="BP204" s="47"/>
      <c r="BQ204" s="47"/>
      <c r="BR204" s="47"/>
      <c r="BS204" s="47"/>
      <c r="BT204" s="47"/>
      <c r="BU204" s="47"/>
      <c r="BV204" s="47"/>
      <c r="BW204" s="47"/>
      <c r="BX204" s="47"/>
      <c r="BY204" s="47"/>
      <c r="BZ204" s="47"/>
      <c r="CA204" s="47"/>
      <c r="CB204" s="47"/>
      <c r="CC204" s="47"/>
      <c r="CD204" s="47"/>
      <c r="CE204" s="47"/>
      <c r="CF204" s="47"/>
      <c r="CG204" s="49"/>
      <c r="CH204" s="47"/>
      <c r="CI204" s="47"/>
      <c r="CJ204" s="47"/>
      <c r="CK204" s="47"/>
      <c r="CL204" s="47"/>
      <c r="CM204" s="47"/>
      <c r="CN204" s="47"/>
      <c r="CO204" s="47"/>
      <c r="CP204" s="47"/>
      <c r="CQ204" s="47"/>
      <c r="CS204" s="47"/>
      <c r="CT204" s="47"/>
      <c r="CU204" s="47"/>
      <c r="CV204" s="47"/>
      <c r="CW204" s="47"/>
      <c r="CX204" s="47"/>
      <c r="CY204" s="47"/>
      <c r="CZ204" s="47"/>
      <c r="DA204" s="47"/>
      <c r="DB204" s="47"/>
      <c r="DC204" s="47"/>
      <c r="DD204" s="47"/>
      <c r="DE204" s="47"/>
      <c r="DF204" s="47"/>
      <c r="DG204" s="47"/>
      <c r="DH204" s="47"/>
      <c r="DI204" s="47"/>
      <c r="DJ204" s="47"/>
      <c r="DK204" s="47"/>
      <c r="DM204" s="47"/>
      <c r="DN204" s="47"/>
      <c r="DO204" s="47"/>
      <c r="DP204" s="47"/>
      <c r="DQ204" s="47"/>
      <c r="DR204" s="47"/>
      <c r="DS204" s="47"/>
      <c r="DT204" s="47"/>
      <c r="DU204" s="47"/>
      <c r="DV204" s="49"/>
      <c r="DW204" s="47"/>
      <c r="DX204" s="47"/>
      <c r="DY204" s="47"/>
      <c r="DZ204" s="47"/>
      <c r="EA204" s="47"/>
      <c r="EB204" s="47"/>
      <c r="EC204" s="47"/>
      <c r="ED204" s="47"/>
      <c r="EE204" s="47"/>
      <c r="EF204" s="47"/>
      <c r="EG204" s="47"/>
      <c r="EH204" s="47"/>
      <c r="EI204" s="47"/>
      <c r="EJ204" s="47"/>
      <c r="EK204" s="47"/>
      <c r="EL204" s="47"/>
      <c r="EM204" s="47"/>
      <c r="EN204" s="47"/>
      <c r="EO204" s="47"/>
      <c r="EP204" s="47"/>
      <c r="EQ204" s="47"/>
      <c r="ER204" s="47"/>
      <c r="ES204" s="47"/>
      <c r="ET204" s="47"/>
      <c r="EU204" s="47"/>
      <c r="EV204" s="47"/>
      <c r="EW204" s="47"/>
      <c r="EX204" s="47"/>
      <c r="EY204" s="47"/>
      <c r="EZ204" s="47"/>
      <c r="FA204" s="47"/>
      <c r="FB204" s="47"/>
      <c r="FC204" s="47"/>
      <c r="FD204" s="47"/>
      <c r="FE204" s="47"/>
      <c r="FF204" s="47"/>
      <c r="FG204" s="47"/>
      <c r="FH204" s="47"/>
      <c r="FI204" s="47"/>
      <c r="FJ204" s="49"/>
      <c r="FK204" s="47"/>
      <c r="FL204" s="47"/>
      <c r="FM204" s="47"/>
      <c r="FN204" s="47"/>
      <c r="FO204" s="47"/>
      <c r="FP204" s="47"/>
      <c r="FQ204" s="47"/>
      <c r="FR204" s="47"/>
      <c r="FS204" s="47"/>
      <c r="FT204" s="47"/>
      <c r="FU204" s="47"/>
      <c r="FV204" s="47"/>
      <c r="FW204" s="47"/>
      <c r="FX204" s="47"/>
      <c r="FY204" s="47"/>
      <c r="FZ204" s="47"/>
      <c r="GA204" s="47"/>
      <c r="GB204" s="47"/>
      <c r="GC204" s="47"/>
      <c r="GD204" s="47"/>
      <c r="GE204" s="47"/>
      <c r="GF204" s="47"/>
      <c r="GG204" s="47"/>
      <c r="GH204" s="47"/>
      <c r="GI204" s="47"/>
      <c r="GJ204" s="47"/>
      <c r="GK204" s="47"/>
      <c r="GL204" s="47"/>
      <c r="GM204" s="47"/>
      <c r="GN204" s="47"/>
      <c r="GO204" s="47"/>
      <c r="GP204" s="47"/>
      <c r="GQ204" s="47"/>
      <c r="GR204" s="47"/>
      <c r="GS204" s="47"/>
      <c r="GT204" s="47"/>
      <c r="GU204" s="47"/>
      <c r="GV204" s="47"/>
      <c r="GW204" s="47"/>
      <c r="GX204" s="47"/>
      <c r="GY204" s="47"/>
      <c r="GZ204" s="47"/>
      <c r="HA204" s="47"/>
      <c r="HB204" s="47"/>
      <c r="HC204" s="47"/>
      <c r="HD204" s="47"/>
      <c r="HE204" s="47"/>
      <c r="HF204" s="47"/>
      <c r="HI204" s="47"/>
      <c r="HJ204" s="47"/>
      <c r="HK204" s="47"/>
      <c r="HL204" s="47"/>
      <c r="HM204" s="47"/>
      <c r="HN204" s="47"/>
      <c r="HO204" s="47"/>
      <c r="HP204" s="47"/>
      <c r="HS204" s="47"/>
      <c r="HT204" s="47"/>
      <c r="HU204" s="47"/>
      <c r="HV204" s="47"/>
      <c r="HW204" s="47"/>
      <c r="HX204" s="47"/>
      <c r="HY204" s="47"/>
      <c r="HZ204" s="47"/>
      <c r="IC204" s="47"/>
      <c r="ID204" s="47"/>
      <c r="IE204" s="47"/>
      <c r="IF204" s="47"/>
      <c r="IG204" s="47"/>
      <c r="IH204" s="47"/>
      <c r="II204" s="47"/>
      <c r="IJ204" s="47"/>
      <c r="IM204" s="47"/>
      <c r="IN204" s="47"/>
      <c r="IO204" s="47"/>
      <c r="IP204" s="47"/>
      <c r="IQ204" s="47"/>
      <c r="IR204" s="47"/>
      <c r="IS204" s="47"/>
      <c r="IT204" s="47"/>
      <c r="IW204" s="47"/>
      <c r="IX204" s="47"/>
      <c r="IY204" s="47"/>
      <c r="IZ204" s="47"/>
      <c r="JA204" s="47"/>
      <c r="JB204" s="47"/>
      <c r="JC204" s="47"/>
      <c r="JD204" s="47"/>
      <c r="JG204" s="47"/>
      <c r="JH204" s="47"/>
      <c r="JI204" s="47"/>
      <c r="JJ204" s="47"/>
      <c r="JK204" s="47"/>
      <c r="JL204" s="47"/>
      <c r="JM204" s="47"/>
      <c r="JN204" s="47"/>
      <c r="JQ204" s="47"/>
      <c r="JR204" s="47"/>
      <c r="JS204" s="47"/>
      <c r="JT204" s="47"/>
      <c r="JU204" s="47"/>
      <c r="JV204" s="47"/>
      <c r="JW204" s="47"/>
      <c r="JX204" s="47"/>
      <c r="KA204" s="47"/>
      <c r="KB204" s="47"/>
      <c r="KC204" s="47"/>
      <c r="KD204" s="47"/>
      <c r="KE204" s="47"/>
      <c r="KF204" s="47"/>
      <c r="KG204" s="47"/>
      <c r="KH204" s="47"/>
      <c r="KK204" s="47"/>
      <c r="KL204" s="47"/>
      <c r="KM204" s="47"/>
      <c r="KN204" s="47"/>
      <c r="KO204" s="47"/>
      <c r="KP204" s="47"/>
      <c r="KQ204" s="47"/>
      <c r="KR204" s="47"/>
      <c r="KU204" s="47"/>
      <c r="KV204" s="47"/>
      <c r="KW204" s="47"/>
      <c r="KX204" s="47"/>
      <c r="KY204" s="47"/>
      <c r="KZ204" s="47"/>
      <c r="LA204" s="47"/>
      <c r="LB204" s="47"/>
    </row>
    <row r="205" spans="29:314" x14ac:dyDescent="0.25">
      <c r="AC205" s="47"/>
      <c r="AD205" s="47"/>
      <c r="AE205" s="47"/>
      <c r="AF205" s="47"/>
      <c r="AG205" s="49"/>
      <c r="AH205" s="47"/>
      <c r="AI205" s="47"/>
      <c r="AJ205" s="47"/>
      <c r="AK205" s="47"/>
      <c r="AL205" s="47"/>
      <c r="AM205" s="47"/>
      <c r="AN205" s="47"/>
      <c r="AO205" s="47"/>
      <c r="AP205" s="47"/>
      <c r="AQ205" s="47"/>
      <c r="AR205" s="47"/>
      <c r="AS205" s="47"/>
      <c r="AT205" s="47"/>
      <c r="AU205" s="47"/>
      <c r="AV205" s="47"/>
      <c r="AW205" s="47"/>
      <c r="AX205" s="47"/>
      <c r="AY205" s="47"/>
      <c r="AZ205" s="47"/>
      <c r="BA205" s="47"/>
      <c r="BB205" s="47"/>
      <c r="BC205" s="47"/>
      <c r="BD205" s="47"/>
      <c r="BE205" s="47"/>
      <c r="BF205" s="47"/>
      <c r="BG205" s="47"/>
      <c r="BH205" s="47"/>
      <c r="BI205" s="47"/>
      <c r="BJ205" s="47"/>
      <c r="BK205" s="47"/>
      <c r="BL205" s="47"/>
      <c r="BM205" s="47"/>
      <c r="BN205" s="49"/>
      <c r="BO205" s="47"/>
      <c r="BP205" s="47"/>
      <c r="BQ205" s="47"/>
      <c r="BR205" s="47"/>
      <c r="BS205" s="47"/>
      <c r="BT205" s="47"/>
      <c r="BU205" s="47"/>
      <c r="BV205" s="47"/>
      <c r="BW205" s="47"/>
      <c r="BX205" s="47"/>
      <c r="BY205" s="47"/>
      <c r="BZ205" s="47"/>
      <c r="CA205" s="47"/>
      <c r="CB205" s="47"/>
      <c r="CC205" s="47"/>
      <c r="CD205" s="47"/>
      <c r="CE205" s="47"/>
      <c r="CF205" s="47"/>
      <c r="CG205" s="49"/>
      <c r="CH205" s="47"/>
      <c r="CI205" s="47"/>
      <c r="CJ205" s="47"/>
      <c r="CK205" s="47"/>
      <c r="CL205" s="47"/>
      <c r="CM205" s="47"/>
      <c r="CN205" s="47"/>
      <c r="CO205" s="47"/>
      <c r="CP205" s="47"/>
      <c r="CQ205" s="47"/>
      <c r="CS205" s="47"/>
      <c r="CT205" s="47"/>
      <c r="CU205" s="47"/>
      <c r="CV205" s="47"/>
      <c r="CW205" s="47"/>
      <c r="CX205" s="47"/>
      <c r="CY205" s="47"/>
      <c r="CZ205" s="47"/>
      <c r="DA205" s="47"/>
      <c r="DB205" s="47"/>
      <c r="DC205" s="47"/>
      <c r="DD205" s="47"/>
      <c r="DE205" s="47"/>
      <c r="DF205" s="47"/>
      <c r="DG205" s="47"/>
      <c r="DH205" s="47"/>
      <c r="DI205" s="47"/>
      <c r="DJ205" s="47"/>
      <c r="DK205" s="47"/>
      <c r="DM205" s="47"/>
      <c r="DN205" s="47"/>
      <c r="DO205" s="47"/>
      <c r="DP205" s="47"/>
      <c r="DQ205" s="47"/>
      <c r="DR205" s="47"/>
      <c r="DS205" s="47"/>
      <c r="DT205" s="47"/>
      <c r="DU205" s="47"/>
      <c r="DV205" s="49"/>
      <c r="DW205" s="47"/>
      <c r="DX205" s="47"/>
      <c r="DY205" s="47"/>
      <c r="DZ205" s="47"/>
      <c r="EA205" s="47"/>
      <c r="EB205" s="47"/>
      <c r="EC205" s="47"/>
      <c r="ED205" s="47"/>
      <c r="EE205" s="47"/>
      <c r="EF205" s="47"/>
      <c r="EG205" s="47"/>
      <c r="EH205" s="47"/>
      <c r="EI205" s="47"/>
      <c r="EJ205" s="47"/>
      <c r="EK205" s="47"/>
      <c r="EL205" s="47"/>
      <c r="EM205" s="47"/>
      <c r="EN205" s="47"/>
      <c r="EO205" s="47"/>
      <c r="EP205" s="47"/>
      <c r="EQ205" s="47"/>
      <c r="ER205" s="47"/>
      <c r="ES205" s="47"/>
      <c r="ET205" s="47"/>
      <c r="EU205" s="47"/>
      <c r="EV205" s="47"/>
      <c r="EW205" s="47"/>
      <c r="EX205" s="47"/>
      <c r="EY205" s="47"/>
      <c r="EZ205" s="47"/>
      <c r="FA205" s="47"/>
      <c r="FB205" s="47"/>
      <c r="FC205" s="47"/>
      <c r="FD205" s="47"/>
      <c r="FE205" s="47"/>
      <c r="FF205" s="47"/>
      <c r="FG205" s="47"/>
      <c r="FH205" s="47"/>
      <c r="FI205" s="47"/>
      <c r="FJ205" s="49"/>
      <c r="FK205" s="47"/>
      <c r="FL205" s="47"/>
      <c r="FM205" s="47"/>
      <c r="FN205" s="47"/>
      <c r="FO205" s="47"/>
      <c r="FP205" s="47"/>
      <c r="FQ205" s="47"/>
      <c r="FR205" s="47"/>
      <c r="FS205" s="47"/>
      <c r="FT205" s="47"/>
      <c r="FU205" s="47"/>
      <c r="FV205" s="47"/>
      <c r="FW205" s="47"/>
      <c r="FX205" s="47"/>
      <c r="FY205" s="47"/>
      <c r="FZ205" s="47"/>
      <c r="GA205" s="47"/>
      <c r="GB205" s="47"/>
      <c r="GC205" s="47"/>
      <c r="GD205" s="47"/>
      <c r="GE205" s="47"/>
      <c r="GF205" s="47"/>
      <c r="GG205" s="47"/>
      <c r="GH205" s="47"/>
      <c r="GI205" s="47"/>
      <c r="GJ205" s="47"/>
      <c r="GK205" s="47"/>
      <c r="GL205" s="47"/>
      <c r="GM205" s="47"/>
      <c r="GN205" s="47"/>
      <c r="GO205" s="47"/>
      <c r="GP205" s="47"/>
      <c r="GQ205" s="47"/>
      <c r="GR205" s="47"/>
      <c r="GS205" s="47"/>
      <c r="GT205" s="47"/>
      <c r="GU205" s="47"/>
      <c r="GV205" s="47"/>
      <c r="GW205" s="47"/>
      <c r="GX205" s="47"/>
      <c r="GY205" s="47"/>
      <c r="GZ205" s="47"/>
      <c r="HA205" s="47"/>
      <c r="HB205" s="47"/>
      <c r="HC205" s="47"/>
      <c r="HD205" s="47"/>
      <c r="HE205" s="47"/>
      <c r="HF205" s="47"/>
      <c r="HI205" s="47"/>
      <c r="HJ205" s="47"/>
      <c r="HK205" s="47"/>
      <c r="HL205" s="47"/>
      <c r="HM205" s="47"/>
      <c r="HN205" s="47"/>
      <c r="HO205" s="47"/>
      <c r="HP205" s="47"/>
      <c r="HS205" s="47"/>
      <c r="HT205" s="47"/>
      <c r="HU205" s="47"/>
      <c r="HV205" s="47"/>
      <c r="HW205" s="47"/>
      <c r="HX205" s="47"/>
      <c r="HY205" s="47"/>
      <c r="HZ205" s="47"/>
      <c r="IC205" s="47"/>
      <c r="ID205" s="47"/>
      <c r="IE205" s="47"/>
      <c r="IF205" s="47"/>
      <c r="IG205" s="47"/>
      <c r="IH205" s="47"/>
      <c r="II205" s="47"/>
      <c r="IJ205" s="47"/>
      <c r="IM205" s="47"/>
      <c r="IN205" s="47"/>
      <c r="IO205" s="47"/>
      <c r="IP205" s="47"/>
      <c r="IQ205" s="47"/>
      <c r="IR205" s="47"/>
      <c r="IS205" s="47"/>
      <c r="IT205" s="47"/>
      <c r="IW205" s="47"/>
      <c r="IX205" s="47"/>
      <c r="IY205" s="47"/>
      <c r="IZ205" s="47"/>
      <c r="JA205" s="47"/>
      <c r="JB205" s="47"/>
      <c r="JC205" s="47"/>
      <c r="JD205" s="47"/>
      <c r="JG205" s="47"/>
      <c r="JH205" s="47"/>
      <c r="JI205" s="47"/>
      <c r="JJ205" s="47"/>
      <c r="JK205" s="47"/>
      <c r="JL205" s="47"/>
      <c r="JM205" s="47"/>
      <c r="JN205" s="47"/>
      <c r="JQ205" s="47"/>
      <c r="JR205" s="47"/>
      <c r="JS205" s="47"/>
      <c r="JT205" s="47"/>
      <c r="JU205" s="47"/>
      <c r="JV205" s="47"/>
      <c r="JW205" s="47"/>
      <c r="JX205" s="47"/>
      <c r="KA205" s="47"/>
      <c r="KB205" s="47"/>
      <c r="KC205" s="47"/>
      <c r="KD205" s="47"/>
      <c r="KE205" s="47"/>
      <c r="KF205" s="47"/>
      <c r="KG205" s="47"/>
      <c r="KH205" s="47"/>
      <c r="KK205" s="47"/>
      <c r="KL205" s="47"/>
      <c r="KM205" s="47"/>
      <c r="KN205" s="47"/>
      <c r="KO205" s="47"/>
      <c r="KP205" s="47"/>
      <c r="KQ205" s="47"/>
      <c r="KR205" s="47"/>
      <c r="KU205" s="47"/>
      <c r="KV205" s="47"/>
      <c r="KW205" s="47"/>
      <c r="KX205" s="47"/>
      <c r="KY205" s="47"/>
      <c r="KZ205" s="47"/>
      <c r="LA205" s="47"/>
      <c r="LB205" s="47"/>
    </row>
    <row r="206" spans="29:314" x14ac:dyDescent="0.25">
      <c r="AC206" s="47"/>
      <c r="AD206" s="47"/>
      <c r="AE206" s="47"/>
      <c r="AF206" s="47"/>
      <c r="AG206" s="49"/>
      <c r="AH206" s="47"/>
      <c r="AI206" s="47"/>
      <c r="AJ206" s="47"/>
      <c r="AK206" s="47"/>
      <c r="AL206" s="47"/>
      <c r="AM206" s="47"/>
      <c r="AN206" s="47"/>
      <c r="AO206" s="47"/>
      <c r="AP206" s="47"/>
      <c r="AQ206" s="47"/>
      <c r="AR206" s="47"/>
      <c r="AS206" s="47"/>
      <c r="AT206" s="47"/>
      <c r="AU206" s="47"/>
      <c r="AV206" s="47"/>
      <c r="AW206" s="47"/>
      <c r="AX206" s="47"/>
      <c r="AY206" s="47"/>
      <c r="AZ206" s="47"/>
      <c r="BA206" s="47"/>
      <c r="BB206" s="47"/>
      <c r="BC206" s="47"/>
      <c r="BD206" s="47"/>
      <c r="BE206" s="47"/>
      <c r="BF206" s="47"/>
      <c r="BG206" s="47"/>
      <c r="BH206" s="47"/>
      <c r="BI206" s="47"/>
      <c r="BJ206" s="47"/>
      <c r="BK206" s="47"/>
      <c r="BL206" s="47"/>
      <c r="BM206" s="47"/>
      <c r="BN206" s="49"/>
      <c r="BO206" s="47"/>
      <c r="BP206" s="47"/>
      <c r="BQ206" s="47"/>
      <c r="BR206" s="47"/>
      <c r="BS206" s="47"/>
      <c r="BT206" s="47"/>
      <c r="BU206" s="47"/>
      <c r="BV206" s="47"/>
      <c r="BW206" s="47"/>
      <c r="BX206" s="47"/>
      <c r="BY206" s="47"/>
      <c r="BZ206" s="47"/>
      <c r="CA206" s="47"/>
      <c r="CB206" s="47"/>
      <c r="CC206" s="47"/>
      <c r="CD206" s="47"/>
      <c r="CE206" s="47"/>
      <c r="CF206" s="47"/>
      <c r="CG206" s="49"/>
      <c r="CH206" s="47"/>
      <c r="CI206" s="47"/>
      <c r="CJ206" s="47"/>
      <c r="CK206" s="47"/>
      <c r="CL206" s="47"/>
      <c r="CM206" s="47"/>
      <c r="CN206" s="47"/>
      <c r="CO206" s="47"/>
      <c r="CP206" s="47"/>
      <c r="CQ206" s="47"/>
      <c r="CS206" s="47"/>
      <c r="CT206" s="47"/>
      <c r="CU206" s="47"/>
      <c r="CV206" s="47"/>
      <c r="CW206" s="47"/>
      <c r="CX206" s="47"/>
      <c r="CY206" s="47"/>
      <c r="CZ206" s="47"/>
      <c r="DA206" s="47"/>
      <c r="DB206" s="47"/>
      <c r="DC206" s="47"/>
      <c r="DD206" s="47"/>
      <c r="DE206" s="47"/>
      <c r="DF206" s="47"/>
      <c r="DG206" s="47"/>
      <c r="DH206" s="47"/>
      <c r="DI206" s="47"/>
      <c r="DJ206" s="47"/>
      <c r="DK206" s="47"/>
      <c r="DM206" s="47"/>
      <c r="DN206" s="47"/>
      <c r="DO206" s="47"/>
      <c r="DP206" s="47"/>
      <c r="DQ206" s="47"/>
      <c r="DR206" s="47"/>
      <c r="DS206" s="47"/>
      <c r="DT206" s="47"/>
      <c r="DU206" s="47"/>
      <c r="DV206" s="49"/>
      <c r="DW206" s="47"/>
      <c r="DX206" s="47"/>
      <c r="DY206" s="47"/>
      <c r="DZ206" s="47"/>
      <c r="EA206" s="47"/>
      <c r="EB206" s="47"/>
      <c r="EC206" s="47"/>
      <c r="ED206" s="47"/>
      <c r="EE206" s="47"/>
      <c r="EF206" s="47"/>
      <c r="EG206" s="47"/>
      <c r="EH206" s="47"/>
      <c r="EI206" s="47"/>
      <c r="EJ206" s="47"/>
      <c r="EK206" s="47"/>
      <c r="EL206" s="47"/>
      <c r="EM206" s="47"/>
      <c r="EN206" s="47"/>
      <c r="EO206" s="47"/>
      <c r="EP206" s="47"/>
      <c r="EQ206" s="47"/>
      <c r="ER206" s="47"/>
      <c r="ES206" s="47"/>
      <c r="ET206" s="47"/>
      <c r="EU206" s="47"/>
      <c r="EV206" s="47"/>
      <c r="EW206" s="47"/>
      <c r="EX206" s="47"/>
      <c r="EY206" s="47"/>
      <c r="EZ206" s="47"/>
      <c r="FA206" s="47"/>
      <c r="FB206" s="47"/>
      <c r="FC206" s="47"/>
      <c r="FD206" s="47"/>
      <c r="FE206" s="47"/>
      <c r="FF206" s="47"/>
      <c r="FG206" s="47"/>
      <c r="FH206" s="47"/>
      <c r="FI206" s="47"/>
      <c r="FJ206" s="49"/>
      <c r="FK206" s="47"/>
      <c r="FL206" s="47"/>
      <c r="FM206" s="47"/>
      <c r="FN206" s="47"/>
      <c r="FO206" s="47"/>
      <c r="FP206" s="47"/>
      <c r="FQ206" s="47"/>
      <c r="FR206" s="47"/>
      <c r="FS206" s="47"/>
      <c r="FT206" s="47"/>
      <c r="FU206" s="47"/>
      <c r="FV206" s="47"/>
      <c r="FW206" s="47"/>
      <c r="FX206" s="47"/>
      <c r="FY206" s="47"/>
      <c r="FZ206" s="47"/>
      <c r="GA206" s="47"/>
      <c r="GB206" s="47"/>
      <c r="GC206" s="47"/>
      <c r="GD206" s="47"/>
      <c r="GE206" s="47"/>
      <c r="GF206" s="47"/>
      <c r="GG206" s="47"/>
      <c r="GH206" s="47"/>
      <c r="GI206" s="47"/>
      <c r="GJ206" s="47"/>
      <c r="GK206" s="47"/>
      <c r="GL206" s="47"/>
      <c r="GM206" s="47"/>
      <c r="GN206" s="47"/>
      <c r="GO206" s="47"/>
      <c r="GP206" s="47"/>
      <c r="GQ206" s="47"/>
      <c r="GR206" s="47"/>
      <c r="GS206" s="47"/>
      <c r="GT206" s="47"/>
      <c r="GU206" s="47"/>
      <c r="GV206" s="47"/>
      <c r="GW206" s="47"/>
      <c r="GX206" s="47"/>
      <c r="GY206" s="47"/>
      <c r="GZ206" s="47"/>
      <c r="HA206" s="47"/>
      <c r="HB206" s="47"/>
      <c r="HC206" s="47"/>
      <c r="HD206" s="47"/>
      <c r="HE206" s="47"/>
      <c r="HF206" s="47"/>
      <c r="HI206" s="47"/>
      <c r="HJ206" s="47"/>
      <c r="HK206" s="47"/>
      <c r="HL206" s="47"/>
      <c r="HM206" s="47"/>
      <c r="HN206" s="47"/>
      <c r="HO206" s="47"/>
      <c r="HP206" s="47"/>
      <c r="HS206" s="47"/>
      <c r="HT206" s="47"/>
      <c r="HU206" s="47"/>
      <c r="HV206" s="47"/>
      <c r="HW206" s="47"/>
      <c r="HX206" s="47"/>
      <c r="HY206" s="47"/>
      <c r="HZ206" s="47"/>
      <c r="IC206" s="47"/>
      <c r="ID206" s="47"/>
      <c r="IE206" s="47"/>
      <c r="IF206" s="47"/>
      <c r="IG206" s="47"/>
      <c r="IH206" s="47"/>
      <c r="II206" s="47"/>
      <c r="IJ206" s="47"/>
      <c r="IM206" s="47"/>
      <c r="IN206" s="47"/>
      <c r="IO206" s="47"/>
      <c r="IP206" s="47"/>
      <c r="IQ206" s="47"/>
      <c r="IR206" s="47"/>
      <c r="IS206" s="47"/>
      <c r="IT206" s="47"/>
      <c r="IW206" s="47"/>
      <c r="IX206" s="47"/>
      <c r="IY206" s="47"/>
      <c r="IZ206" s="47"/>
      <c r="JA206" s="47"/>
      <c r="JB206" s="47"/>
      <c r="JC206" s="47"/>
      <c r="JD206" s="47"/>
      <c r="JG206" s="47"/>
      <c r="JH206" s="47"/>
      <c r="JI206" s="47"/>
      <c r="JJ206" s="47"/>
      <c r="JK206" s="47"/>
      <c r="JL206" s="47"/>
      <c r="JM206" s="47"/>
      <c r="JN206" s="47"/>
      <c r="JQ206" s="47"/>
      <c r="JR206" s="47"/>
      <c r="JS206" s="47"/>
      <c r="JT206" s="47"/>
      <c r="JU206" s="47"/>
      <c r="JV206" s="47"/>
      <c r="JW206" s="47"/>
      <c r="JX206" s="47"/>
      <c r="KA206" s="47"/>
      <c r="KB206" s="47"/>
      <c r="KC206" s="47"/>
      <c r="KD206" s="47"/>
      <c r="KE206" s="47"/>
      <c r="KF206" s="47"/>
      <c r="KG206" s="47"/>
      <c r="KH206" s="47"/>
      <c r="KK206" s="47"/>
      <c r="KL206" s="47"/>
      <c r="KM206" s="47"/>
      <c r="KN206" s="47"/>
      <c r="KO206" s="47"/>
      <c r="KP206" s="47"/>
      <c r="KQ206" s="47"/>
      <c r="KR206" s="47"/>
      <c r="KU206" s="47"/>
      <c r="KV206" s="47"/>
      <c r="KW206" s="47"/>
      <c r="KX206" s="47"/>
      <c r="KY206" s="47"/>
      <c r="KZ206" s="47"/>
      <c r="LA206" s="47"/>
      <c r="LB206" s="47"/>
    </row>
    <row r="207" spans="29:314" x14ac:dyDescent="0.25">
      <c r="AC207" s="47"/>
      <c r="AD207" s="47"/>
      <c r="AE207" s="47"/>
      <c r="AF207" s="47"/>
      <c r="AG207" s="49"/>
      <c r="AH207" s="47"/>
      <c r="AI207" s="47"/>
      <c r="AJ207" s="47"/>
      <c r="AK207" s="47"/>
      <c r="AL207" s="47"/>
      <c r="AM207" s="47"/>
      <c r="AN207" s="47"/>
      <c r="AO207" s="47"/>
      <c r="AP207" s="47"/>
      <c r="AQ207" s="47"/>
      <c r="AR207" s="47"/>
      <c r="AS207" s="47"/>
      <c r="AT207" s="47"/>
      <c r="AU207" s="47"/>
      <c r="AV207" s="47"/>
      <c r="AW207" s="47"/>
      <c r="AX207" s="47"/>
      <c r="AY207" s="47"/>
      <c r="AZ207" s="47"/>
      <c r="BA207" s="47"/>
      <c r="BB207" s="47"/>
      <c r="BC207" s="47"/>
      <c r="BD207" s="47"/>
      <c r="BE207" s="47"/>
      <c r="BF207" s="47"/>
      <c r="BG207" s="47"/>
      <c r="BH207" s="47"/>
      <c r="BI207" s="47"/>
      <c r="BJ207" s="47"/>
      <c r="BK207" s="47"/>
      <c r="BL207" s="47"/>
      <c r="BM207" s="47"/>
      <c r="BN207" s="49"/>
      <c r="BO207" s="47"/>
      <c r="BP207" s="47"/>
      <c r="BQ207" s="47"/>
      <c r="BR207" s="47"/>
      <c r="BS207" s="47"/>
      <c r="BT207" s="47"/>
      <c r="BU207" s="47"/>
      <c r="BV207" s="47"/>
      <c r="BW207" s="47"/>
      <c r="BX207" s="47"/>
      <c r="BY207" s="47"/>
      <c r="BZ207" s="47"/>
      <c r="CA207" s="47"/>
      <c r="CB207" s="47"/>
      <c r="CC207" s="47"/>
      <c r="CD207" s="47"/>
      <c r="CE207" s="47"/>
      <c r="CF207" s="47"/>
      <c r="CG207" s="49"/>
      <c r="CH207" s="47"/>
      <c r="CI207" s="47"/>
      <c r="CJ207" s="47"/>
      <c r="CK207" s="47"/>
      <c r="CL207" s="47"/>
      <c r="CM207" s="47"/>
      <c r="CN207" s="47"/>
      <c r="CO207" s="47"/>
      <c r="CP207" s="47"/>
      <c r="CQ207" s="47"/>
      <c r="CS207" s="47"/>
      <c r="CT207" s="47"/>
      <c r="CU207" s="47"/>
      <c r="CV207" s="47"/>
      <c r="CW207" s="47"/>
      <c r="CX207" s="47"/>
      <c r="CY207" s="47"/>
      <c r="CZ207" s="47"/>
      <c r="DA207" s="47"/>
      <c r="DB207" s="47"/>
      <c r="DC207" s="47"/>
      <c r="DD207" s="47"/>
      <c r="DE207" s="47"/>
      <c r="DF207" s="47"/>
      <c r="DG207" s="47"/>
      <c r="DH207" s="47"/>
      <c r="DI207" s="47"/>
      <c r="DJ207" s="47"/>
      <c r="DK207" s="47"/>
      <c r="DM207" s="47"/>
      <c r="DN207" s="47"/>
      <c r="DO207" s="47"/>
      <c r="DP207" s="47"/>
      <c r="DQ207" s="47"/>
      <c r="DR207" s="47"/>
      <c r="DS207" s="47"/>
      <c r="DT207" s="47"/>
      <c r="DU207" s="47"/>
      <c r="DV207" s="49"/>
      <c r="DW207" s="47"/>
      <c r="DX207" s="47"/>
      <c r="DY207" s="47"/>
      <c r="DZ207" s="47"/>
      <c r="EA207" s="47"/>
      <c r="EB207" s="47"/>
      <c r="EC207" s="47"/>
      <c r="ED207" s="47"/>
      <c r="EE207" s="47"/>
      <c r="EF207" s="47"/>
      <c r="EG207" s="47"/>
      <c r="EH207" s="47"/>
      <c r="EI207" s="47"/>
      <c r="EJ207" s="47"/>
      <c r="EK207" s="47"/>
      <c r="EL207" s="47"/>
      <c r="EM207" s="47"/>
      <c r="EN207" s="47"/>
      <c r="EO207" s="47"/>
      <c r="EP207" s="47"/>
      <c r="EQ207" s="47"/>
      <c r="ER207" s="47"/>
      <c r="ES207" s="47"/>
      <c r="ET207" s="47"/>
      <c r="EU207" s="47"/>
      <c r="EV207" s="47"/>
      <c r="EW207" s="47"/>
      <c r="EX207" s="47"/>
      <c r="EY207" s="47"/>
      <c r="EZ207" s="47"/>
      <c r="FA207" s="47"/>
      <c r="FB207" s="47"/>
      <c r="FC207" s="47"/>
      <c r="FD207" s="47"/>
      <c r="FE207" s="47"/>
      <c r="FF207" s="47"/>
      <c r="FG207" s="47"/>
      <c r="FH207" s="47"/>
      <c r="FI207" s="47"/>
      <c r="FJ207" s="49"/>
      <c r="FK207" s="47"/>
      <c r="FL207" s="47"/>
      <c r="FM207" s="47"/>
      <c r="FN207" s="47"/>
      <c r="FO207" s="47"/>
      <c r="FP207" s="47"/>
      <c r="FQ207" s="47"/>
      <c r="FR207" s="47"/>
      <c r="FS207" s="47"/>
      <c r="FT207" s="47"/>
      <c r="FU207" s="47"/>
      <c r="FV207" s="47"/>
      <c r="FW207" s="47"/>
      <c r="FX207" s="47"/>
      <c r="FY207" s="47"/>
      <c r="FZ207" s="47"/>
      <c r="GA207" s="47"/>
      <c r="GB207" s="47"/>
      <c r="GC207" s="47"/>
      <c r="GD207" s="47"/>
      <c r="GE207" s="47"/>
      <c r="GF207" s="47"/>
      <c r="GG207" s="47"/>
      <c r="GH207" s="47"/>
      <c r="GI207" s="47"/>
      <c r="GJ207" s="47"/>
      <c r="GK207" s="47"/>
      <c r="GL207" s="47"/>
      <c r="GM207" s="47"/>
      <c r="GN207" s="47"/>
      <c r="GO207" s="47"/>
      <c r="GP207" s="47"/>
      <c r="GQ207" s="47"/>
      <c r="GR207" s="47"/>
      <c r="GS207" s="47"/>
      <c r="GT207" s="47"/>
      <c r="GU207" s="47"/>
      <c r="GV207" s="47"/>
      <c r="GW207" s="47"/>
      <c r="GX207" s="47"/>
      <c r="GY207" s="47"/>
      <c r="GZ207" s="47"/>
      <c r="HA207" s="47"/>
      <c r="HB207" s="47"/>
      <c r="HC207" s="47"/>
      <c r="HD207" s="47"/>
      <c r="HE207" s="47"/>
      <c r="HF207" s="47"/>
      <c r="HI207" s="47"/>
      <c r="HJ207" s="47"/>
      <c r="HK207" s="47"/>
      <c r="HL207" s="47"/>
      <c r="HM207" s="47"/>
      <c r="HN207" s="47"/>
      <c r="HO207" s="47"/>
      <c r="HP207" s="47"/>
      <c r="HS207" s="47"/>
      <c r="HT207" s="47"/>
      <c r="HU207" s="47"/>
      <c r="HV207" s="47"/>
      <c r="HW207" s="47"/>
      <c r="HX207" s="47"/>
      <c r="HY207" s="47"/>
      <c r="HZ207" s="47"/>
      <c r="IC207" s="47"/>
      <c r="ID207" s="47"/>
      <c r="IE207" s="47"/>
      <c r="IF207" s="47"/>
      <c r="IG207" s="47"/>
      <c r="IH207" s="47"/>
      <c r="II207" s="47"/>
      <c r="IJ207" s="47"/>
      <c r="IM207" s="47"/>
      <c r="IN207" s="47"/>
      <c r="IO207" s="47"/>
      <c r="IP207" s="47"/>
      <c r="IQ207" s="47"/>
      <c r="IR207" s="47"/>
      <c r="IS207" s="47"/>
      <c r="IT207" s="47"/>
      <c r="IW207" s="47"/>
      <c r="IX207" s="47"/>
      <c r="IY207" s="47"/>
      <c r="IZ207" s="47"/>
      <c r="JA207" s="47"/>
      <c r="JB207" s="47"/>
      <c r="JC207" s="47"/>
      <c r="JD207" s="47"/>
      <c r="JG207" s="47"/>
      <c r="JH207" s="47"/>
      <c r="JI207" s="47"/>
      <c r="JJ207" s="47"/>
      <c r="JK207" s="47"/>
      <c r="JL207" s="47"/>
      <c r="JM207" s="47"/>
      <c r="JN207" s="47"/>
      <c r="JQ207" s="47"/>
      <c r="JR207" s="47"/>
      <c r="JS207" s="47"/>
      <c r="JT207" s="47"/>
      <c r="JU207" s="47"/>
      <c r="JV207" s="47"/>
      <c r="JW207" s="47"/>
      <c r="JX207" s="47"/>
      <c r="KA207" s="47"/>
      <c r="KB207" s="47"/>
      <c r="KC207" s="47"/>
      <c r="KD207" s="47"/>
      <c r="KE207" s="47"/>
      <c r="KF207" s="47"/>
      <c r="KG207" s="47"/>
      <c r="KH207" s="47"/>
      <c r="KK207" s="47"/>
      <c r="KL207" s="47"/>
      <c r="KM207" s="47"/>
      <c r="KN207" s="47"/>
      <c r="KO207" s="47"/>
      <c r="KP207" s="47"/>
      <c r="KQ207" s="47"/>
      <c r="KR207" s="47"/>
      <c r="KU207" s="47"/>
      <c r="KV207" s="47"/>
      <c r="KW207" s="47"/>
      <c r="KX207" s="47"/>
      <c r="KY207" s="47"/>
      <c r="KZ207" s="47"/>
      <c r="LA207" s="47"/>
      <c r="LB207" s="47"/>
    </row>
    <row r="208" spans="29:314" x14ac:dyDescent="0.25">
      <c r="AC208" s="47"/>
      <c r="AD208" s="47"/>
      <c r="AE208" s="47"/>
      <c r="AF208" s="47"/>
      <c r="AG208" s="49"/>
      <c r="AH208" s="47"/>
      <c r="AI208" s="47"/>
      <c r="AJ208" s="47"/>
      <c r="AK208" s="47"/>
      <c r="AL208" s="47"/>
      <c r="AM208" s="47"/>
      <c r="AN208" s="47"/>
      <c r="AO208" s="47"/>
      <c r="AP208" s="47"/>
      <c r="AQ208" s="47"/>
      <c r="AR208" s="47"/>
      <c r="AS208" s="47"/>
      <c r="AT208" s="47"/>
      <c r="AU208" s="47"/>
      <c r="AV208" s="47"/>
      <c r="AW208" s="47"/>
      <c r="AX208" s="47"/>
      <c r="AY208" s="47"/>
      <c r="AZ208" s="47"/>
      <c r="BA208" s="47"/>
      <c r="BB208" s="47"/>
      <c r="BC208" s="47"/>
      <c r="BD208" s="47"/>
      <c r="BE208" s="47"/>
      <c r="BF208" s="47"/>
      <c r="BG208" s="47"/>
      <c r="BH208" s="47"/>
      <c r="BI208" s="47"/>
      <c r="BJ208" s="47"/>
      <c r="BK208" s="47"/>
      <c r="BL208" s="47"/>
      <c r="BM208" s="47"/>
      <c r="BN208" s="49"/>
      <c r="BO208" s="47"/>
      <c r="BP208" s="47"/>
      <c r="BQ208" s="47"/>
      <c r="BR208" s="47"/>
      <c r="BS208" s="47"/>
      <c r="BT208" s="47"/>
      <c r="BU208" s="47"/>
      <c r="BV208" s="47"/>
      <c r="BW208" s="47"/>
      <c r="BX208" s="47"/>
      <c r="BY208" s="47"/>
      <c r="BZ208" s="47"/>
      <c r="CA208" s="47"/>
      <c r="CB208" s="47"/>
      <c r="CC208" s="47"/>
      <c r="CD208" s="47"/>
      <c r="CE208" s="47"/>
      <c r="CF208" s="47"/>
      <c r="CG208" s="49"/>
      <c r="CH208" s="47"/>
      <c r="CI208" s="47"/>
      <c r="CJ208" s="47"/>
      <c r="CK208" s="47"/>
      <c r="CL208" s="47"/>
      <c r="CM208" s="47"/>
      <c r="CN208" s="47"/>
      <c r="CO208" s="47"/>
      <c r="CP208" s="47"/>
      <c r="CQ208" s="47"/>
      <c r="CS208" s="47"/>
      <c r="CT208" s="47"/>
      <c r="CU208" s="47"/>
      <c r="CV208" s="47"/>
      <c r="CW208" s="47"/>
      <c r="CX208" s="47"/>
      <c r="CY208" s="47"/>
      <c r="CZ208" s="47"/>
      <c r="DA208" s="47"/>
      <c r="DB208" s="47"/>
      <c r="DC208" s="47"/>
      <c r="DD208" s="47"/>
      <c r="DE208" s="47"/>
      <c r="DF208" s="47"/>
      <c r="DG208" s="47"/>
      <c r="DH208" s="47"/>
      <c r="DI208" s="47"/>
      <c r="DJ208" s="47"/>
      <c r="DK208" s="47"/>
      <c r="DM208" s="47"/>
      <c r="DN208" s="47"/>
      <c r="DO208" s="47"/>
      <c r="DP208" s="47"/>
      <c r="DQ208" s="47"/>
      <c r="DR208" s="47"/>
      <c r="DS208" s="47"/>
      <c r="DT208" s="47"/>
      <c r="DU208" s="47"/>
      <c r="DV208" s="49"/>
      <c r="DW208" s="47"/>
      <c r="DX208" s="47"/>
      <c r="DY208" s="47"/>
      <c r="DZ208" s="47"/>
      <c r="EA208" s="47"/>
      <c r="EB208" s="47"/>
      <c r="EC208" s="47"/>
      <c r="ED208" s="47"/>
      <c r="EE208" s="47"/>
      <c r="EF208" s="47"/>
      <c r="EG208" s="47"/>
      <c r="EH208" s="47"/>
      <c r="EI208" s="47"/>
      <c r="EJ208" s="47"/>
      <c r="EK208" s="47"/>
      <c r="EL208" s="47"/>
      <c r="EM208" s="47"/>
      <c r="EN208" s="47"/>
      <c r="EO208" s="47"/>
      <c r="EP208" s="47"/>
      <c r="EQ208" s="47"/>
      <c r="ER208" s="47"/>
      <c r="ES208" s="47"/>
      <c r="ET208" s="47"/>
      <c r="EU208" s="47"/>
      <c r="EV208" s="47"/>
      <c r="EW208" s="47"/>
      <c r="EX208" s="47"/>
      <c r="EY208" s="47"/>
      <c r="EZ208" s="47"/>
      <c r="FA208" s="47"/>
      <c r="FB208" s="47"/>
      <c r="FC208" s="47"/>
      <c r="FD208" s="47"/>
      <c r="FE208" s="47"/>
      <c r="FF208" s="47"/>
      <c r="FG208" s="47"/>
      <c r="FH208" s="47"/>
      <c r="FI208" s="47"/>
      <c r="FJ208" s="49"/>
      <c r="FK208" s="47"/>
      <c r="FL208" s="47"/>
      <c r="FM208" s="47"/>
      <c r="FN208" s="47"/>
      <c r="FO208" s="47"/>
      <c r="FP208" s="47"/>
      <c r="FQ208" s="47"/>
      <c r="FR208" s="47"/>
      <c r="FS208" s="47"/>
      <c r="FT208" s="47"/>
      <c r="FU208" s="47"/>
      <c r="FV208" s="47"/>
      <c r="FW208" s="47"/>
      <c r="FX208" s="47"/>
      <c r="FY208" s="47"/>
      <c r="FZ208" s="47"/>
      <c r="GA208" s="47"/>
      <c r="GB208" s="47"/>
      <c r="GC208" s="47"/>
      <c r="GD208" s="47"/>
      <c r="GE208" s="47"/>
      <c r="GF208" s="47"/>
      <c r="GG208" s="47"/>
      <c r="GH208" s="47"/>
      <c r="GI208" s="47"/>
      <c r="GJ208" s="47"/>
      <c r="GK208" s="47"/>
      <c r="GL208" s="47"/>
      <c r="GM208" s="47"/>
      <c r="GN208" s="47"/>
      <c r="GO208" s="47"/>
      <c r="GP208" s="47"/>
      <c r="GQ208" s="47"/>
      <c r="GR208" s="47"/>
      <c r="GS208" s="47"/>
      <c r="GT208" s="47"/>
      <c r="GU208" s="47"/>
      <c r="GV208" s="47"/>
      <c r="GW208" s="47"/>
      <c r="GX208" s="47"/>
      <c r="GY208" s="47"/>
      <c r="GZ208" s="47"/>
      <c r="HA208" s="47"/>
      <c r="HB208" s="47"/>
      <c r="HC208" s="47"/>
      <c r="HD208" s="47"/>
      <c r="HE208" s="47"/>
      <c r="HF208" s="47"/>
      <c r="HI208" s="47"/>
      <c r="HJ208" s="47"/>
      <c r="HK208" s="47"/>
      <c r="HL208" s="47"/>
      <c r="HM208" s="47"/>
      <c r="HN208" s="47"/>
      <c r="HO208" s="47"/>
      <c r="HP208" s="47"/>
      <c r="HS208" s="47"/>
      <c r="HT208" s="47"/>
      <c r="HU208" s="47"/>
      <c r="HV208" s="47"/>
      <c r="HW208" s="47"/>
      <c r="HX208" s="47"/>
      <c r="HY208" s="47"/>
      <c r="HZ208" s="47"/>
      <c r="IC208" s="47"/>
      <c r="ID208" s="47"/>
      <c r="IE208" s="47"/>
      <c r="IF208" s="47"/>
      <c r="IG208" s="47"/>
      <c r="IH208" s="47"/>
      <c r="II208" s="47"/>
      <c r="IJ208" s="47"/>
      <c r="IM208" s="47"/>
      <c r="IN208" s="47"/>
      <c r="IO208" s="47"/>
      <c r="IP208" s="47"/>
      <c r="IQ208" s="47"/>
      <c r="IR208" s="47"/>
      <c r="IS208" s="47"/>
      <c r="IT208" s="47"/>
      <c r="IW208" s="47"/>
      <c r="IX208" s="47"/>
      <c r="IY208" s="47"/>
      <c r="IZ208" s="47"/>
      <c r="JA208" s="47"/>
      <c r="JB208" s="47"/>
      <c r="JC208" s="47"/>
      <c r="JD208" s="47"/>
      <c r="JG208" s="47"/>
      <c r="JH208" s="47"/>
      <c r="JI208" s="47"/>
      <c r="JJ208" s="47"/>
      <c r="JK208" s="47"/>
      <c r="JL208" s="47"/>
      <c r="JM208" s="47"/>
      <c r="JN208" s="47"/>
      <c r="JQ208" s="47"/>
      <c r="JR208" s="47"/>
      <c r="JS208" s="47"/>
      <c r="JT208" s="47"/>
      <c r="JU208" s="47"/>
      <c r="JV208" s="47"/>
      <c r="JW208" s="47"/>
      <c r="JX208" s="47"/>
      <c r="KA208" s="47"/>
      <c r="KB208" s="47"/>
      <c r="KC208" s="47"/>
      <c r="KD208" s="47"/>
      <c r="KE208" s="47"/>
      <c r="KF208" s="47"/>
      <c r="KG208" s="47"/>
      <c r="KH208" s="47"/>
      <c r="KK208" s="47"/>
      <c r="KL208" s="47"/>
      <c r="KM208" s="47"/>
      <c r="KN208" s="47"/>
      <c r="KO208" s="47"/>
      <c r="KP208" s="47"/>
      <c r="KQ208" s="47"/>
      <c r="KR208" s="47"/>
      <c r="KU208" s="47"/>
      <c r="KV208" s="47"/>
      <c r="KW208" s="47"/>
      <c r="KX208" s="47"/>
      <c r="KY208" s="47"/>
      <c r="KZ208" s="47"/>
      <c r="LA208" s="47"/>
      <c r="LB208" s="47"/>
    </row>
    <row r="209" spans="29:314" x14ac:dyDescent="0.25">
      <c r="AC209" s="47"/>
      <c r="AD209" s="47"/>
      <c r="AE209" s="47"/>
      <c r="AF209" s="47"/>
      <c r="AG209" s="49"/>
      <c r="AH209" s="47"/>
      <c r="AI209" s="47"/>
      <c r="AJ209" s="47"/>
      <c r="AK209" s="47"/>
      <c r="AL209" s="47"/>
      <c r="AM209" s="47"/>
      <c r="AN209" s="47"/>
      <c r="AO209" s="47"/>
      <c r="AP209" s="47"/>
      <c r="AQ209" s="47"/>
      <c r="AR209" s="47"/>
      <c r="AS209" s="47"/>
      <c r="AT209" s="47"/>
      <c r="AU209" s="47"/>
      <c r="AV209" s="47"/>
      <c r="AW209" s="47"/>
      <c r="AX209" s="47"/>
      <c r="AY209" s="47"/>
      <c r="AZ209" s="47"/>
      <c r="BA209" s="47"/>
      <c r="BB209" s="47"/>
      <c r="BC209" s="47"/>
      <c r="BD209" s="47"/>
      <c r="BE209" s="47"/>
      <c r="BF209" s="47"/>
      <c r="BG209" s="47"/>
      <c r="BH209" s="47"/>
      <c r="BI209" s="47"/>
      <c r="BJ209" s="47"/>
      <c r="BK209" s="47"/>
      <c r="BL209" s="47"/>
      <c r="BM209" s="47"/>
      <c r="BN209" s="49"/>
      <c r="BO209" s="47"/>
      <c r="BP209" s="47"/>
      <c r="BQ209" s="47"/>
      <c r="BR209" s="47"/>
      <c r="BS209" s="47"/>
      <c r="BT209" s="47"/>
      <c r="BU209" s="47"/>
      <c r="BV209" s="47"/>
      <c r="BW209" s="47"/>
      <c r="BX209" s="47"/>
      <c r="BY209" s="47"/>
      <c r="BZ209" s="47"/>
      <c r="CA209" s="47"/>
      <c r="CB209" s="47"/>
      <c r="CC209" s="47"/>
      <c r="CD209" s="47"/>
      <c r="CE209" s="47"/>
      <c r="CF209" s="47"/>
      <c r="CG209" s="49"/>
      <c r="CH209" s="47"/>
      <c r="CI209" s="47"/>
      <c r="CJ209" s="47"/>
      <c r="CK209" s="47"/>
      <c r="CL209" s="47"/>
      <c r="CM209" s="47"/>
      <c r="CN209" s="47"/>
      <c r="CO209" s="47"/>
      <c r="CP209" s="47"/>
      <c r="CQ209" s="47"/>
      <c r="CS209" s="47"/>
      <c r="CT209" s="47"/>
      <c r="CU209" s="47"/>
      <c r="CV209" s="47"/>
      <c r="CW209" s="47"/>
      <c r="CX209" s="47"/>
      <c r="CY209" s="47"/>
      <c r="CZ209" s="47"/>
      <c r="DA209" s="47"/>
      <c r="DB209" s="47"/>
      <c r="DC209" s="47"/>
      <c r="DD209" s="47"/>
      <c r="DE209" s="47"/>
      <c r="DF209" s="47"/>
      <c r="DG209" s="47"/>
      <c r="DH209" s="47"/>
      <c r="DI209" s="47"/>
      <c r="DJ209" s="47"/>
      <c r="DK209" s="47"/>
      <c r="DM209" s="47"/>
      <c r="DN209" s="47"/>
      <c r="DO209" s="47"/>
      <c r="DP209" s="47"/>
      <c r="DQ209" s="47"/>
      <c r="DR209" s="47"/>
      <c r="DS209" s="47"/>
      <c r="DT209" s="47"/>
      <c r="DU209" s="47"/>
      <c r="DV209" s="49"/>
      <c r="DW209" s="47"/>
      <c r="DX209" s="47"/>
      <c r="DY209" s="47"/>
      <c r="DZ209" s="47"/>
      <c r="EA209" s="47"/>
      <c r="EB209" s="47"/>
      <c r="EC209" s="47"/>
      <c r="ED209" s="47"/>
      <c r="EE209" s="47"/>
      <c r="EF209" s="47"/>
      <c r="EG209" s="47"/>
      <c r="EH209" s="47"/>
      <c r="EI209" s="47"/>
      <c r="EJ209" s="47"/>
      <c r="EK209" s="47"/>
      <c r="EL209" s="47"/>
      <c r="EM209" s="47"/>
      <c r="EN209" s="47"/>
      <c r="EO209" s="47"/>
      <c r="EP209" s="47"/>
      <c r="EQ209" s="47"/>
      <c r="ER209" s="47"/>
      <c r="ES209" s="47"/>
      <c r="ET209" s="47"/>
      <c r="EU209" s="47"/>
      <c r="EV209" s="47"/>
      <c r="EW209" s="47"/>
      <c r="EX209" s="47"/>
      <c r="EY209" s="47"/>
      <c r="EZ209" s="47"/>
      <c r="FA209" s="47"/>
      <c r="FB209" s="47"/>
      <c r="FC209" s="47"/>
      <c r="FD209" s="47"/>
      <c r="FE209" s="47"/>
      <c r="FF209" s="47"/>
      <c r="FG209" s="47"/>
      <c r="FH209" s="47"/>
      <c r="FI209" s="47"/>
      <c r="FJ209" s="49"/>
      <c r="FK209" s="47"/>
      <c r="FL209" s="47"/>
      <c r="FM209" s="47"/>
      <c r="FN209" s="47"/>
      <c r="FO209" s="47"/>
      <c r="FP209" s="47"/>
      <c r="FQ209" s="47"/>
      <c r="FR209" s="47"/>
      <c r="FS209" s="47"/>
      <c r="FT209" s="47"/>
      <c r="FU209" s="47"/>
      <c r="FV209" s="47"/>
      <c r="FW209" s="47"/>
      <c r="FX209" s="47"/>
      <c r="FY209" s="47"/>
      <c r="FZ209" s="47"/>
      <c r="GA209" s="47"/>
      <c r="GB209" s="47"/>
      <c r="GC209" s="47"/>
      <c r="GD209" s="47"/>
      <c r="GE209" s="47"/>
      <c r="GF209" s="47"/>
      <c r="GG209" s="47"/>
      <c r="GH209" s="47"/>
      <c r="GI209" s="47"/>
      <c r="GJ209" s="47"/>
      <c r="GK209" s="47"/>
      <c r="GL209" s="47"/>
      <c r="GM209" s="47"/>
      <c r="GN209" s="47"/>
      <c r="GO209" s="47"/>
      <c r="GP209" s="47"/>
      <c r="GQ209" s="47"/>
      <c r="GR209" s="47"/>
      <c r="GS209" s="47"/>
      <c r="GT209" s="47"/>
      <c r="GU209" s="47"/>
      <c r="GV209" s="47"/>
      <c r="GW209" s="47"/>
      <c r="GX209" s="47"/>
      <c r="GY209" s="47"/>
      <c r="GZ209" s="47"/>
      <c r="HA209" s="47"/>
      <c r="HB209" s="47"/>
      <c r="HC209" s="47"/>
      <c r="HD209" s="47"/>
      <c r="HE209" s="47"/>
      <c r="HF209" s="47"/>
      <c r="HI209" s="47"/>
      <c r="HJ209" s="47"/>
      <c r="HK209" s="47"/>
      <c r="HL209" s="47"/>
      <c r="HM209" s="47"/>
      <c r="HN209" s="47"/>
      <c r="HO209" s="47"/>
      <c r="HP209" s="47"/>
      <c r="HS209" s="47"/>
      <c r="HT209" s="47"/>
      <c r="HU209" s="47"/>
      <c r="HV209" s="47"/>
      <c r="HW209" s="47"/>
      <c r="HX209" s="47"/>
      <c r="HY209" s="47"/>
      <c r="HZ209" s="47"/>
      <c r="IC209" s="47"/>
      <c r="ID209" s="47"/>
      <c r="IE209" s="47"/>
      <c r="IF209" s="47"/>
      <c r="IG209" s="47"/>
      <c r="IH209" s="47"/>
      <c r="II209" s="47"/>
      <c r="IJ209" s="47"/>
      <c r="IM209" s="47"/>
      <c r="IN209" s="47"/>
      <c r="IO209" s="47"/>
      <c r="IP209" s="47"/>
      <c r="IQ209" s="47"/>
      <c r="IR209" s="47"/>
      <c r="IS209" s="47"/>
      <c r="IT209" s="47"/>
      <c r="IW209" s="47"/>
      <c r="IX209" s="47"/>
      <c r="IY209" s="47"/>
      <c r="IZ209" s="47"/>
      <c r="JA209" s="47"/>
      <c r="JB209" s="47"/>
      <c r="JC209" s="47"/>
      <c r="JD209" s="47"/>
      <c r="JG209" s="47"/>
      <c r="JH209" s="47"/>
      <c r="JI209" s="47"/>
      <c r="JJ209" s="47"/>
      <c r="JK209" s="47"/>
      <c r="JL209" s="47"/>
      <c r="JM209" s="47"/>
      <c r="JN209" s="47"/>
      <c r="JQ209" s="47"/>
      <c r="JR209" s="47"/>
      <c r="JS209" s="47"/>
      <c r="JT209" s="47"/>
      <c r="JU209" s="47"/>
      <c r="JV209" s="47"/>
      <c r="JW209" s="47"/>
      <c r="JX209" s="47"/>
      <c r="KA209" s="47"/>
      <c r="KB209" s="47"/>
      <c r="KC209" s="47"/>
      <c r="KD209" s="47"/>
      <c r="KE209" s="47"/>
      <c r="KF209" s="47"/>
      <c r="KG209" s="47"/>
      <c r="KH209" s="47"/>
      <c r="KK209" s="47"/>
      <c r="KL209" s="47"/>
      <c r="KM209" s="47"/>
      <c r="KN209" s="47"/>
      <c r="KO209" s="47"/>
      <c r="KP209" s="47"/>
      <c r="KQ209" s="47"/>
      <c r="KR209" s="47"/>
      <c r="KU209" s="47"/>
      <c r="KV209" s="47"/>
      <c r="KW209" s="47"/>
      <c r="KX209" s="47"/>
      <c r="KY209" s="47"/>
      <c r="KZ209" s="47"/>
      <c r="LA209" s="47"/>
      <c r="LB209" s="47"/>
    </row>
    <row r="210" spans="29:314" x14ac:dyDescent="0.25">
      <c r="AC210" s="47"/>
      <c r="AD210" s="47"/>
      <c r="AE210" s="47"/>
      <c r="AF210" s="47"/>
      <c r="AG210" s="49"/>
      <c r="AH210" s="47"/>
      <c r="AI210" s="47"/>
      <c r="AJ210" s="47"/>
      <c r="AK210" s="47"/>
      <c r="AL210" s="47"/>
      <c r="AM210" s="47"/>
      <c r="AN210" s="47"/>
      <c r="AO210" s="47"/>
      <c r="AP210" s="47"/>
      <c r="AQ210" s="47"/>
      <c r="AR210" s="47"/>
      <c r="AS210" s="47"/>
      <c r="AT210" s="47"/>
      <c r="AU210" s="47"/>
      <c r="AV210" s="47"/>
      <c r="AW210" s="47"/>
      <c r="AX210" s="47"/>
      <c r="AY210" s="47"/>
      <c r="AZ210" s="47"/>
      <c r="BA210" s="47"/>
      <c r="BB210" s="47"/>
      <c r="BC210" s="47"/>
      <c r="BD210" s="47"/>
      <c r="BE210" s="47"/>
      <c r="BF210" s="47"/>
      <c r="BG210" s="47"/>
      <c r="BH210" s="47"/>
      <c r="BI210" s="47"/>
      <c r="BJ210" s="47"/>
      <c r="BK210" s="47"/>
      <c r="BL210" s="47"/>
      <c r="BM210" s="47"/>
      <c r="BN210" s="49"/>
      <c r="BO210" s="47"/>
      <c r="BP210" s="47"/>
      <c r="BQ210" s="47"/>
      <c r="BR210" s="47"/>
      <c r="BS210" s="47"/>
      <c r="BT210" s="47"/>
      <c r="BU210" s="47"/>
      <c r="BV210" s="47"/>
      <c r="BW210" s="47"/>
      <c r="BX210" s="47"/>
      <c r="BY210" s="47"/>
      <c r="BZ210" s="47"/>
      <c r="CA210" s="47"/>
      <c r="CB210" s="47"/>
      <c r="CC210" s="47"/>
      <c r="CD210" s="47"/>
      <c r="CE210" s="47"/>
      <c r="CF210" s="47"/>
      <c r="CG210" s="49"/>
      <c r="CH210" s="47"/>
      <c r="CI210" s="47"/>
      <c r="CJ210" s="47"/>
      <c r="CK210" s="47"/>
      <c r="CL210" s="47"/>
      <c r="CM210" s="47"/>
      <c r="CN210" s="47"/>
      <c r="CO210" s="47"/>
      <c r="CP210" s="47"/>
      <c r="CQ210" s="47"/>
      <c r="CS210" s="47"/>
      <c r="CT210" s="47"/>
      <c r="CU210" s="47"/>
      <c r="CV210" s="47"/>
      <c r="CW210" s="47"/>
      <c r="CX210" s="47"/>
      <c r="CY210" s="47"/>
      <c r="CZ210" s="47"/>
      <c r="DA210" s="47"/>
      <c r="DB210" s="47"/>
      <c r="DC210" s="47"/>
      <c r="DD210" s="47"/>
      <c r="DE210" s="47"/>
      <c r="DF210" s="47"/>
      <c r="DG210" s="47"/>
      <c r="DH210" s="47"/>
      <c r="DI210" s="47"/>
      <c r="DJ210" s="47"/>
      <c r="DK210" s="47"/>
      <c r="DM210" s="47"/>
      <c r="DN210" s="47"/>
      <c r="DO210" s="47"/>
      <c r="DP210" s="47"/>
      <c r="DQ210" s="47"/>
      <c r="DR210" s="47"/>
      <c r="DS210" s="47"/>
      <c r="DT210" s="47"/>
      <c r="DU210" s="47"/>
      <c r="DV210" s="49"/>
      <c r="DW210" s="47"/>
      <c r="DX210" s="47"/>
      <c r="DY210" s="47"/>
      <c r="DZ210" s="47"/>
      <c r="EA210" s="47"/>
      <c r="EB210" s="47"/>
      <c r="EC210" s="47"/>
      <c r="ED210" s="47"/>
      <c r="EE210" s="47"/>
      <c r="EF210" s="47"/>
      <c r="EG210" s="47"/>
      <c r="EH210" s="47"/>
      <c r="EI210" s="47"/>
      <c r="EJ210" s="47"/>
      <c r="EK210" s="47"/>
      <c r="EL210" s="47"/>
      <c r="EM210" s="47"/>
      <c r="EN210" s="47"/>
      <c r="EO210" s="47"/>
      <c r="EP210" s="47"/>
      <c r="EQ210" s="47"/>
      <c r="ER210" s="47"/>
      <c r="ES210" s="47"/>
      <c r="ET210" s="47"/>
      <c r="EU210" s="47"/>
      <c r="EV210" s="47"/>
      <c r="EW210" s="47"/>
      <c r="EX210" s="47"/>
      <c r="EY210" s="47"/>
      <c r="EZ210" s="47"/>
      <c r="FA210" s="47"/>
      <c r="FB210" s="47"/>
      <c r="FC210" s="47"/>
      <c r="FD210" s="47"/>
      <c r="FE210" s="47"/>
      <c r="FF210" s="47"/>
      <c r="FG210" s="47"/>
      <c r="FH210" s="47"/>
      <c r="FI210" s="47"/>
      <c r="FJ210" s="49"/>
      <c r="FK210" s="47"/>
      <c r="FL210" s="47"/>
      <c r="FM210" s="47"/>
      <c r="FN210" s="47"/>
      <c r="FO210" s="47"/>
      <c r="FP210" s="47"/>
      <c r="FQ210" s="47"/>
      <c r="FR210" s="47"/>
      <c r="FS210" s="47"/>
      <c r="FT210" s="47"/>
      <c r="FU210" s="47"/>
      <c r="FV210" s="47"/>
      <c r="FW210" s="47"/>
      <c r="FX210" s="47"/>
      <c r="FY210" s="47"/>
      <c r="FZ210" s="47"/>
      <c r="GA210" s="47"/>
      <c r="GB210" s="47"/>
      <c r="GC210" s="47"/>
      <c r="GD210" s="47"/>
      <c r="GE210" s="47"/>
      <c r="GF210" s="47"/>
      <c r="GG210" s="47"/>
      <c r="GH210" s="47"/>
      <c r="GI210" s="47"/>
      <c r="GJ210" s="47"/>
      <c r="GK210" s="47"/>
      <c r="GL210" s="47"/>
      <c r="GM210" s="47"/>
      <c r="GN210" s="47"/>
      <c r="GO210" s="47"/>
      <c r="GP210" s="47"/>
      <c r="GQ210" s="47"/>
      <c r="GR210" s="47"/>
      <c r="GS210" s="47"/>
      <c r="GT210" s="47"/>
      <c r="GU210" s="47"/>
      <c r="GV210" s="47"/>
      <c r="GW210" s="47"/>
      <c r="GX210" s="47"/>
      <c r="GY210" s="47"/>
      <c r="GZ210" s="47"/>
      <c r="HA210" s="47"/>
      <c r="HB210" s="47"/>
      <c r="HC210" s="47"/>
      <c r="HD210" s="47"/>
      <c r="HE210" s="47"/>
      <c r="HF210" s="47"/>
      <c r="HI210" s="47"/>
      <c r="HJ210" s="47"/>
      <c r="HK210" s="47"/>
      <c r="HL210" s="47"/>
      <c r="HM210" s="47"/>
      <c r="HN210" s="47"/>
      <c r="HO210" s="47"/>
      <c r="HP210" s="47"/>
      <c r="HS210" s="47"/>
      <c r="HT210" s="47"/>
      <c r="HU210" s="47"/>
      <c r="HV210" s="47"/>
      <c r="HW210" s="47"/>
      <c r="HX210" s="47"/>
      <c r="HY210" s="47"/>
      <c r="HZ210" s="47"/>
      <c r="IC210" s="47"/>
      <c r="ID210" s="47"/>
      <c r="IE210" s="47"/>
      <c r="IF210" s="47"/>
      <c r="IG210" s="47"/>
      <c r="IH210" s="47"/>
      <c r="II210" s="47"/>
      <c r="IJ210" s="47"/>
      <c r="IM210" s="47"/>
      <c r="IN210" s="47"/>
      <c r="IO210" s="47"/>
      <c r="IP210" s="47"/>
      <c r="IQ210" s="47"/>
      <c r="IR210" s="47"/>
      <c r="IS210" s="47"/>
      <c r="IT210" s="47"/>
      <c r="IW210" s="47"/>
      <c r="IX210" s="47"/>
      <c r="IY210" s="47"/>
      <c r="IZ210" s="47"/>
      <c r="JA210" s="47"/>
      <c r="JB210" s="47"/>
      <c r="JC210" s="47"/>
      <c r="JD210" s="47"/>
      <c r="JG210" s="47"/>
      <c r="JH210" s="47"/>
      <c r="JI210" s="47"/>
      <c r="JJ210" s="47"/>
      <c r="JK210" s="47"/>
      <c r="JL210" s="47"/>
      <c r="JM210" s="47"/>
      <c r="JN210" s="47"/>
      <c r="JQ210" s="47"/>
      <c r="JR210" s="47"/>
      <c r="JS210" s="47"/>
      <c r="JT210" s="47"/>
      <c r="JU210" s="47"/>
      <c r="JV210" s="47"/>
      <c r="JW210" s="47"/>
      <c r="JX210" s="47"/>
      <c r="KA210" s="47"/>
      <c r="KB210" s="47"/>
      <c r="KC210" s="47"/>
      <c r="KD210" s="47"/>
      <c r="KE210" s="47"/>
      <c r="KF210" s="47"/>
      <c r="KG210" s="47"/>
      <c r="KH210" s="47"/>
      <c r="KK210" s="47"/>
      <c r="KL210" s="47"/>
      <c r="KM210" s="47"/>
      <c r="KN210" s="47"/>
      <c r="KO210" s="47"/>
      <c r="KP210" s="47"/>
      <c r="KQ210" s="47"/>
      <c r="KR210" s="47"/>
      <c r="KU210" s="47"/>
      <c r="KV210" s="47"/>
      <c r="KW210" s="47"/>
      <c r="KX210" s="47"/>
      <c r="KY210" s="47"/>
      <c r="KZ210" s="47"/>
      <c r="LA210" s="47"/>
      <c r="LB210" s="47"/>
    </row>
    <row r="211" spans="29:314" x14ac:dyDescent="0.25">
      <c r="AC211" s="47"/>
      <c r="AD211" s="47"/>
      <c r="AE211" s="47"/>
      <c r="AF211" s="47"/>
      <c r="AG211" s="49"/>
      <c r="AH211" s="47"/>
      <c r="AI211" s="47"/>
      <c r="AJ211" s="47"/>
      <c r="AK211" s="47"/>
      <c r="AL211" s="47"/>
      <c r="AM211" s="47"/>
      <c r="AN211" s="47"/>
      <c r="AO211" s="47"/>
      <c r="AP211" s="47"/>
      <c r="AQ211" s="47"/>
      <c r="AR211" s="47"/>
      <c r="AS211" s="47"/>
      <c r="AT211" s="47"/>
      <c r="AU211" s="47"/>
      <c r="AV211" s="47"/>
      <c r="AW211" s="47"/>
      <c r="AX211" s="47"/>
      <c r="AY211" s="47"/>
      <c r="AZ211" s="47"/>
      <c r="BA211" s="47"/>
      <c r="BB211" s="47"/>
      <c r="BC211" s="47"/>
      <c r="BD211" s="47"/>
      <c r="BE211" s="47"/>
      <c r="BF211" s="47"/>
      <c r="BG211" s="47"/>
      <c r="BH211" s="47"/>
      <c r="BI211" s="47"/>
      <c r="BJ211" s="47"/>
      <c r="BK211" s="47"/>
      <c r="BL211" s="47"/>
      <c r="BM211" s="47"/>
      <c r="BN211" s="49"/>
      <c r="BO211" s="47"/>
      <c r="BP211" s="47"/>
      <c r="BQ211" s="47"/>
      <c r="BR211" s="47"/>
      <c r="BS211" s="47"/>
      <c r="BT211" s="47"/>
      <c r="BU211" s="47"/>
      <c r="BV211" s="47"/>
      <c r="BW211" s="47"/>
      <c r="BX211" s="47"/>
      <c r="BY211" s="47"/>
      <c r="BZ211" s="47"/>
      <c r="CA211" s="47"/>
      <c r="CB211" s="47"/>
      <c r="CC211" s="47"/>
      <c r="CD211" s="47"/>
      <c r="CE211" s="47"/>
      <c r="CF211" s="47"/>
      <c r="CG211" s="49"/>
      <c r="CH211" s="47"/>
      <c r="CI211" s="47"/>
      <c r="CJ211" s="47"/>
      <c r="CK211" s="47"/>
      <c r="CL211" s="47"/>
      <c r="CM211" s="47"/>
      <c r="CN211" s="47"/>
      <c r="CO211" s="47"/>
      <c r="CP211" s="47"/>
      <c r="CQ211" s="47"/>
      <c r="CS211" s="47"/>
      <c r="CT211" s="47"/>
      <c r="CU211" s="47"/>
      <c r="CV211" s="47"/>
      <c r="CW211" s="47"/>
      <c r="CX211" s="47"/>
      <c r="CY211" s="47"/>
      <c r="CZ211" s="47"/>
      <c r="DA211" s="47"/>
      <c r="DB211" s="47"/>
      <c r="DC211" s="47"/>
      <c r="DD211" s="47"/>
      <c r="DE211" s="47"/>
      <c r="DF211" s="47"/>
      <c r="DG211" s="47"/>
      <c r="DH211" s="47"/>
      <c r="DI211" s="47"/>
      <c r="DJ211" s="47"/>
      <c r="DK211" s="47"/>
      <c r="DM211" s="47"/>
      <c r="DN211" s="47"/>
      <c r="DO211" s="47"/>
      <c r="DP211" s="47"/>
      <c r="DQ211" s="47"/>
      <c r="DR211" s="47"/>
      <c r="DS211" s="47"/>
      <c r="DT211" s="47"/>
      <c r="DU211" s="47"/>
      <c r="DV211" s="49"/>
      <c r="DW211" s="47"/>
      <c r="DX211" s="47"/>
      <c r="DY211" s="47"/>
      <c r="DZ211" s="47"/>
      <c r="EA211" s="47"/>
      <c r="EB211" s="47"/>
      <c r="EC211" s="47"/>
      <c r="ED211" s="47"/>
      <c r="EE211" s="47"/>
      <c r="EF211" s="47"/>
      <c r="EG211" s="47"/>
      <c r="EH211" s="47"/>
      <c r="EI211" s="47"/>
      <c r="EJ211" s="47"/>
      <c r="EK211" s="47"/>
      <c r="EL211" s="47"/>
      <c r="EM211" s="47"/>
      <c r="EN211" s="47"/>
      <c r="EO211" s="47"/>
      <c r="EP211" s="47"/>
      <c r="EQ211" s="47"/>
      <c r="ER211" s="47"/>
      <c r="ES211" s="47"/>
      <c r="ET211" s="47"/>
      <c r="EU211" s="47"/>
      <c r="EV211" s="47"/>
      <c r="EW211" s="47"/>
      <c r="EX211" s="47"/>
      <c r="EY211" s="47"/>
      <c r="EZ211" s="47"/>
      <c r="FA211" s="47"/>
      <c r="FB211" s="47"/>
      <c r="FC211" s="47"/>
      <c r="FD211" s="47"/>
      <c r="FE211" s="47"/>
      <c r="FF211" s="47"/>
      <c r="FG211" s="47"/>
      <c r="FH211" s="47"/>
      <c r="FI211" s="47"/>
      <c r="FJ211" s="49"/>
      <c r="FK211" s="47"/>
      <c r="FL211" s="47"/>
      <c r="FM211" s="47"/>
      <c r="FN211" s="47"/>
      <c r="FO211" s="47"/>
      <c r="FP211" s="47"/>
      <c r="FQ211" s="47"/>
      <c r="FR211" s="47"/>
      <c r="FS211" s="47"/>
      <c r="FT211" s="47"/>
      <c r="FU211" s="47"/>
      <c r="FV211" s="47"/>
      <c r="FW211" s="47"/>
      <c r="FX211" s="47"/>
      <c r="FY211" s="47"/>
      <c r="FZ211" s="47"/>
      <c r="GA211" s="47"/>
      <c r="GB211" s="47"/>
      <c r="GC211" s="47"/>
      <c r="GD211" s="47"/>
      <c r="GE211" s="47"/>
      <c r="GF211" s="47"/>
      <c r="GG211" s="47"/>
      <c r="GH211" s="47"/>
      <c r="GI211" s="47"/>
      <c r="GJ211" s="47"/>
      <c r="GK211" s="47"/>
      <c r="GL211" s="47"/>
      <c r="GM211" s="47"/>
      <c r="GN211" s="47"/>
      <c r="GO211" s="47"/>
      <c r="GP211" s="47"/>
      <c r="GQ211" s="47"/>
      <c r="GR211" s="47"/>
      <c r="GS211" s="47"/>
      <c r="GT211" s="47"/>
      <c r="GU211" s="47"/>
      <c r="GV211" s="47"/>
      <c r="GW211" s="47"/>
      <c r="GX211" s="47"/>
      <c r="GY211" s="47"/>
      <c r="GZ211" s="47"/>
      <c r="HA211" s="47"/>
      <c r="HB211" s="47"/>
      <c r="HC211" s="47"/>
      <c r="HD211" s="47"/>
      <c r="HE211" s="47"/>
      <c r="HF211" s="47"/>
      <c r="HI211" s="47"/>
      <c r="HJ211" s="47"/>
      <c r="HK211" s="47"/>
      <c r="HL211" s="47"/>
      <c r="HM211" s="47"/>
      <c r="HN211" s="47"/>
      <c r="HO211" s="47"/>
      <c r="HP211" s="47"/>
      <c r="HS211" s="47"/>
      <c r="HT211" s="47"/>
      <c r="HU211" s="47"/>
      <c r="HV211" s="47"/>
      <c r="HW211" s="47"/>
      <c r="HX211" s="47"/>
      <c r="HY211" s="47"/>
      <c r="HZ211" s="47"/>
      <c r="IC211" s="47"/>
      <c r="ID211" s="47"/>
      <c r="IE211" s="47"/>
      <c r="IF211" s="47"/>
      <c r="IG211" s="47"/>
      <c r="IH211" s="47"/>
      <c r="II211" s="47"/>
      <c r="IJ211" s="47"/>
      <c r="IM211" s="47"/>
      <c r="IN211" s="47"/>
      <c r="IO211" s="47"/>
      <c r="IP211" s="47"/>
      <c r="IQ211" s="47"/>
      <c r="IR211" s="47"/>
      <c r="IS211" s="47"/>
      <c r="IT211" s="47"/>
      <c r="IW211" s="47"/>
      <c r="IX211" s="47"/>
      <c r="IY211" s="47"/>
      <c r="IZ211" s="47"/>
      <c r="JA211" s="47"/>
      <c r="JB211" s="47"/>
      <c r="JC211" s="47"/>
      <c r="JD211" s="47"/>
      <c r="JG211" s="47"/>
      <c r="JH211" s="47"/>
      <c r="JI211" s="47"/>
      <c r="JJ211" s="47"/>
      <c r="JK211" s="47"/>
      <c r="JL211" s="47"/>
      <c r="JM211" s="47"/>
      <c r="JN211" s="47"/>
      <c r="JQ211" s="47"/>
      <c r="JR211" s="47"/>
      <c r="JS211" s="47"/>
      <c r="JT211" s="47"/>
      <c r="JU211" s="47"/>
      <c r="JV211" s="47"/>
      <c r="JW211" s="47"/>
      <c r="JX211" s="47"/>
      <c r="KA211" s="47"/>
      <c r="KB211" s="47"/>
      <c r="KC211" s="47"/>
      <c r="KD211" s="47"/>
      <c r="KE211" s="47"/>
      <c r="KF211" s="47"/>
      <c r="KG211" s="47"/>
      <c r="KH211" s="47"/>
      <c r="KK211" s="47"/>
      <c r="KL211" s="47"/>
      <c r="KM211" s="47"/>
      <c r="KN211" s="47"/>
      <c r="KO211" s="47"/>
      <c r="KP211" s="47"/>
      <c r="KQ211" s="47"/>
      <c r="KR211" s="47"/>
      <c r="KU211" s="47"/>
      <c r="KV211" s="47"/>
      <c r="KW211" s="47"/>
      <c r="KX211" s="47"/>
      <c r="KY211" s="47"/>
      <c r="KZ211" s="47"/>
      <c r="LA211" s="47"/>
      <c r="LB211" s="47"/>
    </row>
    <row r="212" spans="29:314" x14ac:dyDescent="0.25">
      <c r="AC212" s="47"/>
      <c r="AD212" s="47"/>
      <c r="AE212" s="47"/>
      <c r="AF212" s="47"/>
      <c r="AG212" s="49"/>
      <c r="AH212" s="47"/>
      <c r="AI212" s="47"/>
      <c r="AJ212" s="47"/>
      <c r="AK212" s="47"/>
      <c r="AL212" s="47"/>
      <c r="AM212" s="47"/>
      <c r="AN212" s="47"/>
      <c r="AO212" s="47"/>
      <c r="AP212" s="47"/>
      <c r="AQ212" s="47"/>
      <c r="AR212" s="47"/>
      <c r="AS212" s="47"/>
      <c r="AT212" s="47"/>
      <c r="AU212" s="47"/>
      <c r="AV212" s="47"/>
      <c r="AW212" s="47"/>
      <c r="AX212" s="47"/>
      <c r="AY212" s="47"/>
      <c r="AZ212" s="47"/>
      <c r="BA212" s="47"/>
      <c r="BB212" s="47"/>
      <c r="BC212" s="47"/>
      <c r="BD212" s="47"/>
      <c r="BE212" s="47"/>
      <c r="BF212" s="47"/>
      <c r="BG212" s="47"/>
      <c r="BH212" s="47"/>
      <c r="BI212" s="47"/>
      <c r="BJ212" s="47"/>
      <c r="BK212" s="47"/>
      <c r="BL212" s="47"/>
      <c r="BM212" s="47"/>
      <c r="BN212" s="49"/>
      <c r="BO212" s="47"/>
      <c r="BP212" s="47"/>
      <c r="BQ212" s="47"/>
      <c r="BR212" s="47"/>
      <c r="BS212" s="47"/>
      <c r="BT212" s="47"/>
      <c r="BU212" s="47"/>
      <c r="BV212" s="47"/>
      <c r="BW212" s="47"/>
      <c r="BX212" s="47"/>
      <c r="BY212" s="47"/>
      <c r="BZ212" s="47"/>
      <c r="CA212" s="47"/>
      <c r="CB212" s="47"/>
      <c r="CC212" s="47"/>
      <c r="CD212" s="47"/>
      <c r="CE212" s="47"/>
      <c r="CF212" s="47"/>
      <c r="CG212" s="49"/>
      <c r="CH212" s="47"/>
      <c r="CI212" s="47"/>
      <c r="CJ212" s="47"/>
      <c r="CK212" s="47"/>
      <c r="CL212" s="47"/>
      <c r="CM212" s="47"/>
      <c r="CN212" s="47"/>
      <c r="CO212" s="47"/>
      <c r="CP212" s="47"/>
      <c r="CQ212" s="47"/>
      <c r="CS212" s="47"/>
      <c r="CT212" s="47"/>
      <c r="CU212" s="47"/>
      <c r="CV212" s="47"/>
      <c r="CW212" s="47"/>
      <c r="CX212" s="47"/>
      <c r="CY212" s="47"/>
      <c r="CZ212" s="47"/>
      <c r="DA212" s="47"/>
      <c r="DB212" s="47"/>
      <c r="DC212" s="47"/>
      <c r="DD212" s="47"/>
      <c r="DE212" s="47"/>
      <c r="DF212" s="47"/>
      <c r="DG212" s="47"/>
      <c r="DH212" s="47"/>
      <c r="DI212" s="47"/>
      <c r="DJ212" s="47"/>
      <c r="DK212" s="47"/>
      <c r="DM212" s="47"/>
      <c r="DN212" s="47"/>
      <c r="DO212" s="47"/>
      <c r="DP212" s="47"/>
      <c r="DQ212" s="47"/>
      <c r="DR212" s="47"/>
      <c r="DS212" s="47"/>
      <c r="DT212" s="47"/>
      <c r="DU212" s="47"/>
      <c r="DV212" s="49"/>
      <c r="DW212" s="47"/>
      <c r="DX212" s="47"/>
      <c r="DY212" s="47"/>
      <c r="DZ212" s="47"/>
      <c r="EA212" s="47"/>
      <c r="EB212" s="47"/>
      <c r="EC212" s="47"/>
      <c r="ED212" s="47"/>
      <c r="EE212" s="47"/>
      <c r="EF212" s="47"/>
      <c r="EG212" s="47"/>
      <c r="EH212" s="47"/>
      <c r="EI212" s="47"/>
      <c r="EJ212" s="47"/>
      <c r="EK212" s="47"/>
      <c r="EL212" s="47"/>
      <c r="EM212" s="47"/>
      <c r="EN212" s="47"/>
      <c r="EO212" s="47"/>
      <c r="EP212" s="47"/>
      <c r="EQ212" s="47"/>
      <c r="ER212" s="47"/>
      <c r="ES212" s="47"/>
      <c r="ET212" s="47"/>
      <c r="EU212" s="47"/>
      <c r="EV212" s="47"/>
      <c r="EW212" s="47"/>
      <c r="EX212" s="47"/>
      <c r="EY212" s="47"/>
      <c r="EZ212" s="47"/>
      <c r="FA212" s="47"/>
      <c r="FB212" s="47"/>
      <c r="FC212" s="47"/>
      <c r="FD212" s="47"/>
      <c r="FE212" s="47"/>
      <c r="FF212" s="47"/>
      <c r="FG212" s="47"/>
      <c r="FH212" s="47"/>
      <c r="FI212" s="47"/>
      <c r="FJ212" s="49"/>
      <c r="FK212" s="47"/>
      <c r="FL212" s="47"/>
      <c r="FM212" s="47"/>
      <c r="FN212" s="47"/>
      <c r="FO212" s="47"/>
      <c r="FP212" s="47"/>
      <c r="FQ212" s="47"/>
      <c r="FR212" s="47"/>
      <c r="FS212" s="47"/>
      <c r="FT212" s="47"/>
      <c r="FU212" s="47"/>
      <c r="FV212" s="47"/>
      <c r="FW212" s="47"/>
      <c r="FX212" s="47"/>
      <c r="FY212" s="47"/>
      <c r="FZ212" s="47"/>
      <c r="GA212" s="47"/>
      <c r="GB212" s="47"/>
      <c r="GC212" s="47"/>
      <c r="GD212" s="47"/>
      <c r="GE212" s="47"/>
      <c r="GF212" s="47"/>
      <c r="GG212" s="47"/>
      <c r="GH212" s="47"/>
      <c r="GI212" s="47"/>
      <c r="GJ212" s="47"/>
      <c r="GK212" s="47"/>
      <c r="GL212" s="47"/>
      <c r="GM212" s="47"/>
      <c r="GN212" s="47"/>
      <c r="GO212" s="47"/>
      <c r="GP212" s="47"/>
      <c r="GQ212" s="47"/>
      <c r="GR212" s="47"/>
      <c r="GS212" s="47"/>
      <c r="GT212" s="47"/>
      <c r="GU212" s="47"/>
      <c r="GV212" s="47"/>
      <c r="GW212" s="47"/>
      <c r="GX212" s="47"/>
      <c r="GY212" s="47"/>
      <c r="GZ212" s="47"/>
      <c r="HA212" s="47"/>
      <c r="HB212" s="47"/>
      <c r="HC212" s="47"/>
      <c r="HD212" s="47"/>
      <c r="HE212" s="47"/>
      <c r="HF212" s="47"/>
      <c r="HI212" s="47"/>
      <c r="HJ212" s="47"/>
      <c r="HK212" s="47"/>
      <c r="HL212" s="47"/>
      <c r="HM212" s="47"/>
      <c r="HN212" s="47"/>
      <c r="HO212" s="47"/>
      <c r="HP212" s="47"/>
      <c r="HS212" s="47"/>
      <c r="HT212" s="47"/>
      <c r="HU212" s="47"/>
      <c r="HV212" s="47"/>
      <c r="HW212" s="47"/>
      <c r="HX212" s="47"/>
      <c r="HY212" s="47"/>
      <c r="HZ212" s="47"/>
      <c r="IC212" s="47"/>
      <c r="ID212" s="47"/>
      <c r="IE212" s="47"/>
      <c r="IF212" s="47"/>
      <c r="IG212" s="47"/>
      <c r="IH212" s="47"/>
      <c r="II212" s="47"/>
      <c r="IJ212" s="47"/>
      <c r="IM212" s="47"/>
      <c r="IN212" s="47"/>
      <c r="IO212" s="47"/>
      <c r="IP212" s="47"/>
      <c r="IQ212" s="47"/>
      <c r="IR212" s="47"/>
      <c r="IS212" s="47"/>
      <c r="IT212" s="47"/>
      <c r="IW212" s="47"/>
      <c r="IX212" s="47"/>
      <c r="IY212" s="47"/>
      <c r="IZ212" s="47"/>
      <c r="JA212" s="47"/>
      <c r="JB212" s="47"/>
      <c r="JC212" s="47"/>
      <c r="JD212" s="47"/>
      <c r="JG212" s="47"/>
      <c r="JH212" s="47"/>
      <c r="JI212" s="47"/>
      <c r="JJ212" s="47"/>
      <c r="JK212" s="47"/>
      <c r="JL212" s="47"/>
      <c r="JM212" s="47"/>
      <c r="JN212" s="47"/>
      <c r="JQ212" s="47"/>
      <c r="JR212" s="47"/>
      <c r="JS212" s="47"/>
      <c r="JT212" s="47"/>
      <c r="JU212" s="47"/>
      <c r="JV212" s="47"/>
      <c r="JW212" s="47"/>
      <c r="JX212" s="47"/>
      <c r="KA212" s="47"/>
      <c r="KB212" s="47"/>
      <c r="KC212" s="47"/>
      <c r="KD212" s="47"/>
      <c r="KE212" s="47"/>
      <c r="KF212" s="47"/>
      <c r="KG212" s="47"/>
      <c r="KH212" s="47"/>
      <c r="KK212" s="47"/>
      <c r="KL212" s="47"/>
      <c r="KM212" s="47"/>
      <c r="KN212" s="47"/>
      <c r="KO212" s="47"/>
      <c r="KP212" s="47"/>
      <c r="KQ212" s="47"/>
      <c r="KR212" s="47"/>
      <c r="KU212" s="47"/>
      <c r="KV212" s="47"/>
      <c r="KW212" s="47"/>
      <c r="KX212" s="47"/>
      <c r="KY212" s="47"/>
      <c r="KZ212" s="47"/>
      <c r="LA212" s="47"/>
      <c r="LB212" s="47"/>
    </row>
    <row r="213" spans="29:314" x14ac:dyDescent="0.25">
      <c r="AC213" s="47"/>
      <c r="AD213" s="47"/>
      <c r="AE213" s="47"/>
      <c r="AF213" s="47"/>
      <c r="AG213" s="49"/>
      <c r="AH213" s="47"/>
      <c r="AI213" s="47"/>
      <c r="AJ213" s="47"/>
      <c r="AK213" s="47"/>
      <c r="AL213" s="47"/>
      <c r="AM213" s="47"/>
      <c r="AN213" s="47"/>
      <c r="AO213" s="47"/>
      <c r="AP213" s="47"/>
      <c r="AQ213" s="47"/>
      <c r="AR213" s="47"/>
      <c r="AS213" s="47"/>
      <c r="AT213" s="47"/>
      <c r="AU213" s="47"/>
      <c r="AV213" s="47"/>
      <c r="AW213" s="47"/>
      <c r="AX213" s="47"/>
      <c r="AY213" s="47"/>
      <c r="AZ213" s="47"/>
      <c r="BA213" s="47"/>
      <c r="BB213" s="47"/>
      <c r="BC213" s="47"/>
      <c r="BD213" s="47"/>
      <c r="BE213" s="47"/>
      <c r="BF213" s="47"/>
      <c r="BG213" s="47"/>
      <c r="BH213" s="47"/>
      <c r="BI213" s="47"/>
      <c r="BJ213" s="47"/>
      <c r="BK213" s="47"/>
      <c r="BL213" s="47"/>
      <c r="BM213" s="47"/>
      <c r="BN213" s="49"/>
      <c r="BO213" s="47"/>
      <c r="BP213" s="47"/>
      <c r="BQ213" s="47"/>
      <c r="BR213" s="47"/>
      <c r="BS213" s="47"/>
      <c r="BT213" s="47"/>
      <c r="BU213" s="47"/>
      <c r="BV213" s="47"/>
      <c r="BW213" s="47"/>
      <c r="BX213" s="47"/>
      <c r="BY213" s="47"/>
      <c r="BZ213" s="47"/>
      <c r="CA213" s="47"/>
      <c r="CB213" s="47"/>
      <c r="CC213" s="47"/>
      <c r="CD213" s="47"/>
      <c r="CE213" s="47"/>
      <c r="CF213" s="47"/>
      <c r="CG213" s="49"/>
      <c r="CH213" s="47"/>
      <c r="CI213" s="47"/>
      <c r="CJ213" s="47"/>
      <c r="CK213" s="47"/>
      <c r="CL213" s="47"/>
      <c r="CM213" s="47"/>
      <c r="CN213" s="47"/>
      <c r="CO213" s="47"/>
      <c r="CP213" s="47"/>
      <c r="CQ213" s="47"/>
      <c r="CS213" s="47"/>
      <c r="CT213" s="47"/>
      <c r="CU213" s="47"/>
      <c r="CV213" s="47"/>
      <c r="CW213" s="47"/>
      <c r="CX213" s="47"/>
      <c r="CY213" s="47"/>
      <c r="CZ213" s="47"/>
      <c r="DA213" s="47"/>
      <c r="DB213" s="47"/>
      <c r="DC213" s="47"/>
      <c r="DD213" s="47"/>
      <c r="DE213" s="47"/>
      <c r="DF213" s="47"/>
      <c r="DG213" s="47"/>
      <c r="DH213" s="47"/>
      <c r="DI213" s="47"/>
      <c r="DJ213" s="47"/>
      <c r="DK213" s="47"/>
      <c r="DM213" s="47"/>
      <c r="DN213" s="47"/>
      <c r="DO213" s="47"/>
      <c r="DP213" s="47"/>
      <c r="DQ213" s="47"/>
      <c r="DR213" s="47"/>
      <c r="DS213" s="47"/>
      <c r="DT213" s="47"/>
      <c r="DU213" s="47"/>
      <c r="DV213" s="49"/>
      <c r="DW213" s="47"/>
      <c r="DX213" s="47"/>
      <c r="DY213" s="47"/>
      <c r="DZ213" s="47"/>
      <c r="EA213" s="47"/>
      <c r="EB213" s="47"/>
      <c r="EC213" s="47"/>
      <c r="ED213" s="47"/>
      <c r="EE213" s="47"/>
      <c r="EF213" s="47"/>
      <c r="EG213" s="47"/>
      <c r="EH213" s="47"/>
      <c r="EI213" s="47"/>
      <c r="EJ213" s="47"/>
      <c r="EK213" s="47"/>
      <c r="EL213" s="47"/>
      <c r="EM213" s="47"/>
      <c r="EN213" s="47"/>
      <c r="EO213" s="47"/>
      <c r="EP213" s="47"/>
      <c r="EQ213" s="47"/>
      <c r="ER213" s="47"/>
      <c r="ES213" s="47"/>
      <c r="ET213" s="47"/>
      <c r="EU213" s="47"/>
      <c r="EV213" s="47"/>
      <c r="EW213" s="47"/>
      <c r="EX213" s="47"/>
      <c r="EY213" s="47"/>
      <c r="EZ213" s="47"/>
      <c r="FA213" s="47"/>
      <c r="FB213" s="47"/>
      <c r="FC213" s="47"/>
      <c r="FD213" s="47"/>
      <c r="FE213" s="47"/>
      <c r="FF213" s="47"/>
      <c r="FG213" s="47"/>
      <c r="FH213" s="47"/>
      <c r="FI213" s="47"/>
      <c r="FJ213" s="49"/>
      <c r="FK213" s="47"/>
      <c r="FL213" s="47"/>
      <c r="FM213" s="47"/>
      <c r="FN213" s="47"/>
      <c r="FO213" s="47"/>
      <c r="FP213" s="47"/>
      <c r="FQ213" s="47"/>
      <c r="FR213" s="47"/>
      <c r="FS213" s="47"/>
      <c r="FT213" s="47"/>
      <c r="FU213" s="47"/>
      <c r="FV213" s="47"/>
      <c r="FW213" s="47"/>
      <c r="FX213" s="47"/>
      <c r="FY213" s="47"/>
      <c r="FZ213" s="47"/>
      <c r="GA213" s="47"/>
      <c r="GB213" s="47"/>
      <c r="GC213" s="47"/>
      <c r="GD213" s="47"/>
      <c r="GE213" s="47"/>
      <c r="GF213" s="47"/>
      <c r="GG213" s="47"/>
      <c r="GH213" s="47"/>
      <c r="GI213" s="47"/>
      <c r="GJ213" s="47"/>
      <c r="GK213" s="47"/>
      <c r="GL213" s="47"/>
      <c r="GM213" s="47"/>
      <c r="GN213" s="47"/>
      <c r="GO213" s="47"/>
      <c r="GP213" s="47"/>
      <c r="GQ213" s="47"/>
      <c r="GR213" s="47"/>
      <c r="GS213" s="47"/>
      <c r="GT213" s="47"/>
      <c r="GU213" s="47"/>
      <c r="GV213" s="47"/>
      <c r="GW213" s="47"/>
      <c r="GX213" s="47"/>
      <c r="GY213" s="47"/>
      <c r="GZ213" s="47"/>
      <c r="HA213" s="47"/>
      <c r="HB213" s="47"/>
      <c r="HC213" s="47"/>
      <c r="HD213" s="47"/>
      <c r="HE213" s="47"/>
      <c r="HF213" s="47"/>
      <c r="HI213" s="47"/>
      <c r="HJ213" s="47"/>
      <c r="HK213" s="47"/>
      <c r="HL213" s="47"/>
      <c r="HM213" s="47"/>
      <c r="HN213" s="47"/>
      <c r="HO213" s="47"/>
      <c r="HP213" s="47"/>
      <c r="HS213" s="47"/>
      <c r="HT213" s="47"/>
      <c r="HU213" s="47"/>
      <c r="HV213" s="47"/>
      <c r="HW213" s="47"/>
      <c r="HX213" s="47"/>
      <c r="HY213" s="47"/>
      <c r="HZ213" s="47"/>
      <c r="IC213" s="47"/>
      <c r="ID213" s="47"/>
      <c r="IE213" s="47"/>
      <c r="IF213" s="47"/>
      <c r="IG213" s="47"/>
      <c r="IH213" s="47"/>
      <c r="II213" s="47"/>
      <c r="IJ213" s="47"/>
      <c r="IM213" s="47"/>
      <c r="IN213" s="47"/>
      <c r="IO213" s="47"/>
      <c r="IP213" s="47"/>
      <c r="IQ213" s="47"/>
      <c r="IR213" s="47"/>
      <c r="IS213" s="47"/>
      <c r="IT213" s="47"/>
      <c r="IW213" s="47"/>
      <c r="IX213" s="47"/>
      <c r="IY213" s="47"/>
      <c r="IZ213" s="47"/>
      <c r="JA213" s="47"/>
      <c r="JB213" s="47"/>
      <c r="JC213" s="47"/>
      <c r="JD213" s="47"/>
      <c r="JG213" s="47"/>
      <c r="JH213" s="47"/>
      <c r="JI213" s="47"/>
      <c r="JJ213" s="47"/>
      <c r="JK213" s="47"/>
      <c r="JL213" s="47"/>
      <c r="JM213" s="47"/>
      <c r="JN213" s="47"/>
      <c r="JQ213" s="47"/>
      <c r="JR213" s="47"/>
      <c r="JS213" s="47"/>
      <c r="JT213" s="47"/>
      <c r="JU213" s="47"/>
      <c r="JV213" s="47"/>
      <c r="JW213" s="47"/>
      <c r="JX213" s="47"/>
      <c r="KA213" s="47"/>
      <c r="KB213" s="47"/>
      <c r="KC213" s="47"/>
      <c r="KD213" s="47"/>
      <c r="KE213" s="47"/>
      <c r="KF213" s="47"/>
      <c r="KG213" s="47"/>
      <c r="KH213" s="47"/>
      <c r="KK213" s="47"/>
      <c r="KL213" s="47"/>
      <c r="KM213" s="47"/>
      <c r="KN213" s="47"/>
      <c r="KO213" s="47"/>
      <c r="KP213" s="47"/>
      <c r="KQ213" s="47"/>
      <c r="KR213" s="47"/>
      <c r="KU213" s="47"/>
      <c r="KV213" s="47"/>
      <c r="KW213" s="47"/>
      <c r="KX213" s="47"/>
      <c r="KY213" s="47"/>
      <c r="KZ213" s="47"/>
      <c r="LA213" s="47"/>
      <c r="LB213" s="47"/>
    </row>
    <row r="214" spans="29:314" x14ac:dyDescent="0.25">
      <c r="AC214" s="47"/>
      <c r="AD214" s="47"/>
      <c r="AE214" s="47"/>
      <c r="AF214" s="47"/>
      <c r="AG214" s="49"/>
      <c r="AH214" s="47"/>
      <c r="AI214" s="47"/>
      <c r="AJ214" s="47"/>
      <c r="AK214" s="47"/>
      <c r="AL214" s="47"/>
      <c r="AM214" s="47"/>
      <c r="AN214" s="47"/>
      <c r="AO214" s="47"/>
      <c r="AP214" s="47"/>
      <c r="AQ214" s="47"/>
      <c r="AR214" s="47"/>
      <c r="AS214" s="47"/>
      <c r="AT214" s="47"/>
      <c r="AU214" s="47"/>
      <c r="AV214" s="47"/>
      <c r="AW214" s="47"/>
      <c r="AX214" s="47"/>
      <c r="AY214" s="47"/>
      <c r="AZ214" s="47"/>
      <c r="BA214" s="47"/>
      <c r="BB214" s="47"/>
      <c r="BC214" s="47"/>
      <c r="BD214" s="47"/>
      <c r="BE214" s="47"/>
      <c r="BF214" s="47"/>
      <c r="BG214" s="47"/>
      <c r="BH214" s="47"/>
      <c r="BI214" s="47"/>
      <c r="BJ214" s="47"/>
      <c r="BK214" s="47"/>
      <c r="BL214" s="47"/>
      <c r="BM214" s="47"/>
      <c r="BN214" s="49"/>
      <c r="BO214" s="47"/>
      <c r="BP214" s="47"/>
      <c r="BQ214" s="47"/>
      <c r="BR214" s="47"/>
      <c r="BS214" s="47"/>
      <c r="BT214" s="47"/>
      <c r="BU214" s="47"/>
      <c r="BV214" s="47"/>
      <c r="BW214" s="47"/>
      <c r="BX214" s="47"/>
      <c r="BY214" s="47"/>
      <c r="BZ214" s="47"/>
      <c r="CA214" s="47"/>
      <c r="CB214" s="47"/>
      <c r="CC214" s="47"/>
      <c r="CD214" s="47"/>
      <c r="CE214" s="47"/>
      <c r="CF214" s="47"/>
      <c r="CG214" s="49"/>
      <c r="CH214" s="47"/>
      <c r="CI214" s="47"/>
      <c r="CJ214" s="47"/>
      <c r="CK214" s="47"/>
      <c r="CL214" s="47"/>
      <c r="CM214" s="47"/>
      <c r="CN214" s="47"/>
      <c r="CO214" s="47"/>
      <c r="CP214" s="47"/>
      <c r="CQ214" s="47"/>
      <c r="CS214" s="47"/>
      <c r="CT214" s="47"/>
      <c r="CU214" s="47"/>
      <c r="CV214" s="47"/>
      <c r="CW214" s="47"/>
      <c r="CX214" s="47"/>
      <c r="CY214" s="47"/>
      <c r="CZ214" s="47"/>
      <c r="DA214" s="47"/>
      <c r="DB214" s="47"/>
      <c r="DC214" s="47"/>
      <c r="DD214" s="47"/>
      <c r="DE214" s="47"/>
      <c r="DF214" s="47"/>
      <c r="DG214" s="47"/>
      <c r="DH214" s="47"/>
      <c r="DI214" s="47"/>
      <c r="DJ214" s="47"/>
      <c r="DK214" s="47"/>
      <c r="DM214" s="47"/>
      <c r="DN214" s="47"/>
      <c r="DO214" s="47"/>
      <c r="DP214" s="47"/>
      <c r="DQ214" s="47"/>
      <c r="DR214" s="47"/>
      <c r="DS214" s="47"/>
      <c r="DT214" s="47"/>
      <c r="DU214" s="47"/>
      <c r="DV214" s="49"/>
      <c r="DW214" s="47"/>
      <c r="DX214" s="47"/>
      <c r="DY214" s="47"/>
      <c r="DZ214" s="47"/>
      <c r="EA214" s="47"/>
      <c r="EB214" s="47"/>
      <c r="EC214" s="47"/>
      <c r="ED214" s="47"/>
      <c r="EE214" s="47"/>
      <c r="EF214" s="47"/>
      <c r="EG214" s="47"/>
      <c r="EH214" s="47"/>
      <c r="EI214" s="47"/>
      <c r="EJ214" s="47"/>
      <c r="EK214" s="47"/>
      <c r="EL214" s="47"/>
      <c r="EM214" s="47"/>
      <c r="EN214" s="47"/>
      <c r="EO214" s="47"/>
      <c r="EP214" s="47"/>
      <c r="EQ214" s="47"/>
      <c r="ER214" s="47"/>
      <c r="ES214" s="47"/>
      <c r="ET214" s="47"/>
      <c r="EU214" s="47"/>
      <c r="EV214" s="47"/>
      <c r="EW214" s="47"/>
      <c r="EX214" s="47"/>
      <c r="EY214" s="47"/>
      <c r="EZ214" s="47"/>
      <c r="FA214" s="47"/>
      <c r="FB214" s="47"/>
      <c r="FC214" s="47"/>
      <c r="FD214" s="47"/>
      <c r="FE214" s="47"/>
      <c r="FF214" s="47"/>
      <c r="FG214" s="47"/>
      <c r="FH214" s="47"/>
      <c r="FI214" s="47"/>
      <c r="FJ214" s="49"/>
      <c r="FK214" s="47"/>
      <c r="FL214" s="47"/>
      <c r="FM214" s="47"/>
      <c r="FN214" s="47"/>
      <c r="FO214" s="47"/>
      <c r="FP214" s="47"/>
      <c r="FQ214" s="47"/>
      <c r="FR214" s="47"/>
      <c r="FS214" s="47"/>
      <c r="FT214" s="47"/>
      <c r="FU214" s="47"/>
      <c r="FV214" s="47"/>
      <c r="FW214" s="47"/>
      <c r="FX214" s="47"/>
      <c r="FY214" s="47"/>
      <c r="FZ214" s="47"/>
      <c r="GA214" s="47"/>
      <c r="GB214" s="47"/>
      <c r="GC214" s="47"/>
      <c r="GD214" s="47"/>
      <c r="GE214" s="47"/>
      <c r="GF214" s="47"/>
      <c r="GG214" s="47"/>
      <c r="GH214" s="47"/>
      <c r="GI214" s="47"/>
      <c r="GJ214" s="47"/>
      <c r="GK214" s="47"/>
      <c r="GL214" s="47"/>
      <c r="GM214" s="47"/>
      <c r="GN214" s="47"/>
      <c r="GO214" s="47"/>
      <c r="GP214" s="47"/>
      <c r="GQ214" s="47"/>
      <c r="GR214" s="47"/>
      <c r="GS214" s="47"/>
      <c r="GT214" s="47"/>
      <c r="GU214" s="47"/>
      <c r="GV214" s="47"/>
      <c r="GW214" s="47"/>
      <c r="GX214" s="47"/>
      <c r="GY214" s="47"/>
      <c r="GZ214" s="47"/>
      <c r="HA214" s="47"/>
      <c r="HB214" s="47"/>
      <c r="HC214" s="47"/>
      <c r="HD214" s="47"/>
      <c r="HE214" s="47"/>
      <c r="HF214" s="47"/>
      <c r="HI214" s="47"/>
      <c r="HJ214" s="47"/>
      <c r="HK214" s="47"/>
      <c r="HL214" s="47"/>
      <c r="HM214" s="47"/>
      <c r="HN214" s="47"/>
      <c r="HO214" s="47"/>
      <c r="HP214" s="47"/>
      <c r="HS214" s="47"/>
      <c r="HT214" s="47"/>
      <c r="HU214" s="47"/>
      <c r="HV214" s="47"/>
      <c r="HW214" s="47"/>
      <c r="HX214" s="47"/>
      <c r="HY214" s="47"/>
      <c r="HZ214" s="47"/>
      <c r="IC214" s="47"/>
      <c r="ID214" s="47"/>
      <c r="IE214" s="47"/>
      <c r="IF214" s="47"/>
      <c r="IG214" s="47"/>
      <c r="IH214" s="47"/>
      <c r="II214" s="47"/>
      <c r="IJ214" s="47"/>
      <c r="IM214" s="47"/>
      <c r="IN214" s="47"/>
      <c r="IO214" s="47"/>
      <c r="IP214" s="47"/>
      <c r="IQ214" s="47"/>
      <c r="IR214" s="47"/>
      <c r="IS214" s="47"/>
      <c r="IT214" s="47"/>
      <c r="IW214" s="47"/>
      <c r="IX214" s="47"/>
      <c r="IY214" s="47"/>
      <c r="IZ214" s="47"/>
      <c r="JA214" s="47"/>
      <c r="JB214" s="47"/>
      <c r="JC214" s="47"/>
      <c r="JD214" s="47"/>
      <c r="JG214" s="47"/>
      <c r="JH214" s="47"/>
      <c r="JI214" s="47"/>
      <c r="JJ214" s="47"/>
      <c r="JK214" s="47"/>
      <c r="JL214" s="47"/>
      <c r="JM214" s="47"/>
      <c r="JN214" s="47"/>
      <c r="JQ214" s="47"/>
      <c r="JR214" s="47"/>
      <c r="JS214" s="47"/>
      <c r="JT214" s="47"/>
      <c r="JU214" s="47"/>
      <c r="JV214" s="47"/>
      <c r="JW214" s="47"/>
      <c r="JX214" s="47"/>
      <c r="KA214" s="47"/>
      <c r="KB214" s="47"/>
      <c r="KC214" s="47"/>
      <c r="KD214" s="47"/>
      <c r="KE214" s="47"/>
      <c r="KF214" s="47"/>
      <c r="KG214" s="47"/>
      <c r="KH214" s="47"/>
      <c r="KK214" s="47"/>
      <c r="KL214" s="47"/>
      <c r="KM214" s="47"/>
      <c r="KN214" s="47"/>
      <c r="KO214" s="47"/>
      <c r="KP214" s="47"/>
      <c r="KQ214" s="47"/>
      <c r="KR214" s="47"/>
      <c r="KU214" s="47"/>
      <c r="KV214" s="47"/>
      <c r="KW214" s="47"/>
      <c r="KX214" s="47"/>
      <c r="KY214" s="47"/>
      <c r="KZ214" s="47"/>
      <c r="LA214" s="47"/>
      <c r="LB214" s="47"/>
    </row>
    <row r="215" spans="29:314" x14ac:dyDescent="0.25">
      <c r="AC215" s="47"/>
      <c r="AD215" s="47"/>
      <c r="AE215" s="47"/>
      <c r="AF215" s="47"/>
      <c r="AG215" s="49"/>
      <c r="AH215" s="47"/>
      <c r="AI215" s="47"/>
      <c r="AJ215" s="47"/>
      <c r="AK215" s="47"/>
      <c r="AL215" s="47"/>
      <c r="AM215" s="47"/>
      <c r="AN215" s="47"/>
      <c r="AO215" s="47"/>
      <c r="AP215" s="47"/>
      <c r="AQ215" s="47"/>
      <c r="AR215" s="47"/>
      <c r="AS215" s="47"/>
      <c r="AT215" s="47"/>
      <c r="AU215" s="47"/>
      <c r="AV215" s="47"/>
      <c r="AW215" s="47"/>
      <c r="AX215" s="47"/>
      <c r="AY215" s="47"/>
      <c r="AZ215" s="47"/>
      <c r="BA215" s="47"/>
      <c r="BB215" s="47"/>
      <c r="BC215" s="47"/>
      <c r="BD215" s="47"/>
      <c r="BE215" s="47"/>
      <c r="BF215" s="47"/>
      <c r="BG215" s="47"/>
      <c r="BH215" s="47"/>
      <c r="BI215" s="47"/>
      <c r="BJ215" s="47"/>
      <c r="BK215" s="47"/>
      <c r="BL215" s="47"/>
      <c r="BM215" s="47"/>
      <c r="BN215" s="49"/>
      <c r="BO215" s="47"/>
      <c r="BP215" s="47"/>
      <c r="BQ215" s="47"/>
      <c r="BR215" s="47"/>
      <c r="BS215" s="47"/>
      <c r="BT215" s="47"/>
      <c r="BU215" s="47"/>
      <c r="BV215" s="47"/>
      <c r="BW215" s="47"/>
      <c r="BX215" s="47"/>
      <c r="BY215" s="47"/>
      <c r="BZ215" s="47"/>
      <c r="CA215" s="47"/>
      <c r="CB215" s="47"/>
      <c r="CC215" s="47"/>
      <c r="CD215" s="47"/>
      <c r="CE215" s="47"/>
      <c r="CF215" s="47"/>
      <c r="CG215" s="49"/>
      <c r="CH215" s="47"/>
      <c r="CI215" s="47"/>
      <c r="CJ215" s="47"/>
      <c r="CK215" s="47"/>
      <c r="CL215" s="47"/>
      <c r="CM215" s="47"/>
      <c r="CN215" s="47"/>
      <c r="CO215" s="47"/>
      <c r="CP215" s="47"/>
      <c r="CQ215" s="47"/>
      <c r="CS215" s="47"/>
      <c r="CT215" s="47"/>
      <c r="CU215" s="47"/>
      <c r="CV215" s="47"/>
      <c r="CW215" s="47"/>
      <c r="CX215" s="47"/>
      <c r="CY215" s="47"/>
      <c r="CZ215" s="47"/>
      <c r="DA215" s="47"/>
      <c r="DB215" s="47"/>
      <c r="DC215" s="47"/>
      <c r="DD215" s="47"/>
      <c r="DE215" s="47"/>
      <c r="DF215" s="47"/>
      <c r="DG215" s="47"/>
      <c r="DH215" s="47"/>
      <c r="DI215" s="47"/>
      <c r="DJ215" s="47"/>
      <c r="DK215" s="47"/>
      <c r="DM215" s="47"/>
      <c r="DN215" s="47"/>
      <c r="DO215" s="47"/>
      <c r="DP215" s="47"/>
      <c r="DQ215" s="47"/>
      <c r="DR215" s="47"/>
      <c r="DS215" s="47"/>
      <c r="DT215" s="47"/>
      <c r="DU215" s="47"/>
      <c r="DV215" s="49"/>
      <c r="DW215" s="47"/>
      <c r="DX215" s="47"/>
      <c r="DY215" s="47"/>
      <c r="DZ215" s="47"/>
      <c r="EA215" s="47"/>
      <c r="EB215" s="47"/>
      <c r="EC215" s="47"/>
      <c r="ED215" s="47"/>
      <c r="EE215" s="47"/>
      <c r="EF215" s="47"/>
      <c r="EG215" s="47"/>
      <c r="EH215" s="47"/>
      <c r="EI215" s="47"/>
      <c r="EJ215" s="47"/>
      <c r="EK215" s="47"/>
      <c r="EL215" s="47"/>
      <c r="EM215" s="47"/>
      <c r="EN215" s="47"/>
      <c r="EO215" s="47"/>
      <c r="EP215" s="47"/>
      <c r="EQ215" s="47"/>
      <c r="ER215" s="47"/>
      <c r="ES215" s="47"/>
      <c r="ET215" s="47"/>
      <c r="EU215" s="47"/>
      <c r="EV215" s="47"/>
      <c r="EW215" s="47"/>
      <c r="EX215" s="47"/>
      <c r="EY215" s="47"/>
      <c r="EZ215" s="47"/>
      <c r="FA215" s="47"/>
      <c r="FB215" s="47"/>
      <c r="FC215" s="47"/>
      <c r="FD215" s="47"/>
      <c r="FE215" s="47"/>
      <c r="FF215" s="47"/>
      <c r="FG215" s="47"/>
      <c r="FH215" s="47"/>
      <c r="FI215" s="47"/>
      <c r="FJ215" s="49"/>
      <c r="FK215" s="47"/>
      <c r="FL215" s="47"/>
      <c r="FM215" s="47"/>
      <c r="FN215" s="47"/>
      <c r="FO215" s="47"/>
      <c r="FP215" s="47"/>
      <c r="FQ215" s="47"/>
      <c r="FR215" s="47"/>
      <c r="FS215" s="47"/>
      <c r="FT215" s="47"/>
      <c r="FU215" s="47"/>
      <c r="FV215" s="47"/>
      <c r="FW215" s="47"/>
      <c r="FX215" s="47"/>
      <c r="FY215" s="47"/>
      <c r="FZ215" s="47"/>
      <c r="GA215" s="47"/>
      <c r="GB215" s="47"/>
      <c r="GC215" s="47"/>
      <c r="GD215" s="47"/>
      <c r="GE215" s="47"/>
      <c r="GF215" s="47"/>
      <c r="GG215" s="47"/>
      <c r="GH215" s="47"/>
      <c r="GI215" s="47"/>
      <c r="GJ215" s="47"/>
      <c r="GK215" s="47"/>
      <c r="GL215" s="47"/>
      <c r="GM215" s="47"/>
      <c r="GN215" s="47"/>
      <c r="GO215" s="47"/>
      <c r="GP215" s="47"/>
      <c r="GQ215" s="47"/>
      <c r="GR215" s="47"/>
      <c r="GS215" s="47"/>
      <c r="GT215" s="47"/>
      <c r="GU215" s="47"/>
      <c r="GV215" s="47"/>
      <c r="GW215" s="47"/>
      <c r="GX215" s="47"/>
      <c r="GY215" s="47"/>
      <c r="GZ215" s="47"/>
      <c r="HA215" s="47"/>
      <c r="HB215" s="47"/>
      <c r="HC215" s="47"/>
      <c r="HD215" s="47"/>
      <c r="HE215" s="47"/>
      <c r="HF215" s="47"/>
      <c r="HI215" s="47"/>
      <c r="HJ215" s="47"/>
      <c r="HK215" s="47"/>
      <c r="HL215" s="47"/>
      <c r="HM215" s="47"/>
      <c r="HN215" s="47"/>
      <c r="HO215" s="47"/>
      <c r="HP215" s="47"/>
      <c r="HS215" s="47"/>
      <c r="HT215" s="47"/>
      <c r="HU215" s="47"/>
      <c r="HV215" s="47"/>
      <c r="HW215" s="47"/>
      <c r="HX215" s="47"/>
      <c r="HY215" s="47"/>
      <c r="HZ215" s="47"/>
      <c r="IC215" s="47"/>
      <c r="ID215" s="47"/>
      <c r="IE215" s="47"/>
      <c r="IF215" s="47"/>
      <c r="IG215" s="47"/>
      <c r="IH215" s="47"/>
      <c r="II215" s="47"/>
      <c r="IJ215" s="47"/>
      <c r="IM215" s="47"/>
      <c r="IN215" s="47"/>
      <c r="IO215" s="47"/>
      <c r="IP215" s="47"/>
      <c r="IQ215" s="47"/>
      <c r="IR215" s="47"/>
      <c r="IS215" s="47"/>
      <c r="IT215" s="47"/>
      <c r="IW215" s="47"/>
      <c r="IX215" s="47"/>
      <c r="IY215" s="47"/>
      <c r="IZ215" s="47"/>
      <c r="JA215" s="47"/>
      <c r="JB215" s="47"/>
      <c r="JC215" s="47"/>
      <c r="JD215" s="47"/>
      <c r="JG215" s="47"/>
      <c r="JH215" s="47"/>
      <c r="JI215" s="47"/>
      <c r="JJ215" s="47"/>
      <c r="JK215" s="47"/>
      <c r="JL215" s="47"/>
      <c r="JM215" s="47"/>
      <c r="JN215" s="47"/>
      <c r="JQ215" s="47"/>
      <c r="JR215" s="47"/>
      <c r="JS215" s="47"/>
      <c r="JT215" s="47"/>
      <c r="JU215" s="47"/>
      <c r="JV215" s="47"/>
      <c r="JW215" s="47"/>
      <c r="JX215" s="47"/>
      <c r="KA215" s="47"/>
      <c r="KB215" s="47"/>
      <c r="KC215" s="47"/>
      <c r="KD215" s="47"/>
      <c r="KE215" s="47"/>
      <c r="KF215" s="47"/>
      <c r="KG215" s="47"/>
      <c r="KH215" s="47"/>
      <c r="KK215" s="47"/>
      <c r="KL215" s="47"/>
      <c r="KM215" s="47"/>
      <c r="KN215" s="47"/>
      <c r="KO215" s="47"/>
      <c r="KP215" s="47"/>
      <c r="KQ215" s="47"/>
      <c r="KR215" s="47"/>
      <c r="KU215" s="47"/>
      <c r="KV215" s="47"/>
      <c r="KW215" s="47"/>
      <c r="KX215" s="47"/>
      <c r="KY215" s="47"/>
      <c r="KZ215" s="47"/>
      <c r="LA215" s="47"/>
      <c r="LB215" s="47"/>
    </row>
    <row r="216" spans="29:314" x14ac:dyDescent="0.25">
      <c r="AC216" s="47"/>
      <c r="AD216" s="47"/>
      <c r="AE216" s="47"/>
      <c r="AF216" s="47"/>
      <c r="AG216" s="49"/>
      <c r="AH216" s="47"/>
      <c r="AI216" s="47"/>
      <c r="AJ216" s="47"/>
      <c r="AK216" s="47"/>
      <c r="AL216" s="47"/>
      <c r="AM216" s="47"/>
      <c r="AN216" s="47"/>
      <c r="AO216" s="47"/>
      <c r="AP216" s="47"/>
      <c r="AQ216" s="47"/>
      <c r="AR216" s="47"/>
      <c r="AS216" s="47"/>
      <c r="AT216" s="47"/>
      <c r="AU216" s="47"/>
      <c r="AV216" s="47"/>
      <c r="AW216" s="47"/>
      <c r="AX216" s="47"/>
      <c r="AY216" s="47"/>
      <c r="AZ216" s="47"/>
      <c r="BA216" s="47"/>
      <c r="BB216" s="47"/>
      <c r="BC216" s="47"/>
      <c r="BD216" s="47"/>
      <c r="BE216" s="47"/>
      <c r="BF216" s="47"/>
      <c r="BG216" s="47"/>
      <c r="BH216" s="47"/>
      <c r="BI216" s="47"/>
      <c r="BJ216" s="47"/>
      <c r="BK216" s="47"/>
      <c r="BL216" s="47"/>
      <c r="BM216" s="47"/>
      <c r="BN216" s="49"/>
      <c r="BO216" s="47"/>
      <c r="BP216" s="47"/>
      <c r="BQ216" s="47"/>
      <c r="BR216" s="47"/>
      <c r="BS216" s="47"/>
      <c r="BT216" s="47"/>
      <c r="BU216" s="47"/>
      <c r="BV216" s="47"/>
      <c r="BW216" s="47"/>
      <c r="BX216" s="47"/>
      <c r="BY216" s="47"/>
      <c r="BZ216" s="47"/>
      <c r="CA216" s="47"/>
      <c r="CB216" s="47"/>
      <c r="CC216" s="47"/>
      <c r="CD216" s="47"/>
      <c r="CE216" s="47"/>
      <c r="CF216" s="47"/>
      <c r="CG216" s="49"/>
      <c r="CH216" s="47"/>
      <c r="CI216" s="47"/>
      <c r="CJ216" s="47"/>
      <c r="CK216" s="47"/>
      <c r="CL216" s="47"/>
      <c r="CM216" s="47"/>
      <c r="CN216" s="47"/>
      <c r="CO216" s="47"/>
      <c r="CP216" s="47"/>
      <c r="CQ216" s="47"/>
      <c r="CS216" s="47"/>
      <c r="CT216" s="47"/>
      <c r="CU216" s="47"/>
      <c r="CV216" s="47"/>
      <c r="CW216" s="47"/>
      <c r="CX216" s="47"/>
      <c r="CY216" s="47"/>
      <c r="CZ216" s="47"/>
      <c r="DA216" s="47"/>
      <c r="DB216" s="47"/>
      <c r="DC216" s="47"/>
      <c r="DD216" s="47"/>
      <c r="DE216" s="47"/>
      <c r="DF216" s="47"/>
      <c r="DG216" s="47"/>
      <c r="DH216" s="47"/>
      <c r="DI216" s="47"/>
      <c r="DJ216" s="47"/>
      <c r="DK216" s="47"/>
      <c r="DM216" s="47"/>
      <c r="DN216" s="47"/>
      <c r="DO216" s="47"/>
      <c r="DP216" s="47"/>
      <c r="DQ216" s="47"/>
      <c r="DR216" s="47"/>
      <c r="DS216" s="47"/>
      <c r="DT216" s="47"/>
      <c r="DU216" s="47"/>
      <c r="DV216" s="49"/>
      <c r="DW216" s="47"/>
      <c r="DX216" s="47"/>
      <c r="DY216" s="47"/>
      <c r="DZ216" s="47"/>
      <c r="EA216" s="47"/>
      <c r="EB216" s="47"/>
      <c r="EC216" s="47"/>
      <c r="ED216" s="47"/>
      <c r="EE216" s="47"/>
      <c r="EF216" s="47"/>
      <c r="EG216" s="47"/>
      <c r="EH216" s="47"/>
      <c r="EI216" s="47"/>
      <c r="EJ216" s="47"/>
      <c r="EK216" s="47"/>
      <c r="EL216" s="47"/>
      <c r="EM216" s="47"/>
      <c r="EN216" s="47"/>
      <c r="EO216" s="47"/>
      <c r="EP216" s="47"/>
      <c r="EQ216" s="47"/>
      <c r="ER216" s="47"/>
      <c r="ES216" s="47"/>
      <c r="ET216" s="47"/>
      <c r="EU216" s="47"/>
      <c r="EV216" s="47"/>
      <c r="EW216" s="47"/>
      <c r="EX216" s="47"/>
      <c r="EY216" s="47"/>
      <c r="EZ216" s="47"/>
      <c r="FA216" s="47"/>
      <c r="FB216" s="47"/>
      <c r="FC216" s="47"/>
      <c r="FD216" s="47"/>
      <c r="FE216" s="47"/>
      <c r="FF216" s="47"/>
      <c r="FG216" s="47"/>
      <c r="FH216" s="47"/>
      <c r="FI216" s="47"/>
      <c r="FJ216" s="49"/>
      <c r="FK216" s="47"/>
      <c r="FL216" s="47"/>
      <c r="FM216" s="47"/>
      <c r="FN216" s="47"/>
      <c r="FO216" s="47"/>
      <c r="FP216" s="47"/>
      <c r="FQ216" s="47"/>
      <c r="FR216" s="47"/>
      <c r="FS216" s="47"/>
      <c r="FT216" s="47"/>
      <c r="FU216" s="47"/>
      <c r="FV216" s="47"/>
      <c r="FW216" s="47"/>
      <c r="FX216" s="47"/>
      <c r="FY216" s="47"/>
      <c r="FZ216" s="47"/>
      <c r="GA216" s="47"/>
      <c r="GB216" s="47"/>
      <c r="GC216" s="47"/>
      <c r="GD216" s="47"/>
      <c r="GE216" s="47"/>
      <c r="GF216" s="47"/>
      <c r="GG216" s="47"/>
      <c r="GH216" s="47"/>
      <c r="GI216" s="47"/>
      <c r="GJ216" s="47"/>
      <c r="GK216" s="47"/>
      <c r="GL216" s="47"/>
      <c r="GM216" s="47"/>
      <c r="GN216" s="47"/>
      <c r="GO216" s="47"/>
      <c r="GP216" s="47"/>
      <c r="GQ216" s="47"/>
      <c r="GR216" s="47"/>
      <c r="GS216" s="47"/>
      <c r="GT216" s="47"/>
      <c r="GU216" s="47"/>
      <c r="GV216" s="47"/>
      <c r="GW216" s="47"/>
      <c r="GX216" s="47"/>
      <c r="GY216" s="47"/>
      <c r="GZ216" s="47"/>
      <c r="HA216" s="47"/>
      <c r="HB216" s="47"/>
      <c r="HC216" s="47"/>
      <c r="HD216" s="47"/>
      <c r="HE216" s="47"/>
      <c r="HF216" s="47"/>
      <c r="HI216" s="47"/>
      <c r="HJ216" s="47"/>
      <c r="HK216" s="47"/>
      <c r="HL216" s="47"/>
      <c r="HM216" s="47"/>
      <c r="HN216" s="47"/>
      <c r="HO216" s="47"/>
      <c r="HP216" s="47"/>
      <c r="HS216" s="47"/>
      <c r="HT216" s="47"/>
      <c r="HU216" s="47"/>
      <c r="HV216" s="47"/>
      <c r="HW216" s="47"/>
      <c r="HX216" s="47"/>
      <c r="HY216" s="47"/>
      <c r="HZ216" s="47"/>
      <c r="IC216" s="47"/>
      <c r="ID216" s="47"/>
      <c r="IE216" s="47"/>
      <c r="IF216" s="47"/>
      <c r="IG216" s="47"/>
      <c r="IH216" s="47"/>
      <c r="II216" s="47"/>
      <c r="IJ216" s="47"/>
      <c r="IM216" s="47"/>
      <c r="IN216" s="47"/>
      <c r="IO216" s="47"/>
      <c r="IP216" s="47"/>
      <c r="IQ216" s="47"/>
      <c r="IR216" s="47"/>
      <c r="IS216" s="47"/>
      <c r="IT216" s="47"/>
      <c r="IW216" s="47"/>
      <c r="IX216" s="47"/>
      <c r="IY216" s="47"/>
      <c r="IZ216" s="47"/>
      <c r="JA216" s="47"/>
      <c r="JB216" s="47"/>
      <c r="JC216" s="47"/>
      <c r="JD216" s="47"/>
      <c r="JG216" s="47"/>
      <c r="JH216" s="47"/>
      <c r="JI216" s="47"/>
      <c r="JJ216" s="47"/>
      <c r="JK216" s="47"/>
      <c r="JL216" s="47"/>
      <c r="JM216" s="47"/>
      <c r="JN216" s="47"/>
      <c r="JQ216" s="47"/>
      <c r="JR216" s="47"/>
      <c r="JS216" s="47"/>
      <c r="JT216" s="47"/>
      <c r="JU216" s="47"/>
      <c r="JV216" s="47"/>
      <c r="JW216" s="47"/>
      <c r="JX216" s="47"/>
      <c r="KA216" s="47"/>
      <c r="KB216" s="47"/>
      <c r="KC216" s="47"/>
      <c r="KD216" s="47"/>
      <c r="KE216" s="47"/>
      <c r="KF216" s="47"/>
      <c r="KG216" s="47"/>
      <c r="KH216" s="47"/>
      <c r="KK216" s="47"/>
      <c r="KL216" s="47"/>
      <c r="KM216" s="47"/>
      <c r="KN216" s="47"/>
      <c r="KO216" s="47"/>
      <c r="KP216" s="47"/>
      <c r="KQ216" s="47"/>
      <c r="KR216" s="47"/>
      <c r="KU216" s="47"/>
      <c r="KV216" s="47"/>
      <c r="KW216" s="47"/>
      <c r="KX216" s="47"/>
      <c r="KY216" s="47"/>
      <c r="KZ216" s="47"/>
      <c r="LA216" s="47"/>
      <c r="LB216" s="47"/>
    </row>
    <row r="217" spans="29:314" x14ac:dyDescent="0.25">
      <c r="AC217" s="47"/>
      <c r="AD217" s="47"/>
      <c r="AE217" s="47"/>
      <c r="AF217" s="47"/>
      <c r="AG217" s="49"/>
      <c r="AH217" s="47"/>
      <c r="AI217" s="47"/>
      <c r="AJ217" s="47"/>
      <c r="AK217" s="47"/>
      <c r="AL217" s="47"/>
      <c r="AM217" s="47"/>
      <c r="AN217" s="47"/>
      <c r="AO217" s="47"/>
      <c r="AP217" s="47"/>
      <c r="AQ217" s="47"/>
      <c r="AR217" s="47"/>
      <c r="AS217" s="47"/>
      <c r="AT217" s="47"/>
      <c r="AU217" s="47"/>
      <c r="AV217" s="47"/>
      <c r="AW217" s="47"/>
      <c r="AX217" s="47"/>
      <c r="AY217" s="47"/>
      <c r="AZ217" s="47"/>
      <c r="BA217" s="47"/>
      <c r="BB217" s="47"/>
      <c r="BC217" s="47"/>
      <c r="BD217" s="47"/>
      <c r="BE217" s="47"/>
      <c r="BF217" s="47"/>
      <c r="BG217" s="47"/>
      <c r="BH217" s="47"/>
      <c r="BI217" s="47"/>
      <c r="BJ217" s="47"/>
      <c r="BK217" s="47"/>
      <c r="BL217" s="47"/>
      <c r="BM217" s="47"/>
      <c r="BN217" s="49"/>
      <c r="BO217" s="47"/>
      <c r="BP217" s="47"/>
      <c r="BQ217" s="47"/>
      <c r="BR217" s="47"/>
      <c r="BS217" s="47"/>
      <c r="BT217" s="47"/>
      <c r="BU217" s="47"/>
      <c r="BV217" s="47"/>
      <c r="BW217" s="47"/>
      <c r="BX217" s="47"/>
      <c r="BY217" s="47"/>
      <c r="BZ217" s="47"/>
      <c r="CA217" s="47"/>
      <c r="CB217" s="47"/>
      <c r="CC217" s="47"/>
      <c r="CD217" s="47"/>
      <c r="CE217" s="47"/>
      <c r="CF217" s="47"/>
      <c r="CG217" s="49"/>
      <c r="CH217" s="47"/>
      <c r="CI217" s="47"/>
      <c r="CJ217" s="47"/>
      <c r="CK217" s="47"/>
      <c r="CL217" s="47"/>
      <c r="CM217" s="47"/>
      <c r="CN217" s="47"/>
      <c r="CO217" s="47"/>
      <c r="CP217" s="47"/>
      <c r="CQ217" s="47"/>
      <c r="CS217" s="47"/>
      <c r="CT217" s="47"/>
      <c r="CU217" s="47"/>
      <c r="CV217" s="47"/>
      <c r="CW217" s="47"/>
      <c r="CX217" s="47"/>
      <c r="CY217" s="47"/>
      <c r="CZ217" s="47"/>
      <c r="DA217" s="47"/>
      <c r="DB217" s="47"/>
      <c r="DC217" s="47"/>
      <c r="DD217" s="47"/>
      <c r="DE217" s="47"/>
      <c r="DF217" s="47"/>
      <c r="DG217" s="47"/>
      <c r="DH217" s="47"/>
      <c r="DI217" s="47"/>
      <c r="DJ217" s="47"/>
      <c r="DK217" s="47"/>
      <c r="DM217" s="47"/>
      <c r="DN217" s="47"/>
      <c r="DO217" s="47"/>
      <c r="DP217" s="47"/>
      <c r="DQ217" s="47"/>
      <c r="DR217" s="47"/>
      <c r="DS217" s="47"/>
      <c r="DT217" s="47"/>
      <c r="DU217" s="47"/>
      <c r="DV217" s="49"/>
      <c r="DW217" s="47"/>
      <c r="DX217" s="47"/>
      <c r="DY217" s="47"/>
      <c r="DZ217" s="47"/>
      <c r="EA217" s="47"/>
      <c r="EB217" s="47"/>
      <c r="EC217" s="47"/>
      <c r="ED217" s="47"/>
      <c r="EE217" s="47"/>
      <c r="EF217" s="47"/>
      <c r="EG217" s="47"/>
      <c r="EH217" s="47"/>
      <c r="EI217" s="47"/>
      <c r="EJ217" s="47"/>
      <c r="EK217" s="47"/>
      <c r="EL217" s="47"/>
      <c r="EM217" s="47"/>
      <c r="EN217" s="47"/>
      <c r="EO217" s="47"/>
      <c r="EP217" s="47"/>
      <c r="EQ217" s="47"/>
      <c r="ER217" s="47"/>
      <c r="ES217" s="47"/>
      <c r="ET217" s="47"/>
      <c r="EU217" s="47"/>
      <c r="EV217" s="47"/>
      <c r="EW217" s="47"/>
      <c r="EX217" s="47"/>
      <c r="EY217" s="47"/>
      <c r="EZ217" s="47"/>
      <c r="FA217" s="47"/>
      <c r="FB217" s="47"/>
      <c r="FC217" s="47"/>
      <c r="FD217" s="47"/>
      <c r="FE217" s="47"/>
      <c r="FF217" s="47"/>
      <c r="FG217" s="47"/>
      <c r="FH217" s="47"/>
      <c r="FI217" s="47"/>
      <c r="FJ217" s="49"/>
      <c r="FK217" s="47"/>
      <c r="FL217" s="47"/>
      <c r="FM217" s="47"/>
      <c r="FN217" s="47"/>
      <c r="FO217" s="47"/>
      <c r="FP217" s="47"/>
      <c r="FQ217" s="47"/>
      <c r="FR217" s="47"/>
      <c r="FS217" s="47"/>
      <c r="FT217" s="47"/>
      <c r="FU217" s="47"/>
      <c r="FV217" s="47"/>
      <c r="FW217" s="47"/>
      <c r="FX217" s="47"/>
      <c r="FY217" s="47"/>
      <c r="FZ217" s="47"/>
      <c r="GA217" s="47"/>
      <c r="GB217" s="47"/>
      <c r="GC217" s="47"/>
      <c r="GD217" s="47"/>
      <c r="GE217" s="47"/>
      <c r="GF217" s="47"/>
      <c r="GG217" s="47"/>
      <c r="GH217" s="47"/>
      <c r="GI217" s="47"/>
      <c r="GJ217" s="47"/>
      <c r="GK217" s="47"/>
      <c r="GL217" s="47"/>
      <c r="GM217" s="47"/>
      <c r="GN217" s="47"/>
      <c r="GO217" s="47"/>
      <c r="GP217" s="47"/>
      <c r="GQ217" s="47"/>
      <c r="GR217" s="47"/>
      <c r="GS217" s="47"/>
      <c r="GT217" s="47"/>
      <c r="GU217" s="47"/>
      <c r="GV217" s="47"/>
      <c r="GW217" s="47"/>
      <c r="GX217" s="47"/>
      <c r="GY217" s="47"/>
      <c r="GZ217" s="47"/>
      <c r="HA217" s="47"/>
      <c r="HB217" s="47"/>
      <c r="HC217" s="47"/>
      <c r="HD217" s="47"/>
      <c r="HE217" s="47"/>
      <c r="HF217" s="47"/>
      <c r="HI217" s="47"/>
      <c r="HJ217" s="47"/>
      <c r="HK217" s="47"/>
      <c r="HL217" s="47"/>
      <c r="HM217" s="47"/>
      <c r="HN217" s="47"/>
      <c r="HO217" s="47"/>
      <c r="HP217" s="47"/>
      <c r="HS217" s="47"/>
      <c r="HT217" s="47"/>
      <c r="HU217" s="47"/>
      <c r="HV217" s="47"/>
      <c r="HW217" s="47"/>
      <c r="HX217" s="47"/>
      <c r="HY217" s="47"/>
      <c r="HZ217" s="47"/>
      <c r="IC217" s="47"/>
      <c r="ID217" s="47"/>
      <c r="IE217" s="47"/>
      <c r="IF217" s="47"/>
      <c r="IG217" s="47"/>
      <c r="IH217" s="47"/>
      <c r="II217" s="47"/>
      <c r="IJ217" s="47"/>
      <c r="IM217" s="47"/>
      <c r="IN217" s="47"/>
      <c r="IO217" s="47"/>
      <c r="IP217" s="47"/>
      <c r="IQ217" s="47"/>
      <c r="IR217" s="47"/>
      <c r="IS217" s="47"/>
      <c r="IT217" s="47"/>
      <c r="IW217" s="47"/>
      <c r="IX217" s="47"/>
      <c r="IY217" s="47"/>
      <c r="IZ217" s="47"/>
      <c r="JA217" s="47"/>
      <c r="JB217" s="47"/>
      <c r="JC217" s="47"/>
      <c r="JD217" s="47"/>
      <c r="JG217" s="47"/>
      <c r="JH217" s="47"/>
      <c r="JI217" s="47"/>
      <c r="JJ217" s="47"/>
      <c r="JK217" s="47"/>
      <c r="JL217" s="47"/>
      <c r="JM217" s="47"/>
      <c r="JN217" s="47"/>
      <c r="JQ217" s="47"/>
      <c r="JR217" s="47"/>
      <c r="JS217" s="47"/>
      <c r="JT217" s="47"/>
      <c r="JU217" s="47"/>
      <c r="JV217" s="47"/>
      <c r="JW217" s="47"/>
      <c r="JX217" s="47"/>
      <c r="KA217" s="47"/>
      <c r="KB217" s="47"/>
      <c r="KC217" s="47"/>
      <c r="KD217" s="47"/>
      <c r="KE217" s="47"/>
      <c r="KF217" s="47"/>
      <c r="KG217" s="47"/>
      <c r="KH217" s="47"/>
      <c r="KK217" s="47"/>
      <c r="KL217" s="47"/>
      <c r="KM217" s="47"/>
      <c r="KN217" s="47"/>
      <c r="KO217" s="47"/>
      <c r="KP217" s="47"/>
      <c r="KQ217" s="47"/>
      <c r="KR217" s="47"/>
      <c r="KU217" s="47"/>
      <c r="KV217" s="47"/>
      <c r="KW217" s="47"/>
      <c r="KX217" s="47"/>
      <c r="KY217" s="47"/>
      <c r="KZ217" s="47"/>
      <c r="LA217" s="47"/>
      <c r="LB217" s="47"/>
    </row>
    <row r="218" spans="29:314" x14ac:dyDescent="0.25">
      <c r="AC218" s="47"/>
      <c r="AD218" s="47"/>
      <c r="AE218" s="47"/>
      <c r="AF218" s="47"/>
      <c r="AG218" s="49"/>
      <c r="AH218" s="47"/>
      <c r="AI218" s="47"/>
      <c r="AJ218" s="47"/>
      <c r="AK218" s="47"/>
      <c r="AL218" s="47"/>
      <c r="AM218" s="47"/>
      <c r="AN218" s="47"/>
      <c r="AO218" s="47"/>
      <c r="AP218" s="47"/>
      <c r="AQ218" s="47"/>
      <c r="AR218" s="47"/>
      <c r="AS218" s="47"/>
      <c r="AT218" s="47"/>
      <c r="AU218" s="47"/>
      <c r="AV218" s="47"/>
      <c r="AW218" s="47"/>
      <c r="AX218" s="47"/>
      <c r="AY218" s="47"/>
      <c r="AZ218" s="47"/>
      <c r="BA218" s="47"/>
      <c r="BB218" s="47"/>
      <c r="BC218" s="47"/>
      <c r="BD218" s="47"/>
      <c r="BE218" s="47"/>
      <c r="BF218" s="47"/>
      <c r="BG218" s="47"/>
      <c r="BH218" s="47"/>
      <c r="BI218" s="47"/>
      <c r="BJ218" s="47"/>
      <c r="BK218" s="47"/>
      <c r="BL218" s="47"/>
      <c r="BM218" s="47"/>
      <c r="BN218" s="49"/>
      <c r="BO218" s="47"/>
      <c r="BP218" s="47"/>
      <c r="BQ218" s="47"/>
      <c r="BR218" s="47"/>
      <c r="BS218" s="47"/>
      <c r="BT218" s="47"/>
      <c r="BU218" s="47"/>
      <c r="BV218" s="47"/>
      <c r="BW218" s="47"/>
      <c r="BX218" s="47"/>
      <c r="BY218" s="47"/>
      <c r="BZ218" s="47"/>
      <c r="CA218" s="47"/>
      <c r="CB218" s="47"/>
      <c r="CC218" s="47"/>
      <c r="CD218" s="47"/>
      <c r="CE218" s="47"/>
      <c r="CF218" s="47"/>
      <c r="CG218" s="49"/>
      <c r="CH218" s="47"/>
      <c r="CI218" s="47"/>
      <c r="CJ218" s="47"/>
      <c r="CK218" s="47"/>
      <c r="CL218" s="47"/>
      <c r="CM218" s="47"/>
      <c r="CN218" s="47"/>
      <c r="CO218" s="47"/>
      <c r="CP218" s="47"/>
      <c r="CQ218" s="47"/>
      <c r="CS218" s="47"/>
      <c r="CT218" s="47"/>
      <c r="CU218" s="47"/>
      <c r="CV218" s="47"/>
      <c r="CW218" s="47"/>
      <c r="CX218" s="47"/>
      <c r="CY218" s="47"/>
      <c r="CZ218" s="47"/>
      <c r="DA218" s="47"/>
      <c r="DB218" s="47"/>
      <c r="DC218" s="47"/>
      <c r="DD218" s="47"/>
      <c r="DE218" s="47"/>
      <c r="DF218" s="47"/>
      <c r="DG218" s="47"/>
      <c r="DH218" s="47"/>
      <c r="DI218" s="47"/>
      <c r="DJ218" s="47"/>
      <c r="DK218" s="47"/>
      <c r="DM218" s="47"/>
      <c r="DN218" s="47"/>
      <c r="DO218" s="47"/>
      <c r="DP218" s="47"/>
      <c r="DQ218" s="47"/>
      <c r="DR218" s="47"/>
      <c r="DS218" s="47"/>
      <c r="DT218" s="47"/>
      <c r="DU218" s="47"/>
      <c r="DV218" s="49"/>
      <c r="DW218" s="47"/>
      <c r="DX218" s="47"/>
      <c r="DY218" s="47"/>
      <c r="DZ218" s="47"/>
      <c r="EA218" s="47"/>
      <c r="EB218" s="47"/>
      <c r="EC218" s="47"/>
      <c r="ED218" s="47"/>
      <c r="EE218" s="47"/>
      <c r="EF218" s="47"/>
      <c r="EG218" s="47"/>
      <c r="EH218" s="47"/>
      <c r="EI218" s="47"/>
      <c r="EJ218" s="47"/>
      <c r="EK218" s="47"/>
      <c r="EL218" s="47"/>
      <c r="EM218" s="47"/>
      <c r="EN218" s="47"/>
      <c r="EO218" s="47"/>
      <c r="EP218" s="47"/>
      <c r="EQ218" s="47"/>
      <c r="ER218" s="47"/>
      <c r="ES218" s="47"/>
      <c r="ET218" s="47"/>
      <c r="EU218" s="47"/>
      <c r="EV218" s="47"/>
      <c r="EW218" s="47"/>
      <c r="EX218" s="47"/>
      <c r="EY218" s="47"/>
      <c r="EZ218" s="47"/>
      <c r="FA218" s="47"/>
      <c r="FB218" s="47"/>
      <c r="FC218" s="47"/>
      <c r="FD218" s="47"/>
      <c r="FE218" s="47"/>
      <c r="FF218" s="47"/>
      <c r="FG218" s="47"/>
      <c r="FH218" s="47"/>
      <c r="FI218" s="47"/>
      <c r="FJ218" s="49"/>
      <c r="FK218" s="47"/>
      <c r="FL218" s="47"/>
      <c r="FM218" s="47"/>
      <c r="FN218" s="47"/>
      <c r="FO218" s="47"/>
      <c r="FP218" s="47"/>
      <c r="FQ218" s="47"/>
      <c r="FR218" s="47"/>
      <c r="FS218" s="47"/>
      <c r="FT218" s="47"/>
      <c r="FU218" s="47"/>
      <c r="FV218" s="47"/>
      <c r="FW218" s="47"/>
      <c r="FX218" s="47"/>
      <c r="FY218" s="47"/>
      <c r="FZ218" s="47"/>
      <c r="GA218" s="47"/>
      <c r="GB218" s="47"/>
      <c r="GC218" s="47"/>
      <c r="GD218" s="47"/>
      <c r="GE218" s="47"/>
      <c r="GF218" s="47"/>
      <c r="GG218" s="47"/>
      <c r="GH218" s="47"/>
      <c r="GI218" s="47"/>
      <c r="GJ218" s="47"/>
      <c r="GK218" s="47"/>
      <c r="GL218" s="47"/>
      <c r="GM218" s="47"/>
      <c r="GN218" s="47"/>
      <c r="GO218" s="47"/>
      <c r="GP218" s="47"/>
      <c r="GQ218" s="47"/>
      <c r="GR218" s="47"/>
      <c r="GS218" s="47"/>
      <c r="GT218" s="47"/>
      <c r="GU218" s="47"/>
      <c r="GV218" s="47"/>
      <c r="GW218" s="47"/>
      <c r="GX218" s="47"/>
      <c r="GY218" s="47"/>
      <c r="GZ218" s="47"/>
      <c r="HA218" s="47"/>
      <c r="HB218" s="47"/>
      <c r="HC218" s="47"/>
      <c r="HD218" s="47"/>
      <c r="HE218" s="47"/>
      <c r="HF218" s="47"/>
      <c r="HI218" s="47"/>
      <c r="HJ218" s="47"/>
      <c r="HK218" s="47"/>
      <c r="HL218" s="47"/>
      <c r="HM218" s="47"/>
      <c r="HN218" s="47"/>
      <c r="HO218" s="47"/>
      <c r="HP218" s="47"/>
      <c r="HS218" s="47"/>
      <c r="HT218" s="47"/>
      <c r="HU218" s="47"/>
      <c r="HV218" s="47"/>
      <c r="HW218" s="47"/>
      <c r="HX218" s="47"/>
      <c r="HY218" s="47"/>
      <c r="HZ218" s="47"/>
      <c r="IC218" s="47"/>
      <c r="ID218" s="47"/>
      <c r="IE218" s="47"/>
      <c r="IF218" s="47"/>
      <c r="IG218" s="47"/>
      <c r="IH218" s="47"/>
      <c r="II218" s="47"/>
      <c r="IJ218" s="47"/>
      <c r="IM218" s="47"/>
      <c r="IN218" s="47"/>
      <c r="IO218" s="47"/>
      <c r="IP218" s="47"/>
      <c r="IQ218" s="47"/>
      <c r="IR218" s="47"/>
      <c r="IS218" s="47"/>
      <c r="IT218" s="47"/>
      <c r="IW218" s="47"/>
      <c r="IX218" s="47"/>
      <c r="IY218" s="47"/>
      <c r="IZ218" s="47"/>
      <c r="JA218" s="47"/>
      <c r="JB218" s="47"/>
      <c r="JC218" s="47"/>
      <c r="JD218" s="47"/>
      <c r="JG218" s="47"/>
      <c r="JH218" s="47"/>
      <c r="JI218" s="47"/>
      <c r="JJ218" s="47"/>
      <c r="JK218" s="47"/>
      <c r="JL218" s="47"/>
      <c r="JM218" s="47"/>
      <c r="JN218" s="47"/>
      <c r="JQ218" s="47"/>
      <c r="JR218" s="47"/>
      <c r="JS218" s="47"/>
      <c r="JT218" s="47"/>
      <c r="JU218" s="47"/>
      <c r="JV218" s="47"/>
      <c r="JW218" s="47"/>
      <c r="JX218" s="47"/>
      <c r="KA218" s="47"/>
      <c r="KB218" s="47"/>
      <c r="KC218" s="47"/>
      <c r="KD218" s="47"/>
      <c r="KE218" s="47"/>
      <c r="KF218" s="47"/>
      <c r="KG218" s="47"/>
      <c r="KH218" s="47"/>
      <c r="KK218" s="47"/>
      <c r="KL218" s="47"/>
      <c r="KM218" s="47"/>
      <c r="KN218" s="47"/>
      <c r="KO218" s="47"/>
      <c r="KP218" s="47"/>
      <c r="KQ218" s="47"/>
      <c r="KR218" s="47"/>
      <c r="KU218" s="47"/>
      <c r="KV218" s="47"/>
      <c r="KW218" s="47"/>
      <c r="KX218" s="47"/>
      <c r="KY218" s="47"/>
      <c r="KZ218" s="47"/>
      <c r="LA218" s="47"/>
      <c r="LB218" s="47"/>
    </row>
    <row r="219" spans="29:314" x14ac:dyDescent="0.25">
      <c r="AC219" s="47"/>
      <c r="AD219" s="47"/>
      <c r="AE219" s="47"/>
      <c r="AF219" s="47"/>
      <c r="AG219" s="49"/>
      <c r="AH219" s="47"/>
      <c r="AI219" s="47"/>
      <c r="AJ219" s="47"/>
      <c r="AK219" s="47"/>
      <c r="AL219" s="47"/>
      <c r="AM219" s="47"/>
      <c r="AN219" s="47"/>
      <c r="AO219" s="47"/>
      <c r="AP219" s="47"/>
      <c r="AQ219" s="47"/>
      <c r="AR219" s="47"/>
      <c r="AS219" s="47"/>
      <c r="AT219" s="47"/>
      <c r="AU219" s="47"/>
      <c r="AV219" s="47"/>
      <c r="AW219" s="47"/>
      <c r="AX219" s="47"/>
      <c r="AY219" s="47"/>
      <c r="AZ219" s="47"/>
      <c r="BA219" s="47"/>
      <c r="BB219" s="47"/>
      <c r="BC219" s="47"/>
      <c r="BD219" s="47"/>
      <c r="BE219" s="47"/>
      <c r="BF219" s="47"/>
      <c r="BG219" s="47"/>
      <c r="BH219" s="47"/>
      <c r="BI219" s="47"/>
      <c r="BJ219" s="47"/>
      <c r="BK219" s="47"/>
      <c r="BL219" s="47"/>
      <c r="BM219" s="47"/>
      <c r="BN219" s="49"/>
      <c r="BO219" s="47"/>
      <c r="BP219" s="47"/>
      <c r="BQ219" s="47"/>
      <c r="BR219" s="47"/>
      <c r="BS219" s="47"/>
      <c r="BT219" s="47"/>
      <c r="BU219" s="47"/>
      <c r="BV219" s="47"/>
      <c r="BW219" s="47"/>
      <c r="BX219" s="47"/>
      <c r="BY219" s="47"/>
      <c r="BZ219" s="47"/>
      <c r="CA219" s="47"/>
      <c r="CB219" s="47"/>
      <c r="CC219" s="47"/>
      <c r="CD219" s="47"/>
      <c r="CE219" s="47"/>
      <c r="CF219" s="47"/>
      <c r="CG219" s="49"/>
      <c r="CH219" s="47"/>
      <c r="CI219" s="47"/>
      <c r="CJ219" s="47"/>
      <c r="CK219" s="47"/>
      <c r="CL219" s="47"/>
      <c r="CM219" s="47"/>
      <c r="CN219" s="47"/>
      <c r="CO219" s="47"/>
      <c r="CP219" s="47"/>
      <c r="CQ219" s="47"/>
      <c r="CS219" s="47"/>
      <c r="CT219" s="47"/>
      <c r="CU219" s="47"/>
      <c r="CV219" s="47"/>
      <c r="CW219" s="47"/>
      <c r="CX219" s="47"/>
      <c r="CY219" s="47"/>
      <c r="CZ219" s="47"/>
      <c r="DA219" s="47"/>
      <c r="DB219" s="47"/>
      <c r="DC219" s="47"/>
      <c r="DD219" s="47"/>
      <c r="DE219" s="47"/>
      <c r="DF219" s="47"/>
      <c r="DG219" s="47"/>
      <c r="DH219" s="47"/>
      <c r="DI219" s="47"/>
      <c r="DJ219" s="47"/>
      <c r="DK219" s="47"/>
      <c r="DM219" s="47"/>
      <c r="DN219" s="47"/>
      <c r="DO219" s="47"/>
      <c r="DP219" s="47"/>
      <c r="DQ219" s="47"/>
      <c r="DR219" s="47"/>
      <c r="DS219" s="47"/>
      <c r="DT219" s="47"/>
      <c r="DU219" s="47"/>
      <c r="DV219" s="49"/>
      <c r="DW219" s="47"/>
      <c r="DX219" s="47"/>
      <c r="DY219" s="47"/>
      <c r="DZ219" s="47"/>
      <c r="EA219" s="47"/>
      <c r="EB219" s="47"/>
      <c r="EC219" s="47"/>
      <c r="ED219" s="47"/>
      <c r="EE219" s="47"/>
      <c r="EF219" s="47"/>
      <c r="EG219" s="47"/>
      <c r="EH219" s="47"/>
      <c r="EI219" s="47"/>
      <c r="EJ219" s="47"/>
      <c r="EK219" s="47"/>
      <c r="EL219" s="47"/>
      <c r="EM219" s="47"/>
      <c r="EN219" s="47"/>
      <c r="EO219" s="47"/>
      <c r="EP219" s="47"/>
      <c r="EQ219" s="47"/>
      <c r="ER219" s="47"/>
      <c r="ES219" s="47"/>
      <c r="ET219" s="47"/>
      <c r="EU219" s="47"/>
      <c r="EV219" s="47"/>
      <c r="EW219" s="47"/>
      <c r="EX219" s="47"/>
      <c r="EY219" s="47"/>
      <c r="EZ219" s="47"/>
      <c r="FA219" s="47"/>
      <c r="FB219" s="47"/>
      <c r="FC219" s="47"/>
      <c r="FD219" s="47"/>
      <c r="FE219" s="47"/>
      <c r="FF219" s="47"/>
      <c r="FG219" s="47"/>
      <c r="FH219" s="47"/>
      <c r="FI219" s="47"/>
      <c r="FJ219" s="49"/>
      <c r="FK219" s="47"/>
      <c r="FL219" s="47"/>
      <c r="FM219" s="47"/>
      <c r="FN219" s="47"/>
      <c r="FO219" s="47"/>
      <c r="FP219" s="47"/>
      <c r="FQ219" s="47"/>
      <c r="FR219" s="47"/>
      <c r="FS219" s="47"/>
      <c r="FT219" s="47"/>
      <c r="FU219" s="47"/>
      <c r="FV219" s="47"/>
      <c r="FW219" s="47"/>
      <c r="FX219" s="47"/>
      <c r="FY219" s="47"/>
      <c r="FZ219" s="47"/>
      <c r="GA219" s="47"/>
      <c r="GB219" s="47"/>
      <c r="GC219" s="47"/>
      <c r="GD219" s="47"/>
      <c r="GE219" s="47"/>
      <c r="GF219" s="47"/>
      <c r="GG219" s="47"/>
      <c r="GH219" s="47"/>
      <c r="GI219" s="47"/>
      <c r="GJ219" s="47"/>
      <c r="GK219" s="47"/>
      <c r="GL219" s="47"/>
      <c r="GM219" s="47"/>
      <c r="GN219" s="47"/>
      <c r="GO219" s="47"/>
      <c r="GP219" s="47"/>
      <c r="GQ219" s="47"/>
      <c r="GR219" s="47"/>
      <c r="GS219" s="47"/>
      <c r="GT219" s="47"/>
      <c r="GU219" s="47"/>
      <c r="GV219" s="47"/>
      <c r="GW219" s="47"/>
      <c r="GX219" s="47"/>
      <c r="GY219" s="47"/>
      <c r="GZ219" s="47"/>
      <c r="HA219" s="47"/>
      <c r="HB219" s="47"/>
      <c r="HC219" s="47"/>
      <c r="HD219" s="47"/>
      <c r="HE219" s="47"/>
      <c r="HF219" s="47"/>
      <c r="HI219" s="47"/>
      <c r="HJ219" s="47"/>
      <c r="HK219" s="47"/>
      <c r="HL219" s="47"/>
      <c r="HM219" s="47"/>
      <c r="HN219" s="47"/>
      <c r="HO219" s="47"/>
      <c r="HP219" s="47"/>
      <c r="HS219" s="47"/>
      <c r="HT219" s="47"/>
      <c r="HU219" s="47"/>
      <c r="HV219" s="47"/>
      <c r="HW219" s="47"/>
      <c r="HX219" s="47"/>
      <c r="HY219" s="47"/>
      <c r="HZ219" s="47"/>
      <c r="IC219" s="47"/>
      <c r="ID219" s="47"/>
      <c r="IE219" s="47"/>
      <c r="IF219" s="47"/>
      <c r="IG219" s="47"/>
      <c r="IH219" s="47"/>
      <c r="II219" s="47"/>
      <c r="IJ219" s="47"/>
      <c r="IM219" s="47"/>
      <c r="IN219" s="47"/>
      <c r="IO219" s="47"/>
      <c r="IP219" s="47"/>
      <c r="IQ219" s="47"/>
      <c r="IR219" s="47"/>
      <c r="IS219" s="47"/>
      <c r="IT219" s="47"/>
      <c r="IW219" s="47"/>
      <c r="IX219" s="47"/>
      <c r="IY219" s="47"/>
      <c r="IZ219" s="47"/>
      <c r="JA219" s="47"/>
      <c r="JB219" s="47"/>
      <c r="JC219" s="47"/>
      <c r="JD219" s="47"/>
      <c r="JG219" s="47"/>
      <c r="JH219" s="47"/>
      <c r="JI219" s="47"/>
      <c r="JJ219" s="47"/>
      <c r="JK219" s="47"/>
      <c r="JL219" s="47"/>
      <c r="JM219" s="47"/>
      <c r="JN219" s="47"/>
      <c r="JQ219" s="47"/>
      <c r="JR219" s="47"/>
      <c r="JS219" s="47"/>
      <c r="JT219" s="47"/>
      <c r="JU219" s="47"/>
      <c r="JV219" s="47"/>
      <c r="JW219" s="47"/>
      <c r="JX219" s="47"/>
      <c r="KA219" s="47"/>
      <c r="KB219" s="47"/>
      <c r="KC219" s="47"/>
      <c r="KD219" s="47"/>
      <c r="KE219" s="47"/>
      <c r="KF219" s="47"/>
      <c r="KG219" s="47"/>
      <c r="KH219" s="47"/>
      <c r="KK219" s="47"/>
      <c r="KL219" s="47"/>
      <c r="KM219" s="47"/>
      <c r="KN219" s="47"/>
      <c r="KO219" s="47"/>
      <c r="KP219" s="47"/>
      <c r="KQ219" s="47"/>
      <c r="KR219" s="47"/>
      <c r="KU219" s="47"/>
      <c r="KV219" s="47"/>
      <c r="KW219" s="47"/>
      <c r="KX219" s="47"/>
      <c r="KY219" s="47"/>
      <c r="KZ219" s="47"/>
      <c r="LA219" s="47"/>
      <c r="LB219" s="47"/>
    </row>
    <row r="220" spans="29:314" x14ac:dyDescent="0.25">
      <c r="AC220" s="47"/>
      <c r="AD220" s="47"/>
      <c r="AE220" s="47"/>
      <c r="AF220" s="47"/>
      <c r="AG220" s="49"/>
      <c r="AH220" s="47"/>
      <c r="AI220" s="47"/>
      <c r="AJ220" s="47"/>
      <c r="AK220" s="47"/>
      <c r="AL220" s="47"/>
      <c r="AM220" s="47"/>
      <c r="AN220" s="47"/>
      <c r="AO220" s="47"/>
      <c r="AP220" s="47"/>
      <c r="AQ220" s="47"/>
      <c r="AR220" s="47"/>
      <c r="AS220" s="47"/>
      <c r="AT220" s="47"/>
      <c r="AU220" s="47"/>
      <c r="AV220" s="47"/>
      <c r="AW220" s="47"/>
      <c r="AX220" s="47"/>
      <c r="AY220" s="47"/>
      <c r="AZ220" s="47"/>
      <c r="BA220" s="47"/>
      <c r="BB220" s="47"/>
      <c r="BC220" s="47"/>
      <c r="BD220" s="47"/>
      <c r="BE220" s="47"/>
      <c r="BF220" s="47"/>
      <c r="BG220" s="47"/>
      <c r="BH220" s="47"/>
      <c r="BI220" s="47"/>
      <c r="BJ220" s="47"/>
      <c r="BK220" s="47"/>
      <c r="BL220" s="47"/>
      <c r="BM220" s="47"/>
      <c r="BN220" s="49"/>
      <c r="BO220" s="47"/>
      <c r="BP220" s="47"/>
      <c r="BQ220" s="47"/>
      <c r="BR220" s="47"/>
      <c r="BS220" s="47"/>
      <c r="BT220" s="47"/>
      <c r="BU220" s="47"/>
      <c r="BV220" s="47"/>
      <c r="BW220" s="47"/>
      <c r="BX220" s="47"/>
      <c r="BY220" s="47"/>
      <c r="BZ220" s="47"/>
      <c r="CA220" s="47"/>
      <c r="CB220" s="47"/>
      <c r="CC220" s="47"/>
      <c r="CD220" s="47"/>
      <c r="CE220" s="47"/>
      <c r="CF220" s="47"/>
      <c r="CG220" s="49"/>
      <c r="CH220" s="47"/>
      <c r="CI220" s="47"/>
      <c r="CJ220" s="47"/>
      <c r="CK220" s="47"/>
      <c r="CL220" s="47"/>
      <c r="CM220" s="47"/>
      <c r="CN220" s="47"/>
      <c r="CO220" s="47"/>
      <c r="CP220" s="47"/>
      <c r="CQ220" s="47"/>
      <c r="CS220" s="47"/>
      <c r="CT220" s="47"/>
      <c r="CU220" s="47"/>
      <c r="CV220" s="47"/>
      <c r="CW220" s="47"/>
      <c r="CX220" s="47"/>
      <c r="CY220" s="47"/>
      <c r="CZ220" s="47"/>
      <c r="DA220" s="47"/>
      <c r="DB220" s="47"/>
      <c r="DC220" s="47"/>
      <c r="DD220" s="47"/>
      <c r="DE220" s="47"/>
      <c r="DF220" s="47"/>
      <c r="DG220" s="47"/>
      <c r="DH220" s="47"/>
      <c r="DI220" s="47"/>
      <c r="DJ220" s="47"/>
      <c r="DK220" s="47"/>
      <c r="DM220" s="47"/>
      <c r="DN220" s="47"/>
      <c r="DO220" s="47"/>
      <c r="DP220" s="47"/>
      <c r="DQ220" s="47"/>
      <c r="DR220" s="47"/>
      <c r="DS220" s="47"/>
      <c r="DT220" s="47"/>
      <c r="DU220" s="47"/>
      <c r="DV220" s="49"/>
      <c r="DW220" s="47"/>
      <c r="DX220" s="47"/>
      <c r="DY220" s="47"/>
      <c r="DZ220" s="47"/>
      <c r="EA220" s="47"/>
      <c r="EB220" s="47"/>
      <c r="EC220" s="47"/>
      <c r="ED220" s="47"/>
      <c r="EE220" s="47"/>
      <c r="EF220" s="47"/>
      <c r="EG220" s="47"/>
      <c r="EH220" s="47"/>
      <c r="EI220" s="47"/>
      <c r="EJ220" s="47"/>
      <c r="EK220" s="47"/>
      <c r="EL220" s="47"/>
      <c r="EM220" s="47"/>
      <c r="EN220" s="47"/>
      <c r="EO220" s="47"/>
      <c r="EP220" s="47"/>
      <c r="EQ220" s="47"/>
      <c r="ER220" s="47"/>
      <c r="ES220" s="47"/>
      <c r="ET220" s="47"/>
      <c r="EU220" s="47"/>
      <c r="EV220" s="47"/>
      <c r="EW220" s="47"/>
      <c r="EX220" s="47"/>
      <c r="EY220" s="47"/>
      <c r="EZ220" s="47"/>
      <c r="FA220" s="47"/>
      <c r="FB220" s="47"/>
      <c r="FC220" s="47"/>
      <c r="FD220" s="47"/>
      <c r="FE220" s="47"/>
      <c r="FF220" s="47"/>
      <c r="FG220" s="47"/>
      <c r="FH220" s="47"/>
      <c r="FI220" s="47"/>
      <c r="FJ220" s="49"/>
      <c r="FK220" s="47"/>
      <c r="FL220" s="47"/>
      <c r="FM220" s="47"/>
      <c r="FN220" s="47"/>
      <c r="FO220" s="47"/>
      <c r="FP220" s="47"/>
      <c r="FQ220" s="47"/>
      <c r="FR220" s="47"/>
      <c r="FS220" s="47"/>
      <c r="FT220" s="47"/>
      <c r="FU220" s="47"/>
      <c r="FV220" s="47"/>
      <c r="FW220" s="47"/>
      <c r="FX220" s="47"/>
      <c r="FY220" s="47"/>
      <c r="FZ220" s="47"/>
      <c r="GA220" s="47"/>
      <c r="GB220" s="47"/>
      <c r="GC220" s="47"/>
      <c r="GD220" s="47"/>
      <c r="GE220" s="47"/>
      <c r="GF220" s="47"/>
      <c r="GG220" s="47"/>
      <c r="GH220" s="47"/>
      <c r="GI220" s="47"/>
      <c r="GJ220" s="47"/>
      <c r="GK220" s="47"/>
      <c r="GL220" s="47"/>
      <c r="GM220" s="47"/>
      <c r="GN220" s="47"/>
      <c r="GO220" s="47"/>
      <c r="GP220" s="47"/>
      <c r="GQ220" s="47"/>
      <c r="GR220" s="47"/>
      <c r="GS220" s="47"/>
      <c r="GT220" s="47"/>
      <c r="GU220" s="47"/>
      <c r="GV220" s="47"/>
      <c r="GW220" s="47"/>
      <c r="GX220" s="47"/>
      <c r="GY220" s="47"/>
      <c r="GZ220" s="47"/>
      <c r="HA220" s="47"/>
      <c r="HB220" s="47"/>
      <c r="HC220" s="47"/>
      <c r="HD220" s="47"/>
      <c r="HE220" s="47"/>
      <c r="HF220" s="47"/>
      <c r="HI220" s="47"/>
      <c r="HJ220" s="47"/>
      <c r="HK220" s="47"/>
      <c r="HL220" s="47"/>
      <c r="HM220" s="47"/>
      <c r="HN220" s="47"/>
      <c r="HO220" s="47"/>
      <c r="HP220" s="47"/>
      <c r="HS220" s="47"/>
      <c r="HT220" s="47"/>
      <c r="HU220" s="47"/>
      <c r="HV220" s="47"/>
      <c r="HW220" s="47"/>
      <c r="HX220" s="47"/>
      <c r="HY220" s="47"/>
      <c r="HZ220" s="47"/>
      <c r="IC220" s="47"/>
      <c r="ID220" s="47"/>
      <c r="IE220" s="47"/>
      <c r="IF220" s="47"/>
      <c r="IG220" s="47"/>
      <c r="IH220" s="47"/>
      <c r="II220" s="47"/>
      <c r="IJ220" s="47"/>
      <c r="IM220" s="47"/>
      <c r="IN220" s="47"/>
      <c r="IO220" s="47"/>
      <c r="IP220" s="47"/>
      <c r="IQ220" s="47"/>
      <c r="IR220" s="47"/>
      <c r="IS220" s="47"/>
      <c r="IT220" s="47"/>
      <c r="IW220" s="47"/>
      <c r="IX220" s="47"/>
      <c r="IY220" s="47"/>
      <c r="IZ220" s="47"/>
      <c r="JA220" s="47"/>
      <c r="JB220" s="47"/>
      <c r="JC220" s="47"/>
      <c r="JD220" s="47"/>
      <c r="JG220" s="47"/>
      <c r="JH220" s="47"/>
      <c r="JI220" s="47"/>
      <c r="JJ220" s="47"/>
      <c r="JK220" s="47"/>
      <c r="JL220" s="47"/>
      <c r="JM220" s="47"/>
      <c r="JN220" s="47"/>
      <c r="JQ220" s="47"/>
      <c r="JR220" s="47"/>
      <c r="JS220" s="47"/>
      <c r="JT220" s="47"/>
      <c r="JU220" s="47"/>
      <c r="JV220" s="47"/>
      <c r="JW220" s="47"/>
      <c r="JX220" s="47"/>
      <c r="KA220" s="47"/>
      <c r="KB220" s="47"/>
      <c r="KC220" s="47"/>
      <c r="KD220" s="47"/>
      <c r="KE220" s="47"/>
      <c r="KF220" s="47"/>
      <c r="KG220" s="47"/>
      <c r="KH220" s="47"/>
      <c r="KK220" s="47"/>
      <c r="KL220" s="47"/>
      <c r="KM220" s="47"/>
      <c r="KN220" s="47"/>
      <c r="KO220" s="47"/>
      <c r="KP220" s="47"/>
      <c r="KQ220" s="47"/>
      <c r="KR220" s="47"/>
      <c r="KU220" s="47"/>
      <c r="KV220" s="47"/>
      <c r="KW220" s="47"/>
      <c r="KX220" s="47"/>
      <c r="KY220" s="47"/>
      <c r="KZ220" s="47"/>
      <c r="LA220" s="47"/>
      <c r="LB220" s="47"/>
    </row>
    <row r="221" spans="29:314" x14ac:dyDescent="0.25">
      <c r="AC221" s="47"/>
      <c r="AD221" s="47"/>
      <c r="AE221" s="47"/>
      <c r="AF221" s="47"/>
      <c r="AG221" s="49"/>
      <c r="AH221" s="47"/>
      <c r="AI221" s="47"/>
      <c r="AJ221" s="47"/>
      <c r="AK221" s="47"/>
      <c r="AL221" s="47"/>
      <c r="AM221" s="47"/>
      <c r="AN221" s="47"/>
      <c r="AO221" s="47"/>
      <c r="AP221" s="47"/>
      <c r="AQ221" s="47"/>
      <c r="AR221" s="47"/>
      <c r="AS221" s="47"/>
      <c r="AT221" s="47"/>
      <c r="AU221" s="47"/>
      <c r="AV221" s="47"/>
      <c r="AW221" s="47"/>
      <c r="AX221" s="47"/>
      <c r="AY221" s="47"/>
      <c r="AZ221" s="47"/>
      <c r="BA221" s="47"/>
      <c r="BB221" s="47"/>
      <c r="BC221" s="47"/>
      <c r="BD221" s="47"/>
      <c r="BE221" s="47"/>
      <c r="BF221" s="47"/>
      <c r="BG221" s="47"/>
      <c r="BH221" s="47"/>
      <c r="BI221" s="47"/>
      <c r="BJ221" s="47"/>
      <c r="BK221" s="47"/>
      <c r="BL221" s="47"/>
      <c r="BM221" s="47"/>
      <c r="BN221" s="49"/>
      <c r="BO221" s="47"/>
      <c r="BP221" s="47"/>
      <c r="BQ221" s="47"/>
      <c r="BR221" s="47"/>
      <c r="BS221" s="47"/>
      <c r="BT221" s="47"/>
      <c r="BU221" s="47"/>
      <c r="BV221" s="47"/>
      <c r="BW221" s="47"/>
      <c r="BX221" s="47"/>
      <c r="BY221" s="47"/>
      <c r="BZ221" s="47"/>
      <c r="CA221" s="47"/>
      <c r="CB221" s="47"/>
      <c r="CC221" s="47"/>
      <c r="CD221" s="47"/>
      <c r="CE221" s="47"/>
      <c r="CF221" s="47"/>
      <c r="CG221" s="49"/>
      <c r="CH221" s="47"/>
      <c r="CI221" s="47"/>
      <c r="CJ221" s="47"/>
      <c r="CK221" s="47"/>
      <c r="CL221" s="47"/>
      <c r="CM221" s="47"/>
      <c r="CN221" s="47"/>
      <c r="CO221" s="47"/>
      <c r="CP221" s="47"/>
      <c r="CQ221" s="47"/>
      <c r="CS221" s="47"/>
      <c r="CT221" s="47"/>
      <c r="CU221" s="47"/>
      <c r="CV221" s="47"/>
      <c r="CW221" s="47"/>
      <c r="CX221" s="47"/>
      <c r="CY221" s="47"/>
      <c r="CZ221" s="47"/>
      <c r="DA221" s="47"/>
      <c r="DB221" s="47"/>
      <c r="DC221" s="47"/>
      <c r="DD221" s="47"/>
      <c r="DE221" s="47"/>
      <c r="DF221" s="47"/>
      <c r="DG221" s="47"/>
      <c r="DH221" s="47"/>
      <c r="DI221" s="47"/>
      <c r="DJ221" s="47"/>
      <c r="DK221" s="47"/>
      <c r="DM221" s="47"/>
      <c r="DN221" s="47"/>
      <c r="DO221" s="47"/>
      <c r="DP221" s="47"/>
      <c r="DQ221" s="47"/>
      <c r="DR221" s="47"/>
      <c r="DS221" s="47"/>
      <c r="DT221" s="47"/>
      <c r="DU221" s="47"/>
      <c r="DV221" s="49"/>
      <c r="DW221" s="47"/>
      <c r="DX221" s="47"/>
      <c r="DY221" s="47"/>
      <c r="DZ221" s="47"/>
      <c r="EA221" s="47"/>
      <c r="EB221" s="47"/>
      <c r="EC221" s="47"/>
      <c r="ED221" s="47"/>
      <c r="EE221" s="47"/>
      <c r="EF221" s="47"/>
      <c r="EG221" s="47"/>
      <c r="EH221" s="47"/>
      <c r="EI221" s="47"/>
      <c r="EJ221" s="47"/>
      <c r="EK221" s="47"/>
      <c r="EL221" s="47"/>
      <c r="EM221" s="47"/>
      <c r="EN221" s="47"/>
      <c r="EO221" s="47"/>
      <c r="EP221" s="47"/>
      <c r="EQ221" s="47"/>
      <c r="ER221" s="47"/>
      <c r="ES221" s="47"/>
      <c r="ET221" s="47"/>
      <c r="EU221" s="47"/>
      <c r="EV221" s="47"/>
      <c r="EW221" s="47"/>
      <c r="EX221" s="47"/>
      <c r="EY221" s="47"/>
      <c r="EZ221" s="47"/>
      <c r="FA221" s="47"/>
      <c r="FB221" s="47"/>
      <c r="FC221" s="47"/>
      <c r="FD221" s="47"/>
      <c r="FE221" s="47"/>
      <c r="FF221" s="47"/>
      <c r="FG221" s="47"/>
      <c r="FH221" s="47"/>
      <c r="FI221" s="47"/>
      <c r="FJ221" s="49"/>
      <c r="FK221" s="47"/>
      <c r="FL221" s="47"/>
      <c r="FM221" s="47"/>
      <c r="FN221" s="47"/>
      <c r="FO221" s="47"/>
      <c r="FP221" s="47"/>
      <c r="FQ221" s="47"/>
      <c r="FR221" s="47"/>
      <c r="FS221" s="47"/>
      <c r="FT221" s="47"/>
      <c r="FU221" s="47"/>
      <c r="FV221" s="47"/>
      <c r="FW221" s="47"/>
      <c r="FX221" s="47"/>
      <c r="FY221" s="47"/>
      <c r="FZ221" s="47"/>
      <c r="GA221" s="47"/>
      <c r="GB221" s="47"/>
      <c r="GC221" s="47"/>
      <c r="GD221" s="47"/>
      <c r="GE221" s="47"/>
      <c r="GF221" s="47"/>
      <c r="GG221" s="47"/>
      <c r="GH221" s="47"/>
      <c r="GI221" s="47"/>
      <c r="GJ221" s="47"/>
      <c r="GK221" s="47"/>
      <c r="GL221" s="47"/>
      <c r="GM221" s="47"/>
      <c r="GN221" s="47"/>
      <c r="GO221" s="47"/>
      <c r="GP221" s="47"/>
      <c r="GQ221" s="47"/>
      <c r="GR221" s="47"/>
      <c r="GS221" s="47"/>
      <c r="GT221" s="47"/>
      <c r="GU221" s="47"/>
      <c r="GV221" s="47"/>
      <c r="GW221" s="47"/>
      <c r="GX221" s="47"/>
      <c r="GY221" s="47"/>
      <c r="GZ221" s="47"/>
      <c r="HA221" s="47"/>
      <c r="HB221" s="47"/>
      <c r="HC221" s="47"/>
      <c r="HD221" s="47"/>
      <c r="HE221" s="47"/>
      <c r="HF221" s="47"/>
      <c r="HI221" s="47"/>
      <c r="HJ221" s="47"/>
      <c r="HK221" s="47"/>
      <c r="HL221" s="47"/>
      <c r="HM221" s="47"/>
      <c r="HN221" s="47"/>
      <c r="HO221" s="47"/>
      <c r="HP221" s="47"/>
      <c r="HS221" s="47"/>
      <c r="HT221" s="47"/>
      <c r="HU221" s="47"/>
      <c r="HV221" s="47"/>
      <c r="HW221" s="47"/>
      <c r="HX221" s="47"/>
      <c r="HY221" s="47"/>
      <c r="HZ221" s="47"/>
      <c r="IC221" s="47"/>
      <c r="ID221" s="47"/>
      <c r="IE221" s="47"/>
      <c r="IF221" s="47"/>
      <c r="IG221" s="47"/>
      <c r="IH221" s="47"/>
      <c r="II221" s="47"/>
      <c r="IJ221" s="47"/>
      <c r="IM221" s="47"/>
      <c r="IN221" s="47"/>
      <c r="IO221" s="47"/>
      <c r="IP221" s="47"/>
      <c r="IQ221" s="47"/>
      <c r="IR221" s="47"/>
      <c r="IS221" s="47"/>
      <c r="IT221" s="47"/>
      <c r="IW221" s="47"/>
      <c r="IX221" s="47"/>
      <c r="IY221" s="47"/>
      <c r="IZ221" s="47"/>
      <c r="JA221" s="47"/>
      <c r="JB221" s="47"/>
      <c r="JC221" s="47"/>
      <c r="JD221" s="47"/>
      <c r="JG221" s="47"/>
      <c r="JH221" s="47"/>
      <c r="JI221" s="47"/>
      <c r="JJ221" s="47"/>
      <c r="JK221" s="47"/>
      <c r="JL221" s="47"/>
      <c r="JM221" s="47"/>
      <c r="JN221" s="47"/>
      <c r="JQ221" s="47"/>
      <c r="JR221" s="47"/>
      <c r="JS221" s="47"/>
      <c r="JT221" s="47"/>
      <c r="JU221" s="47"/>
      <c r="JV221" s="47"/>
      <c r="JW221" s="47"/>
      <c r="JX221" s="47"/>
      <c r="KA221" s="47"/>
      <c r="KB221" s="47"/>
      <c r="KC221" s="47"/>
      <c r="KD221" s="47"/>
      <c r="KE221" s="47"/>
      <c r="KF221" s="47"/>
      <c r="KG221" s="47"/>
      <c r="KH221" s="47"/>
      <c r="KK221" s="47"/>
      <c r="KL221" s="47"/>
      <c r="KM221" s="47"/>
      <c r="KN221" s="47"/>
      <c r="KO221" s="47"/>
      <c r="KP221" s="47"/>
      <c r="KQ221" s="47"/>
      <c r="KR221" s="47"/>
      <c r="KU221" s="47"/>
      <c r="KV221" s="47"/>
      <c r="KW221" s="47"/>
      <c r="KX221" s="47"/>
      <c r="KY221" s="47"/>
      <c r="KZ221" s="47"/>
      <c r="LA221" s="47"/>
      <c r="LB221" s="47"/>
    </row>
    <row r="222" spans="29:314" x14ac:dyDescent="0.25">
      <c r="AC222" s="47"/>
      <c r="AD222" s="47"/>
      <c r="AE222" s="47"/>
      <c r="AF222" s="47"/>
      <c r="AG222" s="49"/>
      <c r="AH222" s="47"/>
      <c r="AI222" s="47"/>
      <c r="AJ222" s="47"/>
      <c r="AK222" s="47"/>
      <c r="AL222" s="47"/>
      <c r="AM222" s="47"/>
      <c r="AN222" s="47"/>
      <c r="AO222" s="47"/>
      <c r="AP222" s="47"/>
      <c r="AQ222" s="47"/>
      <c r="AR222" s="47"/>
      <c r="AS222" s="47"/>
      <c r="AT222" s="47"/>
      <c r="AU222" s="47"/>
      <c r="AV222" s="47"/>
      <c r="AW222" s="47"/>
      <c r="AX222" s="47"/>
      <c r="AY222" s="47"/>
      <c r="AZ222" s="47"/>
      <c r="BA222" s="47"/>
      <c r="BB222" s="47"/>
      <c r="BC222" s="47"/>
      <c r="BD222" s="47"/>
      <c r="BE222" s="47"/>
      <c r="BF222" s="47"/>
      <c r="BG222" s="47"/>
      <c r="BH222" s="47"/>
      <c r="BI222" s="47"/>
      <c r="BJ222" s="47"/>
      <c r="BK222" s="47"/>
      <c r="BL222" s="47"/>
      <c r="BM222" s="47"/>
      <c r="BN222" s="49"/>
      <c r="BO222" s="47"/>
      <c r="BP222" s="47"/>
      <c r="BQ222" s="47"/>
      <c r="BR222" s="47"/>
      <c r="BS222" s="47"/>
      <c r="BT222" s="47"/>
      <c r="BU222" s="47"/>
      <c r="BV222" s="47"/>
      <c r="BW222" s="47"/>
      <c r="BX222" s="47"/>
      <c r="BY222" s="47"/>
      <c r="BZ222" s="47"/>
      <c r="CA222" s="47"/>
      <c r="CB222" s="47"/>
      <c r="CC222" s="47"/>
      <c r="CD222" s="47"/>
      <c r="CE222" s="47"/>
      <c r="CF222" s="47"/>
      <c r="CG222" s="49"/>
      <c r="CH222" s="47"/>
      <c r="CI222" s="47"/>
      <c r="CJ222" s="47"/>
      <c r="CK222" s="47"/>
      <c r="CL222" s="47"/>
      <c r="CM222" s="47"/>
      <c r="CN222" s="47"/>
      <c r="CO222" s="47"/>
      <c r="CP222" s="47"/>
      <c r="CQ222" s="47"/>
      <c r="CS222" s="47"/>
      <c r="CT222" s="47"/>
      <c r="CU222" s="47"/>
      <c r="CV222" s="47"/>
      <c r="CW222" s="47"/>
      <c r="CX222" s="47"/>
      <c r="CY222" s="47"/>
      <c r="CZ222" s="47"/>
      <c r="DA222" s="47"/>
      <c r="DB222" s="47"/>
      <c r="DC222" s="47"/>
      <c r="DD222" s="47"/>
      <c r="DE222" s="47"/>
      <c r="DF222" s="47"/>
      <c r="DG222" s="47"/>
      <c r="DH222" s="47"/>
      <c r="DI222" s="47"/>
      <c r="DJ222" s="47"/>
      <c r="DK222" s="47"/>
      <c r="DM222" s="47"/>
      <c r="DN222" s="47"/>
      <c r="DO222" s="47"/>
      <c r="DP222" s="47"/>
      <c r="DQ222" s="47"/>
      <c r="DR222" s="47"/>
      <c r="DS222" s="47"/>
      <c r="DT222" s="47"/>
      <c r="DU222" s="47"/>
      <c r="DV222" s="49"/>
      <c r="DW222" s="47"/>
      <c r="DX222" s="47"/>
      <c r="DY222" s="47"/>
      <c r="DZ222" s="47"/>
      <c r="EA222" s="47"/>
      <c r="EB222" s="47"/>
      <c r="EC222" s="47"/>
      <c r="ED222" s="47"/>
      <c r="EE222" s="47"/>
      <c r="EF222" s="47"/>
      <c r="EG222" s="47"/>
      <c r="EH222" s="47"/>
      <c r="EI222" s="47"/>
      <c r="EJ222" s="47"/>
      <c r="EK222" s="47"/>
      <c r="EL222" s="47"/>
      <c r="EM222" s="47"/>
      <c r="EN222" s="47"/>
      <c r="EO222" s="47"/>
      <c r="EP222" s="47"/>
      <c r="EQ222" s="47"/>
      <c r="ER222" s="47"/>
      <c r="ES222" s="47"/>
      <c r="ET222" s="47"/>
      <c r="EU222" s="47"/>
      <c r="EV222" s="47"/>
      <c r="EW222" s="47"/>
      <c r="EX222" s="47"/>
      <c r="EY222" s="47"/>
      <c r="EZ222" s="47"/>
      <c r="FA222" s="47"/>
      <c r="FB222" s="47"/>
      <c r="FC222" s="47"/>
      <c r="FD222" s="47"/>
      <c r="FE222" s="47"/>
      <c r="FF222" s="47"/>
      <c r="FG222" s="47"/>
      <c r="FH222" s="47"/>
      <c r="FI222" s="47"/>
      <c r="FJ222" s="49"/>
      <c r="FK222" s="47"/>
      <c r="FL222" s="47"/>
      <c r="FM222" s="47"/>
      <c r="FN222" s="47"/>
      <c r="FO222" s="47"/>
      <c r="FP222" s="47"/>
      <c r="FQ222" s="47"/>
      <c r="FR222" s="47"/>
      <c r="FS222" s="47"/>
      <c r="FT222" s="47"/>
      <c r="FU222" s="47"/>
      <c r="FV222" s="47"/>
      <c r="FW222" s="47"/>
      <c r="FX222" s="47"/>
      <c r="FY222" s="47"/>
      <c r="FZ222" s="47"/>
      <c r="GA222" s="47"/>
      <c r="GB222" s="47"/>
      <c r="GC222" s="47"/>
      <c r="GD222" s="47"/>
      <c r="GE222" s="47"/>
      <c r="GF222" s="47"/>
      <c r="GG222" s="47"/>
      <c r="GH222" s="47"/>
      <c r="GI222" s="47"/>
      <c r="GJ222" s="47"/>
      <c r="GK222" s="47"/>
      <c r="GL222" s="47"/>
      <c r="GM222" s="47"/>
      <c r="GN222" s="47"/>
      <c r="GO222" s="47"/>
      <c r="GP222" s="47"/>
      <c r="GQ222" s="47"/>
      <c r="GR222" s="47"/>
      <c r="GS222" s="47"/>
      <c r="GT222" s="47"/>
      <c r="GU222" s="47"/>
      <c r="GV222" s="47"/>
      <c r="GW222" s="47"/>
      <c r="GX222" s="47"/>
      <c r="GY222" s="47"/>
      <c r="GZ222" s="47"/>
      <c r="HA222" s="47"/>
      <c r="HB222" s="47"/>
      <c r="HC222" s="47"/>
      <c r="HD222" s="47"/>
      <c r="HE222" s="47"/>
      <c r="HF222" s="47"/>
      <c r="HI222" s="47"/>
      <c r="HJ222" s="47"/>
      <c r="HK222" s="47"/>
      <c r="HL222" s="47"/>
      <c r="HM222" s="47"/>
      <c r="HN222" s="47"/>
      <c r="HO222" s="47"/>
      <c r="HP222" s="47"/>
      <c r="HS222" s="47"/>
      <c r="HT222" s="47"/>
      <c r="HU222" s="47"/>
      <c r="HV222" s="47"/>
      <c r="HW222" s="47"/>
      <c r="HX222" s="47"/>
      <c r="HY222" s="47"/>
      <c r="HZ222" s="47"/>
      <c r="IC222" s="47"/>
      <c r="ID222" s="47"/>
      <c r="IE222" s="47"/>
      <c r="IF222" s="47"/>
      <c r="IG222" s="47"/>
      <c r="IH222" s="47"/>
      <c r="II222" s="47"/>
      <c r="IJ222" s="47"/>
      <c r="IM222" s="47"/>
      <c r="IN222" s="47"/>
      <c r="IO222" s="47"/>
      <c r="IP222" s="47"/>
      <c r="IQ222" s="47"/>
      <c r="IR222" s="47"/>
      <c r="IS222" s="47"/>
      <c r="IT222" s="47"/>
      <c r="IW222" s="47"/>
      <c r="IX222" s="47"/>
      <c r="IY222" s="47"/>
      <c r="IZ222" s="47"/>
      <c r="JA222" s="47"/>
      <c r="JB222" s="47"/>
      <c r="JC222" s="47"/>
      <c r="JD222" s="47"/>
      <c r="JG222" s="47"/>
      <c r="JH222" s="47"/>
      <c r="JI222" s="47"/>
      <c r="JJ222" s="47"/>
      <c r="JK222" s="47"/>
      <c r="JL222" s="47"/>
      <c r="JM222" s="47"/>
      <c r="JN222" s="47"/>
      <c r="JQ222" s="47"/>
      <c r="JR222" s="47"/>
      <c r="JS222" s="47"/>
      <c r="JT222" s="47"/>
      <c r="JU222" s="47"/>
      <c r="JV222" s="47"/>
      <c r="JW222" s="47"/>
      <c r="JX222" s="47"/>
      <c r="KA222" s="47"/>
      <c r="KB222" s="47"/>
      <c r="KC222" s="47"/>
      <c r="KD222" s="47"/>
      <c r="KE222" s="47"/>
      <c r="KF222" s="47"/>
      <c r="KG222" s="47"/>
      <c r="KH222" s="47"/>
      <c r="KK222" s="47"/>
      <c r="KL222" s="47"/>
      <c r="KM222" s="47"/>
      <c r="KN222" s="47"/>
      <c r="KO222" s="47"/>
      <c r="KP222" s="47"/>
      <c r="KQ222" s="47"/>
      <c r="KR222" s="47"/>
      <c r="KU222" s="47"/>
      <c r="KV222" s="47"/>
      <c r="KW222" s="47"/>
      <c r="KX222" s="47"/>
      <c r="KY222" s="47"/>
      <c r="KZ222" s="47"/>
      <c r="LA222" s="47"/>
      <c r="LB222" s="47"/>
    </row>
    <row r="223" spans="29:314" x14ac:dyDescent="0.25">
      <c r="AC223" s="47"/>
      <c r="AD223" s="47"/>
      <c r="AE223" s="47"/>
      <c r="AF223" s="47"/>
      <c r="AG223" s="49"/>
      <c r="AH223" s="47"/>
      <c r="AI223" s="47"/>
      <c r="AJ223" s="47"/>
      <c r="AK223" s="47"/>
      <c r="AL223" s="47"/>
      <c r="AM223" s="47"/>
      <c r="AN223" s="47"/>
      <c r="AO223" s="47"/>
      <c r="AP223" s="47"/>
      <c r="AQ223" s="47"/>
      <c r="AR223" s="47"/>
      <c r="AS223" s="47"/>
      <c r="AT223" s="47"/>
      <c r="AU223" s="47"/>
      <c r="AV223" s="47"/>
      <c r="AW223" s="47"/>
      <c r="AX223" s="47"/>
      <c r="AY223" s="47"/>
      <c r="AZ223" s="47"/>
      <c r="BA223" s="47"/>
      <c r="BB223" s="47"/>
      <c r="BC223" s="47"/>
      <c r="BD223" s="47"/>
      <c r="BE223" s="47"/>
      <c r="BF223" s="47"/>
      <c r="BG223" s="47"/>
      <c r="BH223" s="47"/>
      <c r="BI223" s="47"/>
      <c r="BJ223" s="47"/>
      <c r="BK223" s="47"/>
      <c r="BL223" s="47"/>
      <c r="BM223" s="47"/>
      <c r="BN223" s="49"/>
      <c r="BO223" s="47"/>
      <c r="BP223" s="47"/>
      <c r="BQ223" s="47"/>
      <c r="BR223" s="47"/>
      <c r="BS223" s="47"/>
      <c r="BT223" s="47"/>
      <c r="BU223" s="47"/>
      <c r="BV223" s="47"/>
      <c r="BW223" s="47"/>
      <c r="BX223" s="47"/>
      <c r="BY223" s="47"/>
      <c r="BZ223" s="47"/>
      <c r="CA223" s="47"/>
      <c r="CB223" s="47"/>
      <c r="CC223" s="47"/>
      <c r="CD223" s="47"/>
      <c r="CE223" s="47"/>
      <c r="CF223" s="47"/>
      <c r="CG223" s="49"/>
      <c r="CH223" s="47"/>
      <c r="CI223" s="47"/>
      <c r="CJ223" s="47"/>
      <c r="CK223" s="47"/>
      <c r="CL223" s="47"/>
      <c r="CM223" s="47"/>
      <c r="CN223" s="47"/>
      <c r="CO223" s="47"/>
      <c r="CP223" s="47"/>
      <c r="CQ223" s="47"/>
      <c r="CS223" s="47"/>
      <c r="CT223" s="47"/>
      <c r="CU223" s="47"/>
      <c r="CV223" s="47"/>
      <c r="CW223" s="47"/>
      <c r="CX223" s="47"/>
      <c r="CY223" s="47"/>
      <c r="CZ223" s="47"/>
      <c r="DA223" s="47"/>
      <c r="DB223" s="47"/>
      <c r="DC223" s="47"/>
      <c r="DD223" s="47"/>
      <c r="DE223" s="47"/>
      <c r="DF223" s="47"/>
      <c r="DG223" s="47"/>
      <c r="DH223" s="47"/>
      <c r="DI223" s="47"/>
      <c r="DJ223" s="47"/>
      <c r="DK223" s="47"/>
      <c r="DM223" s="47"/>
      <c r="DN223" s="47"/>
      <c r="DO223" s="47"/>
      <c r="DP223" s="47"/>
      <c r="DQ223" s="47"/>
      <c r="DR223" s="47"/>
      <c r="DS223" s="47"/>
      <c r="DT223" s="47"/>
      <c r="DU223" s="47"/>
      <c r="DV223" s="49"/>
      <c r="DW223" s="47"/>
      <c r="DX223" s="47"/>
      <c r="DY223" s="47"/>
      <c r="DZ223" s="47"/>
      <c r="EA223" s="47"/>
      <c r="EB223" s="47"/>
      <c r="EC223" s="47"/>
      <c r="ED223" s="47"/>
      <c r="EE223" s="47"/>
      <c r="EF223" s="47"/>
      <c r="EG223" s="47"/>
      <c r="EH223" s="47"/>
      <c r="EI223" s="47"/>
      <c r="EJ223" s="47"/>
      <c r="EK223" s="47"/>
      <c r="EL223" s="47"/>
      <c r="EM223" s="47"/>
      <c r="EN223" s="47"/>
      <c r="EO223" s="47"/>
      <c r="EP223" s="47"/>
      <c r="EQ223" s="47"/>
      <c r="ER223" s="47"/>
      <c r="ES223" s="47"/>
      <c r="ET223" s="47"/>
      <c r="EU223" s="47"/>
      <c r="EV223" s="47"/>
      <c r="EW223" s="47"/>
      <c r="EX223" s="47"/>
      <c r="EY223" s="47"/>
      <c r="EZ223" s="47"/>
      <c r="FA223" s="47"/>
      <c r="FB223" s="47"/>
      <c r="FC223" s="47"/>
      <c r="FD223" s="47"/>
      <c r="FE223" s="47"/>
      <c r="FF223" s="47"/>
      <c r="FG223" s="47"/>
      <c r="FH223" s="47"/>
      <c r="FI223" s="47"/>
      <c r="FJ223" s="49"/>
      <c r="FK223" s="47"/>
      <c r="FL223" s="47"/>
      <c r="FM223" s="47"/>
      <c r="FN223" s="47"/>
      <c r="FO223" s="47"/>
      <c r="FP223" s="47"/>
      <c r="FQ223" s="47"/>
      <c r="FR223" s="47"/>
      <c r="FS223" s="47"/>
      <c r="FT223" s="47"/>
      <c r="FU223" s="47"/>
      <c r="FV223" s="47"/>
      <c r="FW223" s="47"/>
      <c r="FX223" s="47"/>
      <c r="FY223" s="47"/>
      <c r="FZ223" s="47"/>
      <c r="GA223" s="47"/>
      <c r="GB223" s="47"/>
      <c r="GC223" s="47"/>
      <c r="GD223" s="47"/>
      <c r="GE223" s="47"/>
      <c r="GF223" s="47"/>
      <c r="GG223" s="47"/>
      <c r="GH223" s="47"/>
      <c r="GI223" s="47"/>
      <c r="GJ223" s="47"/>
      <c r="GK223" s="47"/>
      <c r="GL223" s="47"/>
      <c r="GM223" s="47"/>
      <c r="GN223" s="47"/>
      <c r="GO223" s="47"/>
      <c r="GP223" s="47"/>
      <c r="GQ223" s="47"/>
      <c r="GR223" s="47"/>
      <c r="GS223" s="47"/>
      <c r="GT223" s="47"/>
      <c r="GU223" s="47"/>
      <c r="GV223" s="47"/>
      <c r="GW223" s="47"/>
      <c r="GX223" s="47"/>
      <c r="GY223" s="47"/>
      <c r="GZ223" s="47"/>
      <c r="HA223" s="47"/>
      <c r="HB223" s="47"/>
      <c r="HC223" s="47"/>
      <c r="HD223" s="47"/>
      <c r="HE223" s="47"/>
      <c r="HF223" s="47"/>
      <c r="HI223" s="47"/>
      <c r="HJ223" s="47"/>
      <c r="HK223" s="47"/>
      <c r="HL223" s="47"/>
      <c r="HM223" s="47"/>
      <c r="HN223" s="47"/>
      <c r="HO223" s="47"/>
      <c r="HP223" s="47"/>
      <c r="HS223" s="47"/>
      <c r="HT223" s="47"/>
      <c r="HU223" s="47"/>
      <c r="HV223" s="47"/>
      <c r="HW223" s="47"/>
      <c r="HX223" s="47"/>
      <c r="HY223" s="47"/>
      <c r="HZ223" s="47"/>
      <c r="IC223" s="47"/>
      <c r="ID223" s="47"/>
      <c r="IE223" s="47"/>
      <c r="IF223" s="47"/>
      <c r="IG223" s="47"/>
      <c r="IH223" s="47"/>
      <c r="II223" s="47"/>
      <c r="IJ223" s="47"/>
      <c r="IM223" s="47"/>
      <c r="IN223" s="47"/>
      <c r="IO223" s="47"/>
      <c r="IP223" s="47"/>
      <c r="IQ223" s="47"/>
      <c r="IR223" s="47"/>
      <c r="IS223" s="47"/>
      <c r="IT223" s="47"/>
      <c r="IW223" s="47"/>
      <c r="IX223" s="47"/>
      <c r="IY223" s="47"/>
      <c r="IZ223" s="47"/>
      <c r="JA223" s="47"/>
      <c r="JB223" s="47"/>
      <c r="JC223" s="47"/>
      <c r="JD223" s="47"/>
      <c r="JG223" s="47"/>
      <c r="JH223" s="47"/>
      <c r="JI223" s="47"/>
      <c r="JJ223" s="47"/>
      <c r="JK223" s="47"/>
      <c r="JL223" s="47"/>
      <c r="JM223" s="47"/>
      <c r="JN223" s="47"/>
      <c r="JQ223" s="47"/>
      <c r="JR223" s="47"/>
      <c r="JS223" s="47"/>
      <c r="JT223" s="47"/>
      <c r="JU223" s="47"/>
      <c r="JV223" s="47"/>
      <c r="JW223" s="47"/>
      <c r="JX223" s="47"/>
      <c r="KA223" s="47"/>
      <c r="KB223" s="47"/>
      <c r="KC223" s="47"/>
      <c r="KD223" s="47"/>
      <c r="KE223" s="47"/>
      <c r="KF223" s="47"/>
      <c r="KG223" s="47"/>
      <c r="KH223" s="47"/>
      <c r="KK223" s="47"/>
      <c r="KL223" s="47"/>
      <c r="KM223" s="47"/>
      <c r="KN223" s="47"/>
      <c r="KO223" s="47"/>
      <c r="KP223" s="47"/>
      <c r="KQ223" s="47"/>
      <c r="KR223" s="47"/>
      <c r="KU223" s="47"/>
      <c r="KV223" s="47"/>
      <c r="KW223" s="47"/>
      <c r="KX223" s="47"/>
      <c r="KY223" s="47"/>
      <c r="KZ223" s="47"/>
      <c r="LA223" s="47"/>
      <c r="LB223" s="47"/>
    </row>
    <row r="224" spans="29:314" x14ac:dyDescent="0.25">
      <c r="AC224" s="47"/>
      <c r="AD224" s="47"/>
      <c r="AE224" s="47"/>
      <c r="AF224" s="47"/>
      <c r="AG224" s="49"/>
      <c r="AH224" s="47"/>
      <c r="AI224" s="47"/>
      <c r="AJ224" s="47"/>
      <c r="AK224" s="47"/>
      <c r="AL224" s="47"/>
      <c r="AM224" s="47"/>
      <c r="AN224" s="47"/>
      <c r="AO224" s="47"/>
      <c r="AP224" s="47"/>
      <c r="AQ224" s="47"/>
      <c r="AR224" s="47"/>
      <c r="AS224" s="47"/>
      <c r="AT224" s="47"/>
      <c r="AU224" s="47"/>
      <c r="AV224" s="47"/>
      <c r="AW224" s="47"/>
      <c r="AX224" s="47"/>
      <c r="AY224" s="47"/>
      <c r="AZ224" s="47"/>
      <c r="BA224" s="47"/>
      <c r="BB224" s="47"/>
      <c r="BC224" s="47"/>
      <c r="BD224" s="47"/>
      <c r="BE224" s="47"/>
      <c r="BF224" s="47"/>
      <c r="BG224" s="47"/>
      <c r="BH224" s="47"/>
      <c r="BI224" s="47"/>
      <c r="BJ224" s="47"/>
      <c r="BK224" s="47"/>
      <c r="BL224" s="47"/>
      <c r="BM224" s="47"/>
      <c r="BN224" s="49"/>
      <c r="BO224" s="47"/>
      <c r="BP224" s="47"/>
      <c r="BQ224" s="47"/>
      <c r="BR224" s="47"/>
      <c r="BS224" s="47"/>
      <c r="BT224" s="47"/>
      <c r="BU224" s="47"/>
      <c r="BV224" s="47"/>
      <c r="BW224" s="47"/>
      <c r="BX224" s="47"/>
      <c r="BY224" s="47"/>
      <c r="BZ224" s="47"/>
      <c r="CA224" s="47"/>
      <c r="CB224" s="47"/>
      <c r="CC224" s="47"/>
      <c r="CD224" s="47"/>
      <c r="CE224" s="47"/>
      <c r="CF224" s="47"/>
      <c r="CG224" s="49"/>
      <c r="CH224" s="47"/>
      <c r="CI224" s="47"/>
      <c r="CJ224" s="47"/>
      <c r="CK224" s="47"/>
      <c r="CL224" s="47"/>
      <c r="CM224" s="47"/>
      <c r="CN224" s="47"/>
      <c r="CO224" s="47"/>
      <c r="CP224" s="47"/>
      <c r="CQ224" s="47"/>
      <c r="CS224" s="47"/>
      <c r="CT224" s="47"/>
      <c r="CU224" s="47"/>
      <c r="CV224" s="47"/>
      <c r="CW224" s="47"/>
      <c r="CX224" s="47"/>
      <c r="CY224" s="47"/>
      <c r="CZ224" s="47"/>
      <c r="DA224" s="47"/>
      <c r="DB224" s="47"/>
      <c r="DC224" s="47"/>
      <c r="DD224" s="47"/>
      <c r="DE224" s="47"/>
      <c r="DF224" s="47"/>
      <c r="DG224" s="47"/>
      <c r="DH224" s="47"/>
      <c r="DI224" s="47"/>
      <c r="DJ224" s="47"/>
      <c r="DK224" s="47"/>
      <c r="DM224" s="47"/>
      <c r="DN224" s="47"/>
      <c r="DO224" s="47"/>
      <c r="DP224" s="47"/>
      <c r="DQ224" s="47"/>
      <c r="DR224" s="47"/>
      <c r="DS224" s="47"/>
      <c r="DT224" s="47"/>
      <c r="DU224" s="47"/>
      <c r="DV224" s="49"/>
      <c r="DW224" s="47"/>
      <c r="DX224" s="47"/>
      <c r="DY224" s="47"/>
      <c r="DZ224" s="47"/>
      <c r="EA224" s="47"/>
      <c r="EB224" s="47"/>
      <c r="EC224" s="47"/>
      <c r="ED224" s="47"/>
      <c r="EE224" s="47"/>
      <c r="EF224" s="47"/>
      <c r="EG224" s="47"/>
      <c r="EH224" s="47"/>
      <c r="EI224" s="47"/>
      <c r="EJ224" s="47"/>
      <c r="EK224" s="47"/>
      <c r="EL224" s="47"/>
      <c r="EM224" s="47"/>
      <c r="EN224" s="47"/>
      <c r="EO224" s="47"/>
      <c r="EP224" s="47"/>
      <c r="EQ224" s="47"/>
      <c r="ER224" s="47"/>
      <c r="ES224" s="47"/>
      <c r="ET224" s="47"/>
      <c r="EU224" s="47"/>
      <c r="EV224" s="47"/>
      <c r="EW224" s="47"/>
      <c r="EX224" s="47"/>
      <c r="EY224" s="47"/>
      <c r="EZ224" s="47"/>
      <c r="FA224" s="47"/>
      <c r="FB224" s="47"/>
      <c r="FC224" s="47"/>
      <c r="FD224" s="47"/>
      <c r="FE224" s="47"/>
      <c r="FF224" s="47"/>
      <c r="FG224" s="47"/>
      <c r="FH224" s="47"/>
      <c r="FI224" s="47"/>
      <c r="FJ224" s="49"/>
      <c r="FK224" s="47"/>
      <c r="FL224" s="47"/>
      <c r="FM224" s="47"/>
      <c r="FN224" s="47"/>
      <c r="FO224" s="47"/>
      <c r="FP224" s="47"/>
      <c r="FQ224" s="47"/>
      <c r="FR224" s="47"/>
      <c r="FS224" s="47"/>
      <c r="FT224" s="47"/>
      <c r="FU224" s="47"/>
      <c r="FV224" s="47"/>
      <c r="FW224" s="47"/>
      <c r="FX224" s="47"/>
      <c r="FY224" s="47"/>
      <c r="FZ224" s="47"/>
      <c r="GA224" s="47"/>
      <c r="GB224" s="47"/>
      <c r="GC224" s="47"/>
      <c r="GD224" s="47"/>
      <c r="GE224" s="47"/>
      <c r="GF224" s="47"/>
      <c r="GG224" s="47"/>
      <c r="GH224" s="47"/>
      <c r="GI224" s="47"/>
      <c r="GJ224" s="47"/>
      <c r="GK224" s="47"/>
      <c r="GL224" s="47"/>
      <c r="GM224" s="47"/>
      <c r="GN224" s="47"/>
      <c r="GO224" s="47"/>
      <c r="GP224" s="47"/>
      <c r="GQ224" s="47"/>
      <c r="GR224" s="47"/>
      <c r="GS224" s="47"/>
      <c r="GT224" s="47"/>
      <c r="GU224" s="47"/>
      <c r="GV224" s="47"/>
      <c r="GW224" s="47"/>
      <c r="GX224" s="47"/>
      <c r="GY224" s="47"/>
      <c r="GZ224" s="47"/>
      <c r="HA224" s="47"/>
      <c r="HB224" s="47"/>
      <c r="HC224" s="47"/>
      <c r="HD224" s="47"/>
      <c r="HE224" s="47"/>
      <c r="HF224" s="47"/>
      <c r="HI224" s="47"/>
      <c r="HJ224" s="47"/>
      <c r="HK224" s="47"/>
      <c r="HL224" s="47"/>
      <c r="HM224" s="47"/>
      <c r="HN224" s="47"/>
      <c r="HO224" s="47"/>
      <c r="HP224" s="47"/>
      <c r="HS224" s="47"/>
      <c r="HT224" s="47"/>
      <c r="HU224" s="47"/>
      <c r="HV224" s="47"/>
      <c r="HW224" s="47"/>
      <c r="HX224" s="47"/>
      <c r="HY224" s="47"/>
      <c r="HZ224" s="47"/>
      <c r="IC224" s="47"/>
      <c r="ID224" s="47"/>
      <c r="IE224" s="47"/>
      <c r="IF224" s="47"/>
      <c r="IG224" s="47"/>
      <c r="IH224" s="47"/>
      <c r="II224" s="47"/>
      <c r="IJ224" s="47"/>
      <c r="IM224" s="47"/>
      <c r="IN224" s="47"/>
      <c r="IO224" s="47"/>
      <c r="IP224" s="47"/>
      <c r="IQ224" s="47"/>
      <c r="IR224" s="47"/>
      <c r="IS224" s="47"/>
      <c r="IT224" s="47"/>
      <c r="IW224" s="47"/>
      <c r="IX224" s="47"/>
      <c r="IY224" s="47"/>
      <c r="IZ224" s="47"/>
      <c r="JA224" s="47"/>
      <c r="JB224" s="47"/>
      <c r="JC224" s="47"/>
      <c r="JD224" s="47"/>
      <c r="JG224" s="47"/>
      <c r="JH224" s="47"/>
      <c r="JI224" s="47"/>
      <c r="JJ224" s="47"/>
      <c r="JK224" s="47"/>
      <c r="JL224" s="47"/>
      <c r="JM224" s="47"/>
      <c r="JN224" s="47"/>
      <c r="JQ224" s="47"/>
      <c r="JR224" s="47"/>
      <c r="JS224" s="47"/>
      <c r="JT224" s="47"/>
      <c r="JU224" s="47"/>
      <c r="JV224" s="47"/>
      <c r="JW224" s="47"/>
      <c r="JX224" s="47"/>
      <c r="KA224" s="47"/>
      <c r="KB224" s="47"/>
      <c r="KC224" s="47"/>
      <c r="KD224" s="47"/>
      <c r="KE224" s="47"/>
      <c r="KF224" s="47"/>
      <c r="KG224" s="47"/>
      <c r="KH224" s="47"/>
      <c r="KK224" s="47"/>
      <c r="KL224" s="47"/>
      <c r="KM224" s="47"/>
      <c r="KN224" s="47"/>
      <c r="KO224" s="47"/>
      <c r="KP224" s="47"/>
      <c r="KQ224" s="47"/>
      <c r="KR224" s="47"/>
      <c r="KU224" s="47"/>
      <c r="KV224" s="47"/>
      <c r="KW224" s="47"/>
      <c r="KX224" s="47"/>
      <c r="KY224" s="47"/>
      <c r="KZ224" s="47"/>
      <c r="LA224" s="47"/>
      <c r="LB224" s="47"/>
    </row>
    <row r="225" spans="29:314" x14ac:dyDescent="0.25">
      <c r="AC225" s="47"/>
      <c r="AD225" s="47"/>
      <c r="AE225" s="47"/>
      <c r="AF225" s="47"/>
      <c r="AG225" s="49"/>
      <c r="AH225" s="47"/>
      <c r="AI225" s="47"/>
      <c r="AJ225" s="47"/>
      <c r="AK225" s="47"/>
      <c r="AL225" s="47"/>
      <c r="AM225" s="47"/>
      <c r="AN225" s="47"/>
      <c r="AO225" s="47"/>
      <c r="AP225" s="47"/>
      <c r="AQ225" s="47"/>
      <c r="AR225" s="47"/>
      <c r="AS225" s="47"/>
      <c r="AT225" s="47"/>
      <c r="AU225" s="47"/>
      <c r="AV225" s="47"/>
      <c r="AW225" s="47"/>
      <c r="AX225" s="47"/>
      <c r="AY225" s="47"/>
      <c r="AZ225" s="47"/>
      <c r="BA225" s="47"/>
      <c r="BB225" s="47"/>
      <c r="BC225" s="47"/>
      <c r="BD225" s="47"/>
      <c r="BE225" s="47"/>
      <c r="BF225" s="47"/>
      <c r="BG225" s="47"/>
      <c r="BH225" s="47"/>
      <c r="BI225" s="47"/>
      <c r="BJ225" s="47"/>
      <c r="BK225" s="47"/>
      <c r="BL225" s="47"/>
      <c r="BM225" s="47"/>
      <c r="BN225" s="49"/>
      <c r="BO225" s="47"/>
      <c r="BP225" s="47"/>
      <c r="BQ225" s="47"/>
      <c r="BR225" s="47"/>
      <c r="BS225" s="47"/>
      <c r="BT225" s="47"/>
      <c r="BU225" s="47"/>
      <c r="BV225" s="47"/>
      <c r="BW225" s="47"/>
      <c r="BX225" s="47"/>
      <c r="BY225" s="47"/>
      <c r="BZ225" s="47"/>
      <c r="CA225" s="47"/>
      <c r="CB225" s="47"/>
      <c r="CC225" s="47"/>
      <c r="CD225" s="47"/>
      <c r="CE225" s="47"/>
      <c r="CF225" s="47"/>
      <c r="CG225" s="49"/>
      <c r="CH225" s="47"/>
      <c r="CI225" s="47"/>
      <c r="CJ225" s="47"/>
      <c r="CK225" s="47"/>
      <c r="CL225" s="47"/>
      <c r="CM225" s="47"/>
      <c r="CN225" s="47"/>
      <c r="CO225" s="47"/>
      <c r="CP225" s="47"/>
      <c r="CQ225" s="47"/>
      <c r="CS225" s="47"/>
      <c r="CT225" s="47"/>
      <c r="CU225" s="47"/>
      <c r="CV225" s="47"/>
      <c r="CW225" s="47"/>
      <c r="CX225" s="47"/>
      <c r="CY225" s="47"/>
      <c r="CZ225" s="47"/>
      <c r="DA225" s="47"/>
      <c r="DB225" s="47"/>
      <c r="DC225" s="47"/>
      <c r="DD225" s="47"/>
      <c r="DE225" s="47"/>
      <c r="DF225" s="47"/>
      <c r="DG225" s="47"/>
      <c r="DH225" s="47"/>
      <c r="DI225" s="47"/>
      <c r="DJ225" s="47"/>
      <c r="DK225" s="47"/>
      <c r="DM225" s="47"/>
      <c r="DN225" s="47"/>
      <c r="DO225" s="47"/>
      <c r="DP225" s="47"/>
      <c r="DQ225" s="47"/>
      <c r="DR225" s="47"/>
      <c r="DS225" s="47"/>
      <c r="DT225" s="47"/>
      <c r="DU225" s="47"/>
      <c r="DV225" s="49"/>
      <c r="DW225" s="47"/>
      <c r="DX225" s="47"/>
      <c r="DY225" s="47"/>
      <c r="DZ225" s="47"/>
      <c r="EA225" s="47"/>
      <c r="EB225" s="47"/>
      <c r="EC225" s="47"/>
      <c r="ED225" s="47"/>
      <c r="EE225" s="47"/>
      <c r="EF225" s="47"/>
      <c r="EG225" s="47"/>
      <c r="EH225" s="47"/>
      <c r="EI225" s="47"/>
      <c r="EJ225" s="47"/>
      <c r="EK225" s="47"/>
      <c r="EL225" s="47"/>
      <c r="EM225" s="47"/>
      <c r="EN225" s="47"/>
      <c r="EO225" s="47"/>
      <c r="EP225" s="47"/>
      <c r="EQ225" s="47"/>
      <c r="ER225" s="47"/>
      <c r="ES225" s="47"/>
      <c r="ET225" s="47"/>
      <c r="EU225" s="47"/>
      <c r="EV225" s="47"/>
      <c r="EW225" s="47"/>
      <c r="EX225" s="47"/>
      <c r="EY225" s="47"/>
      <c r="EZ225" s="47"/>
      <c r="FA225" s="47"/>
      <c r="FB225" s="47"/>
      <c r="FC225" s="47"/>
      <c r="FD225" s="47"/>
      <c r="FE225" s="47"/>
      <c r="FF225" s="47"/>
      <c r="FG225" s="47"/>
      <c r="FH225" s="47"/>
      <c r="FI225" s="47"/>
      <c r="FJ225" s="49"/>
      <c r="FK225" s="47"/>
      <c r="FL225" s="47"/>
      <c r="FM225" s="47"/>
      <c r="FN225" s="47"/>
      <c r="FO225" s="47"/>
      <c r="FP225" s="47"/>
      <c r="FQ225" s="47"/>
      <c r="FR225" s="47"/>
      <c r="FS225" s="47"/>
      <c r="FT225" s="47"/>
      <c r="FU225" s="47"/>
      <c r="FV225" s="47"/>
      <c r="FW225" s="47"/>
      <c r="FX225" s="47"/>
      <c r="FY225" s="47"/>
      <c r="FZ225" s="47"/>
      <c r="GA225" s="47"/>
      <c r="GB225" s="47"/>
      <c r="GC225" s="47"/>
      <c r="GD225" s="47"/>
      <c r="GE225" s="47"/>
      <c r="GF225" s="47"/>
      <c r="GG225" s="47"/>
      <c r="GH225" s="47"/>
      <c r="GI225" s="47"/>
      <c r="GJ225" s="47"/>
      <c r="GK225" s="47"/>
      <c r="GL225" s="47"/>
      <c r="GM225" s="47"/>
      <c r="GN225" s="47"/>
      <c r="GO225" s="47"/>
      <c r="GP225" s="47"/>
      <c r="GQ225" s="47"/>
      <c r="GR225" s="47"/>
      <c r="GS225" s="47"/>
      <c r="GT225" s="47"/>
      <c r="GU225" s="47"/>
      <c r="GV225" s="47"/>
      <c r="GW225" s="47"/>
      <c r="GX225" s="47"/>
      <c r="GY225" s="47"/>
      <c r="GZ225" s="47"/>
      <c r="HA225" s="47"/>
      <c r="HB225" s="47"/>
      <c r="HC225" s="47"/>
      <c r="HD225" s="47"/>
      <c r="HE225" s="47"/>
      <c r="HF225" s="47"/>
      <c r="HI225" s="47"/>
      <c r="HJ225" s="47"/>
      <c r="HK225" s="47"/>
      <c r="HL225" s="47"/>
      <c r="HM225" s="47"/>
      <c r="HN225" s="47"/>
      <c r="HO225" s="47"/>
      <c r="HP225" s="47"/>
      <c r="HS225" s="47"/>
      <c r="HT225" s="47"/>
      <c r="HU225" s="47"/>
      <c r="HV225" s="47"/>
      <c r="HW225" s="47"/>
      <c r="HX225" s="47"/>
      <c r="HY225" s="47"/>
      <c r="HZ225" s="47"/>
      <c r="IC225" s="47"/>
      <c r="ID225" s="47"/>
      <c r="IE225" s="47"/>
      <c r="IF225" s="47"/>
      <c r="IG225" s="47"/>
      <c r="IH225" s="47"/>
      <c r="II225" s="47"/>
      <c r="IJ225" s="47"/>
      <c r="IM225" s="47"/>
      <c r="IN225" s="47"/>
      <c r="IO225" s="47"/>
      <c r="IP225" s="47"/>
      <c r="IQ225" s="47"/>
      <c r="IR225" s="47"/>
      <c r="IS225" s="47"/>
      <c r="IT225" s="47"/>
      <c r="IW225" s="47"/>
      <c r="IX225" s="47"/>
      <c r="IY225" s="47"/>
      <c r="IZ225" s="47"/>
      <c r="JA225" s="47"/>
      <c r="JB225" s="47"/>
      <c r="JC225" s="47"/>
      <c r="JD225" s="47"/>
      <c r="JG225" s="47"/>
      <c r="JH225" s="47"/>
      <c r="JI225" s="47"/>
      <c r="JJ225" s="47"/>
      <c r="JK225" s="47"/>
      <c r="JL225" s="47"/>
      <c r="JM225" s="47"/>
      <c r="JN225" s="47"/>
      <c r="JQ225" s="47"/>
      <c r="JR225" s="47"/>
      <c r="JS225" s="47"/>
      <c r="JT225" s="47"/>
      <c r="JU225" s="47"/>
      <c r="JV225" s="47"/>
      <c r="JW225" s="47"/>
      <c r="JX225" s="47"/>
      <c r="KA225" s="47"/>
      <c r="KB225" s="47"/>
      <c r="KC225" s="47"/>
      <c r="KD225" s="47"/>
      <c r="KE225" s="47"/>
      <c r="KF225" s="47"/>
      <c r="KG225" s="47"/>
      <c r="KH225" s="47"/>
      <c r="KK225" s="47"/>
      <c r="KL225" s="47"/>
      <c r="KM225" s="47"/>
      <c r="KN225" s="47"/>
      <c r="KO225" s="47"/>
      <c r="KP225" s="47"/>
      <c r="KQ225" s="47"/>
      <c r="KR225" s="47"/>
      <c r="KU225" s="47"/>
      <c r="KV225" s="47"/>
      <c r="KW225" s="47"/>
      <c r="KX225" s="47"/>
      <c r="KY225" s="47"/>
      <c r="KZ225" s="47"/>
      <c r="LA225" s="47"/>
      <c r="LB225" s="47"/>
    </row>
    <row r="226" spans="29:314" x14ac:dyDescent="0.25">
      <c r="AC226" s="47"/>
      <c r="AD226" s="47"/>
      <c r="AE226" s="47"/>
      <c r="AF226" s="47"/>
      <c r="AG226" s="49"/>
      <c r="AH226" s="47"/>
      <c r="AI226" s="47"/>
      <c r="AJ226" s="47"/>
      <c r="AK226" s="47"/>
      <c r="AL226" s="47"/>
      <c r="AM226" s="47"/>
      <c r="AN226" s="47"/>
      <c r="AO226" s="47"/>
      <c r="AP226" s="47"/>
      <c r="AQ226" s="47"/>
      <c r="AR226" s="47"/>
      <c r="AS226" s="47"/>
      <c r="AT226" s="47"/>
      <c r="AU226" s="47"/>
      <c r="AV226" s="47"/>
      <c r="AW226" s="47"/>
      <c r="AX226" s="47"/>
      <c r="AY226" s="47"/>
      <c r="AZ226" s="47"/>
      <c r="BA226" s="47"/>
      <c r="BB226" s="47"/>
      <c r="BC226" s="47"/>
      <c r="BD226" s="47"/>
      <c r="BE226" s="47"/>
      <c r="BF226" s="47"/>
      <c r="BG226" s="47"/>
      <c r="BH226" s="47"/>
      <c r="BI226" s="47"/>
      <c r="BJ226" s="47"/>
      <c r="BK226" s="47"/>
      <c r="BL226" s="47"/>
      <c r="BM226" s="47"/>
      <c r="BN226" s="49"/>
      <c r="BO226" s="47"/>
      <c r="BP226" s="47"/>
      <c r="BQ226" s="47"/>
      <c r="BR226" s="47"/>
      <c r="BS226" s="47"/>
      <c r="BT226" s="47"/>
      <c r="BU226" s="47"/>
      <c r="BV226" s="47"/>
      <c r="BW226" s="47"/>
      <c r="BX226" s="47"/>
      <c r="BY226" s="47"/>
      <c r="BZ226" s="47"/>
      <c r="CA226" s="47"/>
      <c r="CB226" s="47"/>
      <c r="CC226" s="47"/>
      <c r="CD226" s="47"/>
      <c r="CE226" s="47"/>
      <c r="CF226" s="47"/>
      <c r="CG226" s="49"/>
      <c r="CH226" s="47"/>
      <c r="CI226" s="47"/>
      <c r="CJ226" s="47"/>
      <c r="CK226" s="47"/>
      <c r="CL226" s="47"/>
      <c r="CM226" s="47"/>
      <c r="CN226" s="47"/>
      <c r="CO226" s="47"/>
      <c r="CP226" s="47"/>
      <c r="CQ226" s="47"/>
      <c r="CS226" s="47"/>
      <c r="CT226" s="47"/>
      <c r="CU226" s="47"/>
      <c r="CV226" s="47"/>
      <c r="CW226" s="47"/>
      <c r="CX226" s="47"/>
      <c r="CY226" s="47"/>
      <c r="CZ226" s="47"/>
      <c r="DA226" s="47"/>
      <c r="DB226" s="47"/>
      <c r="DC226" s="47"/>
      <c r="DD226" s="47"/>
      <c r="DE226" s="47"/>
      <c r="DF226" s="47"/>
      <c r="DG226" s="47"/>
      <c r="DH226" s="47"/>
      <c r="DI226" s="47"/>
      <c r="DJ226" s="47"/>
      <c r="DK226" s="47"/>
      <c r="DM226" s="47"/>
      <c r="DN226" s="47"/>
      <c r="DO226" s="47"/>
      <c r="DP226" s="47"/>
      <c r="DQ226" s="47"/>
      <c r="DR226" s="47"/>
      <c r="DS226" s="47"/>
      <c r="DT226" s="47"/>
      <c r="DU226" s="47"/>
      <c r="DV226" s="49"/>
      <c r="DW226" s="47"/>
      <c r="DX226" s="47"/>
      <c r="DY226" s="47"/>
      <c r="DZ226" s="47"/>
      <c r="EA226" s="47"/>
      <c r="EB226" s="47"/>
      <c r="EC226" s="47"/>
      <c r="ED226" s="47"/>
      <c r="EE226" s="47"/>
      <c r="EF226" s="47"/>
      <c r="EG226" s="47"/>
      <c r="EH226" s="47"/>
      <c r="EI226" s="47"/>
      <c r="EJ226" s="47"/>
      <c r="EK226" s="47"/>
      <c r="EL226" s="47"/>
      <c r="EM226" s="47"/>
      <c r="EN226" s="47"/>
      <c r="EO226" s="47"/>
      <c r="EP226" s="47"/>
      <c r="EQ226" s="47"/>
      <c r="ER226" s="47"/>
      <c r="ES226" s="47"/>
      <c r="ET226" s="47"/>
      <c r="EU226" s="47"/>
      <c r="EV226" s="47"/>
      <c r="EW226" s="47"/>
      <c r="EX226" s="47"/>
      <c r="EY226" s="47"/>
      <c r="EZ226" s="47"/>
      <c r="FA226" s="47"/>
      <c r="FB226" s="47"/>
      <c r="FC226" s="47"/>
      <c r="FD226" s="47"/>
      <c r="FE226" s="47"/>
      <c r="FF226" s="47"/>
      <c r="FG226" s="47"/>
      <c r="FH226" s="47"/>
      <c r="FI226" s="47"/>
      <c r="FJ226" s="49"/>
      <c r="FK226" s="47"/>
      <c r="FL226" s="47"/>
      <c r="FM226" s="47"/>
      <c r="FN226" s="47"/>
      <c r="FO226" s="47"/>
      <c r="FP226" s="47"/>
      <c r="FQ226" s="47"/>
      <c r="FR226" s="47"/>
      <c r="FS226" s="47"/>
      <c r="FT226" s="47"/>
      <c r="FU226" s="47"/>
      <c r="FV226" s="47"/>
      <c r="FW226" s="47"/>
      <c r="FX226" s="47"/>
      <c r="FY226" s="47"/>
      <c r="FZ226" s="47"/>
      <c r="GA226" s="47"/>
      <c r="GB226" s="47"/>
      <c r="GC226" s="47"/>
      <c r="GD226" s="47"/>
      <c r="GE226" s="47"/>
      <c r="GF226" s="47"/>
      <c r="GG226" s="47"/>
      <c r="GH226" s="47"/>
      <c r="GI226" s="47"/>
      <c r="GJ226" s="47"/>
      <c r="GK226" s="47"/>
      <c r="GL226" s="47"/>
      <c r="GM226" s="47"/>
      <c r="GN226" s="47"/>
      <c r="GO226" s="47"/>
      <c r="GP226" s="47"/>
      <c r="GQ226" s="47"/>
      <c r="GR226" s="47"/>
      <c r="GS226" s="47"/>
      <c r="GT226" s="47"/>
      <c r="GU226" s="47"/>
      <c r="GV226" s="47"/>
      <c r="GW226" s="47"/>
      <c r="GX226" s="47"/>
      <c r="GY226" s="47"/>
      <c r="GZ226" s="47"/>
      <c r="HA226" s="47"/>
      <c r="HB226" s="47"/>
      <c r="HC226" s="47"/>
      <c r="HD226" s="47"/>
      <c r="HE226" s="47"/>
      <c r="HF226" s="47"/>
      <c r="HI226" s="47"/>
      <c r="HJ226" s="47"/>
      <c r="HK226" s="47"/>
      <c r="HL226" s="47"/>
      <c r="HM226" s="47"/>
      <c r="HN226" s="47"/>
      <c r="HO226" s="47"/>
      <c r="HP226" s="47"/>
      <c r="HS226" s="47"/>
      <c r="HT226" s="47"/>
      <c r="HU226" s="47"/>
      <c r="HV226" s="47"/>
      <c r="HW226" s="47"/>
      <c r="HX226" s="47"/>
      <c r="HY226" s="47"/>
      <c r="HZ226" s="47"/>
      <c r="IC226" s="47"/>
      <c r="ID226" s="47"/>
      <c r="IE226" s="47"/>
      <c r="IF226" s="47"/>
      <c r="IG226" s="47"/>
      <c r="IH226" s="47"/>
      <c r="II226" s="47"/>
      <c r="IJ226" s="47"/>
      <c r="IM226" s="47"/>
      <c r="IN226" s="47"/>
      <c r="IO226" s="47"/>
      <c r="IP226" s="47"/>
      <c r="IQ226" s="47"/>
      <c r="IR226" s="47"/>
      <c r="IS226" s="47"/>
      <c r="IT226" s="47"/>
      <c r="IW226" s="47"/>
      <c r="IX226" s="47"/>
      <c r="IY226" s="47"/>
      <c r="IZ226" s="47"/>
      <c r="JA226" s="47"/>
      <c r="JB226" s="47"/>
      <c r="JC226" s="47"/>
      <c r="JD226" s="47"/>
      <c r="JG226" s="47"/>
      <c r="JH226" s="47"/>
      <c r="JI226" s="47"/>
      <c r="JJ226" s="47"/>
      <c r="JK226" s="47"/>
      <c r="JL226" s="47"/>
      <c r="JM226" s="47"/>
      <c r="JN226" s="47"/>
      <c r="JQ226" s="47"/>
      <c r="JR226" s="47"/>
      <c r="JS226" s="47"/>
      <c r="JT226" s="47"/>
      <c r="JU226" s="47"/>
      <c r="JV226" s="47"/>
      <c r="JW226" s="47"/>
      <c r="JX226" s="47"/>
      <c r="KA226" s="47"/>
      <c r="KB226" s="47"/>
      <c r="KC226" s="47"/>
      <c r="KD226" s="47"/>
      <c r="KE226" s="47"/>
      <c r="KF226" s="47"/>
      <c r="KG226" s="47"/>
      <c r="KH226" s="47"/>
      <c r="KK226" s="47"/>
      <c r="KL226" s="47"/>
      <c r="KM226" s="47"/>
      <c r="KN226" s="47"/>
      <c r="KO226" s="47"/>
      <c r="KP226" s="47"/>
      <c r="KQ226" s="47"/>
      <c r="KR226" s="47"/>
      <c r="KU226" s="47"/>
      <c r="KV226" s="47"/>
      <c r="KW226" s="47"/>
      <c r="KX226" s="47"/>
      <c r="KY226" s="47"/>
      <c r="KZ226" s="47"/>
      <c r="LA226" s="47"/>
      <c r="LB226" s="47"/>
    </row>
    <row r="227" spans="29:314" x14ac:dyDescent="0.25">
      <c r="AC227" s="47"/>
      <c r="AD227" s="47"/>
      <c r="AE227" s="47"/>
      <c r="AF227" s="47"/>
      <c r="AG227" s="49"/>
      <c r="AH227" s="47"/>
      <c r="AI227" s="47"/>
      <c r="AJ227" s="47"/>
      <c r="AK227" s="47"/>
      <c r="AL227" s="47"/>
      <c r="AM227" s="47"/>
      <c r="AN227" s="47"/>
      <c r="AO227" s="47"/>
      <c r="AP227" s="47"/>
      <c r="AQ227" s="47"/>
      <c r="AR227" s="47"/>
      <c r="AS227" s="47"/>
      <c r="AT227" s="47"/>
      <c r="AU227" s="47"/>
      <c r="AV227" s="47"/>
      <c r="AW227" s="47"/>
      <c r="AX227" s="47"/>
      <c r="AY227" s="47"/>
      <c r="AZ227" s="47"/>
      <c r="BA227" s="47"/>
      <c r="BB227" s="47"/>
      <c r="BC227" s="47"/>
      <c r="BD227" s="47"/>
      <c r="BE227" s="47"/>
      <c r="BF227" s="47"/>
      <c r="BG227" s="47"/>
      <c r="BH227" s="47"/>
      <c r="BI227" s="47"/>
      <c r="BJ227" s="47"/>
      <c r="BK227" s="47"/>
      <c r="BL227" s="47"/>
      <c r="BM227" s="47"/>
      <c r="BN227" s="49"/>
      <c r="BO227" s="47"/>
      <c r="BP227" s="47"/>
      <c r="BQ227" s="47"/>
      <c r="BR227" s="47"/>
      <c r="BS227" s="47"/>
      <c r="BT227" s="47"/>
      <c r="BU227" s="47"/>
      <c r="BV227" s="47"/>
      <c r="BW227" s="47"/>
      <c r="BX227" s="47"/>
      <c r="BY227" s="47"/>
      <c r="BZ227" s="47"/>
      <c r="CA227" s="47"/>
      <c r="CB227" s="47"/>
      <c r="CC227" s="47"/>
      <c r="CD227" s="47"/>
      <c r="CE227" s="47"/>
      <c r="CF227" s="47"/>
      <c r="CG227" s="49"/>
      <c r="CH227" s="47"/>
      <c r="CI227" s="47"/>
      <c r="CJ227" s="47"/>
      <c r="CK227" s="47"/>
      <c r="CL227" s="47"/>
      <c r="CM227" s="47"/>
      <c r="CN227" s="47"/>
      <c r="CO227" s="47"/>
      <c r="CP227" s="47"/>
      <c r="CQ227" s="47"/>
      <c r="CS227" s="47"/>
      <c r="CT227" s="47"/>
      <c r="CU227" s="47"/>
      <c r="CV227" s="47"/>
      <c r="CW227" s="47"/>
      <c r="CX227" s="47"/>
      <c r="CY227" s="47"/>
      <c r="CZ227" s="47"/>
      <c r="DA227" s="47"/>
      <c r="DB227" s="47"/>
      <c r="DC227" s="47"/>
      <c r="DD227" s="47"/>
      <c r="DE227" s="47"/>
      <c r="DF227" s="47"/>
      <c r="DG227" s="47"/>
      <c r="DH227" s="47"/>
      <c r="DI227" s="47"/>
      <c r="DJ227" s="47"/>
      <c r="DK227" s="47"/>
      <c r="DM227" s="47"/>
      <c r="DN227" s="47"/>
      <c r="DO227" s="47"/>
      <c r="DP227" s="47"/>
      <c r="DQ227" s="47"/>
      <c r="DR227" s="47"/>
      <c r="DS227" s="47"/>
      <c r="DT227" s="47"/>
      <c r="DU227" s="47"/>
      <c r="DV227" s="49"/>
      <c r="DW227" s="47"/>
      <c r="DX227" s="47"/>
      <c r="DY227" s="47"/>
      <c r="DZ227" s="47"/>
      <c r="EA227" s="47"/>
      <c r="EB227" s="47"/>
      <c r="EC227" s="47"/>
      <c r="ED227" s="47"/>
      <c r="EE227" s="47"/>
      <c r="EF227" s="47"/>
      <c r="EG227" s="47"/>
      <c r="EH227" s="47"/>
      <c r="EI227" s="47"/>
      <c r="EJ227" s="47"/>
      <c r="EK227" s="47"/>
      <c r="EL227" s="47"/>
      <c r="EM227" s="47"/>
      <c r="EN227" s="47"/>
      <c r="EO227" s="47"/>
      <c r="EP227" s="47"/>
      <c r="EQ227" s="47"/>
      <c r="ER227" s="47"/>
      <c r="ES227" s="47"/>
      <c r="ET227" s="47"/>
      <c r="EU227" s="47"/>
      <c r="EV227" s="47"/>
      <c r="EW227" s="47"/>
      <c r="EX227" s="47"/>
      <c r="EY227" s="47"/>
      <c r="EZ227" s="47"/>
      <c r="FA227" s="47"/>
      <c r="FB227" s="47"/>
      <c r="FC227" s="47"/>
      <c r="FD227" s="47"/>
      <c r="FE227" s="47"/>
      <c r="FF227" s="47"/>
      <c r="FG227" s="47"/>
      <c r="FH227" s="47"/>
      <c r="FI227" s="47"/>
      <c r="FJ227" s="49"/>
      <c r="FK227" s="47"/>
      <c r="FL227" s="47"/>
      <c r="FM227" s="47"/>
      <c r="FN227" s="47"/>
      <c r="FO227" s="47"/>
      <c r="FP227" s="47"/>
      <c r="FQ227" s="47"/>
      <c r="FR227" s="47"/>
      <c r="FS227" s="47"/>
      <c r="FT227" s="47"/>
      <c r="FU227" s="47"/>
      <c r="FV227" s="47"/>
      <c r="FW227" s="47"/>
      <c r="FX227" s="47"/>
      <c r="FY227" s="47"/>
      <c r="FZ227" s="47"/>
      <c r="GA227" s="47"/>
      <c r="GB227" s="47"/>
      <c r="GC227" s="47"/>
      <c r="GD227" s="47"/>
      <c r="GE227" s="47"/>
      <c r="GF227" s="47"/>
      <c r="GG227" s="47"/>
      <c r="GH227" s="47"/>
      <c r="GI227" s="47"/>
      <c r="GJ227" s="47"/>
      <c r="GK227" s="47"/>
      <c r="GL227" s="47"/>
      <c r="GM227" s="47"/>
      <c r="GN227" s="47"/>
      <c r="GO227" s="47"/>
      <c r="GP227" s="47"/>
      <c r="GQ227" s="47"/>
      <c r="GR227" s="47"/>
      <c r="GS227" s="47"/>
      <c r="GT227" s="47"/>
      <c r="GU227" s="47"/>
      <c r="GV227" s="47"/>
      <c r="GW227" s="47"/>
      <c r="GX227" s="47"/>
      <c r="GY227" s="47"/>
      <c r="GZ227" s="47"/>
      <c r="HA227" s="47"/>
      <c r="HB227" s="47"/>
      <c r="HC227" s="47"/>
      <c r="HD227" s="47"/>
      <c r="HE227" s="47"/>
      <c r="HF227" s="47"/>
      <c r="HI227" s="47"/>
      <c r="HJ227" s="47"/>
      <c r="HK227" s="47"/>
      <c r="HL227" s="47"/>
      <c r="HM227" s="47"/>
      <c r="HN227" s="47"/>
      <c r="HO227" s="47"/>
      <c r="HP227" s="47"/>
      <c r="HS227" s="47"/>
      <c r="HT227" s="47"/>
      <c r="HU227" s="47"/>
      <c r="HV227" s="47"/>
      <c r="HW227" s="47"/>
      <c r="HX227" s="47"/>
      <c r="HY227" s="47"/>
      <c r="HZ227" s="47"/>
      <c r="IC227" s="47"/>
      <c r="ID227" s="47"/>
      <c r="IE227" s="47"/>
      <c r="IF227" s="47"/>
      <c r="IG227" s="47"/>
      <c r="IH227" s="47"/>
      <c r="II227" s="47"/>
      <c r="IJ227" s="47"/>
      <c r="IM227" s="47"/>
      <c r="IN227" s="47"/>
      <c r="IO227" s="47"/>
      <c r="IP227" s="47"/>
      <c r="IQ227" s="47"/>
      <c r="IR227" s="47"/>
      <c r="IS227" s="47"/>
      <c r="IT227" s="47"/>
      <c r="IW227" s="47"/>
      <c r="IX227" s="47"/>
      <c r="IY227" s="47"/>
      <c r="IZ227" s="47"/>
      <c r="JA227" s="47"/>
      <c r="JB227" s="47"/>
      <c r="JC227" s="47"/>
      <c r="JD227" s="47"/>
      <c r="JG227" s="47"/>
      <c r="JH227" s="47"/>
      <c r="JI227" s="47"/>
      <c r="JJ227" s="47"/>
      <c r="JK227" s="47"/>
      <c r="JL227" s="47"/>
      <c r="JM227" s="47"/>
      <c r="JN227" s="47"/>
      <c r="JQ227" s="47"/>
      <c r="JR227" s="47"/>
      <c r="JS227" s="47"/>
      <c r="JT227" s="47"/>
      <c r="JU227" s="47"/>
      <c r="JV227" s="47"/>
      <c r="JW227" s="47"/>
      <c r="JX227" s="47"/>
      <c r="KA227" s="47"/>
      <c r="KB227" s="47"/>
      <c r="KC227" s="47"/>
      <c r="KD227" s="47"/>
      <c r="KE227" s="47"/>
      <c r="KF227" s="47"/>
      <c r="KG227" s="47"/>
      <c r="KH227" s="47"/>
      <c r="KK227" s="47"/>
      <c r="KL227" s="47"/>
      <c r="KM227" s="47"/>
      <c r="KN227" s="47"/>
      <c r="KO227" s="47"/>
      <c r="KP227" s="47"/>
      <c r="KQ227" s="47"/>
      <c r="KR227" s="47"/>
      <c r="KU227" s="47"/>
      <c r="KV227" s="47"/>
      <c r="KW227" s="47"/>
      <c r="KX227" s="47"/>
      <c r="KY227" s="47"/>
      <c r="KZ227" s="47"/>
      <c r="LA227" s="47"/>
      <c r="LB227" s="47"/>
    </row>
    <row r="228" spans="29:314" x14ac:dyDescent="0.25">
      <c r="AC228" s="47"/>
      <c r="AD228" s="47"/>
      <c r="AE228" s="47"/>
      <c r="AF228" s="47"/>
      <c r="AG228" s="49"/>
      <c r="AH228" s="47"/>
      <c r="AI228" s="47"/>
      <c r="AJ228" s="47"/>
      <c r="AK228" s="47"/>
      <c r="AL228" s="47"/>
      <c r="AM228" s="47"/>
      <c r="AN228" s="47"/>
      <c r="AO228" s="47"/>
      <c r="AP228" s="47"/>
      <c r="AQ228" s="47"/>
      <c r="AR228" s="47"/>
      <c r="AS228" s="47"/>
      <c r="AT228" s="47"/>
      <c r="AU228" s="47"/>
      <c r="AV228" s="47"/>
      <c r="AW228" s="47"/>
      <c r="AX228" s="47"/>
      <c r="AY228" s="47"/>
      <c r="AZ228" s="47"/>
      <c r="BA228" s="47"/>
      <c r="BB228" s="47"/>
      <c r="BC228" s="47"/>
      <c r="BD228" s="47"/>
      <c r="BE228" s="47"/>
      <c r="BF228" s="47"/>
      <c r="BG228" s="47"/>
      <c r="BH228" s="47"/>
      <c r="BI228" s="47"/>
      <c r="BJ228" s="47"/>
      <c r="BK228" s="47"/>
      <c r="BL228" s="47"/>
      <c r="BM228" s="47"/>
      <c r="BN228" s="49"/>
      <c r="BO228" s="47"/>
      <c r="BP228" s="47"/>
      <c r="BQ228" s="47"/>
      <c r="BR228" s="47"/>
      <c r="BS228" s="47"/>
      <c r="BT228" s="47"/>
      <c r="BU228" s="47"/>
      <c r="BV228" s="47"/>
      <c r="BW228" s="47"/>
      <c r="BX228" s="47"/>
      <c r="BY228" s="47"/>
      <c r="BZ228" s="47"/>
      <c r="CA228" s="47"/>
      <c r="CB228" s="47"/>
      <c r="CC228" s="47"/>
      <c r="CD228" s="47"/>
      <c r="CE228" s="47"/>
      <c r="CF228" s="47"/>
      <c r="CG228" s="49"/>
      <c r="CH228" s="47"/>
      <c r="CI228" s="47"/>
      <c r="CJ228" s="47"/>
      <c r="CK228" s="47"/>
      <c r="CL228" s="47"/>
      <c r="CM228" s="47"/>
      <c r="CN228" s="47"/>
      <c r="CO228" s="47"/>
      <c r="CP228" s="47"/>
      <c r="CQ228" s="47"/>
      <c r="CS228" s="47"/>
      <c r="CT228" s="47"/>
      <c r="CU228" s="47"/>
      <c r="CV228" s="47"/>
      <c r="CW228" s="47"/>
      <c r="CX228" s="47"/>
      <c r="CY228" s="47"/>
      <c r="CZ228" s="47"/>
      <c r="DA228" s="47"/>
      <c r="DB228" s="47"/>
      <c r="DC228" s="47"/>
      <c r="DD228" s="47"/>
      <c r="DE228" s="47"/>
      <c r="DF228" s="47"/>
      <c r="DG228" s="47"/>
      <c r="DH228" s="47"/>
      <c r="DI228" s="47"/>
      <c r="DJ228" s="47"/>
      <c r="DK228" s="47"/>
      <c r="DM228" s="47"/>
      <c r="DN228" s="47"/>
      <c r="DO228" s="47"/>
      <c r="DP228" s="47"/>
      <c r="DQ228" s="47"/>
      <c r="DR228" s="47"/>
      <c r="DS228" s="47"/>
      <c r="DT228" s="47"/>
      <c r="DU228" s="47"/>
      <c r="DV228" s="49"/>
      <c r="DW228" s="47"/>
      <c r="DX228" s="47"/>
      <c r="DY228" s="47"/>
      <c r="DZ228" s="47"/>
      <c r="EA228" s="47"/>
      <c r="EB228" s="47"/>
      <c r="EC228" s="47"/>
      <c r="ED228" s="47"/>
      <c r="EE228" s="47"/>
      <c r="EF228" s="47"/>
      <c r="EG228" s="47"/>
      <c r="EH228" s="47"/>
      <c r="EI228" s="47"/>
      <c r="EJ228" s="47"/>
      <c r="EK228" s="47"/>
      <c r="EL228" s="47"/>
      <c r="EM228" s="47"/>
      <c r="EN228" s="47"/>
      <c r="EO228" s="47"/>
      <c r="EP228" s="47"/>
      <c r="EQ228" s="47"/>
      <c r="ER228" s="47"/>
      <c r="ES228" s="47"/>
      <c r="ET228" s="47"/>
      <c r="EU228" s="47"/>
      <c r="EV228" s="47"/>
      <c r="EW228" s="47"/>
      <c r="EX228" s="47"/>
      <c r="EY228" s="47"/>
      <c r="EZ228" s="47"/>
      <c r="FA228" s="47"/>
      <c r="FB228" s="47"/>
      <c r="FC228" s="47"/>
      <c r="FD228" s="47"/>
      <c r="FE228" s="47"/>
      <c r="FF228" s="47"/>
      <c r="FG228" s="47"/>
      <c r="FH228" s="47"/>
      <c r="FI228" s="47"/>
      <c r="FJ228" s="49"/>
      <c r="FK228" s="47"/>
      <c r="FL228" s="47"/>
      <c r="FM228" s="47"/>
      <c r="FN228" s="47"/>
      <c r="FO228" s="47"/>
      <c r="FP228" s="47"/>
      <c r="FQ228" s="47"/>
      <c r="FR228" s="47"/>
      <c r="FS228" s="47"/>
      <c r="FT228" s="47"/>
      <c r="FU228" s="47"/>
      <c r="FV228" s="47"/>
      <c r="FW228" s="47"/>
      <c r="FX228" s="47"/>
      <c r="FY228" s="47"/>
      <c r="FZ228" s="47"/>
      <c r="GA228" s="47"/>
      <c r="GB228" s="47"/>
      <c r="GC228" s="47"/>
      <c r="GD228" s="47"/>
      <c r="GE228" s="47"/>
      <c r="GF228" s="47"/>
      <c r="GG228" s="47"/>
      <c r="GH228" s="47"/>
      <c r="GI228" s="47"/>
      <c r="GJ228" s="47"/>
      <c r="GK228" s="47"/>
      <c r="GL228" s="47"/>
      <c r="GM228" s="47"/>
      <c r="GN228" s="47"/>
      <c r="GO228" s="47"/>
      <c r="GP228" s="47"/>
      <c r="GQ228" s="47"/>
      <c r="GR228" s="47"/>
      <c r="GS228" s="47"/>
      <c r="GT228" s="47"/>
      <c r="GU228" s="47"/>
      <c r="GV228" s="47"/>
      <c r="GW228" s="47"/>
      <c r="GX228" s="47"/>
      <c r="GY228" s="47"/>
      <c r="GZ228" s="47"/>
      <c r="HA228" s="47"/>
      <c r="HB228" s="47"/>
      <c r="HC228" s="47"/>
      <c r="HD228" s="47"/>
      <c r="HE228" s="47"/>
      <c r="HF228" s="47"/>
      <c r="HI228" s="47"/>
      <c r="HJ228" s="47"/>
      <c r="HK228" s="47"/>
      <c r="HL228" s="47"/>
      <c r="HM228" s="47"/>
      <c r="HN228" s="47"/>
      <c r="HO228" s="47"/>
      <c r="HP228" s="47"/>
      <c r="HS228" s="47"/>
      <c r="HT228" s="47"/>
      <c r="HU228" s="47"/>
      <c r="HV228" s="47"/>
      <c r="HW228" s="47"/>
      <c r="HX228" s="47"/>
      <c r="HY228" s="47"/>
      <c r="HZ228" s="47"/>
      <c r="IC228" s="47"/>
      <c r="ID228" s="47"/>
      <c r="IE228" s="47"/>
      <c r="IF228" s="47"/>
      <c r="IG228" s="47"/>
      <c r="IH228" s="47"/>
      <c r="II228" s="47"/>
      <c r="IJ228" s="47"/>
      <c r="IM228" s="47"/>
      <c r="IN228" s="47"/>
      <c r="IO228" s="47"/>
      <c r="IP228" s="47"/>
      <c r="IQ228" s="47"/>
      <c r="IR228" s="47"/>
      <c r="IS228" s="47"/>
      <c r="IT228" s="47"/>
      <c r="IW228" s="47"/>
      <c r="IX228" s="47"/>
      <c r="IY228" s="47"/>
      <c r="IZ228" s="47"/>
      <c r="JA228" s="47"/>
      <c r="JB228" s="47"/>
      <c r="JC228" s="47"/>
      <c r="JD228" s="47"/>
      <c r="JG228" s="47"/>
      <c r="JH228" s="47"/>
      <c r="JI228" s="47"/>
      <c r="JJ228" s="47"/>
      <c r="JK228" s="47"/>
      <c r="JL228" s="47"/>
      <c r="JM228" s="47"/>
      <c r="JN228" s="47"/>
      <c r="JQ228" s="47"/>
      <c r="JR228" s="47"/>
      <c r="JS228" s="47"/>
      <c r="JT228" s="47"/>
      <c r="JU228" s="47"/>
      <c r="JV228" s="47"/>
      <c r="JW228" s="47"/>
      <c r="JX228" s="47"/>
      <c r="KA228" s="47"/>
      <c r="KB228" s="47"/>
      <c r="KC228" s="47"/>
      <c r="KD228" s="47"/>
      <c r="KE228" s="47"/>
      <c r="KF228" s="47"/>
      <c r="KG228" s="47"/>
      <c r="KH228" s="47"/>
      <c r="KK228" s="47"/>
      <c r="KL228" s="47"/>
      <c r="KM228" s="47"/>
      <c r="KN228" s="47"/>
      <c r="KO228" s="47"/>
      <c r="KP228" s="47"/>
      <c r="KQ228" s="47"/>
      <c r="KR228" s="47"/>
      <c r="KU228" s="47"/>
      <c r="KV228" s="47"/>
      <c r="KW228" s="47"/>
      <c r="KX228" s="47"/>
      <c r="KY228" s="47"/>
      <c r="KZ228" s="47"/>
      <c r="LA228" s="47"/>
      <c r="LB228" s="47"/>
    </row>
    <row r="229" spans="29:314" x14ac:dyDescent="0.25">
      <c r="AC229" s="47"/>
      <c r="AD229" s="47"/>
      <c r="AE229" s="47"/>
      <c r="AF229" s="47"/>
      <c r="AG229" s="49"/>
      <c r="AH229" s="47"/>
      <c r="AI229" s="47"/>
      <c r="AJ229" s="47"/>
      <c r="AK229" s="47"/>
      <c r="AL229" s="47"/>
      <c r="AM229" s="47"/>
      <c r="AN229" s="47"/>
      <c r="AO229" s="47"/>
      <c r="AP229" s="47"/>
      <c r="AQ229" s="47"/>
      <c r="AR229" s="47"/>
      <c r="AS229" s="47"/>
      <c r="AT229" s="47"/>
      <c r="AU229" s="47"/>
      <c r="AV229" s="47"/>
      <c r="AW229" s="47"/>
      <c r="AX229" s="47"/>
      <c r="AY229" s="47"/>
      <c r="AZ229" s="47"/>
      <c r="BA229" s="47"/>
      <c r="BB229" s="47"/>
      <c r="BC229" s="47"/>
      <c r="BD229" s="47"/>
      <c r="BE229" s="47"/>
      <c r="BF229" s="47"/>
      <c r="BG229" s="47"/>
      <c r="BH229" s="47"/>
      <c r="BI229" s="47"/>
      <c r="BJ229" s="47"/>
      <c r="BK229" s="47"/>
      <c r="BL229" s="47"/>
      <c r="BM229" s="47"/>
      <c r="BN229" s="49"/>
      <c r="BO229" s="47"/>
      <c r="BP229" s="47"/>
      <c r="BQ229" s="47"/>
      <c r="BR229" s="47"/>
      <c r="BS229" s="47"/>
      <c r="BT229" s="47"/>
      <c r="BU229" s="47"/>
      <c r="BV229" s="47"/>
      <c r="BW229" s="47"/>
      <c r="BX229" s="47"/>
      <c r="BY229" s="47"/>
      <c r="BZ229" s="47"/>
      <c r="CA229" s="47"/>
      <c r="CB229" s="47"/>
      <c r="CC229" s="47"/>
      <c r="CD229" s="47"/>
      <c r="CE229" s="47"/>
      <c r="CF229" s="47"/>
      <c r="CG229" s="49"/>
      <c r="CH229" s="47"/>
      <c r="CI229" s="47"/>
      <c r="CJ229" s="47"/>
      <c r="CK229" s="47"/>
      <c r="CL229" s="47"/>
      <c r="CM229" s="47"/>
      <c r="CN229" s="47"/>
      <c r="CO229" s="47"/>
      <c r="CP229" s="47"/>
      <c r="CQ229" s="47"/>
      <c r="CS229" s="47"/>
      <c r="CT229" s="47"/>
      <c r="CU229" s="47"/>
      <c r="CV229" s="47"/>
      <c r="CW229" s="47"/>
      <c r="CX229" s="47"/>
      <c r="CY229" s="47"/>
      <c r="CZ229" s="47"/>
      <c r="DA229" s="47"/>
      <c r="DB229" s="47"/>
      <c r="DC229" s="47"/>
      <c r="DD229" s="47"/>
      <c r="DE229" s="47"/>
      <c r="DF229" s="47"/>
      <c r="DG229" s="47"/>
      <c r="DH229" s="47"/>
      <c r="DI229" s="47"/>
      <c r="DJ229" s="47"/>
      <c r="DK229" s="47"/>
      <c r="DM229" s="47"/>
      <c r="DN229" s="47"/>
      <c r="DO229" s="47"/>
      <c r="DP229" s="47"/>
      <c r="DQ229" s="47"/>
      <c r="DR229" s="47"/>
      <c r="DS229" s="47"/>
      <c r="DT229" s="47"/>
      <c r="DU229" s="47"/>
      <c r="DV229" s="49"/>
      <c r="DW229" s="47"/>
      <c r="DX229" s="47"/>
      <c r="DY229" s="47"/>
      <c r="DZ229" s="47"/>
      <c r="EA229" s="47"/>
      <c r="EB229" s="47"/>
      <c r="EC229" s="47"/>
      <c r="ED229" s="47"/>
      <c r="EE229" s="47"/>
      <c r="EF229" s="47"/>
      <c r="EG229" s="47"/>
      <c r="EH229" s="47"/>
      <c r="EI229" s="47"/>
      <c r="EJ229" s="47"/>
      <c r="EK229" s="47"/>
      <c r="EL229" s="47"/>
      <c r="EM229" s="47"/>
      <c r="EN229" s="47"/>
      <c r="EO229" s="47"/>
      <c r="EP229" s="47"/>
      <c r="EQ229" s="47"/>
      <c r="ER229" s="47"/>
      <c r="ES229" s="47"/>
      <c r="ET229" s="47"/>
      <c r="EU229" s="47"/>
      <c r="EV229" s="47"/>
      <c r="EW229" s="47"/>
      <c r="EX229" s="47"/>
      <c r="EY229" s="47"/>
      <c r="EZ229" s="47"/>
      <c r="FA229" s="47"/>
      <c r="FB229" s="47"/>
      <c r="FC229" s="47"/>
      <c r="FD229" s="47"/>
      <c r="FE229" s="47"/>
      <c r="FF229" s="47"/>
      <c r="FG229" s="47"/>
      <c r="FH229" s="47"/>
      <c r="FI229" s="47"/>
      <c r="FJ229" s="49"/>
      <c r="FK229" s="47"/>
      <c r="FL229" s="47"/>
      <c r="FM229" s="47"/>
      <c r="FN229" s="47"/>
      <c r="FO229" s="47"/>
      <c r="FP229" s="47"/>
      <c r="FQ229" s="47"/>
      <c r="FR229" s="47"/>
      <c r="FS229" s="47"/>
      <c r="FT229" s="47"/>
      <c r="FU229" s="47"/>
      <c r="FV229" s="47"/>
      <c r="FW229" s="47"/>
      <c r="FX229" s="47"/>
      <c r="FY229" s="47"/>
      <c r="FZ229" s="47"/>
      <c r="GA229" s="47"/>
      <c r="GB229" s="47"/>
      <c r="GC229" s="47"/>
      <c r="GD229" s="47"/>
      <c r="GE229" s="47"/>
      <c r="GF229" s="47"/>
      <c r="GG229" s="47"/>
      <c r="GH229" s="47"/>
      <c r="GI229" s="47"/>
      <c r="GJ229" s="47"/>
      <c r="GK229" s="47"/>
      <c r="GL229" s="47"/>
      <c r="GM229" s="47"/>
      <c r="GN229" s="47"/>
      <c r="GO229" s="47"/>
      <c r="GP229" s="47"/>
      <c r="GQ229" s="47"/>
      <c r="GR229" s="47"/>
      <c r="GS229" s="47"/>
      <c r="GT229" s="47"/>
      <c r="GU229" s="47"/>
      <c r="GV229" s="47"/>
      <c r="GW229" s="47"/>
      <c r="GX229" s="47"/>
      <c r="GY229" s="47"/>
      <c r="GZ229" s="47"/>
      <c r="HA229" s="47"/>
      <c r="HB229" s="47"/>
      <c r="HC229" s="47"/>
      <c r="HD229" s="47"/>
      <c r="HE229" s="47"/>
      <c r="HF229" s="47"/>
      <c r="HI229" s="47"/>
      <c r="HJ229" s="47"/>
      <c r="HK229" s="47"/>
      <c r="HL229" s="47"/>
      <c r="HM229" s="47"/>
      <c r="HN229" s="47"/>
      <c r="HO229" s="47"/>
      <c r="HP229" s="47"/>
      <c r="HS229" s="47"/>
      <c r="HT229" s="47"/>
      <c r="HU229" s="47"/>
      <c r="HV229" s="47"/>
      <c r="HW229" s="47"/>
      <c r="HX229" s="47"/>
      <c r="HY229" s="47"/>
      <c r="HZ229" s="47"/>
      <c r="IC229" s="47"/>
      <c r="ID229" s="47"/>
      <c r="IE229" s="47"/>
      <c r="IF229" s="47"/>
      <c r="IG229" s="47"/>
      <c r="IH229" s="47"/>
      <c r="II229" s="47"/>
      <c r="IJ229" s="47"/>
      <c r="IM229" s="47"/>
      <c r="IN229" s="47"/>
      <c r="IO229" s="47"/>
      <c r="IP229" s="47"/>
      <c r="IQ229" s="47"/>
      <c r="IR229" s="47"/>
      <c r="IS229" s="47"/>
      <c r="IT229" s="47"/>
      <c r="IW229" s="47"/>
      <c r="IX229" s="47"/>
      <c r="IY229" s="47"/>
      <c r="IZ229" s="47"/>
      <c r="JA229" s="47"/>
      <c r="JB229" s="47"/>
      <c r="JC229" s="47"/>
      <c r="JD229" s="47"/>
      <c r="JG229" s="47"/>
      <c r="JH229" s="47"/>
      <c r="JI229" s="47"/>
      <c r="JJ229" s="47"/>
      <c r="JK229" s="47"/>
      <c r="JL229" s="47"/>
      <c r="JM229" s="47"/>
      <c r="JN229" s="47"/>
      <c r="JQ229" s="47"/>
      <c r="JR229" s="47"/>
      <c r="JS229" s="47"/>
      <c r="JT229" s="47"/>
      <c r="JU229" s="47"/>
      <c r="JV229" s="47"/>
      <c r="JW229" s="47"/>
      <c r="JX229" s="47"/>
      <c r="KA229" s="47"/>
      <c r="KB229" s="47"/>
      <c r="KC229" s="47"/>
      <c r="KD229" s="47"/>
      <c r="KE229" s="47"/>
      <c r="KF229" s="47"/>
      <c r="KG229" s="47"/>
      <c r="KH229" s="47"/>
      <c r="KK229" s="47"/>
      <c r="KL229" s="47"/>
      <c r="KM229" s="47"/>
      <c r="KN229" s="47"/>
      <c r="KO229" s="47"/>
      <c r="KP229" s="47"/>
      <c r="KQ229" s="47"/>
      <c r="KR229" s="47"/>
      <c r="KU229" s="47"/>
      <c r="KV229" s="47"/>
      <c r="KW229" s="47"/>
      <c r="KX229" s="47"/>
      <c r="KY229" s="47"/>
      <c r="KZ229" s="47"/>
      <c r="LA229" s="47"/>
      <c r="LB229" s="47"/>
    </row>
    <row r="230" spans="29:314" x14ac:dyDescent="0.25">
      <c r="AC230" s="47"/>
      <c r="AD230" s="47"/>
      <c r="AE230" s="47"/>
      <c r="AF230" s="47"/>
      <c r="AG230" s="49"/>
      <c r="AH230" s="47"/>
      <c r="AI230" s="47"/>
      <c r="AJ230" s="47"/>
      <c r="AK230" s="47"/>
      <c r="AL230" s="47"/>
      <c r="AM230" s="47"/>
      <c r="AN230" s="47"/>
      <c r="AO230" s="47"/>
      <c r="AP230" s="47"/>
      <c r="AQ230" s="47"/>
      <c r="AR230" s="47"/>
      <c r="AS230" s="47"/>
      <c r="AT230" s="47"/>
      <c r="AU230" s="47"/>
      <c r="AV230" s="47"/>
      <c r="AW230" s="47"/>
      <c r="AX230" s="47"/>
      <c r="AY230" s="47"/>
      <c r="AZ230" s="47"/>
      <c r="BA230" s="47"/>
      <c r="BB230" s="47"/>
      <c r="BC230" s="47"/>
      <c r="BD230" s="47"/>
      <c r="BE230" s="47"/>
      <c r="BF230" s="47"/>
      <c r="BG230" s="47"/>
      <c r="BH230" s="47"/>
      <c r="BI230" s="47"/>
      <c r="BJ230" s="47"/>
      <c r="BK230" s="47"/>
      <c r="BL230" s="47"/>
      <c r="BM230" s="47"/>
      <c r="BN230" s="49"/>
      <c r="BO230" s="47"/>
      <c r="BP230" s="47"/>
      <c r="BQ230" s="47"/>
      <c r="BR230" s="47"/>
      <c r="BS230" s="47"/>
      <c r="BT230" s="47"/>
      <c r="BU230" s="47"/>
      <c r="BV230" s="47"/>
      <c r="BW230" s="47"/>
      <c r="BX230" s="47"/>
      <c r="BY230" s="47"/>
      <c r="BZ230" s="47"/>
      <c r="CA230" s="47"/>
      <c r="CB230" s="47"/>
      <c r="CC230" s="47"/>
      <c r="CD230" s="47"/>
      <c r="CE230" s="47"/>
      <c r="CF230" s="47"/>
      <c r="CG230" s="49"/>
      <c r="CH230" s="47"/>
      <c r="CI230" s="47"/>
      <c r="CJ230" s="47"/>
      <c r="CK230" s="47"/>
      <c r="CL230" s="47"/>
      <c r="CM230" s="47"/>
      <c r="CN230" s="47"/>
      <c r="CO230" s="47"/>
      <c r="CP230" s="47"/>
      <c r="CQ230" s="47"/>
      <c r="CS230" s="47"/>
      <c r="CT230" s="47"/>
      <c r="CU230" s="47"/>
      <c r="CV230" s="47"/>
      <c r="CW230" s="47"/>
      <c r="CX230" s="47"/>
      <c r="CY230" s="47"/>
      <c r="CZ230" s="47"/>
      <c r="DA230" s="47"/>
      <c r="DB230" s="47"/>
      <c r="DC230" s="47"/>
      <c r="DD230" s="47"/>
      <c r="DE230" s="47"/>
      <c r="DF230" s="47"/>
      <c r="DG230" s="47"/>
      <c r="DH230" s="47"/>
      <c r="DI230" s="47"/>
      <c r="DJ230" s="47"/>
      <c r="DK230" s="47"/>
      <c r="DM230" s="47"/>
      <c r="DN230" s="47"/>
      <c r="DO230" s="47"/>
      <c r="DP230" s="47"/>
      <c r="DQ230" s="47"/>
      <c r="DR230" s="47"/>
      <c r="DS230" s="47"/>
      <c r="DT230" s="47"/>
      <c r="DU230" s="47"/>
      <c r="DV230" s="49"/>
      <c r="DW230" s="47"/>
      <c r="DX230" s="47"/>
      <c r="DY230" s="47"/>
      <c r="DZ230" s="47"/>
      <c r="EA230" s="47"/>
      <c r="EB230" s="47"/>
      <c r="EC230" s="47"/>
      <c r="ED230" s="47"/>
      <c r="EE230" s="47"/>
      <c r="EF230" s="47"/>
      <c r="EG230" s="47"/>
      <c r="EH230" s="47"/>
      <c r="EI230" s="47"/>
      <c r="EJ230" s="47"/>
      <c r="EK230" s="47"/>
      <c r="EL230" s="47"/>
      <c r="EM230" s="47"/>
      <c r="EN230" s="47"/>
      <c r="EO230" s="47"/>
      <c r="EP230" s="47"/>
      <c r="EQ230" s="47"/>
      <c r="ER230" s="47"/>
      <c r="ES230" s="47"/>
      <c r="ET230" s="47"/>
      <c r="EU230" s="47"/>
      <c r="EV230" s="47"/>
      <c r="EW230" s="47"/>
      <c r="EX230" s="47"/>
      <c r="EY230" s="47"/>
      <c r="EZ230" s="47"/>
      <c r="FA230" s="47"/>
      <c r="FB230" s="47"/>
      <c r="FC230" s="47"/>
      <c r="FD230" s="47"/>
      <c r="FE230" s="47"/>
      <c r="FF230" s="47"/>
      <c r="FG230" s="47"/>
      <c r="FH230" s="47"/>
      <c r="FI230" s="47"/>
      <c r="FJ230" s="49"/>
      <c r="FK230" s="47"/>
      <c r="FL230" s="47"/>
      <c r="FM230" s="47"/>
      <c r="FN230" s="47"/>
      <c r="FO230" s="47"/>
      <c r="FP230" s="47"/>
      <c r="FQ230" s="47"/>
      <c r="FR230" s="47"/>
      <c r="FS230" s="47"/>
      <c r="FT230" s="47"/>
      <c r="FU230" s="47"/>
      <c r="FV230" s="47"/>
      <c r="FW230" s="47"/>
      <c r="FX230" s="47"/>
      <c r="FY230" s="47"/>
      <c r="FZ230" s="47"/>
      <c r="GA230" s="47"/>
      <c r="GB230" s="47"/>
      <c r="GC230" s="47"/>
      <c r="GD230" s="47"/>
      <c r="GE230" s="47"/>
      <c r="GF230" s="47"/>
      <c r="GG230" s="47"/>
      <c r="GH230" s="47"/>
      <c r="GI230" s="47"/>
      <c r="GJ230" s="47"/>
      <c r="GK230" s="47"/>
      <c r="GL230" s="47"/>
      <c r="GM230" s="47"/>
      <c r="GN230" s="47"/>
      <c r="GO230" s="47"/>
      <c r="GP230" s="47"/>
      <c r="GQ230" s="47"/>
      <c r="GR230" s="47"/>
      <c r="GS230" s="47"/>
      <c r="GT230" s="47"/>
      <c r="GU230" s="47"/>
      <c r="GV230" s="47"/>
      <c r="GW230" s="47"/>
      <c r="GX230" s="47"/>
      <c r="GY230" s="47"/>
      <c r="GZ230" s="47"/>
      <c r="HA230" s="47"/>
      <c r="HB230" s="47"/>
      <c r="HC230" s="47"/>
      <c r="HD230" s="47"/>
      <c r="HE230" s="47"/>
      <c r="HF230" s="47"/>
      <c r="HI230" s="47"/>
      <c r="HJ230" s="47"/>
      <c r="HK230" s="47"/>
      <c r="HL230" s="47"/>
      <c r="HM230" s="47"/>
      <c r="HN230" s="47"/>
      <c r="HO230" s="47"/>
      <c r="HP230" s="47"/>
      <c r="HS230" s="47"/>
      <c r="HT230" s="47"/>
      <c r="HU230" s="47"/>
      <c r="HV230" s="47"/>
      <c r="HW230" s="47"/>
      <c r="HX230" s="47"/>
      <c r="HY230" s="47"/>
      <c r="HZ230" s="47"/>
      <c r="IC230" s="47"/>
      <c r="ID230" s="47"/>
      <c r="IE230" s="47"/>
      <c r="IF230" s="47"/>
      <c r="IG230" s="47"/>
      <c r="IH230" s="47"/>
      <c r="II230" s="47"/>
      <c r="IJ230" s="47"/>
      <c r="IM230" s="47"/>
      <c r="IN230" s="47"/>
      <c r="IO230" s="47"/>
      <c r="IP230" s="47"/>
      <c r="IQ230" s="47"/>
      <c r="IR230" s="47"/>
      <c r="IS230" s="47"/>
      <c r="IT230" s="47"/>
      <c r="IW230" s="47"/>
      <c r="IX230" s="47"/>
      <c r="IY230" s="47"/>
      <c r="IZ230" s="47"/>
      <c r="JA230" s="47"/>
      <c r="JB230" s="47"/>
      <c r="JC230" s="47"/>
      <c r="JD230" s="47"/>
      <c r="JG230" s="47"/>
      <c r="JH230" s="47"/>
      <c r="JI230" s="47"/>
      <c r="JJ230" s="47"/>
      <c r="JK230" s="47"/>
      <c r="JL230" s="47"/>
      <c r="JM230" s="47"/>
      <c r="JN230" s="47"/>
      <c r="JQ230" s="47"/>
      <c r="JR230" s="47"/>
      <c r="JS230" s="47"/>
      <c r="JT230" s="47"/>
      <c r="JU230" s="47"/>
      <c r="JV230" s="47"/>
      <c r="JW230" s="47"/>
      <c r="JX230" s="47"/>
      <c r="KA230" s="47"/>
      <c r="KB230" s="47"/>
      <c r="KC230" s="47"/>
      <c r="KD230" s="47"/>
      <c r="KE230" s="47"/>
      <c r="KF230" s="47"/>
      <c r="KG230" s="47"/>
      <c r="KH230" s="47"/>
      <c r="KK230" s="47"/>
      <c r="KL230" s="47"/>
      <c r="KM230" s="47"/>
      <c r="KN230" s="47"/>
      <c r="KO230" s="47"/>
      <c r="KP230" s="47"/>
      <c r="KQ230" s="47"/>
      <c r="KR230" s="47"/>
      <c r="KU230" s="47"/>
      <c r="KV230" s="47"/>
      <c r="KW230" s="47"/>
      <c r="KX230" s="47"/>
      <c r="KY230" s="47"/>
      <c r="KZ230" s="47"/>
      <c r="LA230" s="47"/>
      <c r="LB230" s="47"/>
    </row>
    <row r="231" spans="29:314" x14ac:dyDescent="0.25">
      <c r="AC231" s="47"/>
      <c r="AD231" s="47"/>
      <c r="AE231" s="47"/>
      <c r="AF231" s="47"/>
      <c r="AG231" s="49"/>
      <c r="AH231" s="47"/>
      <c r="AI231" s="47"/>
      <c r="AJ231" s="47"/>
      <c r="AK231" s="47"/>
      <c r="AL231" s="47"/>
      <c r="AM231" s="47"/>
      <c r="AN231" s="47"/>
      <c r="AO231" s="47"/>
      <c r="AP231" s="47"/>
      <c r="AQ231" s="47"/>
      <c r="AR231" s="47"/>
      <c r="AS231" s="47"/>
      <c r="AT231" s="47"/>
      <c r="AU231" s="47"/>
      <c r="AV231" s="47"/>
      <c r="AW231" s="47"/>
      <c r="AX231" s="47"/>
      <c r="AY231" s="47"/>
      <c r="AZ231" s="47"/>
      <c r="BA231" s="47"/>
      <c r="BB231" s="47"/>
      <c r="BC231" s="47"/>
      <c r="BD231" s="47"/>
      <c r="BE231" s="47"/>
      <c r="BF231" s="47"/>
      <c r="BG231" s="47"/>
      <c r="BH231" s="47"/>
      <c r="BI231" s="47"/>
      <c r="BJ231" s="47"/>
      <c r="BK231" s="47"/>
      <c r="BL231" s="47"/>
      <c r="BM231" s="47"/>
      <c r="BN231" s="49"/>
      <c r="BO231" s="47"/>
      <c r="BP231" s="47"/>
      <c r="BQ231" s="47"/>
      <c r="BR231" s="47"/>
      <c r="BS231" s="47"/>
      <c r="BT231" s="47"/>
      <c r="BU231" s="47"/>
      <c r="BV231" s="47"/>
      <c r="BW231" s="47"/>
      <c r="BX231" s="47"/>
      <c r="BY231" s="47"/>
      <c r="BZ231" s="47"/>
      <c r="CA231" s="47"/>
      <c r="CB231" s="47"/>
      <c r="CC231" s="47"/>
      <c r="CD231" s="47"/>
      <c r="CE231" s="47"/>
      <c r="CF231" s="47"/>
      <c r="CG231" s="49"/>
      <c r="CH231" s="47"/>
      <c r="CI231" s="47"/>
      <c r="CJ231" s="47"/>
      <c r="CK231" s="47"/>
      <c r="CL231" s="47"/>
      <c r="CM231" s="47"/>
      <c r="CN231" s="47"/>
      <c r="CO231" s="47"/>
      <c r="CP231" s="47"/>
      <c r="CQ231" s="47"/>
      <c r="CS231" s="47"/>
      <c r="CT231" s="47"/>
      <c r="CU231" s="47"/>
      <c r="CV231" s="47"/>
      <c r="CW231" s="47"/>
      <c r="CX231" s="47"/>
      <c r="CY231" s="47"/>
      <c r="CZ231" s="47"/>
      <c r="DA231" s="47"/>
      <c r="DB231" s="47"/>
      <c r="DC231" s="47"/>
      <c r="DD231" s="47"/>
      <c r="DE231" s="47"/>
      <c r="DF231" s="47"/>
      <c r="DG231" s="47"/>
      <c r="DH231" s="47"/>
      <c r="DI231" s="47"/>
      <c r="DJ231" s="47"/>
      <c r="DK231" s="47"/>
      <c r="DM231" s="47"/>
      <c r="DN231" s="47"/>
      <c r="DO231" s="47"/>
      <c r="DP231" s="47"/>
      <c r="DQ231" s="47"/>
      <c r="DR231" s="47"/>
      <c r="DS231" s="47"/>
      <c r="DT231" s="47"/>
      <c r="DU231" s="47"/>
      <c r="DV231" s="49"/>
      <c r="DW231" s="47"/>
      <c r="DX231" s="47"/>
      <c r="DY231" s="47"/>
      <c r="DZ231" s="47"/>
      <c r="EA231" s="47"/>
      <c r="EB231" s="47"/>
      <c r="EC231" s="47"/>
      <c r="ED231" s="47"/>
      <c r="EE231" s="47"/>
      <c r="EF231" s="47"/>
      <c r="EG231" s="47"/>
      <c r="EH231" s="47"/>
      <c r="EI231" s="47"/>
      <c r="EJ231" s="47"/>
      <c r="EK231" s="47"/>
      <c r="EL231" s="47"/>
      <c r="EM231" s="47"/>
      <c r="EN231" s="47"/>
      <c r="EO231" s="47"/>
      <c r="EP231" s="47"/>
      <c r="EQ231" s="47"/>
      <c r="ER231" s="47"/>
      <c r="ES231" s="47"/>
      <c r="ET231" s="47"/>
      <c r="EU231" s="47"/>
      <c r="EV231" s="47"/>
      <c r="EW231" s="47"/>
      <c r="EX231" s="47"/>
      <c r="EY231" s="47"/>
      <c r="EZ231" s="47"/>
      <c r="FA231" s="47"/>
      <c r="FB231" s="47"/>
      <c r="FC231" s="47"/>
      <c r="FD231" s="47"/>
      <c r="FE231" s="47"/>
      <c r="FF231" s="47"/>
      <c r="FG231" s="47"/>
      <c r="FH231" s="47"/>
      <c r="FI231" s="47"/>
      <c r="FJ231" s="49"/>
      <c r="FK231" s="47"/>
      <c r="FL231" s="47"/>
      <c r="FM231" s="47"/>
      <c r="FN231" s="47"/>
      <c r="FO231" s="47"/>
      <c r="FP231" s="47"/>
      <c r="FQ231" s="47"/>
      <c r="FR231" s="47"/>
      <c r="FS231" s="47"/>
      <c r="FT231" s="47"/>
      <c r="FU231" s="47"/>
      <c r="FV231" s="47"/>
      <c r="FW231" s="47"/>
      <c r="FX231" s="47"/>
      <c r="FY231" s="47"/>
      <c r="FZ231" s="47"/>
      <c r="GA231" s="47"/>
      <c r="GB231" s="47"/>
      <c r="GC231" s="47"/>
      <c r="GD231" s="47"/>
      <c r="GE231" s="47"/>
      <c r="GF231" s="47"/>
      <c r="GG231" s="47"/>
      <c r="GH231" s="47"/>
      <c r="GI231" s="47"/>
      <c r="GJ231" s="47"/>
      <c r="GK231" s="47"/>
      <c r="GL231" s="47"/>
      <c r="GM231" s="47"/>
      <c r="GN231" s="47"/>
      <c r="GO231" s="47"/>
      <c r="GP231" s="47"/>
      <c r="GQ231" s="47"/>
      <c r="GR231" s="47"/>
      <c r="GS231" s="47"/>
      <c r="GT231" s="47"/>
      <c r="GU231" s="47"/>
      <c r="GV231" s="47"/>
      <c r="GW231" s="47"/>
      <c r="GX231" s="47"/>
      <c r="GY231" s="47"/>
      <c r="GZ231" s="47"/>
      <c r="HA231" s="47"/>
      <c r="HB231" s="47"/>
      <c r="HC231" s="47"/>
      <c r="HD231" s="47"/>
      <c r="HE231" s="47"/>
      <c r="HF231" s="47"/>
      <c r="HI231" s="47"/>
      <c r="HJ231" s="47"/>
      <c r="HK231" s="47"/>
      <c r="HL231" s="47"/>
      <c r="HM231" s="47"/>
      <c r="HN231" s="47"/>
      <c r="HO231" s="47"/>
      <c r="HP231" s="47"/>
      <c r="HS231" s="47"/>
      <c r="HT231" s="47"/>
      <c r="HU231" s="47"/>
      <c r="HV231" s="47"/>
      <c r="HW231" s="47"/>
      <c r="HX231" s="47"/>
      <c r="HY231" s="47"/>
      <c r="HZ231" s="47"/>
      <c r="IC231" s="47"/>
      <c r="ID231" s="47"/>
      <c r="IE231" s="47"/>
      <c r="IF231" s="47"/>
      <c r="IG231" s="47"/>
      <c r="IH231" s="47"/>
      <c r="II231" s="47"/>
      <c r="IJ231" s="47"/>
      <c r="IM231" s="47"/>
      <c r="IN231" s="47"/>
      <c r="IO231" s="47"/>
      <c r="IP231" s="47"/>
      <c r="IQ231" s="47"/>
      <c r="IR231" s="47"/>
      <c r="IS231" s="47"/>
      <c r="IT231" s="47"/>
      <c r="IW231" s="47"/>
      <c r="IX231" s="47"/>
      <c r="IY231" s="47"/>
      <c r="IZ231" s="47"/>
      <c r="JA231" s="47"/>
      <c r="JB231" s="47"/>
      <c r="JC231" s="47"/>
      <c r="JD231" s="47"/>
      <c r="JG231" s="47"/>
      <c r="JH231" s="47"/>
      <c r="JI231" s="47"/>
      <c r="JJ231" s="47"/>
      <c r="JK231" s="47"/>
      <c r="JL231" s="47"/>
      <c r="JM231" s="47"/>
      <c r="JN231" s="47"/>
      <c r="JQ231" s="47"/>
      <c r="JR231" s="47"/>
      <c r="JS231" s="47"/>
      <c r="JT231" s="47"/>
      <c r="JU231" s="47"/>
      <c r="JV231" s="47"/>
      <c r="JW231" s="47"/>
      <c r="JX231" s="47"/>
      <c r="KA231" s="47"/>
      <c r="KB231" s="47"/>
      <c r="KC231" s="47"/>
      <c r="KD231" s="47"/>
      <c r="KE231" s="47"/>
      <c r="KF231" s="47"/>
      <c r="KG231" s="47"/>
      <c r="KH231" s="47"/>
      <c r="KK231" s="47"/>
      <c r="KL231" s="47"/>
      <c r="KM231" s="47"/>
      <c r="KN231" s="47"/>
      <c r="KO231" s="47"/>
      <c r="KP231" s="47"/>
      <c r="KQ231" s="47"/>
      <c r="KR231" s="47"/>
      <c r="KU231" s="47"/>
      <c r="KV231" s="47"/>
      <c r="KW231" s="47"/>
      <c r="KX231" s="47"/>
      <c r="KY231" s="47"/>
      <c r="KZ231" s="47"/>
      <c r="LA231" s="47"/>
      <c r="LB231" s="47"/>
    </row>
    <row r="232" spans="29:314" x14ac:dyDescent="0.25">
      <c r="AC232" s="47"/>
      <c r="AD232" s="47"/>
      <c r="AE232" s="47"/>
      <c r="AF232" s="47"/>
      <c r="AG232" s="49"/>
      <c r="AH232" s="47"/>
      <c r="AI232" s="47"/>
      <c r="AJ232" s="47"/>
      <c r="AK232" s="47"/>
      <c r="AL232" s="47"/>
      <c r="AM232" s="47"/>
      <c r="AN232" s="47"/>
      <c r="AO232" s="47"/>
      <c r="AP232" s="47"/>
      <c r="AQ232" s="47"/>
      <c r="AR232" s="47"/>
      <c r="AS232" s="47"/>
      <c r="AT232" s="47"/>
      <c r="AU232" s="47"/>
      <c r="AV232" s="47"/>
      <c r="AW232" s="47"/>
      <c r="AX232" s="47"/>
      <c r="AY232" s="47"/>
      <c r="AZ232" s="47"/>
      <c r="BA232" s="47"/>
      <c r="BB232" s="47"/>
      <c r="BC232" s="47"/>
      <c r="BD232" s="47"/>
      <c r="BE232" s="47"/>
      <c r="BF232" s="47"/>
      <c r="BG232" s="47"/>
      <c r="BH232" s="47"/>
      <c r="BI232" s="47"/>
      <c r="BJ232" s="47"/>
      <c r="BK232" s="47"/>
      <c r="BL232" s="47"/>
      <c r="BM232" s="47"/>
      <c r="BN232" s="49"/>
      <c r="BO232" s="47"/>
      <c r="BP232" s="47"/>
      <c r="BQ232" s="47"/>
      <c r="BR232" s="47"/>
      <c r="BS232" s="47"/>
      <c r="BT232" s="47"/>
      <c r="BU232" s="47"/>
      <c r="BV232" s="47"/>
      <c r="BW232" s="47"/>
      <c r="BX232" s="47"/>
      <c r="BY232" s="47"/>
      <c r="BZ232" s="47"/>
      <c r="CA232" s="47"/>
      <c r="CB232" s="47"/>
      <c r="CC232" s="47"/>
      <c r="CD232" s="47"/>
      <c r="CE232" s="47"/>
      <c r="CF232" s="47"/>
      <c r="CG232" s="49"/>
      <c r="CH232" s="47"/>
      <c r="CI232" s="47"/>
      <c r="CJ232" s="47"/>
      <c r="CK232" s="47"/>
      <c r="CL232" s="47"/>
      <c r="CM232" s="47"/>
      <c r="CN232" s="47"/>
      <c r="CO232" s="47"/>
      <c r="CP232" s="47"/>
      <c r="CQ232" s="47"/>
      <c r="CS232" s="47"/>
      <c r="CT232" s="47"/>
      <c r="CU232" s="47"/>
      <c r="CV232" s="47"/>
      <c r="CW232" s="47"/>
      <c r="CX232" s="47"/>
      <c r="CY232" s="47"/>
      <c r="CZ232" s="47"/>
      <c r="DA232" s="47"/>
      <c r="DB232" s="47"/>
      <c r="DC232" s="47"/>
      <c r="DD232" s="47"/>
      <c r="DE232" s="47"/>
      <c r="DF232" s="47"/>
      <c r="DG232" s="47"/>
      <c r="DH232" s="47"/>
      <c r="DI232" s="47"/>
      <c r="DJ232" s="47"/>
      <c r="DK232" s="47"/>
      <c r="DM232" s="47"/>
      <c r="DN232" s="47"/>
      <c r="DO232" s="47"/>
      <c r="DP232" s="47"/>
      <c r="DQ232" s="47"/>
      <c r="DR232" s="47"/>
      <c r="DS232" s="47"/>
      <c r="DT232" s="47"/>
      <c r="DU232" s="47"/>
      <c r="DV232" s="49"/>
      <c r="DW232" s="47"/>
      <c r="DX232" s="47"/>
      <c r="DY232" s="47"/>
      <c r="DZ232" s="47"/>
      <c r="EA232" s="47"/>
      <c r="EB232" s="47"/>
      <c r="EC232" s="47"/>
      <c r="ED232" s="47"/>
      <c r="EE232" s="47"/>
      <c r="EF232" s="47"/>
      <c r="EG232" s="47"/>
      <c r="EH232" s="47"/>
      <c r="EI232" s="47"/>
      <c r="EJ232" s="47"/>
      <c r="EK232" s="47"/>
      <c r="EL232" s="47"/>
      <c r="EM232" s="47"/>
      <c r="EN232" s="47"/>
      <c r="EO232" s="47"/>
      <c r="EP232" s="47"/>
      <c r="EQ232" s="47"/>
      <c r="ER232" s="47"/>
      <c r="ES232" s="47"/>
      <c r="ET232" s="47"/>
      <c r="EU232" s="47"/>
      <c r="EV232" s="47"/>
      <c r="EW232" s="47"/>
      <c r="EX232" s="47"/>
      <c r="EY232" s="47"/>
      <c r="EZ232" s="47"/>
      <c r="FA232" s="47"/>
      <c r="FB232" s="47"/>
      <c r="FC232" s="47"/>
      <c r="FD232" s="47"/>
      <c r="FE232" s="47"/>
      <c r="FF232" s="47"/>
      <c r="FG232" s="47"/>
      <c r="FH232" s="47"/>
      <c r="FI232" s="47"/>
      <c r="FJ232" s="49"/>
      <c r="FK232" s="47"/>
      <c r="FL232" s="47"/>
      <c r="FM232" s="47"/>
      <c r="FN232" s="47"/>
      <c r="FO232" s="47"/>
      <c r="FP232" s="47"/>
      <c r="FQ232" s="47"/>
      <c r="FR232" s="47"/>
      <c r="FS232" s="47"/>
      <c r="FT232" s="47"/>
      <c r="FU232" s="47"/>
      <c r="FV232" s="47"/>
      <c r="FW232" s="47"/>
      <c r="FX232" s="47"/>
      <c r="FY232" s="47"/>
      <c r="FZ232" s="47"/>
      <c r="GA232" s="47"/>
      <c r="GB232" s="47"/>
      <c r="GC232" s="47"/>
      <c r="GD232" s="47"/>
      <c r="GE232" s="47"/>
      <c r="GF232" s="47"/>
      <c r="GG232" s="47"/>
      <c r="GH232" s="47"/>
      <c r="GI232" s="47"/>
      <c r="GJ232" s="47"/>
      <c r="GK232" s="47"/>
      <c r="GL232" s="47"/>
      <c r="GM232" s="47"/>
      <c r="GN232" s="47"/>
      <c r="GO232" s="47"/>
      <c r="GP232" s="47"/>
      <c r="GQ232" s="47"/>
      <c r="GR232" s="47"/>
      <c r="GS232" s="47"/>
      <c r="GT232" s="47"/>
      <c r="GU232" s="47"/>
      <c r="GV232" s="47"/>
      <c r="GW232" s="47"/>
      <c r="GX232" s="47"/>
      <c r="GY232" s="47"/>
      <c r="GZ232" s="47"/>
      <c r="HA232" s="47"/>
      <c r="HB232" s="47"/>
      <c r="HC232" s="47"/>
      <c r="HD232" s="47"/>
      <c r="HE232" s="47"/>
      <c r="HF232" s="47"/>
      <c r="HI232" s="47"/>
      <c r="HJ232" s="47"/>
      <c r="HK232" s="47"/>
      <c r="HL232" s="47"/>
      <c r="HM232" s="47"/>
      <c r="HN232" s="47"/>
      <c r="HO232" s="47"/>
      <c r="HP232" s="47"/>
      <c r="HS232" s="47"/>
      <c r="HT232" s="47"/>
      <c r="HU232" s="47"/>
      <c r="HV232" s="47"/>
      <c r="HW232" s="47"/>
      <c r="HX232" s="47"/>
      <c r="HY232" s="47"/>
      <c r="HZ232" s="47"/>
      <c r="IC232" s="47"/>
      <c r="ID232" s="47"/>
      <c r="IE232" s="47"/>
      <c r="IF232" s="47"/>
      <c r="IG232" s="47"/>
      <c r="IH232" s="47"/>
      <c r="II232" s="47"/>
      <c r="IJ232" s="47"/>
      <c r="IM232" s="47"/>
      <c r="IN232" s="47"/>
      <c r="IO232" s="47"/>
      <c r="IP232" s="47"/>
      <c r="IQ232" s="47"/>
      <c r="IR232" s="47"/>
      <c r="IS232" s="47"/>
      <c r="IT232" s="47"/>
      <c r="IW232" s="47"/>
      <c r="IX232" s="47"/>
      <c r="IY232" s="47"/>
      <c r="IZ232" s="47"/>
      <c r="JA232" s="47"/>
      <c r="JB232" s="47"/>
      <c r="JC232" s="47"/>
      <c r="JD232" s="47"/>
      <c r="JG232" s="47"/>
      <c r="JH232" s="47"/>
      <c r="JI232" s="47"/>
      <c r="JJ232" s="47"/>
      <c r="JK232" s="47"/>
      <c r="JL232" s="47"/>
      <c r="JM232" s="47"/>
      <c r="JN232" s="47"/>
      <c r="JQ232" s="47"/>
      <c r="JR232" s="47"/>
      <c r="JS232" s="47"/>
      <c r="JT232" s="47"/>
      <c r="JU232" s="47"/>
      <c r="JV232" s="47"/>
      <c r="JW232" s="47"/>
      <c r="JX232" s="47"/>
      <c r="KA232" s="47"/>
      <c r="KB232" s="47"/>
      <c r="KC232" s="47"/>
      <c r="KD232" s="47"/>
      <c r="KE232" s="47"/>
      <c r="KF232" s="47"/>
      <c r="KG232" s="47"/>
      <c r="KH232" s="47"/>
      <c r="KK232" s="47"/>
      <c r="KL232" s="47"/>
      <c r="KM232" s="47"/>
      <c r="KN232" s="47"/>
      <c r="KO232" s="47"/>
      <c r="KP232" s="47"/>
      <c r="KQ232" s="47"/>
      <c r="KR232" s="47"/>
      <c r="KU232" s="47"/>
      <c r="KV232" s="47"/>
      <c r="KW232" s="47"/>
      <c r="KX232" s="47"/>
      <c r="KY232" s="47"/>
      <c r="KZ232" s="47"/>
      <c r="LA232" s="47"/>
      <c r="LB232" s="47"/>
    </row>
    <row r="233" spans="29:314" x14ac:dyDescent="0.25">
      <c r="AC233" s="47"/>
      <c r="AD233" s="47"/>
      <c r="AE233" s="47"/>
      <c r="AF233" s="47"/>
      <c r="AG233" s="49"/>
      <c r="AH233" s="47"/>
      <c r="AI233" s="47"/>
      <c r="AJ233" s="47"/>
      <c r="AK233" s="47"/>
      <c r="AL233" s="47"/>
      <c r="AM233" s="47"/>
      <c r="AN233" s="47"/>
      <c r="AO233" s="47"/>
      <c r="AP233" s="47"/>
      <c r="AQ233" s="47"/>
      <c r="AR233" s="47"/>
      <c r="AS233" s="47"/>
      <c r="AT233" s="47"/>
      <c r="AU233" s="47"/>
      <c r="AV233" s="47"/>
      <c r="AW233" s="47"/>
      <c r="AX233" s="47"/>
      <c r="AY233" s="47"/>
      <c r="AZ233" s="47"/>
      <c r="BA233" s="47"/>
      <c r="BB233" s="47"/>
      <c r="BC233" s="47"/>
      <c r="BD233" s="47"/>
      <c r="BE233" s="47"/>
      <c r="BF233" s="47"/>
      <c r="BG233" s="47"/>
      <c r="BH233" s="47"/>
      <c r="BI233" s="47"/>
      <c r="BJ233" s="47"/>
      <c r="BK233" s="47"/>
      <c r="BL233" s="47"/>
      <c r="BM233" s="47"/>
      <c r="BN233" s="49"/>
      <c r="BO233" s="47"/>
      <c r="BP233" s="47"/>
      <c r="BQ233" s="47"/>
      <c r="BR233" s="47"/>
      <c r="BS233" s="47"/>
      <c r="BT233" s="47"/>
      <c r="BU233" s="47"/>
      <c r="BV233" s="47"/>
      <c r="BW233" s="47"/>
      <c r="BX233" s="47"/>
      <c r="BY233" s="47"/>
      <c r="BZ233" s="47"/>
      <c r="CA233" s="47"/>
      <c r="CB233" s="47"/>
      <c r="CC233" s="47"/>
      <c r="CD233" s="47"/>
      <c r="CE233" s="47"/>
      <c r="CF233" s="47"/>
      <c r="CG233" s="49"/>
      <c r="CH233" s="47"/>
      <c r="CI233" s="47"/>
      <c r="CJ233" s="47"/>
      <c r="CK233" s="47"/>
      <c r="CL233" s="47"/>
      <c r="CM233" s="47"/>
      <c r="CN233" s="47"/>
      <c r="CO233" s="47"/>
      <c r="CP233" s="47"/>
      <c r="CQ233" s="47"/>
      <c r="CS233" s="47"/>
      <c r="CT233" s="47"/>
      <c r="CU233" s="47"/>
      <c r="CV233" s="47"/>
      <c r="CW233" s="47"/>
      <c r="CX233" s="47"/>
      <c r="CY233" s="47"/>
      <c r="CZ233" s="47"/>
      <c r="DA233" s="47"/>
      <c r="DB233" s="47"/>
      <c r="DC233" s="47"/>
      <c r="DD233" s="47"/>
      <c r="DE233" s="47"/>
      <c r="DF233" s="47"/>
      <c r="DG233" s="47"/>
      <c r="DH233" s="47"/>
      <c r="DI233" s="47"/>
      <c r="DJ233" s="47"/>
      <c r="DK233" s="47"/>
      <c r="DM233" s="47"/>
      <c r="DN233" s="47"/>
      <c r="DO233" s="47"/>
      <c r="DP233" s="47"/>
      <c r="DQ233" s="47"/>
      <c r="DR233" s="47"/>
      <c r="DS233" s="47"/>
      <c r="DT233" s="47"/>
      <c r="DU233" s="47"/>
      <c r="DV233" s="49"/>
      <c r="DW233" s="47"/>
      <c r="DX233" s="47"/>
      <c r="DY233" s="47"/>
      <c r="DZ233" s="47"/>
      <c r="EA233" s="47"/>
      <c r="EB233" s="47"/>
      <c r="EC233" s="47"/>
      <c r="ED233" s="47"/>
      <c r="EE233" s="47"/>
      <c r="EF233" s="47"/>
      <c r="EG233" s="47"/>
      <c r="EH233" s="47"/>
      <c r="EI233" s="47"/>
      <c r="EJ233" s="47"/>
      <c r="EK233" s="47"/>
      <c r="EL233" s="47"/>
      <c r="EM233" s="47"/>
      <c r="EN233" s="47"/>
      <c r="EO233" s="47"/>
      <c r="EP233" s="47"/>
      <c r="EQ233" s="47"/>
      <c r="ER233" s="47"/>
      <c r="ES233" s="47"/>
      <c r="ET233" s="47"/>
      <c r="EU233" s="47"/>
      <c r="EV233" s="47"/>
      <c r="EW233" s="47"/>
      <c r="EX233" s="47"/>
      <c r="EY233" s="47"/>
      <c r="EZ233" s="47"/>
      <c r="FA233" s="47"/>
      <c r="FB233" s="47"/>
      <c r="FC233" s="47"/>
      <c r="FD233" s="47"/>
      <c r="FE233" s="47"/>
      <c r="FF233" s="47"/>
      <c r="FG233" s="47"/>
      <c r="FH233" s="47"/>
      <c r="FI233" s="47"/>
      <c r="FJ233" s="49"/>
      <c r="FK233" s="47"/>
      <c r="FL233" s="47"/>
      <c r="FM233" s="47"/>
      <c r="FN233" s="47"/>
      <c r="FO233" s="47"/>
      <c r="FP233" s="47"/>
      <c r="FQ233" s="47"/>
      <c r="FR233" s="47"/>
      <c r="FS233" s="47"/>
      <c r="FT233" s="47"/>
      <c r="FU233" s="47"/>
      <c r="FV233" s="47"/>
      <c r="FW233" s="47"/>
      <c r="FX233" s="47"/>
      <c r="FY233" s="47"/>
      <c r="FZ233" s="47"/>
      <c r="GA233" s="47"/>
      <c r="GB233" s="47"/>
      <c r="GC233" s="47"/>
      <c r="GD233" s="47"/>
      <c r="GE233" s="47"/>
      <c r="GF233" s="47"/>
      <c r="GG233" s="47"/>
      <c r="GH233" s="47"/>
      <c r="GI233" s="47"/>
      <c r="GJ233" s="47"/>
      <c r="GK233" s="47"/>
      <c r="GL233" s="47"/>
      <c r="GM233" s="47"/>
      <c r="GN233" s="47"/>
      <c r="GO233" s="47"/>
      <c r="GP233" s="47"/>
      <c r="GQ233" s="47"/>
      <c r="GR233" s="47"/>
      <c r="GS233" s="47"/>
      <c r="GT233" s="47"/>
      <c r="GU233" s="47"/>
      <c r="GV233" s="47"/>
      <c r="GW233" s="47"/>
      <c r="GX233" s="47"/>
      <c r="GY233" s="47"/>
      <c r="GZ233" s="47"/>
      <c r="HA233" s="47"/>
      <c r="HB233" s="47"/>
      <c r="HC233" s="47"/>
      <c r="HD233" s="47"/>
      <c r="HE233" s="47"/>
      <c r="HF233" s="47"/>
      <c r="HI233" s="47"/>
      <c r="HJ233" s="47"/>
      <c r="HK233" s="47"/>
      <c r="HL233" s="47"/>
      <c r="HM233" s="47"/>
      <c r="HN233" s="47"/>
      <c r="HO233" s="47"/>
      <c r="HP233" s="47"/>
      <c r="HS233" s="47"/>
      <c r="HT233" s="47"/>
      <c r="HU233" s="47"/>
      <c r="HV233" s="47"/>
      <c r="HW233" s="47"/>
      <c r="HX233" s="47"/>
      <c r="HY233" s="47"/>
      <c r="HZ233" s="47"/>
      <c r="IC233" s="47"/>
      <c r="ID233" s="47"/>
      <c r="IE233" s="47"/>
      <c r="IF233" s="47"/>
      <c r="IG233" s="47"/>
      <c r="IH233" s="47"/>
      <c r="II233" s="47"/>
      <c r="IJ233" s="47"/>
      <c r="IM233" s="47"/>
      <c r="IN233" s="47"/>
      <c r="IO233" s="47"/>
      <c r="IP233" s="47"/>
      <c r="IQ233" s="47"/>
      <c r="IR233" s="47"/>
      <c r="IS233" s="47"/>
      <c r="IT233" s="47"/>
      <c r="IW233" s="47"/>
      <c r="IX233" s="47"/>
      <c r="IY233" s="47"/>
      <c r="IZ233" s="47"/>
      <c r="JA233" s="47"/>
      <c r="JB233" s="47"/>
      <c r="JC233" s="47"/>
      <c r="JD233" s="47"/>
      <c r="JG233" s="47"/>
      <c r="JH233" s="47"/>
      <c r="JI233" s="47"/>
      <c r="JJ233" s="47"/>
      <c r="JK233" s="47"/>
      <c r="JL233" s="47"/>
      <c r="JM233" s="47"/>
      <c r="JN233" s="47"/>
      <c r="JQ233" s="47"/>
      <c r="JR233" s="47"/>
      <c r="JS233" s="47"/>
      <c r="JT233" s="47"/>
      <c r="JU233" s="47"/>
      <c r="JV233" s="47"/>
      <c r="JW233" s="47"/>
      <c r="JX233" s="47"/>
      <c r="KA233" s="47"/>
      <c r="KB233" s="47"/>
      <c r="KC233" s="47"/>
      <c r="KD233" s="47"/>
      <c r="KE233" s="47"/>
      <c r="KF233" s="47"/>
      <c r="KG233" s="47"/>
      <c r="KH233" s="47"/>
      <c r="KK233" s="47"/>
      <c r="KL233" s="47"/>
      <c r="KM233" s="47"/>
      <c r="KN233" s="47"/>
      <c r="KO233" s="47"/>
      <c r="KP233" s="47"/>
      <c r="KQ233" s="47"/>
      <c r="KR233" s="47"/>
      <c r="KU233" s="47"/>
      <c r="KV233" s="47"/>
      <c r="KW233" s="47"/>
      <c r="KX233" s="47"/>
      <c r="KY233" s="47"/>
      <c r="KZ233" s="47"/>
      <c r="LA233" s="47"/>
      <c r="LB233" s="47"/>
    </row>
    <row r="234" spans="29:314" x14ac:dyDescent="0.25">
      <c r="AC234" s="47"/>
      <c r="AD234" s="47"/>
      <c r="AE234" s="47"/>
      <c r="AF234" s="47"/>
      <c r="AG234" s="49"/>
      <c r="AH234" s="47"/>
      <c r="AI234" s="47"/>
      <c r="AJ234" s="47"/>
      <c r="AK234" s="47"/>
      <c r="AL234" s="47"/>
      <c r="AM234" s="47"/>
      <c r="AN234" s="47"/>
      <c r="AO234" s="47"/>
      <c r="AP234" s="47"/>
      <c r="AQ234" s="47"/>
      <c r="AR234" s="47"/>
      <c r="AS234" s="47"/>
      <c r="AT234" s="47"/>
      <c r="AU234" s="47"/>
      <c r="AV234" s="47"/>
      <c r="AW234" s="47"/>
      <c r="AX234" s="47"/>
      <c r="AY234" s="47"/>
      <c r="AZ234" s="47"/>
      <c r="BA234" s="47"/>
      <c r="BB234" s="47"/>
      <c r="BC234" s="47"/>
      <c r="BD234" s="47"/>
      <c r="BE234" s="47"/>
      <c r="BF234" s="47"/>
      <c r="BG234" s="47"/>
      <c r="BH234" s="47"/>
      <c r="BI234" s="47"/>
      <c r="BJ234" s="47"/>
      <c r="BK234" s="47"/>
      <c r="BL234" s="47"/>
      <c r="BM234" s="47"/>
      <c r="BN234" s="49"/>
      <c r="BO234" s="47"/>
      <c r="BP234" s="47"/>
      <c r="BQ234" s="47"/>
      <c r="BR234" s="47"/>
      <c r="BS234" s="47"/>
      <c r="BT234" s="47"/>
      <c r="BU234" s="47"/>
      <c r="BV234" s="47"/>
      <c r="BW234" s="47"/>
      <c r="BX234" s="47"/>
      <c r="BY234" s="47"/>
      <c r="BZ234" s="47"/>
      <c r="CA234" s="47"/>
      <c r="CB234" s="47"/>
      <c r="CC234" s="47"/>
      <c r="CD234" s="47"/>
      <c r="CE234" s="47"/>
      <c r="CF234" s="47"/>
      <c r="CG234" s="49"/>
      <c r="CH234" s="47"/>
      <c r="CI234" s="47"/>
      <c r="CJ234" s="47"/>
      <c r="CK234" s="47"/>
      <c r="CL234" s="47"/>
      <c r="CM234" s="47"/>
      <c r="CN234" s="47"/>
      <c r="CO234" s="47"/>
      <c r="CP234" s="47"/>
      <c r="CQ234" s="47"/>
      <c r="CS234" s="47"/>
      <c r="CT234" s="47"/>
      <c r="CU234" s="47"/>
      <c r="CV234" s="47"/>
      <c r="CW234" s="47"/>
      <c r="CX234" s="47"/>
      <c r="CY234" s="47"/>
      <c r="CZ234" s="47"/>
      <c r="DA234" s="47"/>
      <c r="DB234" s="47"/>
      <c r="DC234" s="47"/>
      <c r="DD234" s="47"/>
      <c r="DE234" s="47"/>
      <c r="DF234" s="47"/>
      <c r="DG234" s="47"/>
      <c r="DH234" s="47"/>
      <c r="DI234" s="47"/>
      <c r="DJ234" s="47"/>
      <c r="DK234" s="47"/>
      <c r="DM234" s="47"/>
      <c r="DN234" s="47"/>
      <c r="DO234" s="47"/>
      <c r="DP234" s="47"/>
      <c r="DQ234" s="47"/>
      <c r="DR234" s="47"/>
      <c r="DS234" s="47"/>
      <c r="DT234" s="47"/>
      <c r="DU234" s="47"/>
      <c r="DV234" s="49"/>
      <c r="DW234" s="47"/>
      <c r="DX234" s="47"/>
      <c r="DY234" s="47"/>
      <c r="DZ234" s="47"/>
      <c r="EA234" s="47"/>
      <c r="EB234" s="47"/>
      <c r="EC234" s="47"/>
      <c r="ED234" s="47"/>
      <c r="EE234" s="47"/>
      <c r="EF234" s="47"/>
      <c r="EG234" s="47"/>
      <c r="EH234" s="47"/>
      <c r="EI234" s="47"/>
      <c r="EJ234" s="47"/>
      <c r="EK234" s="47"/>
      <c r="EL234" s="47"/>
      <c r="EM234" s="47"/>
      <c r="EN234" s="47"/>
      <c r="EO234" s="47"/>
      <c r="EP234" s="47"/>
      <c r="EQ234" s="47"/>
      <c r="ER234" s="47"/>
      <c r="ES234" s="47"/>
      <c r="ET234" s="47"/>
      <c r="EU234" s="47"/>
      <c r="EV234" s="47"/>
      <c r="EW234" s="47"/>
      <c r="EX234" s="47"/>
      <c r="EY234" s="47"/>
      <c r="EZ234" s="47"/>
      <c r="FA234" s="47"/>
      <c r="FB234" s="47"/>
      <c r="FC234" s="47"/>
      <c r="FD234" s="47"/>
      <c r="FE234" s="47"/>
      <c r="FF234" s="47"/>
      <c r="FG234" s="47"/>
      <c r="FH234" s="47"/>
      <c r="FI234" s="47"/>
      <c r="FJ234" s="49"/>
      <c r="FK234" s="47"/>
      <c r="FL234" s="47"/>
      <c r="FM234" s="47"/>
      <c r="FN234" s="47"/>
      <c r="FO234" s="47"/>
      <c r="FP234" s="47"/>
      <c r="FQ234" s="47"/>
      <c r="FR234" s="47"/>
      <c r="FS234" s="47"/>
      <c r="FT234" s="47"/>
      <c r="FU234" s="47"/>
      <c r="FV234" s="47"/>
      <c r="FW234" s="47"/>
      <c r="FX234" s="47"/>
      <c r="FY234" s="47"/>
      <c r="FZ234" s="47"/>
      <c r="GA234" s="47"/>
      <c r="GB234" s="47"/>
      <c r="GC234" s="47"/>
      <c r="GD234" s="47"/>
      <c r="GE234" s="47"/>
      <c r="GF234" s="47"/>
      <c r="GG234" s="47"/>
      <c r="GH234" s="47"/>
      <c r="GI234" s="47"/>
      <c r="GJ234" s="47"/>
      <c r="GK234" s="47"/>
      <c r="GL234" s="47"/>
      <c r="GM234" s="47"/>
      <c r="GN234" s="47"/>
      <c r="GO234" s="47"/>
      <c r="GP234" s="47"/>
      <c r="GQ234" s="47"/>
      <c r="GR234" s="47"/>
      <c r="GS234" s="47"/>
      <c r="GT234" s="47"/>
      <c r="GU234" s="47"/>
      <c r="GV234" s="47"/>
      <c r="GW234" s="47"/>
      <c r="GX234" s="47"/>
      <c r="GY234" s="47"/>
      <c r="GZ234" s="47"/>
      <c r="HA234" s="47"/>
      <c r="HB234" s="47"/>
      <c r="HC234" s="47"/>
      <c r="HD234" s="47"/>
      <c r="HE234" s="47"/>
      <c r="HF234" s="47"/>
      <c r="HI234" s="47"/>
      <c r="HJ234" s="47"/>
      <c r="HK234" s="47"/>
      <c r="HL234" s="47"/>
      <c r="HM234" s="47"/>
      <c r="HN234" s="47"/>
      <c r="HO234" s="47"/>
      <c r="HP234" s="47"/>
      <c r="HS234" s="47"/>
      <c r="HT234" s="47"/>
      <c r="HU234" s="47"/>
      <c r="HV234" s="47"/>
      <c r="HW234" s="47"/>
      <c r="HX234" s="47"/>
      <c r="HY234" s="47"/>
      <c r="HZ234" s="47"/>
      <c r="IC234" s="47"/>
      <c r="ID234" s="47"/>
      <c r="IE234" s="47"/>
      <c r="IF234" s="47"/>
      <c r="IG234" s="47"/>
      <c r="IH234" s="47"/>
      <c r="II234" s="47"/>
      <c r="IJ234" s="47"/>
      <c r="IM234" s="47"/>
      <c r="IN234" s="47"/>
      <c r="IO234" s="47"/>
      <c r="IP234" s="47"/>
      <c r="IQ234" s="47"/>
      <c r="IR234" s="47"/>
      <c r="IS234" s="47"/>
      <c r="IT234" s="47"/>
      <c r="IW234" s="47"/>
      <c r="IX234" s="47"/>
      <c r="IY234" s="47"/>
      <c r="IZ234" s="47"/>
      <c r="JA234" s="47"/>
      <c r="JB234" s="47"/>
      <c r="JC234" s="47"/>
      <c r="JD234" s="47"/>
      <c r="JG234" s="47"/>
      <c r="JH234" s="47"/>
      <c r="JI234" s="47"/>
      <c r="JJ234" s="47"/>
      <c r="JK234" s="47"/>
      <c r="JL234" s="47"/>
      <c r="JM234" s="47"/>
      <c r="JN234" s="47"/>
      <c r="JQ234" s="47"/>
      <c r="JR234" s="47"/>
      <c r="JS234" s="47"/>
      <c r="JT234" s="47"/>
      <c r="JU234" s="47"/>
      <c r="JV234" s="47"/>
      <c r="JW234" s="47"/>
      <c r="JX234" s="47"/>
      <c r="KA234" s="47"/>
      <c r="KB234" s="47"/>
      <c r="KC234" s="47"/>
      <c r="KD234" s="47"/>
      <c r="KE234" s="47"/>
      <c r="KF234" s="47"/>
      <c r="KG234" s="47"/>
      <c r="KH234" s="47"/>
      <c r="KK234" s="47"/>
      <c r="KL234" s="47"/>
      <c r="KM234" s="47"/>
      <c r="KN234" s="47"/>
      <c r="KO234" s="47"/>
      <c r="KP234" s="47"/>
      <c r="KQ234" s="47"/>
      <c r="KR234" s="47"/>
      <c r="KU234" s="47"/>
      <c r="KV234" s="47"/>
      <c r="KW234" s="47"/>
      <c r="KX234" s="47"/>
      <c r="KY234" s="47"/>
      <c r="KZ234" s="47"/>
      <c r="LA234" s="47"/>
      <c r="LB234" s="47"/>
    </row>
    <row r="235" spans="29:314" x14ac:dyDescent="0.25">
      <c r="AC235" s="47"/>
      <c r="AD235" s="47"/>
      <c r="AE235" s="47"/>
      <c r="AF235" s="47"/>
      <c r="AG235" s="49"/>
      <c r="AH235" s="47"/>
      <c r="AI235" s="47"/>
      <c r="AJ235" s="47"/>
      <c r="AK235" s="47"/>
      <c r="AL235" s="47"/>
      <c r="AM235" s="47"/>
      <c r="AN235" s="47"/>
      <c r="AO235" s="47"/>
      <c r="AP235" s="47"/>
      <c r="AQ235" s="47"/>
      <c r="AR235" s="47"/>
      <c r="AS235" s="47"/>
      <c r="AT235" s="47"/>
      <c r="AU235" s="47"/>
      <c r="AV235" s="47"/>
      <c r="AW235" s="47"/>
      <c r="AX235" s="47"/>
      <c r="AY235" s="47"/>
      <c r="AZ235" s="47"/>
      <c r="BA235" s="47"/>
      <c r="BB235" s="47"/>
      <c r="BC235" s="47"/>
      <c r="BD235" s="47"/>
      <c r="BE235" s="47"/>
      <c r="BF235" s="47"/>
      <c r="BG235" s="47"/>
      <c r="BH235" s="47"/>
      <c r="BI235" s="47"/>
      <c r="BJ235" s="47"/>
      <c r="BK235" s="47"/>
      <c r="BL235" s="47"/>
      <c r="BM235" s="47"/>
      <c r="BN235" s="49"/>
      <c r="BO235" s="47"/>
      <c r="BP235" s="47"/>
      <c r="BQ235" s="47"/>
      <c r="BR235" s="47"/>
      <c r="BS235" s="47"/>
      <c r="BT235" s="47"/>
      <c r="BU235" s="47"/>
      <c r="BV235" s="47"/>
      <c r="BW235" s="47"/>
      <c r="BX235" s="47"/>
      <c r="BY235" s="47"/>
      <c r="BZ235" s="47"/>
      <c r="CA235" s="47"/>
      <c r="CB235" s="47"/>
      <c r="CC235" s="47"/>
      <c r="CD235" s="47"/>
      <c r="CE235" s="47"/>
      <c r="CF235" s="47"/>
      <c r="CG235" s="49"/>
      <c r="CH235" s="47"/>
      <c r="CI235" s="47"/>
      <c r="CJ235" s="47"/>
      <c r="CK235" s="47"/>
      <c r="CL235" s="47"/>
      <c r="CM235" s="47"/>
      <c r="CN235" s="47"/>
      <c r="CO235" s="47"/>
      <c r="CP235" s="47"/>
      <c r="CQ235" s="47"/>
      <c r="CS235" s="47"/>
      <c r="CT235" s="47"/>
      <c r="CU235" s="47"/>
      <c r="CV235" s="47"/>
      <c r="CW235" s="47"/>
      <c r="CX235" s="47"/>
      <c r="CY235" s="47"/>
      <c r="CZ235" s="47"/>
      <c r="DA235" s="47"/>
      <c r="DB235" s="47"/>
      <c r="DC235" s="47"/>
      <c r="DD235" s="47"/>
      <c r="DE235" s="47"/>
      <c r="DF235" s="47"/>
      <c r="DG235" s="47"/>
      <c r="DH235" s="47"/>
      <c r="DI235" s="47"/>
      <c r="DJ235" s="47"/>
      <c r="DK235" s="47"/>
      <c r="DM235" s="47"/>
      <c r="DN235" s="47"/>
      <c r="DO235" s="47"/>
      <c r="DP235" s="47"/>
      <c r="DQ235" s="47"/>
      <c r="DR235" s="47"/>
      <c r="DS235" s="47"/>
      <c r="DT235" s="47"/>
      <c r="DU235" s="47"/>
      <c r="DV235" s="49"/>
      <c r="DW235" s="47"/>
      <c r="DX235" s="47"/>
      <c r="DY235" s="47"/>
      <c r="DZ235" s="47"/>
      <c r="EA235" s="47"/>
      <c r="EB235" s="47"/>
      <c r="EC235" s="47"/>
      <c r="ED235" s="47"/>
      <c r="EE235" s="47"/>
      <c r="EF235" s="47"/>
      <c r="EG235" s="47"/>
      <c r="EH235" s="47"/>
      <c r="EI235" s="47"/>
      <c r="EJ235" s="47"/>
      <c r="EK235" s="47"/>
      <c r="EL235" s="47"/>
      <c r="EM235" s="47"/>
      <c r="EN235" s="47"/>
      <c r="EO235" s="47"/>
      <c r="EP235" s="47"/>
      <c r="EQ235" s="47"/>
      <c r="ER235" s="47"/>
      <c r="ES235" s="47"/>
      <c r="ET235" s="47"/>
      <c r="EU235" s="47"/>
      <c r="EV235" s="47"/>
      <c r="EW235" s="47"/>
      <c r="EX235" s="47"/>
      <c r="EY235" s="47"/>
      <c r="EZ235" s="47"/>
      <c r="FA235" s="47"/>
      <c r="FB235" s="47"/>
      <c r="FC235" s="47"/>
      <c r="FD235" s="47"/>
      <c r="FE235" s="47"/>
      <c r="FF235" s="47"/>
      <c r="FG235" s="47"/>
      <c r="FH235" s="47"/>
      <c r="FI235" s="47"/>
      <c r="FJ235" s="49"/>
      <c r="FK235" s="47"/>
      <c r="FL235" s="47"/>
      <c r="FM235" s="47"/>
      <c r="FN235" s="47"/>
      <c r="FO235" s="47"/>
      <c r="FP235" s="47"/>
      <c r="FQ235" s="47"/>
      <c r="FR235" s="47"/>
      <c r="FS235" s="47"/>
      <c r="FT235" s="47"/>
      <c r="FU235" s="47"/>
      <c r="FV235" s="47"/>
      <c r="FW235" s="47"/>
      <c r="FX235" s="47"/>
      <c r="FY235" s="47"/>
      <c r="FZ235" s="47"/>
      <c r="GA235" s="47"/>
      <c r="GB235" s="47"/>
      <c r="GC235" s="47"/>
      <c r="GD235" s="47"/>
      <c r="GE235" s="47"/>
      <c r="GF235" s="47"/>
      <c r="GG235" s="47"/>
      <c r="GH235" s="47"/>
      <c r="GI235" s="47"/>
      <c r="GJ235" s="47"/>
      <c r="GK235" s="47"/>
      <c r="GL235" s="47"/>
      <c r="GM235" s="47"/>
      <c r="GN235" s="47"/>
      <c r="GO235" s="47"/>
      <c r="GP235" s="47"/>
      <c r="GQ235" s="47"/>
      <c r="GR235" s="47"/>
      <c r="GS235" s="47"/>
      <c r="GT235" s="47"/>
      <c r="GU235" s="47"/>
      <c r="GV235" s="47"/>
      <c r="GW235" s="47"/>
      <c r="GX235" s="47"/>
      <c r="GY235" s="47"/>
      <c r="GZ235" s="47"/>
      <c r="HA235" s="47"/>
      <c r="HB235" s="47"/>
      <c r="HC235" s="47"/>
      <c r="HD235" s="47"/>
      <c r="HE235" s="47"/>
      <c r="HF235" s="47"/>
      <c r="HI235" s="47"/>
      <c r="HJ235" s="47"/>
      <c r="HK235" s="47"/>
      <c r="HL235" s="47"/>
      <c r="HM235" s="47"/>
      <c r="HN235" s="47"/>
      <c r="HO235" s="47"/>
      <c r="HP235" s="47"/>
      <c r="HS235" s="47"/>
      <c r="HT235" s="47"/>
      <c r="HU235" s="47"/>
      <c r="HV235" s="47"/>
      <c r="HW235" s="47"/>
      <c r="HX235" s="47"/>
      <c r="HY235" s="47"/>
      <c r="HZ235" s="47"/>
      <c r="IC235" s="47"/>
      <c r="ID235" s="47"/>
      <c r="IE235" s="47"/>
      <c r="IF235" s="47"/>
      <c r="IG235" s="47"/>
      <c r="IH235" s="47"/>
      <c r="II235" s="47"/>
      <c r="IJ235" s="47"/>
      <c r="IM235" s="47"/>
      <c r="IN235" s="47"/>
      <c r="IO235" s="47"/>
      <c r="IP235" s="47"/>
      <c r="IQ235" s="47"/>
      <c r="IR235" s="47"/>
      <c r="IS235" s="47"/>
      <c r="IT235" s="47"/>
      <c r="IW235" s="47"/>
      <c r="IX235" s="47"/>
      <c r="IY235" s="47"/>
      <c r="IZ235" s="47"/>
      <c r="JA235" s="47"/>
      <c r="JB235" s="47"/>
      <c r="JC235" s="47"/>
      <c r="JD235" s="47"/>
      <c r="JG235" s="47"/>
      <c r="JH235" s="47"/>
      <c r="JI235" s="47"/>
      <c r="JJ235" s="47"/>
      <c r="JK235" s="47"/>
      <c r="JL235" s="47"/>
      <c r="JM235" s="47"/>
      <c r="JN235" s="47"/>
      <c r="JQ235" s="47"/>
      <c r="JR235" s="47"/>
      <c r="JS235" s="47"/>
      <c r="JT235" s="47"/>
      <c r="JU235" s="47"/>
      <c r="JV235" s="47"/>
      <c r="JW235" s="47"/>
      <c r="JX235" s="47"/>
      <c r="KA235" s="47"/>
      <c r="KB235" s="47"/>
      <c r="KC235" s="47"/>
      <c r="KD235" s="47"/>
      <c r="KE235" s="47"/>
      <c r="KF235" s="47"/>
      <c r="KG235" s="47"/>
      <c r="KH235" s="47"/>
      <c r="KK235" s="47"/>
      <c r="KL235" s="47"/>
      <c r="KM235" s="47"/>
      <c r="KN235" s="47"/>
      <c r="KO235" s="47"/>
      <c r="KP235" s="47"/>
      <c r="KQ235" s="47"/>
      <c r="KR235" s="47"/>
      <c r="KU235" s="47"/>
      <c r="KV235" s="47"/>
      <c r="KW235" s="47"/>
      <c r="KX235" s="47"/>
      <c r="KY235" s="47"/>
      <c r="KZ235" s="47"/>
      <c r="LA235" s="47"/>
      <c r="LB235" s="47"/>
    </row>
    <row r="236" spans="29:314" x14ac:dyDescent="0.25">
      <c r="AC236" s="47"/>
      <c r="AD236" s="47"/>
      <c r="AE236" s="47"/>
      <c r="AF236" s="47"/>
      <c r="AG236" s="49"/>
      <c r="AH236" s="47"/>
      <c r="AI236" s="47"/>
      <c r="AJ236" s="47"/>
      <c r="AK236" s="47"/>
      <c r="AL236" s="47"/>
      <c r="AM236" s="47"/>
      <c r="AN236" s="47"/>
      <c r="AO236" s="47"/>
      <c r="AP236" s="47"/>
      <c r="AQ236" s="47"/>
      <c r="AR236" s="47"/>
      <c r="AS236" s="47"/>
      <c r="AT236" s="47"/>
      <c r="AU236" s="47"/>
      <c r="AV236" s="47"/>
      <c r="AW236" s="47"/>
      <c r="AX236" s="47"/>
      <c r="AY236" s="47"/>
      <c r="AZ236" s="47"/>
      <c r="BA236" s="47"/>
      <c r="BB236" s="47"/>
      <c r="BC236" s="47"/>
      <c r="BD236" s="47"/>
      <c r="BE236" s="47"/>
      <c r="BF236" s="47"/>
      <c r="BG236" s="47"/>
      <c r="BH236" s="47"/>
      <c r="BI236" s="47"/>
      <c r="BJ236" s="47"/>
      <c r="BK236" s="47"/>
      <c r="BL236" s="47"/>
      <c r="BM236" s="47"/>
      <c r="BN236" s="49"/>
      <c r="BO236" s="47"/>
      <c r="BP236" s="47"/>
      <c r="BQ236" s="47"/>
      <c r="BR236" s="47"/>
      <c r="BS236" s="47"/>
      <c r="BT236" s="47"/>
      <c r="BU236" s="47"/>
      <c r="BV236" s="47"/>
      <c r="BW236" s="47"/>
      <c r="BX236" s="47"/>
      <c r="BY236" s="47"/>
      <c r="BZ236" s="47"/>
      <c r="CA236" s="47"/>
      <c r="CB236" s="47"/>
      <c r="CC236" s="47"/>
      <c r="CD236" s="47"/>
      <c r="CE236" s="47"/>
      <c r="CF236" s="47"/>
      <c r="CG236" s="49"/>
      <c r="CH236" s="47"/>
      <c r="CI236" s="47"/>
      <c r="CJ236" s="47"/>
      <c r="CK236" s="47"/>
      <c r="CL236" s="47"/>
      <c r="CM236" s="47"/>
      <c r="CN236" s="47"/>
      <c r="CO236" s="47"/>
      <c r="CP236" s="47"/>
      <c r="CQ236" s="47"/>
      <c r="CS236" s="47"/>
      <c r="CT236" s="47"/>
      <c r="CU236" s="47"/>
      <c r="CV236" s="47"/>
      <c r="CW236" s="47"/>
      <c r="CX236" s="47"/>
      <c r="CY236" s="47"/>
      <c r="CZ236" s="47"/>
      <c r="DA236" s="47"/>
      <c r="DB236" s="47"/>
      <c r="DC236" s="47"/>
      <c r="DD236" s="47"/>
      <c r="DE236" s="47"/>
      <c r="DF236" s="47"/>
      <c r="DG236" s="47"/>
      <c r="DH236" s="47"/>
      <c r="DI236" s="47"/>
      <c r="DJ236" s="47"/>
      <c r="DK236" s="47"/>
      <c r="DM236" s="47"/>
      <c r="DN236" s="47"/>
      <c r="DO236" s="47"/>
      <c r="DP236" s="47"/>
      <c r="DQ236" s="47"/>
      <c r="DR236" s="47"/>
      <c r="DS236" s="47"/>
      <c r="DT236" s="47"/>
      <c r="DU236" s="47"/>
      <c r="DV236" s="49"/>
      <c r="DW236" s="47"/>
      <c r="DX236" s="47"/>
      <c r="DY236" s="47"/>
      <c r="DZ236" s="47"/>
      <c r="EA236" s="47"/>
      <c r="EB236" s="47"/>
      <c r="EC236" s="47"/>
      <c r="ED236" s="47"/>
      <c r="EE236" s="47"/>
      <c r="EF236" s="47"/>
      <c r="EG236" s="47"/>
      <c r="EH236" s="47"/>
      <c r="EI236" s="47"/>
      <c r="EJ236" s="47"/>
      <c r="EK236" s="47"/>
      <c r="EL236" s="47"/>
      <c r="EM236" s="47"/>
      <c r="EN236" s="47"/>
      <c r="EO236" s="47"/>
      <c r="EP236" s="47"/>
      <c r="EQ236" s="47"/>
      <c r="ER236" s="47"/>
      <c r="ES236" s="47"/>
      <c r="ET236" s="47"/>
      <c r="EU236" s="47"/>
      <c r="EV236" s="47"/>
      <c r="EW236" s="47"/>
      <c r="EX236" s="47"/>
      <c r="EY236" s="47"/>
      <c r="EZ236" s="47"/>
      <c r="FA236" s="47"/>
      <c r="FB236" s="47"/>
      <c r="FC236" s="47"/>
      <c r="FD236" s="47"/>
      <c r="FE236" s="47"/>
      <c r="FF236" s="47"/>
      <c r="FG236" s="47"/>
      <c r="FH236" s="47"/>
      <c r="FI236" s="47"/>
      <c r="FJ236" s="49"/>
      <c r="FK236" s="47"/>
      <c r="FL236" s="47"/>
      <c r="FM236" s="47"/>
      <c r="FN236" s="47"/>
      <c r="FO236" s="47"/>
      <c r="FP236" s="47"/>
      <c r="FQ236" s="47"/>
      <c r="FR236" s="47"/>
      <c r="FS236" s="47"/>
      <c r="FT236" s="47"/>
      <c r="FU236" s="47"/>
      <c r="FV236" s="47"/>
      <c r="FW236" s="47"/>
      <c r="FX236" s="47"/>
      <c r="FY236" s="47"/>
      <c r="FZ236" s="47"/>
      <c r="GA236" s="47"/>
      <c r="GB236" s="47"/>
      <c r="GC236" s="47"/>
      <c r="GD236" s="47"/>
      <c r="GE236" s="47"/>
      <c r="GF236" s="47"/>
      <c r="GG236" s="47"/>
      <c r="GH236" s="47"/>
      <c r="GI236" s="47"/>
      <c r="GJ236" s="47"/>
      <c r="GK236" s="47"/>
      <c r="GL236" s="47"/>
      <c r="GM236" s="47"/>
      <c r="GN236" s="47"/>
      <c r="GO236" s="47"/>
      <c r="GP236" s="47"/>
      <c r="GQ236" s="47"/>
      <c r="GR236" s="47"/>
      <c r="GS236" s="47"/>
      <c r="GT236" s="47"/>
      <c r="GU236" s="47"/>
      <c r="GV236" s="47"/>
      <c r="GW236" s="47"/>
      <c r="GX236" s="47"/>
      <c r="GY236" s="47"/>
      <c r="GZ236" s="47"/>
      <c r="HA236" s="47"/>
      <c r="HB236" s="47"/>
      <c r="HC236" s="47"/>
      <c r="HD236" s="47"/>
      <c r="HE236" s="47"/>
      <c r="HF236" s="47"/>
      <c r="HI236" s="47"/>
      <c r="HJ236" s="47"/>
      <c r="HK236" s="47"/>
      <c r="HL236" s="47"/>
      <c r="HM236" s="47"/>
      <c r="HN236" s="47"/>
      <c r="HO236" s="47"/>
      <c r="HP236" s="47"/>
      <c r="HS236" s="47"/>
      <c r="HT236" s="47"/>
      <c r="HU236" s="47"/>
      <c r="HV236" s="47"/>
      <c r="HW236" s="47"/>
      <c r="HX236" s="47"/>
      <c r="HY236" s="47"/>
      <c r="HZ236" s="47"/>
      <c r="IC236" s="47"/>
      <c r="ID236" s="47"/>
      <c r="IE236" s="47"/>
      <c r="IF236" s="47"/>
      <c r="IG236" s="47"/>
      <c r="IH236" s="47"/>
      <c r="II236" s="47"/>
      <c r="IJ236" s="47"/>
      <c r="IM236" s="47"/>
      <c r="IN236" s="47"/>
      <c r="IO236" s="47"/>
      <c r="IP236" s="47"/>
      <c r="IQ236" s="47"/>
      <c r="IR236" s="47"/>
      <c r="IS236" s="47"/>
      <c r="IT236" s="47"/>
      <c r="IW236" s="47"/>
      <c r="IX236" s="47"/>
      <c r="IY236" s="47"/>
      <c r="IZ236" s="47"/>
      <c r="JA236" s="47"/>
      <c r="JB236" s="47"/>
      <c r="JC236" s="47"/>
      <c r="JD236" s="47"/>
      <c r="JG236" s="47"/>
      <c r="JH236" s="47"/>
      <c r="JI236" s="47"/>
      <c r="JJ236" s="47"/>
      <c r="JK236" s="47"/>
      <c r="JL236" s="47"/>
      <c r="JM236" s="47"/>
      <c r="JN236" s="47"/>
      <c r="JQ236" s="47"/>
      <c r="JR236" s="47"/>
      <c r="JS236" s="47"/>
      <c r="JT236" s="47"/>
      <c r="JU236" s="47"/>
      <c r="JV236" s="47"/>
      <c r="JW236" s="47"/>
      <c r="JX236" s="47"/>
      <c r="KA236" s="47"/>
      <c r="KB236" s="47"/>
      <c r="KC236" s="47"/>
      <c r="KD236" s="47"/>
      <c r="KE236" s="47"/>
      <c r="KF236" s="47"/>
      <c r="KG236" s="47"/>
      <c r="KH236" s="47"/>
      <c r="KK236" s="47"/>
      <c r="KL236" s="47"/>
      <c r="KM236" s="47"/>
      <c r="KN236" s="47"/>
      <c r="KO236" s="47"/>
      <c r="KP236" s="47"/>
      <c r="KQ236" s="47"/>
      <c r="KR236" s="47"/>
      <c r="KU236" s="47"/>
      <c r="KV236" s="47"/>
      <c r="KW236" s="47"/>
      <c r="KX236" s="47"/>
      <c r="KY236" s="47"/>
      <c r="KZ236" s="47"/>
      <c r="LA236" s="47"/>
      <c r="LB236" s="47"/>
    </row>
    <row r="237" spans="29:314" x14ac:dyDescent="0.25">
      <c r="AC237" s="47"/>
      <c r="AD237" s="47"/>
      <c r="AE237" s="47"/>
      <c r="AF237" s="47"/>
      <c r="AG237" s="49"/>
      <c r="AH237" s="47"/>
      <c r="AI237" s="47"/>
      <c r="AJ237" s="47"/>
      <c r="AK237" s="47"/>
      <c r="AL237" s="47"/>
      <c r="AM237" s="47"/>
      <c r="AN237" s="47"/>
      <c r="AO237" s="47"/>
      <c r="AP237" s="47"/>
      <c r="AQ237" s="47"/>
      <c r="AR237" s="47"/>
      <c r="AS237" s="47"/>
      <c r="AT237" s="47"/>
      <c r="AU237" s="47"/>
      <c r="AV237" s="47"/>
      <c r="AW237" s="47"/>
      <c r="AX237" s="47"/>
      <c r="AY237" s="47"/>
      <c r="AZ237" s="47"/>
      <c r="BA237" s="47"/>
      <c r="BB237" s="47"/>
      <c r="BC237" s="47"/>
      <c r="BD237" s="47"/>
      <c r="BE237" s="47"/>
      <c r="BF237" s="47"/>
      <c r="BG237" s="47"/>
      <c r="BH237" s="47"/>
      <c r="BI237" s="47"/>
      <c r="BJ237" s="47"/>
      <c r="BK237" s="47"/>
      <c r="BL237" s="47"/>
      <c r="BM237" s="47"/>
      <c r="BN237" s="49"/>
      <c r="BO237" s="47"/>
      <c r="BP237" s="47"/>
      <c r="BQ237" s="47"/>
      <c r="BR237" s="47"/>
      <c r="BS237" s="47"/>
      <c r="BT237" s="47"/>
      <c r="BU237" s="47"/>
      <c r="BV237" s="47"/>
      <c r="BW237" s="47"/>
      <c r="BX237" s="47"/>
      <c r="BY237" s="47"/>
      <c r="BZ237" s="47"/>
      <c r="CA237" s="47"/>
      <c r="CB237" s="47"/>
      <c r="CC237" s="47"/>
      <c r="CD237" s="47"/>
      <c r="CE237" s="47"/>
      <c r="CF237" s="47"/>
      <c r="CG237" s="49"/>
      <c r="CH237" s="47"/>
      <c r="CI237" s="47"/>
      <c r="CJ237" s="47"/>
      <c r="CK237" s="47"/>
      <c r="CL237" s="47"/>
      <c r="CM237" s="47"/>
      <c r="CN237" s="47"/>
      <c r="CO237" s="47"/>
      <c r="CP237" s="47"/>
      <c r="CQ237" s="47"/>
      <c r="CS237" s="47"/>
      <c r="CT237" s="47"/>
      <c r="CU237" s="47"/>
      <c r="CV237" s="47"/>
      <c r="CW237" s="47"/>
      <c r="CX237" s="47"/>
      <c r="CY237" s="47"/>
      <c r="CZ237" s="47"/>
      <c r="DA237" s="47"/>
      <c r="DB237" s="47"/>
      <c r="DC237" s="47"/>
      <c r="DD237" s="47"/>
      <c r="DE237" s="47"/>
      <c r="DF237" s="47"/>
      <c r="DG237" s="47"/>
      <c r="DH237" s="47"/>
      <c r="DI237" s="47"/>
      <c r="DJ237" s="47"/>
      <c r="DK237" s="47"/>
      <c r="DM237" s="47"/>
      <c r="DN237" s="47"/>
      <c r="DO237" s="47"/>
      <c r="DP237" s="47"/>
      <c r="DQ237" s="47"/>
      <c r="DR237" s="47"/>
      <c r="DS237" s="47"/>
      <c r="DT237" s="47"/>
      <c r="DU237" s="47"/>
      <c r="DV237" s="49"/>
      <c r="DW237" s="47"/>
      <c r="DX237" s="47"/>
      <c r="DY237" s="47"/>
      <c r="DZ237" s="47"/>
      <c r="EA237" s="47"/>
      <c r="EB237" s="47"/>
      <c r="EC237" s="47"/>
      <c r="ED237" s="47"/>
      <c r="EE237" s="47"/>
      <c r="EF237" s="47"/>
      <c r="EG237" s="47"/>
      <c r="EH237" s="47"/>
      <c r="EI237" s="47"/>
      <c r="EJ237" s="47"/>
      <c r="EK237" s="47"/>
      <c r="EL237" s="47"/>
      <c r="EM237" s="47"/>
      <c r="EN237" s="47"/>
      <c r="EO237" s="47"/>
      <c r="EP237" s="47"/>
      <c r="EQ237" s="47"/>
      <c r="ER237" s="47"/>
      <c r="ES237" s="47"/>
      <c r="ET237" s="47"/>
      <c r="EU237" s="47"/>
      <c r="EV237" s="47"/>
      <c r="EW237" s="47"/>
      <c r="EX237" s="47"/>
      <c r="EY237" s="47"/>
      <c r="EZ237" s="47"/>
      <c r="FA237" s="47"/>
      <c r="FB237" s="47"/>
      <c r="FC237" s="47"/>
      <c r="FD237" s="47"/>
      <c r="FE237" s="47"/>
      <c r="FF237" s="47"/>
      <c r="FG237" s="47"/>
      <c r="FH237" s="47"/>
      <c r="FI237" s="47"/>
      <c r="FJ237" s="49"/>
      <c r="FK237" s="47"/>
      <c r="FL237" s="47"/>
      <c r="FM237" s="47"/>
      <c r="FN237" s="47"/>
      <c r="FO237" s="47"/>
      <c r="FP237" s="47"/>
      <c r="FQ237" s="47"/>
      <c r="FR237" s="47"/>
      <c r="FS237" s="47"/>
      <c r="FT237" s="47"/>
      <c r="FU237" s="47"/>
      <c r="FV237" s="47"/>
      <c r="FW237" s="47"/>
      <c r="FX237" s="47"/>
      <c r="FY237" s="47"/>
      <c r="FZ237" s="47"/>
      <c r="GA237" s="47"/>
      <c r="GB237" s="47"/>
      <c r="GC237" s="47"/>
      <c r="GD237" s="47"/>
      <c r="GE237" s="47"/>
      <c r="GF237" s="47"/>
      <c r="GG237" s="47"/>
      <c r="GH237" s="47"/>
      <c r="GI237" s="47"/>
      <c r="GJ237" s="47"/>
      <c r="GK237" s="47"/>
      <c r="GL237" s="47"/>
      <c r="GM237" s="47"/>
      <c r="GN237" s="47"/>
      <c r="GO237" s="47"/>
      <c r="GP237" s="47"/>
      <c r="GQ237" s="47"/>
      <c r="GR237" s="47"/>
      <c r="GS237" s="47"/>
      <c r="GT237" s="47"/>
      <c r="GU237" s="47"/>
      <c r="GV237" s="47"/>
      <c r="GW237" s="47"/>
      <c r="GX237" s="47"/>
      <c r="GY237" s="47"/>
      <c r="GZ237" s="47"/>
      <c r="HA237" s="47"/>
      <c r="HB237" s="47"/>
      <c r="HC237" s="47"/>
      <c r="HD237" s="47"/>
      <c r="HE237" s="47"/>
      <c r="HF237" s="47"/>
      <c r="HI237" s="47"/>
      <c r="HJ237" s="47"/>
      <c r="HK237" s="47"/>
      <c r="HL237" s="47"/>
      <c r="HM237" s="47"/>
      <c r="HN237" s="47"/>
      <c r="HO237" s="47"/>
      <c r="HP237" s="47"/>
      <c r="HS237" s="47"/>
      <c r="HT237" s="47"/>
      <c r="HU237" s="47"/>
      <c r="HV237" s="47"/>
      <c r="HW237" s="47"/>
      <c r="HX237" s="47"/>
      <c r="HY237" s="47"/>
      <c r="HZ237" s="47"/>
      <c r="IC237" s="47"/>
      <c r="ID237" s="47"/>
      <c r="IE237" s="47"/>
      <c r="IF237" s="47"/>
      <c r="IG237" s="47"/>
      <c r="IH237" s="47"/>
      <c r="II237" s="47"/>
      <c r="IJ237" s="47"/>
      <c r="IM237" s="47"/>
      <c r="IN237" s="47"/>
      <c r="IO237" s="47"/>
      <c r="IP237" s="47"/>
      <c r="IQ237" s="47"/>
      <c r="IR237" s="47"/>
      <c r="IS237" s="47"/>
      <c r="IT237" s="47"/>
      <c r="IW237" s="47"/>
      <c r="IX237" s="47"/>
      <c r="IY237" s="47"/>
      <c r="IZ237" s="47"/>
      <c r="JA237" s="47"/>
      <c r="JB237" s="47"/>
      <c r="JC237" s="47"/>
      <c r="JD237" s="47"/>
      <c r="JG237" s="47"/>
      <c r="JH237" s="47"/>
      <c r="JI237" s="47"/>
      <c r="JJ237" s="47"/>
      <c r="JK237" s="47"/>
      <c r="JL237" s="47"/>
      <c r="JM237" s="47"/>
      <c r="JN237" s="47"/>
      <c r="JQ237" s="47"/>
      <c r="JR237" s="47"/>
      <c r="JS237" s="47"/>
      <c r="JT237" s="47"/>
      <c r="JU237" s="47"/>
      <c r="JV237" s="47"/>
      <c r="JW237" s="47"/>
      <c r="JX237" s="47"/>
      <c r="KA237" s="47"/>
      <c r="KB237" s="47"/>
      <c r="KC237" s="47"/>
      <c r="KD237" s="47"/>
      <c r="KE237" s="47"/>
      <c r="KF237" s="47"/>
      <c r="KG237" s="47"/>
      <c r="KH237" s="47"/>
      <c r="KK237" s="47"/>
      <c r="KL237" s="47"/>
      <c r="KM237" s="47"/>
      <c r="KN237" s="47"/>
      <c r="KO237" s="47"/>
      <c r="KP237" s="47"/>
      <c r="KQ237" s="47"/>
      <c r="KR237" s="47"/>
      <c r="KU237" s="47"/>
      <c r="KV237" s="47"/>
      <c r="KW237" s="47"/>
      <c r="KX237" s="47"/>
      <c r="KY237" s="47"/>
      <c r="KZ237" s="47"/>
      <c r="LA237" s="47"/>
      <c r="LB237" s="47"/>
    </row>
    <row r="238" spans="29:314" x14ac:dyDescent="0.25">
      <c r="AC238" s="47"/>
      <c r="AD238" s="47"/>
      <c r="AE238" s="47"/>
      <c r="AF238" s="47"/>
      <c r="AG238" s="49"/>
      <c r="AH238" s="47"/>
      <c r="AI238" s="47"/>
      <c r="AJ238" s="47"/>
      <c r="AK238" s="47"/>
      <c r="AL238" s="47"/>
      <c r="AM238" s="47"/>
      <c r="AN238" s="47"/>
      <c r="AO238" s="47"/>
      <c r="AP238" s="47"/>
      <c r="AQ238" s="47"/>
      <c r="AR238" s="47"/>
      <c r="AS238" s="47"/>
      <c r="AT238" s="47"/>
      <c r="AU238" s="47"/>
      <c r="AV238" s="47"/>
      <c r="AW238" s="47"/>
      <c r="AX238" s="47"/>
      <c r="AY238" s="47"/>
      <c r="AZ238" s="47"/>
      <c r="BA238" s="47"/>
      <c r="BB238" s="47"/>
      <c r="BC238" s="47"/>
      <c r="BD238" s="47"/>
      <c r="BE238" s="47"/>
      <c r="BF238" s="47"/>
      <c r="BG238" s="47"/>
      <c r="BH238" s="47"/>
      <c r="BI238" s="47"/>
      <c r="BJ238" s="47"/>
      <c r="BK238" s="47"/>
      <c r="BL238" s="47"/>
      <c r="BM238" s="47"/>
      <c r="BN238" s="49"/>
      <c r="BO238" s="47"/>
      <c r="BP238" s="47"/>
      <c r="BQ238" s="47"/>
      <c r="BR238" s="47"/>
      <c r="BS238" s="47"/>
      <c r="BT238" s="47"/>
      <c r="BU238" s="47"/>
      <c r="BV238" s="47"/>
      <c r="BW238" s="47"/>
      <c r="BX238" s="47"/>
      <c r="BY238" s="47"/>
      <c r="BZ238" s="47"/>
      <c r="CA238" s="47"/>
      <c r="CB238" s="47"/>
      <c r="CC238" s="47"/>
      <c r="CD238" s="47"/>
      <c r="CE238" s="47"/>
      <c r="CF238" s="47"/>
      <c r="CG238" s="49"/>
      <c r="CH238" s="47"/>
      <c r="CI238" s="47"/>
      <c r="CJ238" s="47"/>
      <c r="CK238" s="47"/>
      <c r="CL238" s="47"/>
      <c r="CM238" s="47"/>
      <c r="CN238" s="47"/>
      <c r="CO238" s="47"/>
      <c r="CP238" s="47"/>
      <c r="CQ238" s="47"/>
      <c r="CS238" s="47"/>
      <c r="CT238" s="47"/>
      <c r="CU238" s="47"/>
      <c r="CV238" s="47"/>
      <c r="CW238" s="47"/>
      <c r="CX238" s="47"/>
      <c r="CY238" s="47"/>
      <c r="CZ238" s="47"/>
      <c r="DA238" s="47"/>
      <c r="DB238" s="47"/>
      <c r="DC238" s="47"/>
      <c r="DD238" s="47"/>
      <c r="DE238" s="47"/>
      <c r="DF238" s="47"/>
      <c r="DG238" s="47"/>
      <c r="DH238" s="47"/>
      <c r="DI238" s="47"/>
      <c r="DJ238" s="47"/>
      <c r="DK238" s="47"/>
      <c r="DM238" s="47"/>
      <c r="DN238" s="47"/>
      <c r="DO238" s="47"/>
      <c r="DP238" s="47"/>
      <c r="DQ238" s="47"/>
      <c r="DR238" s="47"/>
      <c r="DS238" s="47"/>
      <c r="DT238" s="47"/>
      <c r="DU238" s="47"/>
      <c r="DV238" s="49"/>
      <c r="DW238" s="47"/>
      <c r="DX238" s="47"/>
      <c r="DY238" s="47"/>
      <c r="DZ238" s="47"/>
      <c r="EA238" s="47"/>
      <c r="EB238" s="47"/>
      <c r="EC238" s="47"/>
      <c r="ED238" s="47"/>
      <c r="EE238" s="47"/>
      <c r="EF238" s="47"/>
      <c r="EG238" s="47"/>
      <c r="EH238" s="47"/>
      <c r="EI238" s="47"/>
      <c r="EJ238" s="47"/>
      <c r="EK238" s="47"/>
      <c r="EL238" s="47"/>
      <c r="EM238" s="47"/>
      <c r="EN238" s="47"/>
      <c r="EO238" s="47"/>
      <c r="EP238" s="47"/>
      <c r="EQ238" s="47"/>
      <c r="ER238" s="47"/>
      <c r="ES238" s="47"/>
      <c r="ET238" s="47"/>
      <c r="EU238" s="47"/>
      <c r="EV238" s="47"/>
      <c r="EW238" s="47"/>
      <c r="EX238" s="47"/>
      <c r="EY238" s="47"/>
      <c r="EZ238" s="47"/>
      <c r="FA238" s="47"/>
      <c r="FB238" s="47"/>
      <c r="FC238" s="47"/>
      <c r="FD238" s="47"/>
      <c r="FE238" s="47"/>
      <c r="FF238" s="47"/>
      <c r="FG238" s="47"/>
      <c r="FH238" s="47"/>
      <c r="FI238" s="47"/>
      <c r="FJ238" s="49"/>
      <c r="FK238" s="47"/>
      <c r="FL238" s="47"/>
      <c r="FM238" s="47"/>
      <c r="FN238" s="47"/>
      <c r="FO238" s="47"/>
      <c r="FP238" s="47"/>
      <c r="FQ238" s="47"/>
      <c r="FR238" s="47"/>
      <c r="FS238" s="47"/>
      <c r="FT238" s="47"/>
      <c r="FU238" s="47"/>
      <c r="FV238" s="47"/>
      <c r="FW238" s="47"/>
      <c r="FX238" s="47"/>
      <c r="FY238" s="47"/>
      <c r="FZ238" s="47"/>
      <c r="GA238" s="47"/>
      <c r="GB238" s="47"/>
      <c r="GC238" s="47"/>
      <c r="GD238" s="47"/>
      <c r="GE238" s="47"/>
      <c r="GF238" s="47"/>
      <c r="GG238" s="47"/>
      <c r="GH238" s="47"/>
      <c r="GI238" s="47"/>
      <c r="GJ238" s="47"/>
      <c r="GK238" s="47"/>
      <c r="GL238" s="47"/>
      <c r="GM238" s="47"/>
      <c r="GN238" s="47"/>
      <c r="GO238" s="47"/>
      <c r="GP238" s="47"/>
      <c r="GQ238" s="47"/>
      <c r="GR238" s="47"/>
      <c r="GS238" s="47"/>
      <c r="GT238" s="47"/>
      <c r="GU238" s="47"/>
      <c r="GV238" s="47"/>
      <c r="GW238" s="47"/>
      <c r="GX238" s="47"/>
      <c r="GY238" s="47"/>
      <c r="GZ238" s="47"/>
      <c r="HA238" s="47"/>
      <c r="HB238" s="47"/>
      <c r="HC238" s="47"/>
      <c r="HD238" s="47"/>
      <c r="HE238" s="47"/>
      <c r="HF238" s="47"/>
      <c r="HI238" s="47"/>
      <c r="HJ238" s="47"/>
      <c r="HK238" s="47"/>
      <c r="HL238" s="47"/>
      <c r="HM238" s="47"/>
      <c r="HN238" s="47"/>
      <c r="HO238" s="47"/>
      <c r="HP238" s="47"/>
      <c r="HS238" s="47"/>
      <c r="HT238" s="47"/>
      <c r="HU238" s="47"/>
      <c r="HV238" s="47"/>
      <c r="HW238" s="47"/>
      <c r="HX238" s="47"/>
      <c r="HY238" s="47"/>
      <c r="HZ238" s="47"/>
      <c r="IC238" s="47"/>
      <c r="ID238" s="47"/>
      <c r="IE238" s="47"/>
      <c r="IF238" s="47"/>
      <c r="IG238" s="47"/>
      <c r="IH238" s="47"/>
      <c r="II238" s="47"/>
      <c r="IJ238" s="47"/>
      <c r="IM238" s="47"/>
      <c r="IN238" s="47"/>
      <c r="IO238" s="47"/>
      <c r="IP238" s="47"/>
      <c r="IQ238" s="47"/>
      <c r="IR238" s="47"/>
      <c r="IS238" s="47"/>
      <c r="IT238" s="47"/>
      <c r="IW238" s="47"/>
      <c r="IX238" s="47"/>
      <c r="IY238" s="47"/>
      <c r="IZ238" s="47"/>
      <c r="JA238" s="47"/>
      <c r="JB238" s="47"/>
      <c r="JC238" s="47"/>
      <c r="JD238" s="47"/>
      <c r="JG238" s="47"/>
      <c r="JH238" s="47"/>
      <c r="JI238" s="47"/>
      <c r="JJ238" s="47"/>
      <c r="JK238" s="47"/>
      <c r="JL238" s="47"/>
      <c r="JM238" s="47"/>
      <c r="JN238" s="47"/>
      <c r="JQ238" s="47"/>
      <c r="JR238" s="47"/>
      <c r="JS238" s="47"/>
      <c r="JT238" s="47"/>
      <c r="JU238" s="47"/>
      <c r="JV238" s="47"/>
      <c r="JW238" s="47"/>
      <c r="JX238" s="47"/>
      <c r="KA238" s="47"/>
      <c r="KB238" s="47"/>
      <c r="KC238" s="47"/>
      <c r="KD238" s="47"/>
      <c r="KE238" s="47"/>
      <c r="KF238" s="47"/>
      <c r="KG238" s="47"/>
      <c r="KH238" s="47"/>
      <c r="KK238" s="47"/>
      <c r="KL238" s="47"/>
      <c r="KM238" s="47"/>
      <c r="KN238" s="47"/>
      <c r="KO238" s="47"/>
      <c r="KP238" s="47"/>
      <c r="KQ238" s="47"/>
      <c r="KR238" s="47"/>
      <c r="KU238" s="47"/>
      <c r="KV238" s="47"/>
      <c r="KW238" s="47"/>
      <c r="KX238" s="47"/>
      <c r="KY238" s="47"/>
      <c r="KZ238" s="47"/>
      <c r="LA238" s="47"/>
      <c r="LB238" s="47"/>
    </row>
    <row r="239" spans="29:314" x14ac:dyDescent="0.25">
      <c r="AC239" s="47"/>
      <c r="AD239" s="47"/>
      <c r="AE239" s="47"/>
      <c r="AF239" s="47"/>
      <c r="AG239" s="49"/>
      <c r="AH239" s="47"/>
      <c r="AI239" s="47"/>
      <c r="AJ239" s="47"/>
      <c r="AK239" s="47"/>
      <c r="AL239" s="47"/>
      <c r="AM239" s="47"/>
      <c r="AN239" s="47"/>
      <c r="AO239" s="47"/>
      <c r="AP239" s="47"/>
      <c r="AQ239" s="47"/>
      <c r="AR239" s="47"/>
      <c r="AS239" s="47"/>
      <c r="AT239" s="47"/>
      <c r="AU239" s="47"/>
      <c r="AV239" s="47"/>
      <c r="AW239" s="47"/>
      <c r="AX239" s="47"/>
      <c r="AY239" s="47"/>
      <c r="AZ239" s="47"/>
      <c r="BA239" s="47"/>
      <c r="BB239" s="47"/>
      <c r="BC239" s="47"/>
      <c r="BD239" s="47"/>
      <c r="BE239" s="47"/>
      <c r="BF239" s="47"/>
      <c r="BG239" s="47"/>
      <c r="BH239" s="47"/>
      <c r="BI239" s="47"/>
      <c r="BJ239" s="47"/>
      <c r="BK239" s="47"/>
      <c r="BL239" s="47"/>
      <c r="BM239" s="47"/>
      <c r="BN239" s="49"/>
      <c r="BO239" s="47"/>
      <c r="BP239" s="47"/>
      <c r="BQ239" s="47"/>
      <c r="BR239" s="47"/>
      <c r="BS239" s="47"/>
      <c r="BT239" s="47"/>
      <c r="BU239" s="47"/>
      <c r="BV239" s="47"/>
      <c r="BW239" s="47"/>
      <c r="BX239" s="47"/>
      <c r="BY239" s="47"/>
      <c r="BZ239" s="47"/>
      <c r="CA239" s="47"/>
      <c r="CB239" s="47"/>
      <c r="CC239" s="47"/>
      <c r="CD239" s="47"/>
      <c r="CE239" s="47"/>
      <c r="CF239" s="47"/>
      <c r="CG239" s="49"/>
      <c r="CH239" s="47"/>
      <c r="CI239" s="47"/>
      <c r="CJ239" s="47"/>
      <c r="CK239" s="47"/>
      <c r="CL239" s="47"/>
      <c r="CM239" s="47"/>
      <c r="CN239" s="47"/>
      <c r="CO239" s="47"/>
      <c r="CP239" s="47"/>
      <c r="CQ239" s="47"/>
      <c r="CS239" s="47"/>
      <c r="CT239" s="47"/>
      <c r="CU239" s="47"/>
      <c r="CV239" s="47"/>
      <c r="CW239" s="47"/>
      <c r="CX239" s="47"/>
      <c r="CY239" s="47"/>
      <c r="CZ239" s="47"/>
      <c r="DA239" s="47"/>
      <c r="DB239" s="47"/>
      <c r="DC239" s="47"/>
      <c r="DD239" s="47"/>
      <c r="DE239" s="47"/>
      <c r="DF239" s="47"/>
      <c r="DG239" s="47"/>
      <c r="DH239" s="47"/>
      <c r="DI239" s="47"/>
      <c r="DJ239" s="47"/>
      <c r="DK239" s="47"/>
      <c r="DM239" s="47"/>
      <c r="DN239" s="47"/>
      <c r="DO239" s="47"/>
      <c r="DP239" s="47"/>
      <c r="DQ239" s="47"/>
      <c r="DR239" s="47"/>
      <c r="DS239" s="47"/>
      <c r="DT239" s="47"/>
      <c r="DU239" s="47"/>
      <c r="DV239" s="49"/>
      <c r="DW239" s="47"/>
      <c r="DX239" s="47"/>
      <c r="DY239" s="47"/>
      <c r="DZ239" s="47"/>
      <c r="EA239" s="47"/>
      <c r="EB239" s="47"/>
      <c r="EC239" s="47"/>
      <c r="ED239" s="47"/>
      <c r="EE239" s="47"/>
      <c r="EF239" s="47"/>
      <c r="EG239" s="47"/>
      <c r="EH239" s="47"/>
      <c r="EI239" s="47"/>
      <c r="EJ239" s="47"/>
      <c r="EK239" s="47"/>
      <c r="EL239" s="47"/>
      <c r="EM239" s="47"/>
      <c r="EN239" s="47"/>
      <c r="EO239" s="47"/>
      <c r="EP239" s="47"/>
      <c r="EQ239" s="47"/>
      <c r="ER239" s="47"/>
      <c r="ES239" s="47"/>
      <c r="ET239" s="47"/>
      <c r="EU239" s="47"/>
      <c r="EV239" s="47"/>
      <c r="EW239" s="47"/>
      <c r="EX239" s="47"/>
      <c r="EY239" s="47"/>
      <c r="EZ239" s="47"/>
      <c r="FA239" s="47"/>
      <c r="FB239" s="47"/>
      <c r="FC239" s="47"/>
      <c r="FD239" s="47"/>
      <c r="FE239" s="47"/>
      <c r="FF239" s="47"/>
      <c r="FG239" s="47"/>
      <c r="FH239" s="47"/>
      <c r="FI239" s="47"/>
      <c r="FJ239" s="49"/>
      <c r="FK239" s="47"/>
      <c r="FL239" s="47"/>
      <c r="FM239" s="47"/>
      <c r="FN239" s="47"/>
      <c r="FO239" s="47"/>
      <c r="FP239" s="47"/>
      <c r="FQ239" s="47"/>
      <c r="FR239" s="47"/>
      <c r="FS239" s="47"/>
      <c r="FT239" s="47"/>
      <c r="FU239" s="47"/>
      <c r="FV239" s="47"/>
      <c r="FW239" s="47"/>
      <c r="FX239" s="47"/>
      <c r="FY239" s="47"/>
      <c r="FZ239" s="47"/>
      <c r="GA239" s="47"/>
      <c r="GB239" s="47"/>
      <c r="GC239" s="47"/>
      <c r="GD239" s="47"/>
      <c r="GE239" s="47"/>
      <c r="GF239" s="47"/>
      <c r="GG239" s="47"/>
      <c r="GH239" s="47"/>
      <c r="GI239" s="47"/>
      <c r="GJ239" s="47"/>
      <c r="GK239" s="47"/>
      <c r="GL239" s="47"/>
      <c r="GM239" s="47"/>
      <c r="GN239" s="47"/>
      <c r="GO239" s="47"/>
      <c r="GP239" s="47"/>
      <c r="GQ239" s="47"/>
      <c r="GR239" s="47"/>
      <c r="GS239" s="47"/>
      <c r="GT239" s="47"/>
      <c r="GU239" s="47"/>
      <c r="GV239" s="47"/>
      <c r="GW239" s="47"/>
      <c r="GX239" s="47"/>
      <c r="GY239" s="47"/>
      <c r="GZ239" s="47"/>
      <c r="HA239" s="47"/>
      <c r="HB239" s="47"/>
      <c r="HC239" s="47"/>
      <c r="HD239" s="47"/>
      <c r="HE239" s="47"/>
      <c r="HF239" s="47"/>
      <c r="HI239" s="47"/>
      <c r="HJ239" s="47"/>
      <c r="HK239" s="47"/>
      <c r="HL239" s="47"/>
      <c r="HM239" s="47"/>
      <c r="HN239" s="47"/>
      <c r="HO239" s="47"/>
      <c r="HP239" s="47"/>
      <c r="HS239" s="47"/>
      <c r="HT239" s="47"/>
      <c r="HU239" s="47"/>
      <c r="HV239" s="47"/>
      <c r="HW239" s="47"/>
      <c r="HX239" s="47"/>
      <c r="HY239" s="47"/>
      <c r="HZ239" s="47"/>
      <c r="IC239" s="47"/>
      <c r="ID239" s="47"/>
      <c r="IE239" s="47"/>
      <c r="IF239" s="47"/>
      <c r="IG239" s="47"/>
      <c r="IH239" s="47"/>
      <c r="II239" s="47"/>
      <c r="IJ239" s="47"/>
      <c r="IM239" s="47"/>
      <c r="IN239" s="47"/>
      <c r="IO239" s="47"/>
      <c r="IP239" s="47"/>
      <c r="IQ239" s="47"/>
      <c r="IR239" s="47"/>
      <c r="IS239" s="47"/>
      <c r="IT239" s="47"/>
      <c r="IW239" s="47"/>
      <c r="IX239" s="47"/>
      <c r="IY239" s="47"/>
      <c r="IZ239" s="47"/>
      <c r="JA239" s="47"/>
      <c r="JB239" s="47"/>
      <c r="JC239" s="47"/>
      <c r="JD239" s="47"/>
      <c r="JG239" s="47"/>
      <c r="JH239" s="47"/>
      <c r="JI239" s="47"/>
      <c r="JJ239" s="47"/>
      <c r="JK239" s="47"/>
      <c r="JL239" s="47"/>
      <c r="JM239" s="47"/>
      <c r="JN239" s="47"/>
      <c r="JQ239" s="47"/>
      <c r="JR239" s="47"/>
      <c r="JS239" s="47"/>
      <c r="JT239" s="47"/>
      <c r="JU239" s="47"/>
      <c r="JV239" s="47"/>
      <c r="JW239" s="47"/>
      <c r="JX239" s="47"/>
      <c r="KA239" s="47"/>
      <c r="KB239" s="47"/>
      <c r="KC239" s="47"/>
      <c r="KD239" s="47"/>
      <c r="KE239" s="47"/>
      <c r="KF239" s="47"/>
      <c r="KG239" s="47"/>
      <c r="KH239" s="47"/>
      <c r="KK239" s="47"/>
      <c r="KL239" s="47"/>
      <c r="KM239" s="47"/>
      <c r="KN239" s="47"/>
      <c r="KO239" s="47"/>
      <c r="KP239" s="47"/>
      <c r="KQ239" s="47"/>
      <c r="KR239" s="47"/>
      <c r="KU239" s="47"/>
      <c r="KV239" s="47"/>
      <c r="KW239" s="47"/>
      <c r="KX239" s="47"/>
      <c r="KY239" s="47"/>
      <c r="KZ239" s="47"/>
      <c r="LA239" s="47"/>
      <c r="LB239" s="47"/>
    </row>
    <row r="240" spans="29:314" x14ac:dyDescent="0.25">
      <c r="AC240" s="47"/>
      <c r="AD240" s="47"/>
      <c r="AE240" s="47"/>
      <c r="AF240" s="47"/>
      <c r="AG240" s="49"/>
      <c r="AH240" s="47"/>
      <c r="AI240" s="47"/>
      <c r="AJ240" s="47"/>
      <c r="AK240" s="47"/>
      <c r="AL240" s="47"/>
      <c r="AM240" s="47"/>
      <c r="AN240" s="47"/>
      <c r="AO240" s="47"/>
      <c r="AP240" s="47"/>
      <c r="AQ240" s="47"/>
      <c r="AR240" s="47"/>
      <c r="AS240" s="47"/>
      <c r="AT240" s="47"/>
      <c r="AU240" s="47"/>
      <c r="AV240" s="47"/>
      <c r="AW240" s="47"/>
      <c r="AX240" s="47"/>
      <c r="AY240" s="47"/>
      <c r="AZ240" s="47"/>
      <c r="BA240" s="47"/>
      <c r="BB240" s="47"/>
      <c r="BC240" s="47"/>
      <c r="BD240" s="47"/>
      <c r="BE240" s="47"/>
      <c r="BF240" s="47"/>
      <c r="BG240" s="47"/>
      <c r="BH240" s="47"/>
      <c r="BI240" s="47"/>
      <c r="BJ240" s="47"/>
      <c r="BK240" s="47"/>
      <c r="BL240" s="47"/>
      <c r="BM240" s="47"/>
      <c r="BN240" s="49"/>
      <c r="BO240" s="47"/>
      <c r="BP240" s="47"/>
      <c r="BQ240" s="47"/>
      <c r="BR240" s="47"/>
      <c r="BS240" s="47"/>
      <c r="BT240" s="47"/>
      <c r="BU240" s="47"/>
      <c r="BV240" s="47"/>
      <c r="BW240" s="47"/>
      <c r="BX240" s="47"/>
      <c r="BY240" s="47"/>
      <c r="BZ240" s="47"/>
      <c r="CA240" s="47"/>
      <c r="CB240" s="47"/>
      <c r="CC240" s="47"/>
      <c r="CD240" s="47"/>
      <c r="CE240" s="47"/>
      <c r="CF240" s="47"/>
      <c r="CG240" s="49"/>
      <c r="CH240" s="47"/>
      <c r="CI240" s="47"/>
      <c r="CJ240" s="47"/>
      <c r="CK240" s="47"/>
      <c r="CL240" s="47"/>
      <c r="CM240" s="47"/>
      <c r="CN240" s="47"/>
      <c r="CO240" s="47"/>
      <c r="CP240" s="47"/>
      <c r="CQ240" s="47"/>
      <c r="CS240" s="47"/>
      <c r="CT240" s="47"/>
      <c r="CU240" s="47"/>
      <c r="CV240" s="47"/>
      <c r="CW240" s="47"/>
      <c r="CX240" s="47"/>
      <c r="CY240" s="47"/>
      <c r="CZ240" s="47"/>
      <c r="DA240" s="47"/>
      <c r="DB240" s="47"/>
      <c r="DC240" s="47"/>
      <c r="DD240" s="47"/>
      <c r="DE240" s="47"/>
      <c r="DF240" s="47"/>
      <c r="DG240" s="47"/>
      <c r="DH240" s="47"/>
      <c r="DI240" s="47"/>
      <c r="DJ240" s="47"/>
      <c r="DK240" s="47"/>
      <c r="DM240" s="47"/>
      <c r="DN240" s="47"/>
      <c r="DO240" s="47"/>
      <c r="DP240" s="47"/>
      <c r="DQ240" s="47"/>
      <c r="DR240" s="47"/>
      <c r="DS240" s="47"/>
      <c r="DT240" s="47"/>
      <c r="DU240" s="47"/>
      <c r="DV240" s="49"/>
      <c r="DW240" s="47"/>
      <c r="DX240" s="47"/>
      <c r="DY240" s="47"/>
      <c r="DZ240" s="47"/>
      <c r="EA240" s="47"/>
      <c r="EB240" s="47"/>
      <c r="EC240" s="47"/>
      <c r="ED240" s="47"/>
      <c r="EE240" s="47"/>
      <c r="EF240" s="47"/>
      <c r="EG240" s="47"/>
      <c r="EH240" s="47"/>
      <c r="EI240" s="47"/>
      <c r="EJ240" s="47"/>
      <c r="EK240" s="47"/>
      <c r="EL240" s="47"/>
      <c r="EM240" s="47"/>
      <c r="EN240" s="47"/>
      <c r="EO240" s="47"/>
      <c r="EP240" s="47"/>
      <c r="EQ240" s="47"/>
      <c r="ER240" s="47"/>
      <c r="ES240" s="47"/>
      <c r="ET240" s="47"/>
      <c r="EU240" s="47"/>
      <c r="EV240" s="47"/>
      <c r="EW240" s="47"/>
      <c r="EX240" s="47"/>
      <c r="EY240" s="47"/>
      <c r="EZ240" s="47"/>
      <c r="FA240" s="47"/>
      <c r="FB240" s="47"/>
      <c r="FC240" s="47"/>
      <c r="FD240" s="47"/>
      <c r="FE240" s="47"/>
      <c r="FF240" s="47"/>
      <c r="FG240" s="47"/>
      <c r="FH240" s="47"/>
      <c r="FI240" s="47"/>
      <c r="FJ240" s="49"/>
      <c r="FK240" s="47"/>
      <c r="FL240" s="47"/>
      <c r="FM240" s="47"/>
      <c r="FN240" s="47"/>
      <c r="FO240" s="47"/>
      <c r="FP240" s="47"/>
      <c r="FQ240" s="47"/>
      <c r="FR240" s="47"/>
      <c r="FS240" s="47"/>
      <c r="FT240" s="47"/>
      <c r="FU240" s="47"/>
      <c r="FV240" s="47"/>
      <c r="FW240" s="47"/>
      <c r="FX240" s="47"/>
      <c r="FY240" s="47"/>
      <c r="FZ240" s="47"/>
      <c r="GA240" s="47"/>
      <c r="GB240" s="47"/>
      <c r="GC240" s="47"/>
      <c r="GD240" s="47"/>
      <c r="GE240" s="47"/>
      <c r="GF240" s="47"/>
      <c r="GG240" s="47"/>
      <c r="GH240" s="47"/>
      <c r="GI240" s="47"/>
      <c r="GJ240" s="47"/>
      <c r="GK240" s="47"/>
      <c r="GL240" s="47"/>
      <c r="GM240" s="47"/>
      <c r="GN240" s="47"/>
      <c r="GO240" s="47"/>
      <c r="GP240" s="47"/>
      <c r="GQ240" s="47"/>
      <c r="GR240" s="47"/>
      <c r="GS240" s="47"/>
      <c r="GT240" s="47"/>
      <c r="GU240" s="47"/>
      <c r="GV240" s="47"/>
      <c r="GW240" s="47"/>
      <c r="GX240" s="47"/>
      <c r="GY240" s="47"/>
      <c r="GZ240" s="47"/>
      <c r="HA240" s="47"/>
      <c r="HB240" s="47"/>
      <c r="HC240" s="47"/>
      <c r="HD240" s="47"/>
      <c r="HE240" s="47"/>
      <c r="HF240" s="47"/>
      <c r="HI240" s="47"/>
      <c r="HJ240" s="47"/>
      <c r="HK240" s="47"/>
      <c r="HL240" s="47"/>
      <c r="HM240" s="47"/>
      <c r="HN240" s="47"/>
      <c r="HO240" s="47"/>
      <c r="HP240" s="47"/>
      <c r="HS240" s="47"/>
      <c r="HT240" s="47"/>
      <c r="HU240" s="47"/>
      <c r="HV240" s="47"/>
      <c r="HW240" s="47"/>
      <c r="HX240" s="47"/>
      <c r="HY240" s="47"/>
      <c r="HZ240" s="47"/>
      <c r="IC240" s="47"/>
      <c r="ID240" s="47"/>
      <c r="IE240" s="47"/>
      <c r="IF240" s="47"/>
      <c r="IG240" s="47"/>
      <c r="IH240" s="47"/>
      <c r="II240" s="47"/>
      <c r="IJ240" s="47"/>
      <c r="IM240" s="47"/>
      <c r="IN240" s="47"/>
      <c r="IO240" s="47"/>
      <c r="IP240" s="47"/>
      <c r="IQ240" s="47"/>
      <c r="IR240" s="47"/>
      <c r="IS240" s="47"/>
      <c r="IT240" s="47"/>
      <c r="IW240" s="47"/>
      <c r="IX240" s="47"/>
      <c r="IY240" s="47"/>
      <c r="IZ240" s="47"/>
      <c r="JA240" s="47"/>
      <c r="JB240" s="47"/>
      <c r="JC240" s="47"/>
      <c r="JD240" s="47"/>
      <c r="JG240" s="47"/>
      <c r="JH240" s="47"/>
      <c r="JI240" s="47"/>
      <c r="JJ240" s="47"/>
      <c r="JK240" s="47"/>
      <c r="JL240" s="47"/>
      <c r="JM240" s="47"/>
      <c r="JN240" s="47"/>
      <c r="JQ240" s="47"/>
      <c r="JR240" s="47"/>
      <c r="JS240" s="47"/>
      <c r="JT240" s="47"/>
      <c r="JU240" s="47"/>
      <c r="JV240" s="47"/>
      <c r="JW240" s="47"/>
      <c r="JX240" s="47"/>
      <c r="KA240" s="47"/>
      <c r="KB240" s="47"/>
      <c r="KC240" s="47"/>
      <c r="KD240" s="47"/>
      <c r="KE240" s="47"/>
      <c r="KF240" s="47"/>
      <c r="KG240" s="47"/>
      <c r="KH240" s="47"/>
      <c r="KK240" s="47"/>
      <c r="KL240" s="47"/>
      <c r="KM240" s="47"/>
      <c r="KN240" s="47"/>
      <c r="KO240" s="47"/>
      <c r="KP240" s="47"/>
      <c r="KQ240" s="47"/>
      <c r="KR240" s="47"/>
      <c r="KU240" s="47"/>
      <c r="KV240" s="47"/>
      <c r="KW240" s="47"/>
      <c r="KX240" s="47"/>
      <c r="KY240" s="47"/>
      <c r="KZ240" s="47"/>
      <c r="LA240" s="47"/>
      <c r="LB240" s="47"/>
    </row>
    <row r="241" spans="29:314" x14ac:dyDescent="0.25">
      <c r="AC241" s="47"/>
      <c r="AD241" s="47"/>
      <c r="AE241" s="47"/>
      <c r="AF241" s="47"/>
      <c r="AG241" s="49"/>
      <c r="AH241" s="47"/>
      <c r="AI241" s="47"/>
      <c r="AJ241" s="47"/>
      <c r="AK241" s="47"/>
      <c r="AL241" s="47"/>
      <c r="AM241" s="47"/>
      <c r="AN241" s="47"/>
      <c r="AO241" s="47"/>
      <c r="AP241" s="47"/>
      <c r="AQ241" s="47"/>
      <c r="AR241" s="47"/>
      <c r="AS241" s="47"/>
      <c r="AT241" s="47"/>
      <c r="AU241" s="47"/>
      <c r="AV241" s="47"/>
      <c r="AW241" s="47"/>
      <c r="AX241" s="47"/>
      <c r="AY241" s="47"/>
      <c r="AZ241" s="47"/>
      <c r="BA241" s="47"/>
      <c r="BB241" s="47"/>
      <c r="BC241" s="47"/>
      <c r="BD241" s="47"/>
      <c r="BE241" s="47"/>
      <c r="BF241" s="47"/>
      <c r="BG241" s="47"/>
      <c r="BH241" s="47"/>
      <c r="BI241" s="47"/>
      <c r="BJ241" s="47"/>
      <c r="BK241" s="47"/>
      <c r="BL241" s="47"/>
      <c r="BM241" s="47"/>
      <c r="BN241" s="49"/>
      <c r="BO241" s="47"/>
      <c r="BP241" s="47"/>
      <c r="BQ241" s="47"/>
      <c r="BR241" s="47"/>
      <c r="BS241" s="47"/>
      <c r="BT241" s="47"/>
      <c r="BU241" s="47"/>
      <c r="BV241" s="47"/>
      <c r="BW241" s="47"/>
      <c r="BX241" s="47"/>
      <c r="BY241" s="47"/>
      <c r="BZ241" s="47"/>
      <c r="CA241" s="47"/>
      <c r="CB241" s="47"/>
      <c r="CC241" s="47"/>
      <c r="CD241" s="47"/>
      <c r="CE241" s="47"/>
      <c r="CF241" s="47"/>
      <c r="CG241" s="49"/>
      <c r="CH241" s="47"/>
      <c r="CI241" s="47"/>
      <c r="CJ241" s="47"/>
      <c r="CK241" s="47"/>
      <c r="CL241" s="47"/>
      <c r="CM241" s="47"/>
      <c r="CN241" s="47"/>
      <c r="CO241" s="47"/>
      <c r="CP241" s="47"/>
      <c r="CQ241" s="47"/>
      <c r="CS241" s="47"/>
      <c r="CT241" s="47"/>
      <c r="CU241" s="47"/>
      <c r="CV241" s="47"/>
      <c r="CW241" s="47"/>
      <c r="CX241" s="47"/>
      <c r="CY241" s="47"/>
      <c r="CZ241" s="47"/>
      <c r="DA241" s="47"/>
      <c r="DB241" s="47"/>
      <c r="DC241" s="47"/>
      <c r="DD241" s="47"/>
      <c r="DE241" s="47"/>
      <c r="DF241" s="47"/>
      <c r="DG241" s="47"/>
      <c r="DH241" s="47"/>
      <c r="DI241" s="47"/>
      <c r="DJ241" s="47"/>
      <c r="DK241" s="47"/>
      <c r="DM241" s="47"/>
      <c r="DN241" s="47"/>
      <c r="DO241" s="47"/>
      <c r="DP241" s="47"/>
      <c r="DQ241" s="47"/>
      <c r="DR241" s="47"/>
      <c r="DS241" s="47"/>
      <c r="DT241" s="47"/>
      <c r="DU241" s="47"/>
      <c r="DV241" s="49"/>
      <c r="DW241" s="47"/>
      <c r="DX241" s="47"/>
      <c r="DY241" s="47"/>
      <c r="DZ241" s="47"/>
      <c r="EA241" s="47"/>
      <c r="EB241" s="47"/>
      <c r="EC241" s="47"/>
      <c r="ED241" s="47"/>
      <c r="EE241" s="47"/>
      <c r="EF241" s="47"/>
      <c r="EG241" s="47"/>
      <c r="EH241" s="47"/>
      <c r="EI241" s="47"/>
      <c r="EJ241" s="47"/>
      <c r="EK241" s="47"/>
      <c r="EL241" s="47"/>
      <c r="EM241" s="47"/>
      <c r="EN241" s="47"/>
      <c r="EO241" s="47"/>
      <c r="EP241" s="47"/>
      <c r="EQ241" s="47"/>
      <c r="ER241" s="47"/>
      <c r="ES241" s="47"/>
      <c r="ET241" s="47"/>
      <c r="EU241" s="47"/>
      <c r="EV241" s="47"/>
      <c r="EW241" s="47"/>
      <c r="EX241" s="47"/>
      <c r="EY241" s="47"/>
      <c r="EZ241" s="47"/>
      <c r="FA241" s="47"/>
      <c r="FB241" s="47"/>
      <c r="FC241" s="47"/>
      <c r="FD241" s="47"/>
      <c r="FE241" s="47"/>
      <c r="FF241" s="47"/>
      <c r="FG241" s="47"/>
      <c r="FH241" s="47"/>
      <c r="FI241" s="47"/>
      <c r="FJ241" s="49"/>
      <c r="FK241" s="47"/>
      <c r="FL241" s="47"/>
      <c r="FM241" s="47"/>
      <c r="FN241" s="47"/>
      <c r="FO241" s="47"/>
      <c r="FP241" s="47"/>
      <c r="FQ241" s="47"/>
      <c r="FR241" s="47"/>
      <c r="FS241" s="47"/>
      <c r="FT241" s="47"/>
      <c r="FU241" s="47"/>
      <c r="FV241" s="47"/>
      <c r="FW241" s="47"/>
      <c r="FX241" s="47"/>
      <c r="FY241" s="47"/>
      <c r="FZ241" s="47"/>
      <c r="GA241" s="47"/>
      <c r="GB241" s="47"/>
      <c r="GC241" s="47"/>
      <c r="GD241" s="47"/>
      <c r="GE241" s="47"/>
      <c r="GF241" s="47"/>
      <c r="GG241" s="47"/>
      <c r="GH241" s="47"/>
      <c r="GI241" s="47"/>
      <c r="GJ241" s="47"/>
      <c r="GK241" s="47"/>
      <c r="GL241" s="47"/>
      <c r="GM241" s="47"/>
      <c r="GN241" s="47"/>
      <c r="GO241" s="47"/>
      <c r="GP241" s="47"/>
      <c r="GQ241" s="47"/>
      <c r="GR241" s="47"/>
      <c r="GS241" s="47"/>
      <c r="GT241" s="47"/>
      <c r="GU241" s="47"/>
      <c r="GV241" s="47"/>
      <c r="GW241" s="47"/>
      <c r="GX241" s="47"/>
      <c r="GY241" s="47"/>
      <c r="GZ241" s="47"/>
      <c r="HA241" s="47"/>
      <c r="HB241" s="47"/>
      <c r="HC241" s="47"/>
      <c r="HD241" s="47"/>
      <c r="HE241" s="47"/>
      <c r="HF241" s="47"/>
      <c r="HI241" s="47"/>
      <c r="HJ241" s="47"/>
      <c r="HK241" s="47"/>
      <c r="HL241" s="47"/>
      <c r="HM241" s="47"/>
      <c r="HN241" s="47"/>
      <c r="HO241" s="47"/>
      <c r="HP241" s="47"/>
      <c r="HS241" s="47"/>
      <c r="HT241" s="47"/>
      <c r="HU241" s="47"/>
      <c r="HV241" s="47"/>
      <c r="HW241" s="47"/>
      <c r="HX241" s="47"/>
      <c r="HY241" s="47"/>
      <c r="HZ241" s="47"/>
      <c r="IC241" s="47"/>
      <c r="ID241" s="47"/>
      <c r="IE241" s="47"/>
      <c r="IF241" s="47"/>
      <c r="IG241" s="47"/>
      <c r="IH241" s="47"/>
      <c r="II241" s="47"/>
      <c r="IJ241" s="47"/>
      <c r="IM241" s="47"/>
      <c r="IN241" s="47"/>
      <c r="IO241" s="47"/>
      <c r="IP241" s="47"/>
      <c r="IQ241" s="47"/>
      <c r="IR241" s="47"/>
      <c r="IS241" s="47"/>
      <c r="IT241" s="47"/>
      <c r="IW241" s="47"/>
      <c r="IX241" s="47"/>
      <c r="IY241" s="47"/>
      <c r="IZ241" s="47"/>
      <c r="JA241" s="47"/>
      <c r="JB241" s="47"/>
      <c r="JC241" s="47"/>
      <c r="JD241" s="47"/>
      <c r="JG241" s="47"/>
      <c r="JH241" s="47"/>
      <c r="JI241" s="47"/>
      <c r="JJ241" s="47"/>
      <c r="JK241" s="47"/>
      <c r="JL241" s="47"/>
      <c r="JM241" s="47"/>
      <c r="JN241" s="47"/>
      <c r="JQ241" s="47"/>
      <c r="JR241" s="47"/>
      <c r="JS241" s="47"/>
      <c r="JT241" s="47"/>
      <c r="JU241" s="47"/>
      <c r="JV241" s="47"/>
      <c r="JW241" s="47"/>
      <c r="JX241" s="47"/>
      <c r="KA241" s="47"/>
      <c r="KB241" s="47"/>
      <c r="KC241" s="47"/>
      <c r="KD241" s="47"/>
      <c r="KE241" s="47"/>
      <c r="KF241" s="47"/>
      <c r="KG241" s="47"/>
      <c r="KH241" s="47"/>
      <c r="KK241" s="47"/>
      <c r="KL241" s="47"/>
      <c r="KM241" s="47"/>
      <c r="KN241" s="47"/>
      <c r="KO241" s="47"/>
      <c r="KP241" s="47"/>
      <c r="KQ241" s="47"/>
      <c r="KR241" s="47"/>
      <c r="KU241" s="47"/>
      <c r="KV241" s="47"/>
      <c r="KW241" s="47"/>
      <c r="KX241" s="47"/>
      <c r="KY241" s="47"/>
      <c r="KZ241" s="47"/>
      <c r="LA241" s="47"/>
      <c r="LB241" s="47"/>
    </row>
    <row r="242" spans="29:314" x14ac:dyDescent="0.25">
      <c r="AC242" s="47"/>
      <c r="AD242" s="47"/>
      <c r="AE242" s="47"/>
      <c r="AF242" s="47"/>
      <c r="AG242" s="49"/>
      <c r="AH242" s="47"/>
      <c r="AI242" s="47"/>
      <c r="AJ242" s="47"/>
      <c r="AK242" s="47"/>
      <c r="AL242" s="47"/>
      <c r="AM242" s="47"/>
      <c r="AN242" s="47"/>
      <c r="AO242" s="47"/>
      <c r="AP242" s="47"/>
      <c r="AQ242" s="47"/>
      <c r="AR242" s="47"/>
      <c r="AS242" s="47"/>
      <c r="AT242" s="47"/>
      <c r="AU242" s="47"/>
      <c r="AV242" s="47"/>
      <c r="AW242" s="47"/>
      <c r="AX242" s="47"/>
      <c r="AY242" s="47"/>
      <c r="AZ242" s="47"/>
      <c r="BA242" s="47"/>
      <c r="BB242" s="47"/>
      <c r="BC242" s="47"/>
      <c r="BD242" s="47"/>
      <c r="BE242" s="47"/>
      <c r="BF242" s="47"/>
      <c r="BG242" s="47"/>
      <c r="BH242" s="47"/>
      <c r="BI242" s="47"/>
      <c r="BJ242" s="47"/>
      <c r="BK242" s="47"/>
      <c r="BL242" s="47"/>
      <c r="BM242" s="47"/>
      <c r="BN242" s="49"/>
      <c r="BO242" s="47"/>
      <c r="BP242" s="47"/>
      <c r="BQ242" s="47"/>
      <c r="BR242" s="47"/>
      <c r="BS242" s="47"/>
      <c r="BT242" s="47"/>
      <c r="BU242" s="47"/>
      <c r="BV242" s="47"/>
      <c r="BW242" s="47"/>
      <c r="BX242" s="47"/>
      <c r="BY242" s="47"/>
      <c r="BZ242" s="47"/>
      <c r="CA242" s="47"/>
      <c r="CB242" s="47"/>
      <c r="CC242" s="47"/>
      <c r="CD242" s="47"/>
      <c r="CE242" s="47"/>
      <c r="CF242" s="47"/>
      <c r="CG242" s="49"/>
      <c r="CH242" s="47"/>
      <c r="CI242" s="47"/>
      <c r="CJ242" s="47"/>
      <c r="CK242" s="47"/>
      <c r="CL242" s="47"/>
      <c r="CM242" s="47"/>
      <c r="CN242" s="47"/>
      <c r="CO242" s="47"/>
      <c r="CP242" s="47"/>
      <c r="CQ242" s="47"/>
      <c r="CS242" s="47"/>
      <c r="CT242" s="47"/>
      <c r="CU242" s="47"/>
      <c r="CV242" s="47"/>
      <c r="CW242" s="47"/>
      <c r="CX242" s="47"/>
      <c r="CY242" s="47"/>
      <c r="CZ242" s="47"/>
      <c r="DA242" s="47"/>
      <c r="DB242" s="47"/>
      <c r="DC242" s="47"/>
      <c r="DD242" s="47"/>
      <c r="DE242" s="47"/>
      <c r="DF242" s="47"/>
      <c r="DG242" s="47"/>
      <c r="DH242" s="47"/>
      <c r="DI242" s="47"/>
      <c r="DJ242" s="47"/>
      <c r="DK242" s="47"/>
      <c r="DM242" s="47"/>
      <c r="DN242" s="47"/>
      <c r="DO242" s="47"/>
      <c r="DP242" s="47"/>
      <c r="DQ242" s="47"/>
      <c r="DR242" s="47"/>
      <c r="DS242" s="47"/>
      <c r="DT242" s="47"/>
      <c r="DU242" s="47"/>
      <c r="DV242" s="49"/>
      <c r="DW242" s="47"/>
      <c r="DX242" s="47"/>
      <c r="DY242" s="47"/>
      <c r="DZ242" s="47"/>
      <c r="EA242" s="47"/>
      <c r="EB242" s="47"/>
      <c r="EC242" s="47"/>
      <c r="ED242" s="47"/>
      <c r="EE242" s="47"/>
      <c r="EF242" s="47"/>
      <c r="EG242" s="47"/>
      <c r="EH242" s="47"/>
      <c r="EI242" s="47"/>
      <c r="EJ242" s="47"/>
      <c r="EK242" s="47"/>
      <c r="EL242" s="47"/>
      <c r="EM242" s="47"/>
      <c r="EN242" s="47"/>
      <c r="EO242" s="47"/>
      <c r="EP242" s="47"/>
      <c r="EQ242" s="47"/>
      <c r="ER242" s="47"/>
      <c r="ES242" s="47"/>
      <c r="ET242" s="47"/>
      <c r="EU242" s="47"/>
      <c r="EV242" s="47"/>
      <c r="EW242" s="47"/>
      <c r="EX242" s="47"/>
      <c r="EY242" s="47"/>
      <c r="EZ242" s="47"/>
      <c r="FA242" s="47"/>
      <c r="FB242" s="47"/>
      <c r="FC242" s="47"/>
      <c r="FD242" s="47"/>
      <c r="FE242" s="47"/>
      <c r="FF242" s="47"/>
      <c r="FG242" s="47"/>
      <c r="FH242" s="47"/>
      <c r="FI242" s="47"/>
      <c r="FJ242" s="49"/>
      <c r="FK242" s="47"/>
      <c r="FL242" s="47"/>
      <c r="FM242" s="47"/>
      <c r="FN242" s="47"/>
      <c r="FO242" s="47"/>
      <c r="FP242" s="47"/>
      <c r="FQ242" s="47"/>
      <c r="FR242" s="47"/>
      <c r="FS242" s="47"/>
      <c r="FT242" s="47"/>
      <c r="FU242" s="47"/>
      <c r="FV242" s="47"/>
      <c r="FW242" s="47"/>
      <c r="FX242" s="47"/>
      <c r="FY242" s="47"/>
      <c r="FZ242" s="47"/>
      <c r="GA242" s="47"/>
      <c r="GB242" s="47"/>
      <c r="GC242" s="47"/>
      <c r="GD242" s="47"/>
      <c r="GE242" s="47"/>
      <c r="GF242" s="47"/>
      <c r="GG242" s="47"/>
      <c r="GH242" s="47"/>
      <c r="GI242" s="47"/>
      <c r="GJ242" s="47"/>
      <c r="GK242" s="47"/>
      <c r="GL242" s="47"/>
      <c r="GM242" s="47"/>
      <c r="GN242" s="47"/>
      <c r="GO242" s="47"/>
      <c r="GP242" s="47"/>
      <c r="GQ242" s="47"/>
      <c r="GR242" s="47"/>
      <c r="GS242" s="47"/>
      <c r="GT242" s="47"/>
      <c r="GU242" s="47"/>
      <c r="GV242" s="47"/>
      <c r="GW242" s="47"/>
      <c r="GX242" s="47"/>
      <c r="GY242" s="47"/>
      <c r="GZ242" s="47"/>
      <c r="HA242" s="47"/>
      <c r="HB242" s="47"/>
      <c r="HC242" s="47"/>
      <c r="HD242" s="47"/>
      <c r="HE242" s="47"/>
      <c r="HF242" s="47"/>
      <c r="HI242" s="47"/>
      <c r="HJ242" s="47"/>
      <c r="HK242" s="47"/>
      <c r="HL242" s="47"/>
      <c r="HM242" s="47"/>
      <c r="HN242" s="47"/>
      <c r="HO242" s="47"/>
      <c r="HP242" s="47"/>
      <c r="HS242" s="47"/>
      <c r="HT242" s="47"/>
      <c r="HU242" s="47"/>
      <c r="HV242" s="47"/>
      <c r="HW242" s="47"/>
      <c r="HX242" s="47"/>
      <c r="HY242" s="47"/>
      <c r="HZ242" s="47"/>
      <c r="IC242" s="47"/>
      <c r="ID242" s="47"/>
      <c r="IE242" s="47"/>
      <c r="IF242" s="47"/>
      <c r="IG242" s="47"/>
      <c r="IH242" s="47"/>
      <c r="II242" s="47"/>
      <c r="IJ242" s="47"/>
      <c r="IM242" s="47"/>
      <c r="IN242" s="47"/>
      <c r="IO242" s="47"/>
      <c r="IP242" s="47"/>
      <c r="IQ242" s="47"/>
      <c r="IR242" s="47"/>
      <c r="IS242" s="47"/>
      <c r="IT242" s="47"/>
      <c r="IW242" s="47"/>
      <c r="IX242" s="47"/>
      <c r="IY242" s="47"/>
      <c r="IZ242" s="47"/>
      <c r="JA242" s="47"/>
      <c r="JB242" s="47"/>
      <c r="JC242" s="47"/>
      <c r="JD242" s="47"/>
      <c r="JG242" s="47"/>
      <c r="JH242" s="47"/>
      <c r="JI242" s="47"/>
      <c r="JJ242" s="47"/>
      <c r="JK242" s="47"/>
      <c r="JL242" s="47"/>
      <c r="JM242" s="47"/>
      <c r="JN242" s="47"/>
      <c r="JQ242" s="47"/>
      <c r="JR242" s="47"/>
      <c r="JS242" s="47"/>
      <c r="JT242" s="47"/>
      <c r="JU242" s="47"/>
      <c r="JV242" s="47"/>
      <c r="JW242" s="47"/>
      <c r="JX242" s="47"/>
      <c r="KA242" s="47"/>
      <c r="KB242" s="47"/>
      <c r="KC242" s="47"/>
      <c r="KD242" s="47"/>
      <c r="KE242" s="47"/>
      <c r="KF242" s="47"/>
      <c r="KG242" s="47"/>
      <c r="KH242" s="47"/>
      <c r="KK242" s="47"/>
      <c r="KL242" s="47"/>
      <c r="KM242" s="47"/>
      <c r="KN242" s="47"/>
      <c r="KO242" s="47"/>
      <c r="KP242" s="47"/>
      <c r="KQ242" s="47"/>
      <c r="KR242" s="47"/>
      <c r="KU242" s="47"/>
      <c r="KV242" s="47"/>
      <c r="KW242" s="47"/>
      <c r="KX242" s="47"/>
      <c r="KY242" s="47"/>
      <c r="KZ242" s="47"/>
      <c r="LA242" s="47"/>
      <c r="LB242" s="47"/>
    </row>
    <row r="243" spans="29:314" x14ac:dyDescent="0.25">
      <c r="AC243" s="47"/>
      <c r="AD243" s="47"/>
      <c r="AE243" s="47"/>
      <c r="AF243" s="47"/>
      <c r="AG243" s="49"/>
      <c r="AH243" s="47"/>
      <c r="AI243" s="47"/>
      <c r="AJ243" s="47"/>
      <c r="AK243" s="47"/>
      <c r="AL243" s="47"/>
      <c r="AM243" s="47"/>
      <c r="AN243" s="47"/>
      <c r="AO243" s="47"/>
      <c r="AP243" s="47"/>
      <c r="AQ243" s="47"/>
      <c r="AR243" s="47"/>
      <c r="AS243" s="47"/>
      <c r="AT243" s="47"/>
      <c r="AU243" s="47"/>
      <c r="AV243" s="47"/>
      <c r="AW243" s="47"/>
      <c r="AX243" s="47"/>
      <c r="AY243" s="47"/>
      <c r="AZ243" s="47"/>
      <c r="BA243" s="47"/>
      <c r="BB243" s="47"/>
      <c r="BC243" s="47"/>
      <c r="BD243" s="47"/>
      <c r="BE243" s="47"/>
      <c r="BF243" s="47"/>
      <c r="BG243" s="47"/>
      <c r="BH243" s="47"/>
      <c r="BI243" s="47"/>
      <c r="BJ243" s="47"/>
      <c r="BK243" s="47"/>
      <c r="BL243" s="47"/>
      <c r="BM243" s="47"/>
      <c r="BN243" s="49"/>
      <c r="BO243" s="47"/>
      <c r="BP243" s="47"/>
      <c r="BQ243" s="47"/>
      <c r="BR243" s="47"/>
      <c r="BS243" s="47"/>
      <c r="BT243" s="47"/>
      <c r="BU243" s="47"/>
      <c r="BV243" s="47"/>
      <c r="BW243" s="47"/>
      <c r="BX243" s="47"/>
      <c r="BY243" s="47"/>
      <c r="BZ243" s="47"/>
      <c r="CA243" s="47"/>
      <c r="CB243" s="47"/>
      <c r="CC243" s="47"/>
      <c r="CD243" s="47"/>
      <c r="CE243" s="47"/>
      <c r="CF243" s="47"/>
      <c r="CG243" s="49"/>
      <c r="CH243" s="47"/>
      <c r="CI243" s="47"/>
      <c r="CJ243" s="47"/>
      <c r="CK243" s="47"/>
      <c r="CL243" s="47"/>
      <c r="CM243" s="47"/>
      <c r="CN243" s="47"/>
      <c r="CO243" s="47"/>
      <c r="CP243" s="47"/>
      <c r="CQ243" s="47"/>
      <c r="CS243" s="47"/>
      <c r="CT243" s="47"/>
      <c r="CU243" s="47"/>
      <c r="CV243" s="47"/>
      <c r="CW243" s="47"/>
      <c r="CX243" s="47"/>
      <c r="CY243" s="47"/>
      <c r="CZ243" s="47"/>
      <c r="DA243" s="47"/>
      <c r="DB243" s="47"/>
      <c r="DC243" s="47"/>
      <c r="DD243" s="47"/>
      <c r="DE243" s="47"/>
      <c r="DF243" s="47"/>
      <c r="DG243" s="47"/>
      <c r="DH243" s="47"/>
      <c r="DI243" s="47"/>
      <c r="DJ243" s="47"/>
      <c r="DK243" s="47"/>
      <c r="DM243" s="47"/>
      <c r="DN243" s="47"/>
      <c r="DO243" s="47"/>
      <c r="DP243" s="47"/>
      <c r="DQ243" s="47"/>
      <c r="DR243" s="47"/>
      <c r="DS243" s="47"/>
      <c r="DT243" s="47"/>
      <c r="DU243" s="47"/>
      <c r="DV243" s="49"/>
      <c r="DW243" s="47"/>
      <c r="DX243" s="47"/>
      <c r="DY243" s="47"/>
      <c r="DZ243" s="47"/>
      <c r="EA243" s="47"/>
      <c r="EB243" s="47"/>
      <c r="EC243" s="47"/>
      <c r="ED243" s="47"/>
      <c r="EE243" s="47"/>
      <c r="EF243" s="47"/>
      <c r="EG243" s="47"/>
      <c r="EH243" s="47"/>
      <c r="EI243" s="47"/>
      <c r="EJ243" s="47"/>
      <c r="EK243" s="47"/>
      <c r="EL243" s="47"/>
      <c r="EM243" s="47"/>
      <c r="EN243" s="47"/>
      <c r="EO243" s="47"/>
      <c r="EP243" s="47"/>
      <c r="EQ243" s="47"/>
      <c r="ER243" s="47"/>
      <c r="ES243" s="47"/>
      <c r="ET243" s="47"/>
      <c r="EU243" s="47"/>
      <c r="EV243" s="47"/>
      <c r="EW243" s="47"/>
      <c r="EX243" s="47"/>
      <c r="EY243" s="47"/>
      <c r="EZ243" s="47"/>
      <c r="FA243" s="47"/>
      <c r="FB243" s="47"/>
      <c r="FC243" s="47"/>
      <c r="FD243" s="47"/>
      <c r="FE243" s="47"/>
      <c r="FF243" s="47"/>
      <c r="FG243" s="47"/>
      <c r="FH243" s="47"/>
      <c r="FI243" s="47"/>
      <c r="FJ243" s="49"/>
      <c r="FK243" s="47"/>
      <c r="FL243" s="47"/>
      <c r="FM243" s="47"/>
      <c r="FN243" s="47"/>
      <c r="FO243" s="47"/>
      <c r="FP243" s="47"/>
      <c r="FQ243" s="47"/>
      <c r="FR243" s="47"/>
      <c r="FS243" s="47"/>
      <c r="FT243" s="47"/>
      <c r="FU243" s="47"/>
      <c r="FV243" s="47"/>
      <c r="FW243" s="47"/>
      <c r="FX243" s="47"/>
      <c r="FY243" s="47"/>
      <c r="FZ243" s="47"/>
      <c r="GA243" s="47"/>
      <c r="GB243" s="47"/>
      <c r="GC243" s="47"/>
      <c r="GD243" s="47"/>
      <c r="GE243" s="47"/>
      <c r="GF243" s="47"/>
      <c r="GG243" s="47"/>
      <c r="GH243" s="47"/>
      <c r="GI243" s="47"/>
      <c r="GJ243" s="47"/>
      <c r="GK243" s="47"/>
      <c r="GL243" s="47"/>
      <c r="GM243" s="47"/>
      <c r="GN243" s="47"/>
      <c r="GO243" s="47"/>
      <c r="GP243" s="47"/>
      <c r="GQ243" s="47"/>
      <c r="GR243" s="47"/>
      <c r="GS243" s="47"/>
      <c r="GT243" s="47"/>
      <c r="GU243" s="47"/>
      <c r="GV243" s="47"/>
      <c r="GW243" s="47"/>
      <c r="GX243" s="47"/>
      <c r="GY243" s="47"/>
      <c r="GZ243" s="47"/>
      <c r="HA243" s="47"/>
      <c r="HB243" s="47"/>
      <c r="HC243" s="47"/>
      <c r="HD243" s="47"/>
      <c r="HE243" s="47"/>
      <c r="HF243" s="47"/>
      <c r="HI243" s="47"/>
      <c r="HJ243" s="47"/>
      <c r="HK243" s="47"/>
      <c r="HL243" s="47"/>
      <c r="HM243" s="47"/>
      <c r="HN243" s="47"/>
      <c r="HO243" s="47"/>
      <c r="HP243" s="47"/>
      <c r="HS243" s="47"/>
      <c r="HT243" s="47"/>
      <c r="HU243" s="47"/>
      <c r="HV243" s="47"/>
      <c r="HW243" s="47"/>
      <c r="HX243" s="47"/>
      <c r="HY243" s="47"/>
      <c r="HZ243" s="47"/>
      <c r="IC243" s="47"/>
      <c r="ID243" s="47"/>
      <c r="IE243" s="47"/>
      <c r="IF243" s="47"/>
      <c r="IG243" s="47"/>
      <c r="IH243" s="47"/>
      <c r="II243" s="47"/>
      <c r="IJ243" s="47"/>
      <c r="IM243" s="47"/>
      <c r="IN243" s="47"/>
      <c r="IO243" s="47"/>
      <c r="IP243" s="47"/>
      <c r="IQ243" s="47"/>
      <c r="IR243" s="47"/>
      <c r="IS243" s="47"/>
      <c r="IT243" s="47"/>
      <c r="IW243" s="47"/>
      <c r="IX243" s="47"/>
      <c r="IY243" s="47"/>
      <c r="IZ243" s="47"/>
      <c r="JA243" s="47"/>
      <c r="JB243" s="47"/>
      <c r="JC243" s="47"/>
      <c r="JD243" s="47"/>
      <c r="JG243" s="47"/>
      <c r="JH243" s="47"/>
      <c r="JI243" s="47"/>
      <c r="JJ243" s="47"/>
      <c r="JK243" s="47"/>
      <c r="JL243" s="47"/>
      <c r="JM243" s="47"/>
      <c r="JN243" s="47"/>
      <c r="JQ243" s="47"/>
      <c r="JR243" s="47"/>
      <c r="JS243" s="47"/>
      <c r="JT243" s="47"/>
      <c r="JU243" s="47"/>
      <c r="JV243" s="47"/>
      <c r="JW243" s="47"/>
      <c r="JX243" s="47"/>
      <c r="KA243" s="47"/>
      <c r="KB243" s="47"/>
      <c r="KC243" s="47"/>
      <c r="KD243" s="47"/>
      <c r="KE243" s="47"/>
      <c r="KF243" s="47"/>
      <c r="KG243" s="47"/>
      <c r="KH243" s="47"/>
      <c r="KK243" s="47"/>
      <c r="KL243" s="47"/>
      <c r="KM243" s="47"/>
      <c r="KN243" s="47"/>
      <c r="KO243" s="47"/>
      <c r="KP243" s="47"/>
      <c r="KQ243" s="47"/>
      <c r="KR243" s="47"/>
      <c r="KU243" s="47"/>
      <c r="KV243" s="47"/>
      <c r="KW243" s="47"/>
      <c r="KX243" s="47"/>
      <c r="KY243" s="47"/>
      <c r="KZ243" s="47"/>
      <c r="LA243" s="47"/>
      <c r="LB243" s="47"/>
    </row>
    <row r="244" spans="29:314" x14ac:dyDescent="0.25">
      <c r="AC244" s="47"/>
      <c r="AD244" s="47"/>
      <c r="AE244" s="47"/>
      <c r="AF244" s="47"/>
      <c r="AG244" s="49"/>
      <c r="AH244" s="47"/>
      <c r="AI244" s="47"/>
      <c r="AJ244" s="47"/>
      <c r="AK244" s="47"/>
      <c r="AL244" s="47"/>
      <c r="AM244" s="47"/>
      <c r="AN244" s="47"/>
      <c r="AO244" s="47"/>
      <c r="AP244" s="47"/>
      <c r="AQ244" s="47"/>
      <c r="AR244" s="47"/>
      <c r="AS244" s="47"/>
      <c r="AT244" s="47"/>
      <c r="AU244" s="47"/>
      <c r="AV244" s="47"/>
      <c r="AW244" s="47"/>
      <c r="AX244" s="47"/>
      <c r="AY244" s="47"/>
      <c r="AZ244" s="47"/>
      <c r="BA244" s="47"/>
      <c r="BB244" s="47"/>
      <c r="BC244" s="47"/>
      <c r="BD244" s="47"/>
      <c r="BE244" s="47"/>
      <c r="BF244" s="47"/>
      <c r="BG244" s="47"/>
      <c r="BH244" s="47"/>
      <c r="BI244" s="47"/>
      <c r="BJ244" s="47"/>
      <c r="BK244" s="47"/>
      <c r="BL244" s="47"/>
      <c r="BM244" s="47"/>
      <c r="BN244" s="49"/>
      <c r="BO244" s="47"/>
      <c r="BP244" s="47"/>
      <c r="BQ244" s="47"/>
      <c r="BR244" s="47"/>
      <c r="BS244" s="47"/>
      <c r="BT244" s="47"/>
      <c r="BU244" s="47"/>
      <c r="BV244" s="47"/>
      <c r="BW244" s="47"/>
      <c r="BX244" s="47"/>
      <c r="BY244" s="47"/>
      <c r="BZ244" s="47"/>
      <c r="CA244" s="47"/>
      <c r="CB244" s="47"/>
      <c r="CC244" s="47"/>
      <c r="CD244" s="47"/>
      <c r="CE244" s="47"/>
      <c r="CF244" s="47"/>
      <c r="CG244" s="49"/>
      <c r="CH244" s="47"/>
      <c r="CI244" s="47"/>
      <c r="CJ244" s="47"/>
      <c r="CK244" s="47"/>
      <c r="CL244" s="47"/>
      <c r="CM244" s="47"/>
      <c r="CN244" s="47"/>
      <c r="CO244" s="47"/>
      <c r="CP244" s="47"/>
      <c r="CQ244" s="47"/>
      <c r="CS244" s="47"/>
      <c r="CT244" s="47"/>
      <c r="CU244" s="47"/>
      <c r="CV244" s="47"/>
      <c r="CW244" s="47"/>
      <c r="CX244" s="47"/>
      <c r="CY244" s="47"/>
      <c r="CZ244" s="47"/>
      <c r="DA244" s="47"/>
      <c r="DB244" s="47"/>
      <c r="DC244" s="47"/>
      <c r="DD244" s="47"/>
      <c r="DE244" s="47"/>
      <c r="DF244" s="47"/>
      <c r="DG244" s="47"/>
      <c r="DH244" s="47"/>
      <c r="DI244" s="47"/>
      <c r="DJ244" s="47"/>
      <c r="DK244" s="47"/>
      <c r="DM244" s="47"/>
      <c r="DN244" s="47"/>
      <c r="DO244" s="47"/>
      <c r="DP244" s="47"/>
      <c r="DQ244" s="47"/>
      <c r="DR244" s="47"/>
      <c r="DS244" s="47"/>
      <c r="DT244" s="47"/>
      <c r="DU244" s="47"/>
      <c r="DV244" s="49"/>
      <c r="DW244" s="47"/>
      <c r="DX244" s="47"/>
      <c r="DY244" s="47"/>
      <c r="DZ244" s="47"/>
      <c r="EA244" s="47"/>
      <c r="EB244" s="47"/>
      <c r="EC244" s="47"/>
      <c r="ED244" s="47"/>
      <c r="EE244" s="47"/>
      <c r="EF244" s="47"/>
      <c r="EG244" s="47"/>
      <c r="EH244" s="47"/>
      <c r="EI244" s="47"/>
      <c r="EJ244" s="47"/>
      <c r="EK244" s="47"/>
      <c r="EL244" s="47"/>
      <c r="EM244" s="47"/>
      <c r="EN244" s="47"/>
      <c r="EO244" s="47"/>
      <c r="EP244" s="47"/>
      <c r="EQ244" s="47"/>
      <c r="ER244" s="47"/>
      <c r="ES244" s="47"/>
      <c r="ET244" s="47"/>
      <c r="EU244" s="47"/>
      <c r="EV244" s="47"/>
      <c r="EW244" s="47"/>
      <c r="EX244" s="47"/>
      <c r="EY244" s="47"/>
      <c r="EZ244" s="47"/>
      <c r="FA244" s="47"/>
      <c r="FB244" s="47"/>
      <c r="FC244" s="47"/>
      <c r="FD244" s="47"/>
      <c r="FE244" s="47"/>
      <c r="FF244" s="47"/>
      <c r="FG244" s="47"/>
      <c r="FH244" s="47"/>
      <c r="FI244" s="47"/>
      <c r="FJ244" s="49"/>
      <c r="FK244" s="47"/>
      <c r="FL244" s="47"/>
      <c r="FM244" s="47"/>
      <c r="FN244" s="47"/>
      <c r="FO244" s="47"/>
      <c r="FP244" s="47"/>
      <c r="FQ244" s="47"/>
      <c r="FR244" s="47"/>
      <c r="FS244" s="47"/>
      <c r="FT244" s="47"/>
      <c r="FU244" s="47"/>
      <c r="FV244" s="47"/>
      <c r="FW244" s="47"/>
      <c r="FX244" s="47"/>
      <c r="FY244" s="47"/>
      <c r="FZ244" s="47"/>
      <c r="GA244" s="47"/>
      <c r="GB244" s="47"/>
      <c r="GC244" s="47"/>
      <c r="GD244" s="47"/>
      <c r="GE244" s="47"/>
      <c r="GF244" s="47"/>
      <c r="GG244" s="47"/>
      <c r="GH244" s="47"/>
      <c r="GI244" s="47"/>
      <c r="GJ244" s="47"/>
      <c r="GK244" s="47"/>
      <c r="GL244" s="47"/>
      <c r="GM244" s="47"/>
      <c r="GN244" s="47"/>
      <c r="GO244" s="47"/>
      <c r="GP244" s="47"/>
      <c r="GQ244" s="47"/>
      <c r="GR244" s="47"/>
      <c r="GS244" s="47"/>
      <c r="GT244" s="47"/>
      <c r="GU244" s="47"/>
      <c r="GV244" s="47"/>
      <c r="GW244" s="47"/>
      <c r="GX244" s="47"/>
      <c r="GY244" s="47"/>
      <c r="GZ244" s="47"/>
      <c r="HA244" s="47"/>
      <c r="HB244" s="47"/>
      <c r="HC244" s="47"/>
      <c r="HD244" s="47"/>
      <c r="HE244" s="47"/>
      <c r="HF244" s="47"/>
      <c r="HI244" s="47"/>
      <c r="HJ244" s="47"/>
      <c r="HK244" s="47"/>
      <c r="HL244" s="47"/>
      <c r="HM244" s="47"/>
      <c r="HN244" s="47"/>
      <c r="HO244" s="47"/>
      <c r="HP244" s="47"/>
      <c r="HS244" s="47"/>
      <c r="HT244" s="47"/>
      <c r="HU244" s="47"/>
      <c r="HV244" s="47"/>
      <c r="HW244" s="47"/>
      <c r="HX244" s="47"/>
      <c r="HY244" s="47"/>
      <c r="HZ244" s="47"/>
      <c r="IC244" s="47"/>
      <c r="ID244" s="47"/>
      <c r="IE244" s="47"/>
      <c r="IF244" s="47"/>
      <c r="IG244" s="47"/>
      <c r="IH244" s="47"/>
      <c r="II244" s="47"/>
      <c r="IJ244" s="47"/>
      <c r="IM244" s="47"/>
      <c r="IN244" s="47"/>
      <c r="IO244" s="47"/>
      <c r="IP244" s="47"/>
      <c r="IQ244" s="47"/>
      <c r="IR244" s="47"/>
      <c r="IS244" s="47"/>
      <c r="IT244" s="47"/>
      <c r="IW244" s="47"/>
      <c r="IX244" s="47"/>
      <c r="IY244" s="47"/>
      <c r="IZ244" s="47"/>
      <c r="JA244" s="47"/>
      <c r="JB244" s="47"/>
      <c r="JC244" s="47"/>
      <c r="JD244" s="47"/>
      <c r="JG244" s="47"/>
      <c r="JH244" s="47"/>
      <c r="JI244" s="47"/>
      <c r="JJ244" s="47"/>
      <c r="JK244" s="47"/>
      <c r="JL244" s="47"/>
      <c r="JM244" s="47"/>
      <c r="JN244" s="47"/>
      <c r="JQ244" s="47"/>
      <c r="JR244" s="47"/>
      <c r="JS244" s="47"/>
      <c r="JT244" s="47"/>
      <c r="JU244" s="47"/>
      <c r="JV244" s="47"/>
      <c r="JW244" s="47"/>
      <c r="JX244" s="47"/>
      <c r="KA244" s="47"/>
      <c r="KB244" s="47"/>
      <c r="KC244" s="47"/>
      <c r="KD244" s="47"/>
      <c r="KE244" s="47"/>
      <c r="KF244" s="47"/>
      <c r="KG244" s="47"/>
      <c r="KH244" s="47"/>
      <c r="KK244" s="47"/>
      <c r="KL244" s="47"/>
      <c r="KM244" s="47"/>
      <c r="KN244" s="47"/>
      <c r="KO244" s="47"/>
      <c r="KP244" s="47"/>
      <c r="KQ244" s="47"/>
      <c r="KR244" s="47"/>
      <c r="KU244" s="47"/>
      <c r="KV244" s="47"/>
      <c r="KW244" s="47"/>
      <c r="KX244" s="47"/>
      <c r="KY244" s="47"/>
      <c r="KZ244" s="47"/>
      <c r="LA244" s="47"/>
      <c r="LB244" s="47"/>
    </row>
    <row r="245" spans="29:314" x14ac:dyDescent="0.25">
      <c r="AC245" s="47"/>
      <c r="AD245" s="47"/>
      <c r="AE245" s="47"/>
      <c r="AF245" s="47"/>
      <c r="AG245" s="49"/>
      <c r="AH245" s="47"/>
      <c r="AI245" s="47"/>
      <c r="AJ245" s="47"/>
      <c r="AK245" s="47"/>
      <c r="AL245" s="47"/>
      <c r="AM245" s="47"/>
      <c r="AN245" s="47"/>
      <c r="AO245" s="47"/>
      <c r="AP245" s="47"/>
      <c r="AQ245" s="47"/>
      <c r="AR245" s="47"/>
      <c r="AS245" s="47"/>
      <c r="AT245" s="47"/>
      <c r="AU245" s="47"/>
      <c r="AV245" s="47"/>
      <c r="AW245" s="47"/>
      <c r="AX245" s="47"/>
      <c r="AY245" s="47"/>
      <c r="AZ245" s="47"/>
      <c r="BA245" s="47"/>
      <c r="BB245" s="47"/>
      <c r="BC245" s="47"/>
      <c r="BD245" s="47"/>
      <c r="BE245" s="47"/>
      <c r="BF245" s="47"/>
      <c r="BG245" s="47"/>
      <c r="BH245" s="47"/>
      <c r="BI245" s="47"/>
      <c r="BJ245" s="47"/>
      <c r="BK245" s="47"/>
      <c r="BL245" s="47"/>
      <c r="BM245" s="47"/>
      <c r="BN245" s="49"/>
      <c r="BO245" s="47"/>
      <c r="BP245" s="47"/>
      <c r="BQ245" s="47"/>
      <c r="BR245" s="47"/>
      <c r="BS245" s="47"/>
      <c r="BT245" s="47"/>
      <c r="BU245" s="47"/>
      <c r="BV245" s="47"/>
      <c r="BW245" s="47"/>
      <c r="BX245" s="47"/>
      <c r="BY245" s="47"/>
      <c r="BZ245" s="47"/>
      <c r="CA245" s="47"/>
      <c r="CB245" s="47"/>
      <c r="CC245" s="47"/>
      <c r="CD245" s="47"/>
      <c r="CE245" s="47"/>
      <c r="CF245" s="47"/>
      <c r="CG245" s="49"/>
      <c r="CH245" s="47"/>
      <c r="CI245" s="47"/>
      <c r="CJ245" s="47"/>
      <c r="CK245" s="47"/>
      <c r="CL245" s="47"/>
      <c r="CM245" s="47"/>
      <c r="CN245" s="47"/>
      <c r="CO245" s="47"/>
      <c r="CP245" s="47"/>
      <c r="CQ245" s="47"/>
      <c r="CS245" s="47"/>
      <c r="CT245" s="47"/>
      <c r="CU245" s="47"/>
      <c r="CV245" s="47"/>
      <c r="CW245" s="47"/>
      <c r="CX245" s="47"/>
      <c r="CY245" s="47"/>
      <c r="CZ245" s="47"/>
      <c r="DA245" s="47"/>
      <c r="DB245" s="47"/>
      <c r="DC245" s="47"/>
      <c r="DD245" s="47"/>
      <c r="DE245" s="47"/>
      <c r="DF245" s="47"/>
      <c r="DG245" s="47"/>
      <c r="DH245" s="47"/>
      <c r="DI245" s="47"/>
      <c r="DJ245" s="47"/>
      <c r="DK245" s="47"/>
      <c r="DM245" s="47"/>
      <c r="DN245" s="47"/>
      <c r="DO245" s="47"/>
      <c r="DP245" s="47"/>
      <c r="DQ245" s="47"/>
      <c r="DR245" s="47"/>
      <c r="DS245" s="47"/>
      <c r="DT245" s="47"/>
      <c r="DU245" s="47"/>
      <c r="DV245" s="49"/>
      <c r="DW245" s="47"/>
      <c r="DX245" s="47"/>
      <c r="DY245" s="47"/>
      <c r="DZ245" s="47"/>
      <c r="EA245" s="47"/>
      <c r="EB245" s="47"/>
      <c r="EC245" s="47"/>
      <c r="ED245" s="47"/>
      <c r="EE245" s="47"/>
      <c r="EF245" s="47"/>
      <c r="EG245" s="47"/>
      <c r="EH245" s="47"/>
      <c r="EI245" s="47"/>
      <c r="EJ245" s="47"/>
      <c r="EK245" s="47"/>
      <c r="EL245" s="47"/>
      <c r="EM245" s="47"/>
      <c r="EN245" s="47"/>
      <c r="EO245" s="47"/>
      <c r="EP245" s="47"/>
      <c r="EQ245" s="47"/>
      <c r="ER245" s="47"/>
      <c r="ES245" s="47"/>
      <c r="ET245" s="47"/>
      <c r="EU245" s="47"/>
      <c r="EV245" s="47"/>
      <c r="EW245" s="47"/>
      <c r="EX245" s="47"/>
      <c r="EY245" s="47"/>
      <c r="EZ245" s="47"/>
      <c r="FA245" s="47"/>
      <c r="FB245" s="47"/>
      <c r="FC245" s="47"/>
      <c r="FD245" s="47"/>
      <c r="FE245" s="47"/>
      <c r="FF245" s="47"/>
      <c r="FG245" s="47"/>
      <c r="FH245" s="47"/>
      <c r="FI245" s="47"/>
      <c r="FJ245" s="49"/>
      <c r="FK245" s="47"/>
      <c r="FL245" s="47"/>
      <c r="FM245" s="47"/>
      <c r="FN245" s="47"/>
      <c r="FO245" s="47"/>
      <c r="FP245" s="47"/>
      <c r="FQ245" s="47"/>
      <c r="FR245" s="47"/>
      <c r="FS245" s="47"/>
      <c r="FT245" s="47"/>
      <c r="FU245" s="47"/>
      <c r="FV245" s="47"/>
      <c r="FW245" s="47"/>
      <c r="FX245" s="47"/>
      <c r="FY245" s="47"/>
      <c r="FZ245" s="47"/>
      <c r="GA245" s="47"/>
      <c r="GB245" s="47"/>
      <c r="GC245" s="47"/>
      <c r="GD245" s="47"/>
      <c r="GE245" s="47"/>
      <c r="GF245" s="47"/>
      <c r="GG245" s="47"/>
      <c r="GH245" s="47"/>
      <c r="GI245" s="47"/>
      <c r="GJ245" s="47"/>
      <c r="GK245" s="47"/>
      <c r="GL245" s="47"/>
      <c r="GM245" s="47"/>
      <c r="GN245" s="47"/>
      <c r="GO245" s="47"/>
      <c r="GP245" s="47"/>
      <c r="GQ245" s="47"/>
      <c r="GR245" s="47"/>
      <c r="GS245" s="47"/>
      <c r="GT245" s="47"/>
      <c r="GU245" s="47"/>
      <c r="GV245" s="47"/>
      <c r="GW245" s="47"/>
      <c r="GX245" s="47"/>
      <c r="GY245" s="47"/>
      <c r="GZ245" s="47"/>
      <c r="HA245" s="47"/>
      <c r="HB245" s="47"/>
      <c r="HC245" s="47"/>
      <c r="HD245" s="47"/>
      <c r="HE245" s="47"/>
      <c r="HF245" s="47"/>
      <c r="HI245" s="47"/>
      <c r="HJ245" s="47"/>
      <c r="HK245" s="47"/>
      <c r="HL245" s="47"/>
      <c r="HM245" s="47"/>
      <c r="HN245" s="47"/>
      <c r="HO245" s="47"/>
      <c r="HP245" s="47"/>
      <c r="HS245" s="47"/>
      <c r="HT245" s="47"/>
      <c r="HU245" s="47"/>
      <c r="HV245" s="47"/>
      <c r="HW245" s="47"/>
      <c r="HX245" s="47"/>
      <c r="HY245" s="47"/>
      <c r="HZ245" s="47"/>
      <c r="IC245" s="47"/>
      <c r="ID245" s="47"/>
      <c r="IE245" s="47"/>
      <c r="IF245" s="47"/>
      <c r="IG245" s="47"/>
      <c r="IH245" s="47"/>
      <c r="II245" s="47"/>
      <c r="IJ245" s="47"/>
      <c r="IM245" s="47"/>
      <c r="IN245" s="47"/>
      <c r="IO245" s="47"/>
      <c r="IP245" s="47"/>
      <c r="IQ245" s="47"/>
      <c r="IR245" s="47"/>
      <c r="IS245" s="47"/>
      <c r="IT245" s="47"/>
      <c r="IW245" s="47"/>
      <c r="IX245" s="47"/>
      <c r="IY245" s="47"/>
      <c r="IZ245" s="47"/>
      <c r="JA245" s="47"/>
      <c r="JB245" s="47"/>
      <c r="JC245" s="47"/>
      <c r="JD245" s="47"/>
      <c r="JG245" s="47"/>
      <c r="JH245" s="47"/>
      <c r="JI245" s="47"/>
      <c r="JJ245" s="47"/>
      <c r="JK245" s="47"/>
      <c r="JL245" s="47"/>
      <c r="JM245" s="47"/>
      <c r="JN245" s="47"/>
      <c r="JQ245" s="47"/>
      <c r="JR245" s="47"/>
      <c r="JS245" s="47"/>
      <c r="JT245" s="47"/>
      <c r="JU245" s="47"/>
      <c r="JV245" s="47"/>
      <c r="JW245" s="47"/>
      <c r="JX245" s="47"/>
      <c r="KA245" s="47"/>
      <c r="KB245" s="47"/>
      <c r="KC245" s="47"/>
      <c r="KD245" s="47"/>
      <c r="KE245" s="47"/>
      <c r="KF245" s="47"/>
      <c r="KG245" s="47"/>
      <c r="KH245" s="47"/>
      <c r="KK245" s="47"/>
      <c r="KL245" s="47"/>
      <c r="KM245" s="47"/>
      <c r="KN245" s="47"/>
      <c r="KO245" s="47"/>
      <c r="KP245" s="47"/>
      <c r="KQ245" s="47"/>
      <c r="KR245" s="47"/>
      <c r="KU245" s="47"/>
      <c r="KV245" s="47"/>
      <c r="KW245" s="47"/>
      <c r="KX245" s="47"/>
      <c r="KY245" s="47"/>
      <c r="KZ245" s="47"/>
      <c r="LA245" s="47"/>
      <c r="LB245" s="47"/>
    </row>
    <row r="246" spans="29:314" x14ac:dyDescent="0.25">
      <c r="AC246" s="47"/>
      <c r="AD246" s="47"/>
      <c r="AE246" s="47"/>
      <c r="AF246" s="47"/>
      <c r="AG246" s="49"/>
      <c r="AH246" s="47"/>
      <c r="AI246" s="47"/>
      <c r="AJ246" s="47"/>
      <c r="AK246" s="47"/>
      <c r="AL246" s="47"/>
      <c r="AM246" s="47"/>
      <c r="AN246" s="47"/>
      <c r="AO246" s="47"/>
      <c r="AP246" s="47"/>
      <c r="AQ246" s="47"/>
      <c r="AR246" s="47"/>
      <c r="AS246" s="47"/>
      <c r="AT246" s="47"/>
      <c r="AU246" s="47"/>
      <c r="AV246" s="47"/>
      <c r="AW246" s="47"/>
      <c r="AX246" s="47"/>
      <c r="AY246" s="47"/>
      <c r="AZ246" s="47"/>
      <c r="BA246" s="47"/>
      <c r="BB246" s="47"/>
      <c r="BC246" s="47"/>
      <c r="BD246" s="47"/>
      <c r="BE246" s="47"/>
      <c r="BF246" s="47"/>
      <c r="BG246" s="47"/>
      <c r="BH246" s="47"/>
      <c r="BI246" s="47"/>
      <c r="BJ246" s="47"/>
      <c r="BK246" s="47"/>
      <c r="BL246" s="47"/>
      <c r="BM246" s="47"/>
      <c r="BN246" s="49"/>
      <c r="BO246" s="47"/>
      <c r="BP246" s="47"/>
      <c r="BQ246" s="47"/>
      <c r="BR246" s="47"/>
      <c r="BS246" s="47"/>
      <c r="BT246" s="47"/>
      <c r="BU246" s="47"/>
      <c r="BV246" s="47"/>
      <c r="BW246" s="47"/>
      <c r="BX246" s="47"/>
      <c r="BY246" s="47"/>
      <c r="BZ246" s="47"/>
      <c r="CA246" s="47"/>
      <c r="CB246" s="47"/>
      <c r="CC246" s="47"/>
      <c r="CD246" s="47"/>
      <c r="CE246" s="47"/>
      <c r="CF246" s="47"/>
      <c r="CG246" s="49"/>
      <c r="CH246" s="47"/>
      <c r="CI246" s="47"/>
      <c r="CJ246" s="47"/>
      <c r="CK246" s="47"/>
      <c r="CL246" s="47"/>
      <c r="CM246" s="47"/>
      <c r="CN246" s="47"/>
      <c r="CO246" s="47"/>
      <c r="CP246" s="47"/>
      <c r="CQ246" s="47"/>
      <c r="CS246" s="47"/>
      <c r="CT246" s="47"/>
      <c r="CU246" s="47"/>
      <c r="CV246" s="47"/>
      <c r="CW246" s="47"/>
      <c r="CX246" s="47"/>
      <c r="CY246" s="47"/>
      <c r="CZ246" s="47"/>
      <c r="DA246" s="47"/>
      <c r="DB246" s="47"/>
      <c r="DC246" s="47"/>
      <c r="DD246" s="47"/>
      <c r="DE246" s="47"/>
      <c r="DF246" s="47"/>
      <c r="DG246" s="47"/>
      <c r="DH246" s="47"/>
      <c r="DI246" s="47"/>
      <c r="DJ246" s="47"/>
      <c r="DK246" s="47"/>
      <c r="DM246" s="47"/>
      <c r="DN246" s="47"/>
      <c r="DO246" s="47"/>
      <c r="DP246" s="47"/>
      <c r="DQ246" s="47"/>
      <c r="DR246" s="47"/>
      <c r="DS246" s="47"/>
      <c r="DT246" s="47"/>
      <c r="DU246" s="47"/>
      <c r="DV246" s="49"/>
      <c r="DW246" s="47"/>
      <c r="DX246" s="47"/>
      <c r="DY246" s="47"/>
      <c r="DZ246" s="47"/>
      <c r="EA246" s="47"/>
      <c r="EB246" s="47"/>
      <c r="EC246" s="47"/>
      <c r="ED246" s="47"/>
      <c r="EE246" s="47"/>
      <c r="EF246" s="47"/>
      <c r="EG246" s="47"/>
      <c r="EH246" s="47"/>
      <c r="EI246" s="47"/>
      <c r="EJ246" s="47"/>
      <c r="EK246" s="47"/>
      <c r="EL246" s="47"/>
      <c r="EM246" s="47"/>
      <c r="EN246" s="47"/>
      <c r="EO246" s="47"/>
      <c r="EP246" s="47"/>
      <c r="EQ246" s="47"/>
      <c r="ER246" s="47"/>
      <c r="ES246" s="47"/>
      <c r="ET246" s="47"/>
      <c r="EU246" s="47"/>
      <c r="EV246" s="47"/>
      <c r="EW246" s="47"/>
      <c r="EX246" s="47"/>
      <c r="EY246" s="47"/>
      <c r="EZ246" s="47"/>
      <c r="FA246" s="47"/>
      <c r="FB246" s="47"/>
      <c r="FC246" s="47"/>
      <c r="FD246" s="47"/>
      <c r="FE246" s="47"/>
      <c r="FF246" s="47"/>
      <c r="FG246" s="47"/>
      <c r="FH246" s="47"/>
      <c r="FI246" s="47"/>
      <c r="FJ246" s="49"/>
      <c r="FK246" s="47"/>
      <c r="FL246" s="47"/>
      <c r="FM246" s="47"/>
      <c r="FN246" s="47"/>
      <c r="FO246" s="47"/>
      <c r="FP246" s="47"/>
      <c r="FQ246" s="47"/>
      <c r="FR246" s="47"/>
      <c r="FS246" s="47"/>
      <c r="FT246" s="47"/>
      <c r="FU246" s="47"/>
      <c r="FV246" s="47"/>
      <c r="FW246" s="47"/>
      <c r="FX246" s="47"/>
      <c r="FY246" s="47"/>
      <c r="FZ246" s="47"/>
      <c r="GA246" s="47"/>
      <c r="GB246" s="47"/>
      <c r="GC246" s="47"/>
      <c r="GD246" s="47"/>
      <c r="GE246" s="47"/>
      <c r="GF246" s="47"/>
      <c r="GG246" s="47"/>
      <c r="GH246" s="47"/>
      <c r="GI246" s="47"/>
      <c r="GJ246" s="47"/>
      <c r="GK246" s="47"/>
      <c r="GL246" s="47"/>
      <c r="GM246" s="47"/>
      <c r="GN246" s="47"/>
      <c r="GO246" s="47"/>
      <c r="GP246" s="47"/>
      <c r="GQ246" s="47"/>
      <c r="GR246" s="47"/>
      <c r="GS246" s="47"/>
      <c r="GT246" s="47"/>
      <c r="GU246" s="47"/>
      <c r="GV246" s="47"/>
      <c r="GW246" s="47"/>
      <c r="GX246" s="47"/>
      <c r="GY246" s="47"/>
      <c r="GZ246" s="47"/>
      <c r="HA246" s="47"/>
      <c r="HB246" s="47"/>
      <c r="HC246" s="47"/>
      <c r="HD246" s="47"/>
      <c r="HE246" s="47"/>
      <c r="HF246" s="47"/>
      <c r="HI246" s="47"/>
      <c r="HJ246" s="47"/>
      <c r="HK246" s="47"/>
      <c r="HL246" s="47"/>
      <c r="HM246" s="47"/>
      <c r="HN246" s="47"/>
      <c r="HO246" s="47"/>
      <c r="HP246" s="47"/>
      <c r="HS246" s="47"/>
      <c r="HT246" s="47"/>
      <c r="HU246" s="47"/>
      <c r="HV246" s="47"/>
      <c r="HW246" s="47"/>
      <c r="HX246" s="47"/>
      <c r="HY246" s="47"/>
      <c r="HZ246" s="47"/>
      <c r="IC246" s="47"/>
      <c r="ID246" s="47"/>
      <c r="IE246" s="47"/>
      <c r="IF246" s="47"/>
      <c r="IG246" s="47"/>
      <c r="IH246" s="47"/>
      <c r="II246" s="47"/>
      <c r="IJ246" s="47"/>
      <c r="IM246" s="47"/>
      <c r="IN246" s="47"/>
      <c r="IO246" s="47"/>
      <c r="IP246" s="47"/>
      <c r="IQ246" s="47"/>
      <c r="IR246" s="47"/>
      <c r="IS246" s="47"/>
      <c r="IT246" s="47"/>
      <c r="IW246" s="47"/>
      <c r="IX246" s="47"/>
      <c r="IY246" s="47"/>
      <c r="IZ246" s="47"/>
      <c r="JA246" s="47"/>
      <c r="JB246" s="47"/>
      <c r="JC246" s="47"/>
      <c r="JD246" s="47"/>
      <c r="JG246" s="47"/>
      <c r="JH246" s="47"/>
      <c r="JI246" s="47"/>
      <c r="JJ246" s="47"/>
      <c r="JK246" s="47"/>
      <c r="JL246" s="47"/>
      <c r="JM246" s="47"/>
      <c r="JN246" s="47"/>
      <c r="JQ246" s="47"/>
      <c r="JR246" s="47"/>
      <c r="JS246" s="47"/>
      <c r="JT246" s="47"/>
      <c r="JU246" s="47"/>
      <c r="JV246" s="47"/>
      <c r="JW246" s="47"/>
      <c r="JX246" s="47"/>
      <c r="KA246" s="47"/>
      <c r="KB246" s="47"/>
      <c r="KC246" s="47"/>
      <c r="KD246" s="47"/>
      <c r="KE246" s="47"/>
      <c r="KF246" s="47"/>
      <c r="KG246" s="47"/>
      <c r="KH246" s="47"/>
      <c r="KK246" s="47"/>
      <c r="KL246" s="47"/>
      <c r="KM246" s="47"/>
      <c r="KN246" s="47"/>
      <c r="KO246" s="47"/>
      <c r="KP246" s="47"/>
      <c r="KQ246" s="47"/>
      <c r="KR246" s="47"/>
      <c r="KU246" s="47"/>
      <c r="KV246" s="47"/>
      <c r="KW246" s="47"/>
      <c r="KX246" s="47"/>
      <c r="KY246" s="47"/>
      <c r="KZ246" s="47"/>
      <c r="LA246" s="47"/>
      <c r="LB246" s="47"/>
    </row>
    <row r="247" spans="29:314" x14ac:dyDescent="0.25">
      <c r="AC247" s="47"/>
      <c r="AD247" s="47"/>
      <c r="AE247" s="47"/>
      <c r="AF247" s="47"/>
      <c r="AG247" s="49"/>
      <c r="AH247" s="47"/>
      <c r="AI247" s="47"/>
      <c r="AJ247" s="47"/>
      <c r="AK247" s="47"/>
      <c r="AL247" s="47"/>
      <c r="AM247" s="47"/>
      <c r="AN247" s="47"/>
      <c r="AO247" s="47"/>
      <c r="AP247" s="47"/>
      <c r="AQ247" s="47"/>
      <c r="AR247" s="47"/>
      <c r="AS247" s="47"/>
      <c r="AT247" s="47"/>
      <c r="AU247" s="47"/>
      <c r="AV247" s="47"/>
      <c r="AW247" s="47"/>
      <c r="AX247" s="47"/>
      <c r="AY247" s="47"/>
      <c r="AZ247" s="47"/>
      <c r="BA247" s="47"/>
      <c r="BB247" s="47"/>
      <c r="BC247" s="47"/>
      <c r="BD247" s="47"/>
      <c r="BE247" s="47"/>
      <c r="BF247" s="47"/>
      <c r="BG247" s="47"/>
      <c r="BH247" s="47"/>
      <c r="BI247" s="47"/>
      <c r="BJ247" s="47"/>
      <c r="BK247" s="47"/>
      <c r="BL247" s="47"/>
      <c r="BM247" s="47"/>
      <c r="BN247" s="49"/>
      <c r="BO247" s="47"/>
      <c r="BP247" s="47"/>
      <c r="BQ247" s="47"/>
      <c r="BR247" s="47"/>
      <c r="BS247" s="47"/>
      <c r="BT247" s="47"/>
      <c r="BU247" s="47"/>
      <c r="BV247" s="47"/>
      <c r="BW247" s="47"/>
      <c r="BX247" s="47"/>
      <c r="BY247" s="47"/>
      <c r="BZ247" s="47"/>
      <c r="CA247" s="47"/>
      <c r="CB247" s="47"/>
      <c r="CC247" s="47"/>
      <c r="CD247" s="47"/>
      <c r="CE247" s="47"/>
      <c r="CF247" s="47"/>
      <c r="CG247" s="49"/>
      <c r="CH247" s="47"/>
      <c r="CI247" s="47"/>
      <c r="CJ247" s="47"/>
      <c r="CK247" s="47"/>
      <c r="CL247" s="47"/>
      <c r="CM247" s="47"/>
      <c r="CN247" s="47"/>
      <c r="CO247" s="47"/>
      <c r="CP247" s="47"/>
      <c r="CQ247" s="47"/>
      <c r="CS247" s="47"/>
      <c r="CT247" s="47"/>
      <c r="CU247" s="47"/>
      <c r="CV247" s="47"/>
      <c r="CW247" s="47"/>
      <c r="CX247" s="47"/>
      <c r="CY247" s="47"/>
      <c r="CZ247" s="47"/>
      <c r="DA247" s="47"/>
      <c r="DB247" s="47"/>
      <c r="DC247" s="47"/>
      <c r="DD247" s="47"/>
      <c r="DE247" s="47"/>
      <c r="DF247" s="47"/>
      <c r="DG247" s="47"/>
      <c r="DH247" s="47"/>
      <c r="DI247" s="47"/>
      <c r="DJ247" s="47"/>
      <c r="DK247" s="47"/>
      <c r="DM247" s="47"/>
      <c r="DN247" s="47"/>
      <c r="DO247" s="47"/>
      <c r="DP247" s="47"/>
      <c r="DQ247" s="47"/>
      <c r="DR247" s="47"/>
      <c r="DS247" s="47"/>
      <c r="DT247" s="47"/>
      <c r="DU247" s="47"/>
      <c r="DV247" s="49"/>
      <c r="DW247" s="47"/>
      <c r="DX247" s="47"/>
      <c r="DY247" s="47"/>
      <c r="DZ247" s="47"/>
      <c r="EA247" s="47"/>
      <c r="EB247" s="47"/>
      <c r="EC247" s="47"/>
      <c r="ED247" s="47"/>
      <c r="EE247" s="47"/>
      <c r="EF247" s="47"/>
      <c r="EG247" s="47"/>
      <c r="EH247" s="47"/>
      <c r="EI247" s="47"/>
      <c r="EJ247" s="47"/>
      <c r="EK247" s="47"/>
      <c r="EL247" s="47"/>
      <c r="EM247" s="47"/>
      <c r="EN247" s="47"/>
      <c r="EO247" s="47"/>
      <c r="EP247" s="47"/>
      <c r="EQ247" s="47"/>
      <c r="ER247" s="47"/>
      <c r="ES247" s="47"/>
      <c r="ET247" s="47"/>
      <c r="EU247" s="47"/>
      <c r="EV247" s="47"/>
      <c r="EW247" s="47"/>
      <c r="EX247" s="47"/>
      <c r="EY247" s="47"/>
      <c r="EZ247" s="47"/>
      <c r="FA247" s="47"/>
      <c r="FB247" s="47"/>
      <c r="FC247" s="47"/>
      <c r="FD247" s="47"/>
      <c r="FE247" s="47"/>
      <c r="FF247" s="47"/>
      <c r="FG247" s="47"/>
      <c r="FH247" s="47"/>
      <c r="FI247" s="47"/>
      <c r="FJ247" s="49"/>
      <c r="FK247" s="47"/>
      <c r="FL247" s="47"/>
      <c r="FM247" s="47"/>
      <c r="FN247" s="47"/>
      <c r="FO247" s="47"/>
      <c r="FP247" s="47"/>
      <c r="FQ247" s="47"/>
      <c r="FR247" s="47"/>
      <c r="FS247" s="47"/>
      <c r="FT247" s="47"/>
      <c r="FU247" s="47"/>
      <c r="FV247" s="47"/>
      <c r="FW247" s="47"/>
      <c r="FX247" s="47"/>
      <c r="FY247" s="47"/>
      <c r="FZ247" s="47"/>
      <c r="GA247" s="47"/>
      <c r="GB247" s="47"/>
      <c r="GC247" s="47"/>
      <c r="GD247" s="47"/>
      <c r="GE247" s="47"/>
      <c r="GF247" s="47"/>
      <c r="GG247" s="47"/>
      <c r="GH247" s="47"/>
      <c r="GI247" s="47"/>
      <c r="GJ247" s="47"/>
      <c r="GK247" s="47"/>
      <c r="GL247" s="47"/>
      <c r="GM247" s="47"/>
      <c r="GN247" s="47"/>
      <c r="GO247" s="47"/>
      <c r="GP247" s="47"/>
      <c r="GQ247" s="47"/>
      <c r="GR247" s="47"/>
      <c r="GS247" s="47"/>
      <c r="GT247" s="47"/>
      <c r="GU247" s="47"/>
      <c r="GV247" s="47"/>
      <c r="GW247" s="47"/>
      <c r="GX247" s="47"/>
      <c r="GY247" s="47"/>
      <c r="GZ247" s="47"/>
      <c r="HA247" s="47"/>
      <c r="HB247" s="47"/>
      <c r="HC247" s="47"/>
      <c r="HD247" s="47"/>
      <c r="HE247" s="47"/>
      <c r="HF247" s="47"/>
      <c r="HI247" s="47"/>
      <c r="HJ247" s="47"/>
      <c r="HK247" s="47"/>
      <c r="HL247" s="47"/>
      <c r="HM247" s="47"/>
      <c r="HN247" s="47"/>
      <c r="HO247" s="47"/>
      <c r="HP247" s="47"/>
      <c r="HS247" s="47"/>
      <c r="HT247" s="47"/>
      <c r="HU247" s="47"/>
      <c r="HV247" s="47"/>
      <c r="HW247" s="47"/>
      <c r="HX247" s="47"/>
      <c r="HY247" s="47"/>
      <c r="HZ247" s="47"/>
      <c r="IC247" s="47"/>
      <c r="ID247" s="47"/>
      <c r="IE247" s="47"/>
      <c r="IF247" s="47"/>
      <c r="IG247" s="47"/>
      <c r="IH247" s="47"/>
      <c r="II247" s="47"/>
      <c r="IJ247" s="47"/>
      <c r="IM247" s="47"/>
      <c r="IN247" s="47"/>
      <c r="IO247" s="47"/>
      <c r="IP247" s="47"/>
      <c r="IQ247" s="47"/>
      <c r="IR247" s="47"/>
      <c r="IS247" s="47"/>
      <c r="IT247" s="47"/>
      <c r="IW247" s="47"/>
      <c r="IX247" s="47"/>
      <c r="IY247" s="47"/>
      <c r="IZ247" s="47"/>
      <c r="JA247" s="47"/>
      <c r="JB247" s="47"/>
      <c r="JC247" s="47"/>
      <c r="JD247" s="47"/>
      <c r="JG247" s="47"/>
      <c r="JH247" s="47"/>
      <c r="JI247" s="47"/>
      <c r="JJ247" s="47"/>
      <c r="JK247" s="47"/>
      <c r="JL247" s="47"/>
      <c r="JM247" s="47"/>
      <c r="JN247" s="47"/>
      <c r="JQ247" s="47"/>
      <c r="JR247" s="47"/>
      <c r="JS247" s="47"/>
      <c r="JT247" s="47"/>
      <c r="JU247" s="47"/>
      <c r="JV247" s="47"/>
      <c r="JW247" s="47"/>
      <c r="JX247" s="47"/>
      <c r="KA247" s="47"/>
      <c r="KB247" s="47"/>
      <c r="KC247" s="47"/>
      <c r="KD247" s="47"/>
      <c r="KE247" s="47"/>
      <c r="KF247" s="47"/>
      <c r="KG247" s="47"/>
      <c r="KH247" s="47"/>
      <c r="KK247" s="47"/>
      <c r="KL247" s="47"/>
      <c r="KM247" s="47"/>
      <c r="KN247" s="47"/>
      <c r="KO247" s="47"/>
      <c r="KP247" s="47"/>
      <c r="KQ247" s="47"/>
      <c r="KR247" s="47"/>
      <c r="KU247" s="47"/>
      <c r="KV247" s="47"/>
      <c r="KW247" s="47"/>
      <c r="KX247" s="47"/>
      <c r="KY247" s="47"/>
      <c r="KZ247" s="47"/>
      <c r="LA247" s="47"/>
      <c r="LB247" s="47"/>
    </row>
    <row r="248" spans="29:314" x14ac:dyDescent="0.25">
      <c r="AC248" s="47"/>
      <c r="AD248" s="47"/>
      <c r="AE248" s="47"/>
      <c r="AF248" s="47"/>
      <c r="AG248" s="49"/>
      <c r="AH248" s="47"/>
      <c r="AI248" s="47"/>
      <c r="AJ248" s="47"/>
      <c r="AK248" s="47"/>
      <c r="AL248" s="47"/>
      <c r="AM248" s="47"/>
      <c r="AN248" s="47"/>
      <c r="AO248" s="47"/>
      <c r="AP248" s="47"/>
      <c r="AQ248" s="47"/>
      <c r="AR248" s="47"/>
      <c r="AS248" s="47"/>
      <c r="AT248" s="47"/>
      <c r="AU248" s="47"/>
      <c r="AV248" s="47"/>
      <c r="AW248" s="47"/>
      <c r="AX248" s="47"/>
      <c r="AY248" s="47"/>
      <c r="AZ248" s="47"/>
      <c r="BA248" s="47"/>
      <c r="BB248" s="47"/>
      <c r="BC248" s="47"/>
      <c r="BD248" s="47"/>
      <c r="BE248" s="47"/>
      <c r="BF248" s="47"/>
      <c r="BG248" s="47"/>
      <c r="BH248" s="47"/>
      <c r="BI248" s="47"/>
      <c r="BJ248" s="47"/>
      <c r="BK248" s="47"/>
      <c r="BL248" s="47"/>
      <c r="BM248" s="47"/>
      <c r="BN248" s="49"/>
      <c r="BO248" s="47"/>
      <c r="BP248" s="47"/>
      <c r="BQ248" s="47"/>
      <c r="BR248" s="47"/>
      <c r="BS248" s="47"/>
      <c r="BT248" s="47"/>
      <c r="BU248" s="47"/>
      <c r="BV248" s="47"/>
      <c r="BW248" s="47"/>
      <c r="BX248" s="47"/>
      <c r="BY248" s="47"/>
      <c r="BZ248" s="47"/>
      <c r="CA248" s="47"/>
      <c r="CB248" s="47"/>
      <c r="CC248" s="47"/>
      <c r="CD248" s="47"/>
      <c r="CE248" s="47"/>
      <c r="CF248" s="47"/>
      <c r="CG248" s="49"/>
      <c r="CH248" s="47"/>
      <c r="CI248" s="47"/>
      <c r="CJ248" s="47"/>
      <c r="CK248" s="47"/>
      <c r="CL248" s="47"/>
      <c r="CM248" s="47"/>
      <c r="CN248" s="47"/>
      <c r="CO248" s="47"/>
      <c r="CP248" s="47"/>
      <c r="CQ248" s="47"/>
      <c r="CS248" s="47"/>
      <c r="CT248" s="47"/>
      <c r="CU248" s="47"/>
      <c r="CV248" s="47"/>
      <c r="CW248" s="47"/>
      <c r="CX248" s="47"/>
      <c r="CY248" s="47"/>
      <c r="CZ248" s="47"/>
      <c r="DA248" s="47"/>
      <c r="DB248" s="47"/>
      <c r="DC248" s="47"/>
      <c r="DD248" s="47"/>
      <c r="DE248" s="47"/>
      <c r="DF248" s="47"/>
      <c r="DG248" s="47"/>
      <c r="DH248" s="47"/>
      <c r="DI248" s="47"/>
      <c r="DJ248" s="47"/>
      <c r="DK248" s="47"/>
      <c r="DM248" s="47"/>
      <c r="DN248" s="47"/>
      <c r="DO248" s="47"/>
      <c r="DP248" s="47"/>
      <c r="DQ248" s="47"/>
      <c r="DR248" s="47"/>
      <c r="DS248" s="47"/>
      <c r="DT248" s="47"/>
      <c r="DU248" s="47"/>
      <c r="DV248" s="49"/>
      <c r="DW248" s="47"/>
      <c r="DX248" s="47"/>
      <c r="DY248" s="47"/>
      <c r="DZ248" s="47"/>
      <c r="EA248" s="47"/>
      <c r="EB248" s="47"/>
      <c r="EC248" s="47"/>
      <c r="ED248" s="47"/>
      <c r="EE248" s="47"/>
      <c r="EF248" s="47"/>
      <c r="EG248" s="47"/>
      <c r="EH248" s="47"/>
      <c r="EI248" s="47"/>
      <c r="EJ248" s="47"/>
      <c r="EK248" s="47"/>
      <c r="EL248" s="47"/>
      <c r="EM248" s="47"/>
      <c r="EN248" s="47"/>
      <c r="EO248" s="47"/>
      <c r="EP248" s="47"/>
      <c r="EQ248" s="47"/>
      <c r="ER248" s="47"/>
      <c r="ES248" s="47"/>
      <c r="ET248" s="47"/>
      <c r="EU248" s="47"/>
      <c r="EV248" s="47"/>
      <c r="EW248" s="47"/>
      <c r="EX248" s="47"/>
      <c r="EY248" s="47"/>
      <c r="EZ248" s="47"/>
      <c r="FA248" s="47"/>
      <c r="FB248" s="47"/>
      <c r="FC248" s="47"/>
      <c r="FD248" s="47"/>
      <c r="FE248" s="47"/>
      <c r="FF248" s="47"/>
      <c r="FG248" s="47"/>
      <c r="FH248" s="47"/>
      <c r="FI248" s="47"/>
      <c r="FJ248" s="49"/>
      <c r="FK248" s="47"/>
      <c r="FL248" s="47"/>
      <c r="FM248" s="47"/>
      <c r="FN248" s="47"/>
      <c r="FO248" s="47"/>
      <c r="FP248" s="47"/>
      <c r="FQ248" s="47"/>
      <c r="FR248" s="47"/>
      <c r="FS248" s="47"/>
      <c r="FT248" s="47"/>
      <c r="FU248" s="47"/>
      <c r="FV248" s="47"/>
      <c r="FW248" s="47"/>
      <c r="FX248" s="47"/>
      <c r="FY248" s="47"/>
      <c r="FZ248" s="47"/>
      <c r="GA248" s="47"/>
      <c r="GB248" s="47"/>
      <c r="GC248" s="47"/>
      <c r="GD248" s="47"/>
      <c r="GE248" s="47"/>
      <c r="GF248" s="47"/>
      <c r="GG248" s="47"/>
      <c r="GH248" s="47"/>
      <c r="GI248" s="47"/>
      <c r="GJ248" s="47"/>
      <c r="GK248" s="47"/>
      <c r="GL248" s="47"/>
      <c r="GM248" s="47"/>
      <c r="GN248" s="47"/>
      <c r="GO248" s="47"/>
      <c r="GP248" s="47"/>
      <c r="GQ248" s="47"/>
      <c r="GR248" s="47"/>
      <c r="GS248" s="47"/>
      <c r="GT248" s="47"/>
      <c r="GU248" s="47"/>
      <c r="GV248" s="47"/>
      <c r="GW248" s="47"/>
      <c r="GX248" s="47"/>
      <c r="GY248" s="47"/>
      <c r="GZ248" s="47"/>
      <c r="HA248" s="47"/>
      <c r="HB248" s="47"/>
      <c r="HC248" s="47"/>
      <c r="HD248" s="47"/>
      <c r="HE248" s="47"/>
      <c r="HF248" s="47"/>
      <c r="HI248" s="47"/>
      <c r="HJ248" s="47"/>
      <c r="HK248" s="47"/>
      <c r="HL248" s="47"/>
      <c r="HM248" s="47"/>
      <c r="HN248" s="47"/>
      <c r="HO248" s="47"/>
      <c r="HP248" s="47"/>
      <c r="HS248" s="47"/>
      <c r="HT248" s="47"/>
      <c r="HU248" s="47"/>
      <c r="HV248" s="47"/>
      <c r="HW248" s="47"/>
      <c r="HX248" s="47"/>
      <c r="HY248" s="47"/>
      <c r="HZ248" s="47"/>
      <c r="IC248" s="47"/>
      <c r="ID248" s="47"/>
      <c r="IE248" s="47"/>
      <c r="IF248" s="47"/>
      <c r="IG248" s="47"/>
      <c r="IH248" s="47"/>
      <c r="II248" s="47"/>
      <c r="IJ248" s="47"/>
      <c r="IM248" s="47"/>
      <c r="IN248" s="47"/>
      <c r="IO248" s="47"/>
      <c r="IP248" s="47"/>
      <c r="IQ248" s="47"/>
      <c r="IR248" s="47"/>
      <c r="IS248" s="47"/>
      <c r="IT248" s="47"/>
      <c r="IW248" s="47"/>
      <c r="IX248" s="47"/>
      <c r="IY248" s="47"/>
      <c r="IZ248" s="47"/>
      <c r="JA248" s="47"/>
      <c r="JB248" s="47"/>
      <c r="JC248" s="47"/>
      <c r="JD248" s="47"/>
      <c r="JG248" s="47"/>
      <c r="JH248" s="47"/>
      <c r="JI248" s="47"/>
      <c r="JJ248" s="47"/>
      <c r="JK248" s="47"/>
      <c r="JL248" s="47"/>
      <c r="JM248" s="47"/>
      <c r="JN248" s="47"/>
      <c r="JQ248" s="47"/>
      <c r="JR248" s="47"/>
      <c r="JS248" s="47"/>
      <c r="JT248" s="47"/>
      <c r="JU248" s="47"/>
      <c r="JV248" s="47"/>
      <c r="JW248" s="47"/>
      <c r="JX248" s="47"/>
      <c r="KA248" s="47"/>
      <c r="KB248" s="47"/>
      <c r="KC248" s="47"/>
      <c r="KD248" s="47"/>
      <c r="KE248" s="47"/>
      <c r="KF248" s="47"/>
      <c r="KG248" s="47"/>
      <c r="KH248" s="47"/>
      <c r="KK248" s="47"/>
      <c r="KL248" s="47"/>
      <c r="KM248" s="47"/>
      <c r="KN248" s="47"/>
      <c r="KO248" s="47"/>
      <c r="KP248" s="47"/>
      <c r="KQ248" s="47"/>
      <c r="KR248" s="47"/>
      <c r="KU248" s="47"/>
      <c r="KV248" s="47"/>
      <c r="KW248" s="47"/>
      <c r="KX248" s="47"/>
      <c r="KY248" s="47"/>
      <c r="KZ248" s="47"/>
      <c r="LA248" s="47"/>
      <c r="LB248" s="47"/>
    </row>
    <row r="249" spans="29:314" x14ac:dyDescent="0.25">
      <c r="AC249" s="47"/>
      <c r="AD249" s="47"/>
      <c r="AE249" s="47"/>
      <c r="AF249" s="47"/>
      <c r="AG249" s="49"/>
      <c r="AH249" s="47"/>
      <c r="AI249" s="47"/>
      <c r="AJ249" s="47"/>
      <c r="AK249" s="47"/>
      <c r="AL249" s="47"/>
      <c r="AM249" s="47"/>
      <c r="AN249" s="47"/>
      <c r="AO249" s="47"/>
      <c r="AP249" s="47"/>
      <c r="AQ249" s="47"/>
      <c r="AR249" s="47"/>
      <c r="AS249" s="47"/>
      <c r="AT249" s="47"/>
      <c r="AU249" s="47"/>
      <c r="AV249" s="47"/>
      <c r="AW249" s="47"/>
      <c r="AX249" s="47"/>
      <c r="AY249" s="47"/>
      <c r="AZ249" s="47"/>
      <c r="BA249" s="47"/>
      <c r="BB249" s="47"/>
      <c r="BC249" s="47"/>
      <c r="BD249" s="47"/>
      <c r="BE249" s="47"/>
      <c r="BF249" s="47"/>
      <c r="BG249" s="47"/>
      <c r="BH249" s="47"/>
      <c r="BI249" s="47"/>
      <c r="BJ249" s="47"/>
      <c r="BK249" s="47"/>
      <c r="BL249" s="47"/>
      <c r="BM249" s="47"/>
      <c r="BN249" s="49"/>
      <c r="BO249" s="47"/>
      <c r="BP249" s="47"/>
      <c r="BQ249" s="47"/>
      <c r="BR249" s="47"/>
      <c r="BS249" s="47"/>
      <c r="BT249" s="47"/>
      <c r="BU249" s="47"/>
      <c r="BV249" s="47"/>
      <c r="BW249" s="47"/>
      <c r="BX249" s="47"/>
      <c r="BY249" s="47"/>
      <c r="BZ249" s="47"/>
      <c r="CA249" s="47"/>
      <c r="CB249" s="47"/>
      <c r="CC249" s="47"/>
      <c r="CD249" s="47"/>
      <c r="CE249" s="47"/>
      <c r="CF249" s="47"/>
      <c r="CG249" s="49"/>
      <c r="CH249" s="47"/>
      <c r="CI249" s="47"/>
      <c r="CJ249" s="47"/>
      <c r="CK249" s="47"/>
      <c r="CL249" s="47"/>
      <c r="CM249" s="47"/>
      <c r="CN249" s="47"/>
      <c r="CO249" s="47"/>
      <c r="CP249" s="47"/>
      <c r="CQ249" s="47"/>
      <c r="CS249" s="47"/>
      <c r="CT249" s="47"/>
      <c r="CU249" s="47"/>
      <c r="CV249" s="47"/>
      <c r="CW249" s="47"/>
      <c r="CX249" s="47"/>
      <c r="CY249" s="47"/>
      <c r="CZ249" s="47"/>
      <c r="DA249" s="47"/>
      <c r="DB249" s="47"/>
      <c r="DC249" s="47"/>
      <c r="DD249" s="47"/>
      <c r="DE249" s="47"/>
      <c r="DF249" s="47"/>
      <c r="DG249" s="47"/>
      <c r="DH249" s="47"/>
      <c r="DI249" s="47"/>
      <c r="DJ249" s="47"/>
      <c r="DK249" s="47"/>
      <c r="DM249" s="47"/>
      <c r="DN249" s="47"/>
      <c r="DO249" s="47"/>
      <c r="DP249" s="47"/>
      <c r="DQ249" s="47"/>
      <c r="DR249" s="47"/>
      <c r="DS249" s="47"/>
      <c r="DT249" s="47"/>
      <c r="DU249" s="47"/>
      <c r="DV249" s="49"/>
      <c r="DW249" s="47"/>
      <c r="DX249" s="47"/>
      <c r="DY249" s="47"/>
      <c r="DZ249" s="47"/>
      <c r="EA249" s="47"/>
      <c r="EB249" s="47"/>
      <c r="EC249" s="47"/>
      <c r="ED249" s="47"/>
      <c r="EE249" s="47"/>
      <c r="EF249" s="47"/>
      <c r="EG249" s="47"/>
      <c r="EH249" s="47"/>
      <c r="EI249" s="47"/>
      <c r="EJ249" s="47"/>
      <c r="EK249" s="47"/>
      <c r="EL249" s="47"/>
      <c r="EM249" s="47"/>
      <c r="EN249" s="47"/>
      <c r="EO249" s="47"/>
      <c r="EP249" s="47"/>
      <c r="EQ249" s="47"/>
      <c r="ER249" s="47"/>
      <c r="ES249" s="47"/>
      <c r="ET249" s="47"/>
      <c r="EU249" s="47"/>
      <c r="EV249" s="47"/>
      <c r="EW249" s="47"/>
      <c r="EX249" s="47"/>
      <c r="EY249" s="47"/>
      <c r="EZ249" s="47"/>
      <c r="FA249" s="47"/>
      <c r="FB249" s="47"/>
      <c r="FC249" s="47"/>
      <c r="FD249" s="47"/>
      <c r="FE249" s="47"/>
      <c r="FF249" s="47"/>
      <c r="FG249" s="47"/>
      <c r="FH249" s="47"/>
      <c r="FI249" s="47"/>
      <c r="FJ249" s="49"/>
      <c r="FK249" s="47"/>
      <c r="FL249" s="47"/>
      <c r="FM249" s="47"/>
      <c r="FN249" s="47"/>
      <c r="FO249" s="47"/>
      <c r="FP249" s="47"/>
      <c r="FQ249" s="47"/>
      <c r="FR249" s="47"/>
      <c r="FS249" s="47"/>
      <c r="FT249" s="47"/>
      <c r="FU249" s="47"/>
      <c r="FV249" s="47"/>
      <c r="FW249" s="47"/>
      <c r="FX249" s="47"/>
      <c r="FY249" s="47"/>
      <c r="FZ249" s="47"/>
      <c r="GA249" s="47"/>
      <c r="GB249" s="47"/>
      <c r="GC249" s="47"/>
      <c r="GD249" s="47"/>
      <c r="GE249" s="47"/>
      <c r="GF249" s="47"/>
      <c r="GG249" s="47"/>
      <c r="GH249" s="47"/>
      <c r="GI249" s="47"/>
      <c r="GJ249" s="47"/>
      <c r="GK249" s="47"/>
      <c r="GL249" s="47"/>
      <c r="GM249" s="47"/>
      <c r="GN249" s="47"/>
      <c r="GO249" s="47"/>
      <c r="GP249" s="47"/>
      <c r="GQ249" s="47"/>
      <c r="GR249" s="47"/>
      <c r="GS249" s="47"/>
      <c r="GT249" s="47"/>
      <c r="GU249" s="47"/>
      <c r="GV249" s="47"/>
      <c r="GW249" s="47"/>
      <c r="GX249" s="47"/>
      <c r="GY249" s="47"/>
      <c r="GZ249" s="47"/>
      <c r="HA249" s="47"/>
      <c r="HB249" s="47"/>
      <c r="HC249" s="47"/>
      <c r="HD249" s="47"/>
      <c r="HE249" s="47"/>
      <c r="HF249" s="47"/>
      <c r="HI249" s="47"/>
      <c r="HJ249" s="47"/>
      <c r="HK249" s="47"/>
      <c r="HL249" s="47"/>
      <c r="HM249" s="47"/>
      <c r="HN249" s="47"/>
      <c r="HO249" s="47"/>
      <c r="HP249" s="47"/>
      <c r="HS249" s="47"/>
      <c r="HT249" s="47"/>
      <c r="HU249" s="47"/>
      <c r="HV249" s="47"/>
      <c r="HW249" s="47"/>
      <c r="HX249" s="47"/>
      <c r="HY249" s="47"/>
      <c r="HZ249" s="47"/>
      <c r="IC249" s="47"/>
      <c r="ID249" s="47"/>
      <c r="IE249" s="47"/>
      <c r="IF249" s="47"/>
      <c r="IG249" s="47"/>
      <c r="IH249" s="47"/>
      <c r="II249" s="47"/>
      <c r="IJ249" s="47"/>
      <c r="IM249" s="47"/>
      <c r="IN249" s="47"/>
      <c r="IO249" s="47"/>
      <c r="IP249" s="47"/>
      <c r="IQ249" s="47"/>
      <c r="IR249" s="47"/>
      <c r="IS249" s="47"/>
      <c r="IT249" s="47"/>
      <c r="IW249" s="47"/>
      <c r="IX249" s="47"/>
      <c r="IY249" s="47"/>
      <c r="IZ249" s="47"/>
      <c r="JA249" s="47"/>
      <c r="JB249" s="47"/>
      <c r="JC249" s="47"/>
      <c r="JD249" s="47"/>
      <c r="JG249" s="47"/>
      <c r="JH249" s="47"/>
      <c r="JI249" s="47"/>
      <c r="JJ249" s="47"/>
      <c r="JK249" s="47"/>
      <c r="JL249" s="47"/>
      <c r="JM249" s="47"/>
      <c r="JN249" s="47"/>
      <c r="JQ249" s="47"/>
      <c r="JR249" s="47"/>
      <c r="JS249" s="47"/>
      <c r="JT249" s="47"/>
      <c r="JU249" s="47"/>
      <c r="JV249" s="47"/>
      <c r="JW249" s="47"/>
      <c r="JX249" s="47"/>
      <c r="KA249" s="47"/>
      <c r="KB249" s="47"/>
      <c r="KC249" s="47"/>
      <c r="KD249" s="47"/>
      <c r="KE249" s="47"/>
      <c r="KF249" s="47"/>
      <c r="KG249" s="47"/>
      <c r="KH249" s="47"/>
      <c r="KK249" s="47"/>
      <c r="KL249" s="47"/>
      <c r="KM249" s="47"/>
      <c r="KN249" s="47"/>
      <c r="KO249" s="47"/>
      <c r="KP249" s="47"/>
      <c r="KQ249" s="47"/>
      <c r="KR249" s="47"/>
      <c r="KU249" s="47"/>
      <c r="KV249" s="47"/>
      <c r="KW249" s="47"/>
      <c r="KX249" s="47"/>
      <c r="KY249" s="47"/>
      <c r="KZ249" s="47"/>
      <c r="LA249" s="47"/>
      <c r="LB249" s="47"/>
    </row>
    <row r="250" spans="29:314" x14ac:dyDescent="0.25">
      <c r="AC250" s="47"/>
      <c r="AD250" s="47"/>
      <c r="AE250" s="47"/>
      <c r="AF250" s="47"/>
      <c r="AG250" s="49"/>
      <c r="AH250" s="47"/>
      <c r="AI250" s="47"/>
      <c r="AJ250" s="47"/>
      <c r="AK250" s="47"/>
      <c r="AL250" s="47"/>
      <c r="AM250" s="47"/>
      <c r="AN250" s="47"/>
      <c r="AO250" s="47"/>
      <c r="AP250" s="47"/>
      <c r="AQ250" s="47"/>
      <c r="AR250" s="47"/>
      <c r="AS250" s="47"/>
      <c r="AT250" s="47"/>
      <c r="AU250" s="47"/>
      <c r="AV250" s="47"/>
      <c r="AW250" s="47"/>
      <c r="AX250" s="47"/>
      <c r="AY250" s="47"/>
      <c r="AZ250" s="47"/>
      <c r="BA250" s="47"/>
      <c r="BB250" s="47"/>
      <c r="BC250" s="47"/>
      <c r="BD250" s="47"/>
      <c r="BE250" s="47"/>
      <c r="BF250" s="47"/>
      <c r="BG250" s="47"/>
      <c r="BH250" s="47"/>
      <c r="BI250" s="47"/>
      <c r="BJ250" s="47"/>
      <c r="BK250" s="47"/>
      <c r="BL250" s="47"/>
      <c r="BM250" s="47"/>
      <c r="BN250" s="49"/>
      <c r="BO250" s="47"/>
      <c r="BP250" s="47"/>
      <c r="BQ250" s="47"/>
      <c r="BR250" s="47"/>
      <c r="BS250" s="47"/>
      <c r="BT250" s="47"/>
      <c r="BU250" s="47"/>
      <c r="BV250" s="47"/>
      <c r="BW250" s="47"/>
      <c r="BX250" s="47"/>
      <c r="BY250" s="47"/>
      <c r="BZ250" s="47"/>
      <c r="CA250" s="47"/>
      <c r="CB250" s="47"/>
      <c r="CC250" s="47"/>
      <c r="CD250" s="47"/>
      <c r="CE250" s="47"/>
      <c r="CF250" s="47"/>
      <c r="CG250" s="49"/>
      <c r="CH250" s="47"/>
      <c r="CI250" s="47"/>
      <c r="CJ250" s="47"/>
      <c r="CK250" s="47"/>
      <c r="CL250" s="47"/>
      <c r="CM250" s="47"/>
      <c r="CN250" s="47"/>
      <c r="CO250" s="47"/>
      <c r="CP250" s="47"/>
      <c r="CQ250" s="47"/>
      <c r="CS250" s="47"/>
      <c r="CT250" s="47"/>
      <c r="CU250" s="47"/>
      <c r="CV250" s="47"/>
      <c r="CW250" s="47"/>
      <c r="CX250" s="47"/>
      <c r="CY250" s="47"/>
      <c r="CZ250" s="47"/>
      <c r="DA250" s="47"/>
      <c r="DB250" s="47"/>
      <c r="DC250" s="47"/>
      <c r="DD250" s="47"/>
      <c r="DE250" s="47"/>
      <c r="DF250" s="47"/>
      <c r="DG250" s="47"/>
      <c r="DH250" s="47"/>
      <c r="DI250" s="47"/>
      <c r="DJ250" s="47"/>
      <c r="DK250" s="47"/>
      <c r="DM250" s="47"/>
      <c r="DN250" s="47"/>
      <c r="DO250" s="47"/>
      <c r="DP250" s="47"/>
      <c r="DQ250" s="47"/>
      <c r="DR250" s="47"/>
      <c r="DS250" s="47"/>
      <c r="DT250" s="47"/>
      <c r="DU250" s="47"/>
      <c r="DV250" s="49"/>
      <c r="DW250" s="47"/>
      <c r="DX250" s="47"/>
      <c r="DY250" s="47"/>
      <c r="DZ250" s="47"/>
      <c r="EA250" s="47"/>
      <c r="EB250" s="47"/>
      <c r="EC250" s="47"/>
      <c r="ED250" s="47"/>
      <c r="EE250" s="47"/>
      <c r="EF250" s="47"/>
      <c r="EG250" s="47"/>
      <c r="EH250" s="47"/>
      <c r="EI250" s="47"/>
      <c r="EJ250" s="47"/>
      <c r="EK250" s="47"/>
      <c r="EL250" s="47"/>
      <c r="EM250" s="47"/>
      <c r="EN250" s="47"/>
      <c r="EO250" s="47"/>
      <c r="EP250" s="47"/>
      <c r="EQ250" s="47"/>
      <c r="ER250" s="47"/>
      <c r="ES250" s="47"/>
      <c r="ET250" s="47"/>
      <c r="EU250" s="47"/>
      <c r="EV250" s="47"/>
      <c r="EW250" s="47"/>
      <c r="EX250" s="47"/>
      <c r="EY250" s="47"/>
      <c r="EZ250" s="47"/>
      <c r="FA250" s="47"/>
      <c r="FB250" s="47"/>
      <c r="FC250" s="47"/>
      <c r="FD250" s="47"/>
      <c r="FE250" s="47"/>
      <c r="FF250" s="47"/>
      <c r="FG250" s="47"/>
      <c r="FH250" s="47"/>
      <c r="FI250" s="47"/>
      <c r="FJ250" s="49"/>
      <c r="FK250" s="47"/>
      <c r="FL250" s="47"/>
      <c r="FM250" s="47"/>
      <c r="FN250" s="47"/>
      <c r="FO250" s="47"/>
      <c r="FP250" s="47"/>
      <c r="FQ250" s="47"/>
      <c r="FR250" s="47"/>
      <c r="FS250" s="47"/>
      <c r="FT250" s="47"/>
      <c r="FU250" s="47"/>
      <c r="FV250" s="47"/>
      <c r="FW250" s="47"/>
      <c r="FX250" s="47"/>
      <c r="FY250" s="47"/>
      <c r="FZ250" s="47"/>
      <c r="GA250" s="47"/>
      <c r="GB250" s="47"/>
      <c r="GC250" s="47"/>
      <c r="GD250" s="47"/>
      <c r="GE250" s="47"/>
      <c r="GF250" s="47"/>
      <c r="GG250" s="47"/>
      <c r="GH250" s="47"/>
      <c r="GI250" s="47"/>
      <c r="GJ250" s="47"/>
      <c r="GK250" s="47"/>
      <c r="GL250" s="47"/>
      <c r="GM250" s="47"/>
      <c r="GN250" s="47"/>
      <c r="GO250" s="47"/>
      <c r="GP250" s="47"/>
      <c r="GQ250" s="47"/>
      <c r="GR250" s="47"/>
      <c r="GS250" s="47"/>
      <c r="GT250" s="47"/>
      <c r="GU250" s="47"/>
      <c r="GV250" s="47"/>
      <c r="GW250" s="47"/>
      <c r="GX250" s="47"/>
      <c r="GY250" s="47"/>
      <c r="GZ250" s="47"/>
      <c r="HA250" s="47"/>
      <c r="HB250" s="47"/>
      <c r="HC250" s="47"/>
      <c r="HD250" s="47"/>
      <c r="HE250" s="47"/>
      <c r="HF250" s="47"/>
      <c r="HI250" s="47"/>
      <c r="HJ250" s="47"/>
      <c r="HK250" s="47"/>
      <c r="HL250" s="47"/>
      <c r="HM250" s="47"/>
      <c r="HN250" s="47"/>
      <c r="HO250" s="47"/>
      <c r="HP250" s="47"/>
      <c r="HS250" s="47"/>
      <c r="HT250" s="47"/>
      <c r="HU250" s="47"/>
      <c r="HV250" s="47"/>
      <c r="HW250" s="47"/>
      <c r="HX250" s="47"/>
      <c r="HY250" s="47"/>
      <c r="HZ250" s="47"/>
      <c r="IC250" s="47"/>
      <c r="ID250" s="47"/>
      <c r="IE250" s="47"/>
      <c r="IF250" s="47"/>
      <c r="IG250" s="47"/>
      <c r="IH250" s="47"/>
      <c r="II250" s="47"/>
      <c r="IJ250" s="47"/>
      <c r="IM250" s="47"/>
      <c r="IN250" s="47"/>
      <c r="IO250" s="47"/>
      <c r="IP250" s="47"/>
      <c r="IQ250" s="47"/>
      <c r="IR250" s="47"/>
      <c r="IS250" s="47"/>
      <c r="IT250" s="47"/>
      <c r="IW250" s="47"/>
      <c r="IX250" s="47"/>
      <c r="IY250" s="47"/>
      <c r="IZ250" s="47"/>
      <c r="JA250" s="47"/>
      <c r="JB250" s="47"/>
      <c r="JC250" s="47"/>
      <c r="JD250" s="47"/>
      <c r="JG250" s="47"/>
      <c r="JH250" s="47"/>
      <c r="JI250" s="47"/>
      <c r="JJ250" s="47"/>
      <c r="JK250" s="47"/>
      <c r="JL250" s="47"/>
      <c r="JM250" s="47"/>
      <c r="JN250" s="47"/>
      <c r="JQ250" s="47"/>
      <c r="JR250" s="47"/>
      <c r="JS250" s="47"/>
      <c r="JT250" s="47"/>
      <c r="JU250" s="47"/>
      <c r="JV250" s="47"/>
      <c r="JW250" s="47"/>
      <c r="JX250" s="47"/>
      <c r="KA250" s="47"/>
      <c r="KB250" s="47"/>
      <c r="KC250" s="47"/>
      <c r="KD250" s="47"/>
      <c r="KE250" s="47"/>
      <c r="KF250" s="47"/>
      <c r="KG250" s="47"/>
      <c r="KH250" s="47"/>
      <c r="KK250" s="47"/>
      <c r="KL250" s="47"/>
      <c r="KM250" s="47"/>
      <c r="KN250" s="47"/>
      <c r="KO250" s="47"/>
      <c r="KP250" s="47"/>
      <c r="KQ250" s="47"/>
      <c r="KR250" s="47"/>
      <c r="KU250" s="47"/>
      <c r="KV250" s="47"/>
      <c r="KW250" s="47"/>
      <c r="KX250" s="47"/>
      <c r="KY250" s="47"/>
      <c r="KZ250" s="47"/>
      <c r="LA250" s="47"/>
      <c r="LB250" s="47"/>
    </row>
    <row r="251" spans="29:314" x14ac:dyDescent="0.25">
      <c r="AC251" s="47"/>
      <c r="AD251" s="47"/>
      <c r="AE251" s="47"/>
      <c r="AF251" s="47"/>
      <c r="AG251" s="49"/>
      <c r="AH251" s="47"/>
      <c r="AI251" s="47"/>
      <c r="AJ251" s="47"/>
      <c r="AK251" s="47"/>
      <c r="AL251" s="47"/>
      <c r="AM251" s="47"/>
      <c r="AN251" s="47"/>
      <c r="AO251" s="47"/>
      <c r="AP251" s="47"/>
      <c r="AQ251" s="47"/>
      <c r="AR251" s="47"/>
      <c r="AS251" s="47"/>
      <c r="AT251" s="47"/>
      <c r="AU251" s="47"/>
      <c r="AV251" s="47"/>
      <c r="AW251" s="47"/>
      <c r="AX251" s="47"/>
      <c r="AY251" s="47"/>
      <c r="AZ251" s="47"/>
      <c r="BA251" s="47"/>
      <c r="BB251" s="47"/>
      <c r="BC251" s="47"/>
      <c r="BD251" s="47"/>
      <c r="BE251" s="47"/>
      <c r="BF251" s="47"/>
      <c r="BG251" s="47"/>
      <c r="BH251" s="47"/>
      <c r="BI251" s="47"/>
      <c r="BJ251" s="47"/>
      <c r="BK251" s="47"/>
      <c r="BL251" s="47"/>
      <c r="BM251" s="47"/>
      <c r="BN251" s="49"/>
      <c r="BO251" s="47"/>
      <c r="BP251" s="47"/>
      <c r="BQ251" s="47"/>
      <c r="BR251" s="47"/>
      <c r="BS251" s="47"/>
      <c r="BT251" s="47"/>
      <c r="BU251" s="47"/>
      <c r="BV251" s="47"/>
      <c r="BW251" s="47"/>
      <c r="BX251" s="47"/>
      <c r="BY251" s="47"/>
      <c r="BZ251" s="47"/>
      <c r="CA251" s="47"/>
      <c r="CB251" s="47"/>
      <c r="CC251" s="47"/>
      <c r="CD251" s="47"/>
      <c r="CE251" s="47"/>
      <c r="CF251" s="47"/>
      <c r="CG251" s="49"/>
      <c r="CH251" s="47"/>
      <c r="CI251" s="47"/>
      <c r="CJ251" s="47"/>
      <c r="CK251" s="47"/>
      <c r="CL251" s="47"/>
      <c r="CM251" s="47"/>
      <c r="CN251" s="47"/>
      <c r="CO251" s="47"/>
      <c r="CP251" s="47"/>
      <c r="CQ251" s="47"/>
      <c r="CS251" s="47"/>
      <c r="CT251" s="47"/>
      <c r="CU251" s="47"/>
      <c r="CV251" s="47"/>
      <c r="CW251" s="47"/>
      <c r="CX251" s="47"/>
      <c r="CY251" s="47"/>
      <c r="CZ251" s="47"/>
      <c r="DA251" s="47"/>
      <c r="DB251" s="47"/>
      <c r="DC251" s="47"/>
      <c r="DD251" s="47"/>
      <c r="DE251" s="47"/>
      <c r="DF251" s="47"/>
      <c r="DG251" s="47"/>
      <c r="DH251" s="47"/>
      <c r="DI251" s="47"/>
      <c r="DJ251" s="47"/>
      <c r="DK251" s="47"/>
      <c r="DM251" s="47"/>
      <c r="DN251" s="47"/>
      <c r="DO251" s="47"/>
      <c r="DP251" s="47"/>
      <c r="DQ251" s="47"/>
      <c r="DR251" s="47"/>
      <c r="DS251" s="47"/>
      <c r="DT251" s="47"/>
      <c r="DU251" s="47"/>
      <c r="DV251" s="49"/>
      <c r="DW251" s="47"/>
      <c r="DX251" s="47"/>
      <c r="DY251" s="47"/>
      <c r="DZ251" s="47"/>
      <c r="EA251" s="47"/>
      <c r="EB251" s="47"/>
      <c r="EC251" s="47"/>
      <c r="ED251" s="47"/>
      <c r="EE251" s="47"/>
      <c r="EF251" s="47"/>
      <c r="EG251" s="47"/>
      <c r="EH251" s="47"/>
      <c r="EI251" s="47"/>
      <c r="EJ251" s="47"/>
      <c r="EK251" s="47"/>
      <c r="EL251" s="47"/>
      <c r="EM251" s="47"/>
      <c r="EN251" s="47"/>
      <c r="EO251" s="47"/>
      <c r="EP251" s="47"/>
      <c r="EQ251" s="47"/>
      <c r="ER251" s="47"/>
      <c r="ES251" s="47"/>
      <c r="ET251" s="47"/>
      <c r="EU251" s="47"/>
      <c r="EV251" s="47"/>
      <c r="EW251" s="47"/>
      <c r="EX251" s="47"/>
      <c r="EY251" s="47"/>
      <c r="EZ251" s="47"/>
      <c r="FA251" s="47"/>
      <c r="FB251" s="47"/>
      <c r="FC251" s="47"/>
      <c r="FD251" s="47"/>
      <c r="FE251" s="47"/>
      <c r="FF251" s="47"/>
      <c r="FG251" s="47"/>
      <c r="FH251" s="47"/>
      <c r="FI251" s="47"/>
      <c r="FJ251" s="49"/>
      <c r="FK251" s="47"/>
      <c r="FL251" s="47"/>
      <c r="FM251" s="47"/>
      <c r="FN251" s="47"/>
      <c r="FO251" s="47"/>
      <c r="FP251" s="47"/>
      <c r="FQ251" s="47"/>
      <c r="FR251" s="47"/>
      <c r="FS251" s="47"/>
      <c r="FT251" s="47"/>
      <c r="FU251" s="47"/>
      <c r="FV251" s="47"/>
      <c r="FW251" s="47"/>
      <c r="FX251" s="47"/>
      <c r="FY251" s="47"/>
      <c r="FZ251" s="47"/>
      <c r="GA251" s="47"/>
      <c r="GB251" s="47"/>
      <c r="GC251" s="47"/>
      <c r="GD251" s="47"/>
      <c r="GE251" s="47"/>
      <c r="GF251" s="47"/>
      <c r="GG251" s="47"/>
      <c r="GH251" s="47"/>
      <c r="GI251" s="47"/>
      <c r="GJ251" s="47"/>
      <c r="GK251" s="47"/>
      <c r="GL251" s="47"/>
      <c r="GM251" s="47"/>
      <c r="GN251" s="47"/>
      <c r="GO251" s="47"/>
      <c r="GP251" s="47"/>
      <c r="GQ251" s="47"/>
      <c r="GR251" s="47"/>
      <c r="GS251" s="47"/>
      <c r="GT251" s="47"/>
      <c r="GU251" s="47"/>
      <c r="GV251" s="47"/>
      <c r="GW251" s="47"/>
      <c r="GX251" s="47"/>
      <c r="GY251" s="47"/>
      <c r="GZ251" s="47"/>
      <c r="HA251" s="47"/>
      <c r="HB251" s="47"/>
      <c r="HC251" s="47"/>
      <c r="HD251" s="47"/>
      <c r="HE251" s="47"/>
      <c r="HF251" s="47"/>
      <c r="HI251" s="47"/>
      <c r="HJ251" s="47"/>
      <c r="HK251" s="47"/>
      <c r="HL251" s="47"/>
      <c r="HM251" s="47"/>
      <c r="HN251" s="47"/>
      <c r="HO251" s="47"/>
      <c r="HP251" s="47"/>
      <c r="HS251" s="47"/>
      <c r="HT251" s="47"/>
      <c r="HU251" s="47"/>
      <c r="HV251" s="47"/>
      <c r="HW251" s="47"/>
      <c r="HX251" s="47"/>
      <c r="HY251" s="47"/>
      <c r="HZ251" s="47"/>
      <c r="IC251" s="47"/>
      <c r="ID251" s="47"/>
      <c r="IE251" s="47"/>
      <c r="IF251" s="47"/>
      <c r="IG251" s="47"/>
      <c r="IH251" s="47"/>
      <c r="II251" s="47"/>
      <c r="IJ251" s="47"/>
      <c r="IM251" s="47"/>
      <c r="IN251" s="47"/>
      <c r="IO251" s="47"/>
      <c r="IP251" s="47"/>
      <c r="IQ251" s="47"/>
      <c r="IR251" s="47"/>
      <c r="IS251" s="47"/>
      <c r="IT251" s="47"/>
      <c r="IW251" s="47"/>
      <c r="IX251" s="47"/>
      <c r="IY251" s="47"/>
      <c r="IZ251" s="47"/>
      <c r="JA251" s="47"/>
      <c r="JB251" s="47"/>
      <c r="JC251" s="47"/>
      <c r="JD251" s="47"/>
      <c r="JG251" s="47"/>
      <c r="JH251" s="47"/>
      <c r="JI251" s="47"/>
      <c r="JJ251" s="47"/>
      <c r="JK251" s="47"/>
      <c r="JL251" s="47"/>
      <c r="JM251" s="47"/>
      <c r="JN251" s="47"/>
      <c r="JQ251" s="47"/>
      <c r="JR251" s="47"/>
      <c r="JS251" s="47"/>
      <c r="JT251" s="47"/>
      <c r="JU251" s="47"/>
      <c r="JV251" s="47"/>
      <c r="JW251" s="47"/>
      <c r="JX251" s="47"/>
      <c r="KA251" s="47"/>
      <c r="KB251" s="47"/>
      <c r="KC251" s="47"/>
      <c r="KD251" s="47"/>
      <c r="KE251" s="47"/>
      <c r="KF251" s="47"/>
      <c r="KG251" s="47"/>
      <c r="KH251" s="47"/>
      <c r="KK251" s="47"/>
      <c r="KL251" s="47"/>
      <c r="KM251" s="47"/>
      <c r="KN251" s="47"/>
      <c r="KO251" s="47"/>
      <c r="KP251" s="47"/>
      <c r="KQ251" s="47"/>
      <c r="KR251" s="47"/>
      <c r="KU251" s="47"/>
      <c r="KV251" s="47"/>
      <c r="KW251" s="47"/>
      <c r="KX251" s="47"/>
      <c r="KY251" s="47"/>
      <c r="KZ251" s="47"/>
      <c r="LA251" s="47"/>
      <c r="LB251" s="47"/>
    </row>
    <row r="252" spans="29:314" x14ac:dyDescent="0.25">
      <c r="AC252" s="47"/>
      <c r="AD252" s="47"/>
      <c r="AE252" s="47"/>
      <c r="AF252" s="47"/>
      <c r="AG252" s="49"/>
      <c r="AH252" s="47"/>
      <c r="AI252" s="47"/>
      <c r="AJ252" s="47"/>
      <c r="AK252" s="47"/>
      <c r="AL252" s="47"/>
      <c r="AM252" s="47"/>
      <c r="AN252" s="47"/>
      <c r="AO252" s="47"/>
      <c r="AP252" s="47"/>
      <c r="AQ252" s="47"/>
      <c r="AR252" s="47"/>
      <c r="AS252" s="47"/>
      <c r="AT252" s="47"/>
      <c r="AU252" s="47"/>
      <c r="AV252" s="47"/>
      <c r="AW252" s="47"/>
      <c r="AX252" s="47"/>
      <c r="AY252" s="47"/>
      <c r="AZ252" s="47"/>
      <c r="BA252" s="47"/>
      <c r="BB252" s="47"/>
      <c r="BC252" s="47"/>
      <c r="BD252" s="47"/>
      <c r="BE252" s="47"/>
      <c r="BF252" s="47"/>
      <c r="BG252" s="47"/>
      <c r="BH252" s="47"/>
      <c r="BI252" s="47"/>
      <c r="BJ252" s="47"/>
      <c r="BK252" s="47"/>
      <c r="BL252" s="47"/>
      <c r="BM252" s="47"/>
      <c r="BN252" s="49"/>
      <c r="BO252" s="47"/>
      <c r="BP252" s="47"/>
      <c r="BQ252" s="47"/>
      <c r="BR252" s="47"/>
      <c r="BS252" s="47"/>
      <c r="BT252" s="47"/>
      <c r="BU252" s="47"/>
      <c r="BV252" s="47"/>
      <c r="BW252" s="47"/>
      <c r="BX252" s="47"/>
      <c r="BY252" s="47"/>
      <c r="BZ252" s="47"/>
      <c r="CA252" s="47"/>
      <c r="CB252" s="47"/>
      <c r="CC252" s="47"/>
      <c r="CD252" s="47"/>
      <c r="CE252" s="47"/>
      <c r="CF252" s="47"/>
      <c r="CG252" s="49"/>
      <c r="CH252" s="47"/>
      <c r="CI252" s="47"/>
      <c r="CJ252" s="47"/>
      <c r="CK252" s="47"/>
      <c r="CL252" s="47"/>
      <c r="CM252" s="47"/>
      <c r="CN252" s="47"/>
      <c r="CO252" s="47"/>
      <c r="CP252" s="47"/>
      <c r="CQ252" s="47"/>
      <c r="CS252" s="47"/>
      <c r="CT252" s="47"/>
      <c r="CU252" s="47"/>
      <c r="CV252" s="47"/>
      <c r="CW252" s="47"/>
      <c r="CX252" s="47"/>
      <c r="CY252" s="47"/>
      <c r="CZ252" s="47"/>
      <c r="DA252" s="47"/>
      <c r="DB252" s="47"/>
      <c r="DC252" s="47"/>
      <c r="DD252" s="47"/>
      <c r="DE252" s="47"/>
      <c r="DF252" s="47"/>
      <c r="DG252" s="47"/>
      <c r="DH252" s="47"/>
      <c r="DI252" s="47"/>
      <c r="DJ252" s="47"/>
      <c r="DK252" s="47"/>
      <c r="DM252" s="47"/>
      <c r="DN252" s="47"/>
      <c r="DO252" s="47"/>
      <c r="DP252" s="47"/>
      <c r="DQ252" s="47"/>
      <c r="DR252" s="47"/>
      <c r="DS252" s="47"/>
      <c r="DT252" s="47"/>
      <c r="DU252" s="47"/>
      <c r="DV252" s="49"/>
      <c r="DW252" s="47"/>
      <c r="DX252" s="47"/>
      <c r="DY252" s="47"/>
      <c r="DZ252" s="47"/>
      <c r="EA252" s="47"/>
      <c r="EB252" s="47"/>
      <c r="EC252" s="47"/>
      <c r="ED252" s="47"/>
      <c r="EE252" s="47"/>
      <c r="EF252" s="47"/>
      <c r="EG252" s="47"/>
      <c r="EH252" s="47"/>
      <c r="EI252" s="47"/>
      <c r="EJ252" s="47"/>
      <c r="EK252" s="47"/>
      <c r="EL252" s="47"/>
      <c r="EM252" s="47"/>
      <c r="EN252" s="47"/>
      <c r="EO252" s="47"/>
      <c r="EP252" s="47"/>
      <c r="EQ252" s="47"/>
      <c r="ER252" s="47"/>
      <c r="ES252" s="47"/>
      <c r="ET252" s="47"/>
      <c r="EU252" s="47"/>
      <c r="EV252" s="47"/>
      <c r="EW252" s="47"/>
      <c r="EX252" s="47"/>
      <c r="EY252" s="47"/>
      <c r="EZ252" s="47"/>
      <c r="FA252" s="47"/>
      <c r="FB252" s="47"/>
      <c r="FC252" s="47"/>
      <c r="FD252" s="47"/>
      <c r="FE252" s="47"/>
      <c r="FF252" s="47"/>
      <c r="FG252" s="47"/>
      <c r="FH252" s="47"/>
      <c r="FI252" s="47"/>
      <c r="FJ252" s="49"/>
      <c r="FK252" s="47"/>
      <c r="FL252" s="47"/>
      <c r="FM252" s="47"/>
      <c r="FN252" s="47"/>
      <c r="FO252" s="47"/>
      <c r="FP252" s="47"/>
      <c r="FQ252" s="47"/>
      <c r="FR252" s="47"/>
      <c r="FS252" s="47"/>
      <c r="FT252" s="47"/>
      <c r="FU252" s="47"/>
      <c r="FV252" s="47"/>
      <c r="FW252" s="47"/>
      <c r="FX252" s="47"/>
      <c r="FY252" s="47"/>
      <c r="FZ252" s="47"/>
      <c r="GA252" s="47"/>
      <c r="GB252" s="47"/>
      <c r="GC252" s="47"/>
      <c r="GD252" s="47"/>
      <c r="GE252" s="47"/>
      <c r="GF252" s="47"/>
      <c r="GG252" s="47"/>
      <c r="GH252" s="47"/>
      <c r="GI252" s="47"/>
      <c r="GJ252" s="47"/>
      <c r="GK252" s="47"/>
      <c r="GL252" s="47"/>
      <c r="GM252" s="47"/>
      <c r="GN252" s="47"/>
      <c r="GO252" s="47"/>
      <c r="GP252" s="47"/>
      <c r="GQ252" s="47"/>
      <c r="GR252" s="47"/>
      <c r="GS252" s="47"/>
      <c r="GT252" s="47"/>
      <c r="GU252" s="47"/>
      <c r="GV252" s="47"/>
      <c r="GW252" s="47"/>
      <c r="GX252" s="47"/>
      <c r="GY252" s="47"/>
      <c r="GZ252" s="47"/>
      <c r="HA252" s="47"/>
      <c r="HB252" s="47"/>
      <c r="HC252" s="47"/>
      <c r="HD252" s="47"/>
      <c r="HE252" s="47"/>
      <c r="HF252" s="47"/>
      <c r="HI252" s="47"/>
      <c r="HJ252" s="47"/>
      <c r="HK252" s="47"/>
      <c r="HL252" s="47"/>
      <c r="HM252" s="47"/>
      <c r="HN252" s="47"/>
      <c r="HO252" s="47"/>
      <c r="HP252" s="47"/>
      <c r="HS252" s="47"/>
      <c r="HT252" s="47"/>
      <c r="HU252" s="47"/>
      <c r="HV252" s="47"/>
      <c r="HW252" s="47"/>
      <c r="HX252" s="47"/>
      <c r="HY252" s="47"/>
      <c r="HZ252" s="47"/>
      <c r="IC252" s="47"/>
      <c r="ID252" s="47"/>
      <c r="IE252" s="47"/>
      <c r="IF252" s="47"/>
      <c r="IG252" s="47"/>
      <c r="IH252" s="47"/>
      <c r="II252" s="47"/>
      <c r="IJ252" s="47"/>
      <c r="IM252" s="47"/>
      <c r="IN252" s="47"/>
      <c r="IO252" s="47"/>
      <c r="IP252" s="47"/>
      <c r="IQ252" s="47"/>
      <c r="IR252" s="47"/>
      <c r="IS252" s="47"/>
      <c r="IT252" s="47"/>
      <c r="IW252" s="47"/>
      <c r="IX252" s="47"/>
      <c r="IY252" s="47"/>
      <c r="IZ252" s="47"/>
      <c r="JA252" s="47"/>
      <c r="JB252" s="47"/>
      <c r="JC252" s="47"/>
      <c r="JD252" s="47"/>
      <c r="JG252" s="47"/>
      <c r="JH252" s="47"/>
      <c r="JI252" s="47"/>
      <c r="JJ252" s="47"/>
      <c r="JK252" s="47"/>
      <c r="JL252" s="47"/>
      <c r="JM252" s="47"/>
      <c r="JN252" s="47"/>
      <c r="JQ252" s="47"/>
      <c r="JR252" s="47"/>
      <c r="JS252" s="47"/>
      <c r="JT252" s="47"/>
      <c r="JU252" s="47"/>
      <c r="JV252" s="47"/>
      <c r="JW252" s="47"/>
      <c r="JX252" s="47"/>
      <c r="KA252" s="47"/>
      <c r="KB252" s="47"/>
      <c r="KC252" s="47"/>
      <c r="KD252" s="47"/>
      <c r="KE252" s="47"/>
      <c r="KF252" s="47"/>
      <c r="KG252" s="47"/>
      <c r="KH252" s="47"/>
      <c r="KK252" s="47"/>
      <c r="KL252" s="47"/>
      <c r="KM252" s="47"/>
      <c r="KN252" s="47"/>
      <c r="KO252" s="47"/>
      <c r="KP252" s="47"/>
      <c r="KQ252" s="47"/>
      <c r="KR252" s="47"/>
      <c r="KU252" s="47"/>
      <c r="KV252" s="47"/>
      <c r="KW252" s="47"/>
      <c r="KX252" s="47"/>
      <c r="KY252" s="47"/>
      <c r="KZ252" s="47"/>
      <c r="LA252" s="47"/>
      <c r="LB252" s="47"/>
    </row>
    <row r="253" spans="29:314" x14ac:dyDescent="0.25">
      <c r="AC253" s="47"/>
      <c r="AD253" s="47"/>
      <c r="AE253" s="47"/>
      <c r="AF253" s="47"/>
      <c r="AG253" s="49"/>
      <c r="AH253" s="47"/>
      <c r="AI253" s="47"/>
      <c r="AJ253" s="47"/>
      <c r="AK253" s="47"/>
      <c r="AL253" s="47"/>
      <c r="AM253" s="47"/>
      <c r="AN253" s="47"/>
      <c r="AO253" s="47"/>
      <c r="AP253" s="47"/>
      <c r="AQ253" s="47"/>
      <c r="AR253" s="47"/>
      <c r="AS253" s="47"/>
      <c r="AT253" s="47"/>
      <c r="AU253" s="47"/>
      <c r="AV253" s="47"/>
      <c r="AW253" s="47"/>
      <c r="AX253" s="47"/>
      <c r="AY253" s="47"/>
      <c r="AZ253" s="47"/>
      <c r="BA253" s="47"/>
      <c r="BB253" s="47"/>
      <c r="BC253" s="47"/>
      <c r="BD253" s="47"/>
      <c r="BE253" s="47"/>
      <c r="BF253" s="47"/>
      <c r="BG253" s="47"/>
      <c r="BH253" s="47"/>
      <c r="BI253" s="47"/>
      <c r="BJ253" s="47"/>
      <c r="BK253" s="47"/>
      <c r="BL253" s="47"/>
      <c r="BM253" s="47"/>
      <c r="BN253" s="49"/>
      <c r="BO253" s="47"/>
      <c r="BP253" s="47"/>
      <c r="BQ253" s="47"/>
      <c r="BR253" s="47"/>
      <c r="BS253" s="47"/>
      <c r="BT253" s="47"/>
      <c r="BU253" s="47"/>
      <c r="BV253" s="47"/>
      <c r="BW253" s="47"/>
      <c r="BX253" s="47"/>
      <c r="BY253" s="47"/>
      <c r="BZ253" s="47"/>
      <c r="CA253" s="47"/>
      <c r="CB253" s="47"/>
      <c r="CC253" s="47"/>
      <c r="CD253" s="47"/>
      <c r="CE253" s="47"/>
      <c r="CF253" s="47"/>
      <c r="CG253" s="49"/>
      <c r="CH253" s="47"/>
      <c r="CI253" s="47"/>
      <c r="CJ253" s="47"/>
      <c r="CK253" s="47"/>
      <c r="CL253" s="47"/>
      <c r="CM253" s="47"/>
      <c r="CN253" s="47"/>
      <c r="CO253" s="47"/>
      <c r="CP253" s="47"/>
      <c r="CQ253" s="47"/>
      <c r="CS253" s="47"/>
      <c r="CT253" s="47"/>
      <c r="CU253" s="47"/>
      <c r="CV253" s="47"/>
      <c r="CW253" s="47"/>
      <c r="CX253" s="47"/>
      <c r="CY253" s="47"/>
      <c r="CZ253" s="47"/>
      <c r="DA253" s="47"/>
      <c r="DB253" s="47"/>
      <c r="DC253" s="47"/>
      <c r="DD253" s="47"/>
      <c r="DE253" s="47"/>
      <c r="DF253" s="47"/>
      <c r="DG253" s="47"/>
      <c r="DH253" s="47"/>
      <c r="DI253" s="47"/>
      <c r="DJ253" s="47"/>
      <c r="DK253" s="47"/>
      <c r="DM253" s="47"/>
      <c r="DN253" s="47"/>
      <c r="DO253" s="47"/>
      <c r="DP253" s="47"/>
      <c r="DQ253" s="47"/>
      <c r="DR253" s="47"/>
      <c r="DS253" s="47"/>
      <c r="DT253" s="47"/>
      <c r="DU253" s="47"/>
      <c r="DV253" s="49"/>
      <c r="DW253" s="47"/>
      <c r="DX253" s="47"/>
      <c r="DY253" s="47"/>
      <c r="DZ253" s="47"/>
      <c r="EA253" s="47"/>
      <c r="EB253" s="47"/>
      <c r="EC253" s="47"/>
      <c r="ED253" s="47"/>
      <c r="EE253" s="47"/>
      <c r="EF253" s="47"/>
      <c r="EG253" s="47"/>
      <c r="EH253" s="47"/>
      <c r="EI253" s="47"/>
      <c r="EJ253" s="47"/>
      <c r="EK253" s="47"/>
      <c r="EL253" s="47"/>
      <c r="EM253" s="47"/>
      <c r="EN253" s="47"/>
      <c r="EO253" s="47"/>
      <c r="EP253" s="47"/>
      <c r="EQ253" s="47"/>
      <c r="ER253" s="47"/>
      <c r="ES253" s="47"/>
      <c r="ET253" s="47"/>
      <c r="EU253" s="47"/>
      <c r="EV253" s="47"/>
      <c r="EW253" s="47"/>
      <c r="EX253" s="47"/>
      <c r="EY253" s="47"/>
      <c r="EZ253" s="47"/>
      <c r="FA253" s="47"/>
      <c r="FB253" s="47"/>
      <c r="FC253" s="47"/>
      <c r="FD253" s="47"/>
      <c r="FE253" s="47"/>
      <c r="FF253" s="47"/>
      <c r="FG253" s="47"/>
      <c r="FH253" s="47"/>
      <c r="FI253" s="47"/>
      <c r="FJ253" s="49"/>
      <c r="FK253" s="47"/>
      <c r="FL253" s="47"/>
      <c r="FM253" s="47"/>
      <c r="FN253" s="47"/>
      <c r="FO253" s="47"/>
      <c r="FP253" s="47"/>
      <c r="FQ253" s="47"/>
      <c r="FR253" s="47"/>
      <c r="FS253" s="47"/>
      <c r="FT253" s="47"/>
      <c r="FU253" s="47"/>
      <c r="FV253" s="47"/>
      <c r="FW253" s="47"/>
      <c r="FX253" s="47"/>
      <c r="FY253" s="47"/>
      <c r="FZ253" s="47"/>
      <c r="GA253" s="47"/>
      <c r="GB253" s="47"/>
      <c r="GC253" s="47"/>
      <c r="GD253" s="47"/>
      <c r="GE253" s="47"/>
      <c r="GF253" s="47"/>
      <c r="GG253" s="47"/>
      <c r="GH253" s="47"/>
      <c r="GI253" s="47"/>
      <c r="GJ253" s="47"/>
      <c r="GK253" s="47"/>
      <c r="GL253" s="47"/>
      <c r="GM253" s="47"/>
      <c r="GN253" s="47"/>
      <c r="GO253" s="47"/>
      <c r="GP253" s="47"/>
      <c r="GQ253" s="47"/>
      <c r="GR253" s="47"/>
      <c r="GS253" s="47"/>
      <c r="GT253" s="47"/>
      <c r="GU253" s="47"/>
      <c r="GV253" s="47"/>
      <c r="GW253" s="47"/>
      <c r="GX253" s="47"/>
      <c r="GY253" s="47"/>
      <c r="GZ253" s="47"/>
      <c r="HA253" s="47"/>
      <c r="HB253" s="47"/>
      <c r="HC253" s="47"/>
      <c r="HD253" s="47"/>
      <c r="HE253" s="47"/>
      <c r="HF253" s="47"/>
      <c r="HI253" s="47"/>
      <c r="HJ253" s="47"/>
      <c r="HK253" s="47"/>
      <c r="HL253" s="47"/>
      <c r="HM253" s="47"/>
      <c r="HN253" s="47"/>
      <c r="HO253" s="47"/>
      <c r="HP253" s="47"/>
      <c r="HS253" s="47"/>
      <c r="HT253" s="47"/>
      <c r="HU253" s="47"/>
      <c r="HV253" s="47"/>
      <c r="HW253" s="47"/>
      <c r="HX253" s="47"/>
      <c r="HY253" s="47"/>
      <c r="HZ253" s="47"/>
      <c r="IC253" s="47"/>
      <c r="ID253" s="47"/>
      <c r="IE253" s="47"/>
      <c r="IF253" s="47"/>
      <c r="IG253" s="47"/>
      <c r="IH253" s="47"/>
      <c r="II253" s="47"/>
      <c r="IJ253" s="47"/>
      <c r="IM253" s="47"/>
      <c r="IN253" s="47"/>
      <c r="IO253" s="47"/>
      <c r="IP253" s="47"/>
      <c r="IQ253" s="47"/>
      <c r="IR253" s="47"/>
      <c r="IS253" s="47"/>
      <c r="IT253" s="47"/>
      <c r="IW253" s="47"/>
      <c r="IX253" s="47"/>
      <c r="IY253" s="47"/>
      <c r="IZ253" s="47"/>
      <c r="JA253" s="47"/>
      <c r="JB253" s="47"/>
      <c r="JC253" s="47"/>
      <c r="JD253" s="47"/>
      <c r="JG253" s="47"/>
      <c r="JH253" s="47"/>
      <c r="JI253" s="47"/>
      <c r="JJ253" s="47"/>
      <c r="JK253" s="47"/>
      <c r="JL253" s="47"/>
      <c r="JM253" s="47"/>
      <c r="JN253" s="47"/>
      <c r="JQ253" s="47"/>
      <c r="JR253" s="47"/>
      <c r="JS253" s="47"/>
      <c r="JT253" s="47"/>
      <c r="JU253" s="47"/>
      <c r="JV253" s="47"/>
      <c r="JW253" s="47"/>
      <c r="JX253" s="47"/>
      <c r="KA253" s="47"/>
      <c r="KB253" s="47"/>
      <c r="KC253" s="47"/>
      <c r="KD253" s="47"/>
      <c r="KE253" s="47"/>
      <c r="KF253" s="47"/>
      <c r="KG253" s="47"/>
      <c r="KH253" s="47"/>
      <c r="KK253" s="47"/>
      <c r="KL253" s="47"/>
      <c r="KM253" s="47"/>
      <c r="KN253" s="47"/>
      <c r="KO253" s="47"/>
      <c r="KP253" s="47"/>
      <c r="KQ253" s="47"/>
      <c r="KR253" s="47"/>
      <c r="KU253" s="47"/>
      <c r="KV253" s="47"/>
      <c r="KW253" s="47"/>
      <c r="KX253" s="47"/>
      <c r="KY253" s="47"/>
      <c r="KZ253" s="47"/>
      <c r="LA253" s="47"/>
      <c r="LB253" s="47"/>
    </row>
    <row r="254" spans="29:314" x14ac:dyDescent="0.25">
      <c r="AC254" s="47"/>
      <c r="AD254" s="47"/>
      <c r="AE254" s="47"/>
      <c r="AF254" s="47"/>
      <c r="AG254" s="49"/>
      <c r="AH254" s="47"/>
      <c r="AI254" s="47"/>
      <c r="AJ254" s="47"/>
      <c r="AK254" s="47"/>
      <c r="AL254" s="47"/>
      <c r="AM254" s="47"/>
      <c r="AN254" s="47"/>
      <c r="AO254" s="47"/>
      <c r="AP254" s="47"/>
      <c r="AQ254" s="47"/>
      <c r="AR254" s="47"/>
      <c r="AS254" s="47"/>
      <c r="AT254" s="47"/>
      <c r="AU254" s="47"/>
      <c r="AV254" s="47"/>
      <c r="AW254" s="47"/>
      <c r="AX254" s="47"/>
      <c r="AY254" s="47"/>
      <c r="AZ254" s="47"/>
      <c r="BA254" s="47"/>
      <c r="BB254" s="47"/>
      <c r="BC254" s="47"/>
      <c r="BD254" s="47"/>
      <c r="BE254" s="47"/>
      <c r="BF254" s="47"/>
      <c r="BG254" s="47"/>
      <c r="BH254" s="47"/>
      <c r="BI254" s="47"/>
      <c r="BJ254" s="47"/>
      <c r="BK254" s="47"/>
      <c r="BL254" s="47"/>
      <c r="BM254" s="47"/>
      <c r="BN254" s="49"/>
      <c r="BO254" s="47"/>
      <c r="BP254" s="47"/>
      <c r="BQ254" s="47"/>
      <c r="BR254" s="47"/>
      <c r="BS254" s="47"/>
      <c r="BT254" s="47"/>
      <c r="BU254" s="47"/>
      <c r="BV254" s="47"/>
      <c r="BW254" s="47"/>
      <c r="BX254" s="47"/>
      <c r="BY254" s="47"/>
      <c r="BZ254" s="47"/>
      <c r="CA254" s="47"/>
      <c r="CB254" s="47"/>
      <c r="CC254" s="47"/>
      <c r="CD254" s="47"/>
      <c r="CE254" s="47"/>
      <c r="CF254" s="47"/>
      <c r="CG254" s="49"/>
      <c r="CH254" s="47"/>
      <c r="CI254" s="47"/>
      <c r="CJ254" s="47"/>
      <c r="CK254" s="47"/>
      <c r="CL254" s="47"/>
      <c r="CM254" s="47"/>
      <c r="CN254" s="47"/>
      <c r="CO254" s="47"/>
      <c r="CP254" s="47"/>
      <c r="CQ254" s="47"/>
      <c r="CS254" s="47"/>
      <c r="CT254" s="47"/>
      <c r="CU254" s="47"/>
      <c r="CV254" s="47"/>
      <c r="CW254" s="47"/>
      <c r="CX254" s="47"/>
      <c r="CY254" s="47"/>
      <c r="CZ254" s="47"/>
      <c r="DA254" s="47"/>
      <c r="DB254" s="47"/>
      <c r="DC254" s="47"/>
      <c r="DD254" s="47"/>
      <c r="DE254" s="47"/>
      <c r="DF254" s="47"/>
      <c r="DG254" s="47"/>
      <c r="DH254" s="47"/>
      <c r="DI254" s="47"/>
      <c r="DJ254" s="47"/>
      <c r="DK254" s="47"/>
      <c r="DM254" s="47"/>
      <c r="DN254" s="47"/>
      <c r="DO254" s="47"/>
      <c r="DP254" s="47"/>
      <c r="DQ254" s="47"/>
      <c r="DR254" s="47"/>
      <c r="DS254" s="47"/>
      <c r="DT254" s="47"/>
      <c r="DU254" s="47"/>
      <c r="DV254" s="49"/>
      <c r="DW254" s="47"/>
      <c r="DX254" s="47"/>
      <c r="DY254" s="47"/>
      <c r="DZ254" s="47"/>
      <c r="EA254" s="47"/>
      <c r="EB254" s="47"/>
      <c r="EC254" s="47"/>
      <c r="ED254" s="47"/>
      <c r="EE254" s="47"/>
      <c r="EF254" s="47"/>
      <c r="EG254" s="47"/>
      <c r="EH254" s="47"/>
      <c r="EI254" s="47"/>
      <c r="EJ254" s="47"/>
      <c r="EK254" s="47"/>
      <c r="EL254" s="47"/>
      <c r="EM254" s="47"/>
      <c r="EN254" s="47"/>
      <c r="EO254" s="47"/>
      <c r="EP254" s="47"/>
      <c r="EQ254" s="47"/>
      <c r="ER254" s="47"/>
      <c r="ES254" s="47"/>
      <c r="ET254" s="47"/>
      <c r="EU254" s="47"/>
      <c r="EV254" s="47"/>
      <c r="EW254" s="47"/>
      <c r="EX254" s="47"/>
      <c r="EY254" s="47"/>
      <c r="EZ254" s="47"/>
      <c r="FA254" s="47"/>
      <c r="FB254" s="47"/>
      <c r="FC254" s="47"/>
      <c r="FD254" s="47"/>
      <c r="FE254" s="47"/>
      <c r="FF254" s="47"/>
      <c r="FG254" s="47"/>
      <c r="FH254" s="47"/>
      <c r="FI254" s="47"/>
      <c r="FJ254" s="49"/>
      <c r="FK254" s="47"/>
      <c r="FL254" s="47"/>
      <c r="FM254" s="47"/>
      <c r="FN254" s="47"/>
      <c r="FO254" s="47"/>
      <c r="FP254" s="47"/>
      <c r="FQ254" s="47"/>
      <c r="FR254" s="47"/>
      <c r="FS254" s="47"/>
      <c r="FT254" s="47"/>
      <c r="FU254" s="47"/>
      <c r="FV254" s="47"/>
      <c r="FW254" s="47"/>
      <c r="FX254" s="47"/>
      <c r="FY254" s="47"/>
      <c r="FZ254" s="47"/>
      <c r="GA254" s="47"/>
      <c r="GB254" s="47"/>
      <c r="GC254" s="47"/>
      <c r="GD254" s="47"/>
      <c r="GE254" s="47"/>
      <c r="GF254" s="47"/>
      <c r="GG254" s="47"/>
      <c r="GH254" s="47"/>
      <c r="GI254" s="47"/>
      <c r="GJ254" s="47"/>
      <c r="GK254" s="47"/>
      <c r="GL254" s="47"/>
      <c r="GM254" s="47"/>
      <c r="GN254" s="47"/>
      <c r="GO254" s="47"/>
      <c r="GP254" s="47"/>
      <c r="GQ254" s="47"/>
      <c r="GR254" s="47"/>
      <c r="GS254" s="47"/>
      <c r="GT254" s="47"/>
      <c r="GU254" s="47"/>
      <c r="GV254" s="47"/>
      <c r="GW254" s="47"/>
      <c r="GX254" s="47"/>
      <c r="GY254" s="47"/>
      <c r="GZ254" s="47"/>
      <c r="HA254" s="47"/>
      <c r="HB254" s="47"/>
      <c r="HC254" s="47"/>
      <c r="HD254" s="47"/>
      <c r="HE254" s="47"/>
      <c r="HF254" s="47"/>
      <c r="HI254" s="47"/>
      <c r="HJ254" s="47"/>
      <c r="HK254" s="47"/>
      <c r="HL254" s="47"/>
      <c r="HM254" s="47"/>
      <c r="HN254" s="47"/>
      <c r="HO254" s="47"/>
      <c r="HP254" s="47"/>
      <c r="HS254" s="47"/>
      <c r="HT254" s="47"/>
      <c r="HU254" s="47"/>
      <c r="HV254" s="47"/>
      <c r="HW254" s="47"/>
      <c r="HX254" s="47"/>
      <c r="HY254" s="47"/>
      <c r="HZ254" s="47"/>
      <c r="IC254" s="47"/>
      <c r="ID254" s="47"/>
      <c r="IE254" s="47"/>
      <c r="IF254" s="47"/>
      <c r="IG254" s="47"/>
      <c r="IH254" s="47"/>
      <c r="II254" s="47"/>
      <c r="IJ254" s="47"/>
      <c r="IM254" s="47"/>
      <c r="IN254" s="47"/>
      <c r="IO254" s="47"/>
      <c r="IP254" s="47"/>
      <c r="IQ254" s="47"/>
      <c r="IR254" s="47"/>
      <c r="IS254" s="47"/>
      <c r="IT254" s="47"/>
      <c r="IW254" s="47"/>
      <c r="IX254" s="47"/>
      <c r="IY254" s="47"/>
      <c r="IZ254" s="47"/>
      <c r="JA254" s="47"/>
      <c r="JB254" s="47"/>
      <c r="JC254" s="47"/>
      <c r="JD254" s="47"/>
      <c r="JG254" s="47"/>
      <c r="JH254" s="47"/>
      <c r="JI254" s="47"/>
      <c r="JJ254" s="47"/>
      <c r="JK254" s="47"/>
      <c r="JL254" s="47"/>
      <c r="JM254" s="47"/>
      <c r="JN254" s="47"/>
      <c r="JQ254" s="47"/>
      <c r="JR254" s="47"/>
      <c r="JS254" s="47"/>
      <c r="JT254" s="47"/>
      <c r="JU254" s="47"/>
      <c r="JV254" s="47"/>
      <c r="JW254" s="47"/>
      <c r="JX254" s="47"/>
      <c r="KA254" s="47"/>
      <c r="KB254" s="47"/>
      <c r="KC254" s="47"/>
      <c r="KD254" s="47"/>
      <c r="KE254" s="47"/>
      <c r="KF254" s="47"/>
      <c r="KG254" s="47"/>
      <c r="KH254" s="47"/>
      <c r="KK254" s="47"/>
      <c r="KL254" s="47"/>
      <c r="KM254" s="47"/>
      <c r="KN254" s="47"/>
      <c r="KO254" s="47"/>
      <c r="KP254" s="47"/>
      <c r="KQ254" s="47"/>
      <c r="KR254" s="47"/>
      <c r="KU254" s="47"/>
      <c r="KV254" s="47"/>
      <c r="KW254" s="47"/>
      <c r="KX254" s="47"/>
      <c r="KY254" s="47"/>
      <c r="KZ254" s="47"/>
      <c r="LA254" s="47"/>
      <c r="LB254" s="47"/>
    </row>
    <row r="255" spans="29:314" x14ac:dyDescent="0.25">
      <c r="AC255" s="47"/>
      <c r="AD255" s="47"/>
      <c r="AE255" s="47"/>
      <c r="AF255" s="47"/>
      <c r="AG255" s="49"/>
      <c r="AH255" s="47"/>
      <c r="AI255" s="47"/>
      <c r="AJ255" s="47"/>
      <c r="AK255" s="47"/>
      <c r="AL255" s="47"/>
      <c r="AM255" s="47"/>
      <c r="AN255" s="47"/>
      <c r="AO255" s="47"/>
      <c r="AP255" s="47"/>
      <c r="AQ255" s="47"/>
      <c r="AR255" s="47"/>
      <c r="AS255" s="47"/>
      <c r="AT255" s="47"/>
      <c r="AU255" s="47"/>
      <c r="AV255" s="47"/>
      <c r="AW255" s="47"/>
      <c r="AX255" s="47"/>
      <c r="AY255" s="47"/>
      <c r="AZ255" s="47"/>
      <c r="BA255" s="47"/>
      <c r="BB255" s="47"/>
      <c r="BC255" s="47"/>
      <c r="BD255" s="47"/>
      <c r="BE255" s="47"/>
      <c r="BF255" s="47"/>
      <c r="BG255" s="47"/>
      <c r="BH255" s="47"/>
      <c r="BI255" s="47"/>
      <c r="BJ255" s="47"/>
      <c r="BK255" s="47"/>
      <c r="BL255" s="47"/>
      <c r="BM255" s="47"/>
      <c r="BN255" s="49"/>
      <c r="BO255" s="47"/>
      <c r="BP255" s="47"/>
      <c r="BQ255" s="47"/>
      <c r="BR255" s="47"/>
      <c r="BS255" s="47"/>
      <c r="BT255" s="47"/>
      <c r="BU255" s="47"/>
      <c r="BV255" s="47"/>
      <c r="BW255" s="47"/>
      <c r="BX255" s="47"/>
      <c r="BY255" s="47"/>
      <c r="BZ255" s="47"/>
      <c r="CA255" s="47"/>
      <c r="CB255" s="47"/>
      <c r="CC255" s="47"/>
      <c r="CD255" s="47"/>
      <c r="CE255" s="47"/>
      <c r="CF255" s="47"/>
      <c r="CG255" s="49"/>
      <c r="CH255" s="47"/>
      <c r="CI255" s="47"/>
      <c r="CJ255" s="47"/>
      <c r="CK255" s="47"/>
      <c r="CL255" s="47"/>
      <c r="CM255" s="47"/>
      <c r="CN255" s="47"/>
      <c r="CO255" s="47"/>
      <c r="CP255" s="47"/>
      <c r="CQ255" s="47"/>
      <c r="CS255" s="47"/>
      <c r="CT255" s="47"/>
      <c r="CU255" s="47"/>
      <c r="CV255" s="47"/>
      <c r="CW255" s="47"/>
      <c r="CX255" s="47"/>
      <c r="CY255" s="47"/>
      <c r="CZ255" s="47"/>
      <c r="DA255" s="47"/>
      <c r="DB255" s="47"/>
      <c r="DC255" s="47"/>
      <c r="DD255" s="47"/>
      <c r="DE255" s="47"/>
      <c r="DF255" s="47"/>
      <c r="DG255" s="47"/>
      <c r="DH255" s="47"/>
      <c r="DI255" s="47"/>
      <c r="DJ255" s="47"/>
      <c r="DK255" s="47"/>
      <c r="DM255" s="47"/>
      <c r="DN255" s="47"/>
      <c r="DO255" s="47"/>
      <c r="DP255" s="47"/>
      <c r="DQ255" s="47"/>
      <c r="DR255" s="47"/>
      <c r="DS255" s="47"/>
      <c r="DT255" s="47"/>
      <c r="DU255" s="47"/>
      <c r="DV255" s="49"/>
      <c r="DW255" s="47"/>
      <c r="DX255" s="47"/>
      <c r="DY255" s="47"/>
      <c r="DZ255" s="47"/>
      <c r="EA255" s="47"/>
      <c r="EB255" s="47"/>
      <c r="EC255" s="47"/>
      <c r="ED255" s="47"/>
      <c r="EE255" s="47"/>
      <c r="EF255" s="47"/>
      <c r="EG255" s="47"/>
      <c r="EH255" s="47"/>
      <c r="EI255" s="47"/>
      <c r="EJ255" s="47"/>
      <c r="EK255" s="47"/>
      <c r="EL255" s="47"/>
      <c r="EM255" s="47"/>
      <c r="EN255" s="47"/>
      <c r="EO255" s="47"/>
      <c r="EP255" s="47"/>
      <c r="EQ255" s="47"/>
      <c r="ER255" s="47"/>
      <c r="ES255" s="47"/>
      <c r="ET255" s="47"/>
      <c r="EU255" s="47"/>
      <c r="EV255" s="47"/>
      <c r="EW255" s="47"/>
      <c r="EX255" s="47"/>
      <c r="EY255" s="47"/>
      <c r="EZ255" s="47"/>
      <c r="FA255" s="47"/>
      <c r="FB255" s="47"/>
      <c r="FC255" s="47"/>
      <c r="FD255" s="47"/>
      <c r="FE255" s="47"/>
      <c r="FF255" s="47"/>
      <c r="FG255" s="47"/>
      <c r="FH255" s="47"/>
      <c r="FI255" s="47"/>
      <c r="FJ255" s="49"/>
      <c r="FK255" s="47"/>
      <c r="FL255" s="47"/>
      <c r="FM255" s="47"/>
      <c r="FN255" s="47"/>
      <c r="FO255" s="47"/>
      <c r="FP255" s="47"/>
      <c r="FQ255" s="47"/>
      <c r="FR255" s="47"/>
      <c r="FS255" s="47"/>
      <c r="FT255" s="47"/>
      <c r="FU255" s="47"/>
      <c r="FV255" s="47"/>
      <c r="FW255" s="47"/>
      <c r="FX255" s="47"/>
      <c r="FY255" s="47"/>
      <c r="FZ255" s="47"/>
      <c r="GA255" s="47"/>
      <c r="GB255" s="47"/>
      <c r="GC255" s="47"/>
      <c r="GD255" s="47"/>
      <c r="GE255" s="47"/>
      <c r="GF255" s="47"/>
      <c r="GG255" s="47"/>
      <c r="GH255" s="47"/>
      <c r="GI255" s="47"/>
      <c r="GJ255" s="47"/>
      <c r="GK255" s="47"/>
      <c r="GL255" s="47"/>
      <c r="GM255" s="47"/>
      <c r="GN255" s="47"/>
      <c r="GO255" s="47"/>
      <c r="GP255" s="47"/>
      <c r="GQ255" s="47"/>
      <c r="GR255" s="47"/>
      <c r="GS255" s="47"/>
      <c r="GT255" s="47"/>
      <c r="GU255" s="47"/>
      <c r="GV255" s="47"/>
      <c r="GW255" s="47"/>
      <c r="GX255" s="47"/>
      <c r="GY255" s="47"/>
      <c r="GZ255" s="47"/>
      <c r="HA255" s="47"/>
      <c r="HB255" s="47"/>
      <c r="HC255" s="47"/>
      <c r="HD255" s="47"/>
      <c r="HE255" s="47"/>
      <c r="HF255" s="47"/>
      <c r="HI255" s="47"/>
      <c r="HJ255" s="47"/>
      <c r="HK255" s="47"/>
      <c r="HL255" s="47"/>
      <c r="HM255" s="47"/>
      <c r="HN255" s="47"/>
      <c r="HO255" s="47"/>
      <c r="HP255" s="47"/>
      <c r="HS255" s="47"/>
      <c r="HT255" s="47"/>
      <c r="HU255" s="47"/>
      <c r="HV255" s="47"/>
      <c r="HW255" s="47"/>
      <c r="HX255" s="47"/>
      <c r="HY255" s="47"/>
      <c r="HZ255" s="47"/>
      <c r="IC255" s="47"/>
      <c r="ID255" s="47"/>
      <c r="IE255" s="47"/>
      <c r="IF255" s="47"/>
      <c r="IG255" s="47"/>
      <c r="IH255" s="47"/>
      <c r="II255" s="47"/>
      <c r="IJ255" s="47"/>
      <c r="IM255" s="47"/>
      <c r="IN255" s="47"/>
      <c r="IO255" s="47"/>
      <c r="IP255" s="47"/>
      <c r="IQ255" s="47"/>
      <c r="IR255" s="47"/>
      <c r="IS255" s="47"/>
      <c r="IT255" s="47"/>
      <c r="IW255" s="47"/>
      <c r="IX255" s="47"/>
      <c r="IY255" s="47"/>
      <c r="IZ255" s="47"/>
      <c r="JA255" s="47"/>
      <c r="JB255" s="47"/>
      <c r="JC255" s="47"/>
      <c r="JD255" s="47"/>
      <c r="JG255" s="47"/>
      <c r="JH255" s="47"/>
      <c r="JI255" s="47"/>
      <c r="JJ255" s="47"/>
      <c r="JK255" s="47"/>
      <c r="JL255" s="47"/>
      <c r="JM255" s="47"/>
      <c r="JN255" s="47"/>
      <c r="JQ255" s="47"/>
      <c r="JR255" s="47"/>
      <c r="JS255" s="47"/>
      <c r="JT255" s="47"/>
      <c r="JU255" s="47"/>
      <c r="JV255" s="47"/>
      <c r="JW255" s="47"/>
      <c r="JX255" s="47"/>
      <c r="KA255" s="47"/>
      <c r="KB255" s="47"/>
      <c r="KC255" s="47"/>
      <c r="KD255" s="47"/>
      <c r="KE255" s="47"/>
      <c r="KF255" s="47"/>
      <c r="KG255" s="47"/>
      <c r="KH255" s="47"/>
      <c r="KK255" s="47"/>
      <c r="KL255" s="47"/>
      <c r="KM255" s="47"/>
      <c r="KN255" s="47"/>
      <c r="KO255" s="47"/>
      <c r="KP255" s="47"/>
      <c r="KQ255" s="47"/>
      <c r="KR255" s="47"/>
      <c r="KU255" s="47"/>
      <c r="KV255" s="47"/>
      <c r="KW255" s="47"/>
      <c r="KX255" s="47"/>
      <c r="KY255" s="47"/>
      <c r="KZ255" s="47"/>
      <c r="LA255" s="47"/>
      <c r="LB255" s="47"/>
    </row>
    <row r="256" spans="29:314" x14ac:dyDescent="0.25">
      <c r="AC256" s="47"/>
      <c r="AD256" s="47"/>
      <c r="AE256" s="47"/>
      <c r="AF256" s="47"/>
      <c r="AG256" s="49"/>
      <c r="AH256" s="47"/>
      <c r="AI256" s="47"/>
      <c r="AJ256" s="47"/>
      <c r="AK256" s="47"/>
      <c r="AL256" s="47"/>
      <c r="AM256" s="47"/>
      <c r="AN256" s="47"/>
      <c r="AO256" s="47"/>
      <c r="AP256" s="47"/>
      <c r="AQ256" s="47"/>
      <c r="AR256" s="47"/>
      <c r="AS256" s="47"/>
      <c r="AT256" s="47"/>
      <c r="AU256" s="47"/>
      <c r="AV256" s="47"/>
      <c r="AW256" s="47"/>
      <c r="AX256" s="47"/>
      <c r="AY256" s="47"/>
      <c r="AZ256" s="47"/>
      <c r="BA256" s="47"/>
      <c r="BB256" s="47"/>
      <c r="BC256" s="47"/>
      <c r="BD256" s="47"/>
      <c r="BE256" s="47"/>
      <c r="BF256" s="47"/>
      <c r="BG256" s="47"/>
      <c r="BH256" s="47"/>
      <c r="BI256" s="47"/>
      <c r="BJ256" s="47"/>
      <c r="BK256" s="47"/>
      <c r="BL256" s="47"/>
      <c r="BM256" s="47"/>
      <c r="BN256" s="49"/>
      <c r="BO256" s="47"/>
      <c r="BP256" s="47"/>
      <c r="BQ256" s="47"/>
      <c r="BR256" s="47"/>
      <c r="BS256" s="47"/>
      <c r="BT256" s="47"/>
      <c r="BU256" s="47"/>
      <c r="BV256" s="47"/>
      <c r="BW256" s="47"/>
      <c r="BX256" s="47"/>
      <c r="BY256" s="47"/>
      <c r="BZ256" s="47"/>
      <c r="CA256" s="47"/>
      <c r="CB256" s="47"/>
      <c r="CC256" s="47"/>
      <c r="CD256" s="47"/>
      <c r="CE256" s="47"/>
      <c r="CF256" s="47"/>
      <c r="CG256" s="49"/>
      <c r="CH256" s="47"/>
      <c r="CI256" s="47"/>
      <c r="CJ256" s="47"/>
      <c r="CK256" s="47"/>
      <c r="CL256" s="47"/>
      <c r="CM256" s="47"/>
      <c r="CN256" s="47"/>
      <c r="CO256" s="47"/>
      <c r="CP256" s="47"/>
      <c r="CQ256" s="47"/>
      <c r="CS256" s="47"/>
      <c r="CT256" s="47"/>
      <c r="CU256" s="47"/>
      <c r="CV256" s="47"/>
      <c r="CW256" s="47"/>
      <c r="CX256" s="47"/>
      <c r="CY256" s="47"/>
      <c r="CZ256" s="47"/>
      <c r="DA256" s="47"/>
      <c r="DB256" s="47"/>
      <c r="DC256" s="47"/>
      <c r="DD256" s="47"/>
      <c r="DE256" s="47"/>
      <c r="DF256" s="47"/>
      <c r="DG256" s="47"/>
      <c r="DH256" s="47"/>
      <c r="DI256" s="47"/>
      <c r="DJ256" s="47"/>
      <c r="DK256" s="47"/>
      <c r="DM256" s="47"/>
      <c r="DN256" s="47"/>
      <c r="DO256" s="47"/>
      <c r="DP256" s="47"/>
      <c r="DQ256" s="47"/>
      <c r="DR256" s="47"/>
      <c r="DS256" s="47"/>
      <c r="DT256" s="47"/>
      <c r="DU256" s="47"/>
      <c r="DV256" s="49"/>
      <c r="DW256" s="47"/>
      <c r="DX256" s="47"/>
      <c r="DY256" s="47"/>
      <c r="DZ256" s="47"/>
      <c r="EA256" s="47"/>
      <c r="EB256" s="47"/>
      <c r="EC256" s="47"/>
      <c r="ED256" s="47"/>
      <c r="EE256" s="47"/>
      <c r="EF256" s="47"/>
      <c r="EG256" s="47"/>
      <c r="EH256" s="47"/>
      <c r="EI256" s="47"/>
      <c r="EJ256" s="47"/>
      <c r="EK256" s="47"/>
      <c r="EL256" s="47"/>
      <c r="EM256" s="47"/>
      <c r="EN256" s="47"/>
      <c r="EO256" s="47"/>
      <c r="EP256" s="47"/>
      <c r="EQ256" s="47"/>
      <c r="ER256" s="47"/>
      <c r="ES256" s="47"/>
      <c r="ET256" s="47"/>
      <c r="EU256" s="47"/>
      <c r="EV256" s="47"/>
      <c r="EW256" s="47"/>
      <c r="EX256" s="47"/>
      <c r="EY256" s="47"/>
      <c r="EZ256" s="47"/>
      <c r="FA256" s="47"/>
      <c r="FB256" s="47"/>
      <c r="FC256" s="47"/>
      <c r="FD256" s="47"/>
      <c r="FE256" s="47"/>
      <c r="FF256" s="47"/>
      <c r="FG256" s="47"/>
      <c r="FH256" s="47"/>
      <c r="FI256" s="47"/>
      <c r="FJ256" s="49"/>
      <c r="FK256" s="47"/>
      <c r="FL256" s="47"/>
      <c r="FM256" s="47"/>
      <c r="FN256" s="47"/>
      <c r="FO256" s="47"/>
      <c r="FP256" s="47"/>
      <c r="FQ256" s="47"/>
      <c r="FR256" s="47"/>
      <c r="FS256" s="47"/>
      <c r="FT256" s="47"/>
      <c r="FU256" s="47"/>
      <c r="FV256" s="47"/>
      <c r="FW256" s="47"/>
      <c r="FX256" s="47"/>
      <c r="FY256" s="47"/>
      <c r="FZ256" s="47"/>
      <c r="GA256" s="47"/>
      <c r="GB256" s="47"/>
      <c r="GC256" s="47"/>
      <c r="GD256" s="47"/>
      <c r="GE256" s="47"/>
      <c r="GF256" s="47"/>
      <c r="GG256" s="47"/>
      <c r="GH256" s="47"/>
      <c r="GI256" s="47"/>
      <c r="GJ256" s="47"/>
      <c r="GK256" s="47"/>
      <c r="GL256" s="47"/>
      <c r="GM256" s="47"/>
      <c r="GN256" s="47"/>
      <c r="GO256" s="47"/>
      <c r="GP256" s="47"/>
      <c r="GQ256" s="47"/>
      <c r="GR256" s="47"/>
      <c r="GS256" s="47"/>
      <c r="GT256" s="47"/>
      <c r="GU256" s="47"/>
      <c r="GV256" s="47"/>
      <c r="GW256" s="47"/>
      <c r="GX256" s="47"/>
      <c r="GY256" s="47"/>
      <c r="GZ256" s="47"/>
      <c r="HA256" s="47"/>
      <c r="HB256" s="47"/>
      <c r="HC256" s="47"/>
      <c r="HD256" s="47"/>
      <c r="HE256" s="47"/>
      <c r="HF256" s="47"/>
      <c r="HI256" s="47"/>
      <c r="HJ256" s="47"/>
      <c r="HK256" s="47"/>
      <c r="HL256" s="47"/>
      <c r="HM256" s="47"/>
      <c r="HN256" s="47"/>
      <c r="HO256" s="47"/>
      <c r="HP256" s="47"/>
      <c r="HS256" s="47"/>
      <c r="HT256" s="47"/>
      <c r="HU256" s="47"/>
      <c r="HV256" s="47"/>
      <c r="HW256" s="47"/>
      <c r="HX256" s="47"/>
      <c r="HY256" s="47"/>
      <c r="HZ256" s="47"/>
      <c r="IC256" s="47"/>
      <c r="ID256" s="47"/>
      <c r="IE256" s="47"/>
      <c r="IF256" s="47"/>
      <c r="IG256" s="47"/>
      <c r="IH256" s="47"/>
      <c r="II256" s="47"/>
      <c r="IJ256" s="47"/>
      <c r="IM256" s="47"/>
      <c r="IN256" s="47"/>
      <c r="IO256" s="47"/>
      <c r="IP256" s="47"/>
      <c r="IQ256" s="47"/>
      <c r="IR256" s="47"/>
      <c r="IS256" s="47"/>
      <c r="IT256" s="47"/>
      <c r="IW256" s="47"/>
      <c r="IX256" s="47"/>
      <c r="IY256" s="47"/>
      <c r="IZ256" s="47"/>
      <c r="JA256" s="47"/>
      <c r="JB256" s="47"/>
      <c r="JC256" s="47"/>
      <c r="JD256" s="47"/>
      <c r="JG256" s="47"/>
      <c r="JH256" s="47"/>
      <c r="JI256" s="47"/>
      <c r="JJ256" s="47"/>
      <c r="JK256" s="47"/>
      <c r="JL256" s="47"/>
      <c r="JM256" s="47"/>
      <c r="JN256" s="47"/>
      <c r="JQ256" s="47"/>
      <c r="JR256" s="47"/>
      <c r="JS256" s="47"/>
      <c r="JT256" s="47"/>
      <c r="JU256" s="47"/>
      <c r="JV256" s="47"/>
      <c r="JW256" s="47"/>
      <c r="JX256" s="47"/>
      <c r="KA256" s="47"/>
      <c r="KB256" s="47"/>
      <c r="KC256" s="47"/>
      <c r="KD256" s="47"/>
      <c r="KE256" s="47"/>
      <c r="KF256" s="47"/>
      <c r="KG256" s="47"/>
      <c r="KH256" s="47"/>
      <c r="KK256" s="47"/>
      <c r="KL256" s="47"/>
      <c r="KM256" s="47"/>
      <c r="KN256" s="47"/>
      <c r="KO256" s="47"/>
      <c r="KP256" s="47"/>
      <c r="KQ256" s="47"/>
      <c r="KR256" s="47"/>
      <c r="KU256" s="47"/>
      <c r="KV256" s="47"/>
      <c r="KW256" s="47"/>
      <c r="KX256" s="47"/>
      <c r="KY256" s="47"/>
      <c r="KZ256" s="47"/>
      <c r="LA256" s="47"/>
      <c r="LB256" s="47"/>
    </row>
    <row r="257" spans="29:314" x14ac:dyDescent="0.25">
      <c r="AC257" s="47"/>
      <c r="AD257" s="47"/>
      <c r="AE257" s="47"/>
      <c r="AF257" s="47"/>
      <c r="AG257" s="49"/>
      <c r="AH257" s="47"/>
      <c r="AI257" s="47"/>
      <c r="AJ257" s="47"/>
      <c r="AK257" s="47"/>
      <c r="AL257" s="47"/>
      <c r="AM257" s="47"/>
      <c r="AN257" s="47"/>
      <c r="AO257" s="47"/>
      <c r="AP257" s="47"/>
      <c r="AQ257" s="47"/>
      <c r="AR257" s="47"/>
      <c r="AS257" s="47"/>
      <c r="AT257" s="47"/>
      <c r="AU257" s="47"/>
      <c r="AV257" s="47"/>
      <c r="AW257" s="47"/>
      <c r="AX257" s="47"/>
      <c r="AY257" s="47"/>
      <c r="AZ257" s="47"/>
      <c r="BA257" s="47"/>
      <c r="BB257" s="47"/>
      <c r="BC257" s="47"/>
      <c r="BD257" s="47"/>
      <c r="BE257" s="47"/>
      <c r="BF257" s="47"/>
      <c r="BG257" s="47"/>
      <c r="BH257" s="47"/>
      <c r="BI257" s="47"/>
      <c r="BJ257" s="47"/>
      <c r="BK257" s="47"/>
      <c r="BL257" s="47"/>
      <c r="BM257" s="47"/>
      <c r="BN257" s="49"/>
      <c r="BO257" s="47"/>
      <c r="BP257" s="47"/>
      <c r="BQ257" s="47"/>
      <c r="BR257" s="47"/>
      <c r="BS257" s="47"/>
      <c r="BT257" s="47"/>
      <c r="BU257" s="47"/>
      <c r="BV257" s="47"/>
      <c r="BW257" s="47"/>
      <c r="BX257" s="47"/>
      <c r="BY257" s="47"/>
      <c r="BZ257" s="47"/>
      <c r="CA257" s="47"/>
      <c r="CB257" s="47"/>
      <c r="CC257" s="47"/>
      <c r="CD257" s="47"/>
      <c r="CE257" s="47"/>
      <c r="CF257" s="47"/>
      <c r="CG257" s="49"/>
      <c r="CH257" s="47"/>
      <c r="CI257" s="47"/>
      <c r="CJ257" s="47"/>
      <c r="CK257" s="47"/>
      <c r="CL257" s="47"/>
      <c r="CM257" s="47"/>
      <c r="CN257" s="47"/>
      <c r="CO257" s="47"/>
      <c r="CP257" s="47"/>
      <c r="CQ257" s="47"/>
      <c r="CS257" s="47"/>
      <c r="CT257" s="47"/>
      <c r="CU257" s="47"/>
      <c r="CV257" s="47"/>
      <c r="CW257" s="47"/>
      <c r="CX257" s="47"/>
      <c r="CY257" s="47"/>
      <c r="CZ257" s="47"/>
      <c r="DA257" s="47"/>
      <c r="DB257" s="47"/>
      <c r="DC257" s="47"/>
      <c r="DD257" s="47"/>
      <c r="DE257" s="47"/>
      <c r="DF257" s="47"/>
      <c r="DG257" s="47"/>
      <c r="DH257" s="47"/>
      <c r="DI257" s="47"/>
      <c r="DJ257" s="47"/>
      <c r="DK257" s="47"/>
      <c r="DM257" s="47"/>
      <c r="DN257" s="47"/>
      <c r="DO257" s="47"/>
      <c r="DP257" s="47"/>
      <c r="DQ257" s="47"/>
      <c r="DR257" s="47"/>
      <c r="DS257" s="47"/>
      <c r="DT257" s="47"/>
      <c r="DU257" s="47"/>
      <c r="DV257" s="49"/>
      <c r="DW257" s="47"/>
      <c r="DX257" s="47"/>
      <c r="DY257" s="47"/>
      <c r="DZ257" s="47"/>
      <c r="EA257" s="47"/>
      <c r="EB257" s="47"/>
      <c r="EC257" s="47"/>
      <c r="ED257" s="47"/>
      <c r="EE257" s="47"/>
      <c r="EF257" s="47"/>
      <c r="EG257" s="47"/>
      <c r="EH257" s="47"/>
      <c r="EI257" s="47"/>
      <c r="EJ257" s="47"/>
      <c r="EK257" s="47"/>
      <c r="EL257" s="47"/>
      <c r="EM257" s="47"/>
      <c r="EN257" s="47"/>
      <c r="EO257" s="47"/>
      <c r="EP257" s="47"/>
      <c r="EQ257" s="47"/>
      <c r="ER257" s="47"/>
      <c r="ES257" s="47"/>
      <c r="ET257" s="47"/>
      <c r="EU257" s="47"/>
      <c r="EV257" s="47"/>
      <c r="EW257" s="47"/>
      <c r="EX257" s="47"/>
      <c r="EY257" s="47"/>
      <c r="EZ257" s="47"/>
      <c r="FA257" s="47"/>
      <c r="FB257" s="47"/>
      <c r="FC257" s="47"/>
      <c r="FD257" s="47"/>
      <c r="FE257" s="47"/>
      <c r="FF257" s="47"/>
      <c r="FG257" s="47"/>
      <c r="FH257" s="47"/>
      <c r="FI257" s="47"/>
      <c r="FJ257" s="49"/>
      <c r="FK257" s="47"/>
      <c r="FL257" s="47"/>
      <c r="FM257" s="47"/>
      <c r="FN257" s="47"/>
      <c r="FO257" s="47"/>
      <c r="FP257" s="47"/>
      <c r="FQ257" s="47"/>
      <c r="FR257" s="47"/>
      <c r="FS257" s="47"/>
      <c r="FT257" s="47"/>
      <c r="FU257" s="47"/>
      <c r="FV257" s="47"/>
      <c r="FW257" s="47"/>
      <c r="FX257" s="47"/>
      <c r="FY257" s="47"/>
      <c r="FZ257" s="47"/>
      <c r="GA257" s="47"/>
      <c r="GB257" s="47"/>
      <c r="GC257" s="47"/>
      <c r="GD257" s="47"/>
      <c r="GE257" s="47"/>
      <c r="GF257" s="47"/>
      <c r="GG257" s="47"/>
      <c r="GH257" s="47"/>
      <c r="GI257" s="47"/>
      <c r="GJ257" s="47"/>
      <c r="GK257" s="47"/>
      <c r="GL257" s="47"/>
      <c r="GM257" s="47"/>
      <c r="GN257" s="47"/>
      <c r="GO257" s="47"/>
      <c r="GP257" s="47"/>
      <c r="GQ257" s="47"/>
      <c r="GR257" s="47"/>
      <c r="GS257" s="47"/>
      <c r="GT257" s="47"/>
      <c r="GU257" s="47"/>
      <c r="GV257" s="47"/>
      <c r="GW257" s="47"/>
      <c r="GX257" s="47"/>
      <c r="GY257" s="47"/>
      <c r="GZ257" s="47"/>
      <c r="HA257" s="47"/>
      <c r="HB257" s="47"/>
      <c r="HC257" s="47"/>
      <c r="HD257" s="47"/>
      <c r="HE257" s="47"/>
      <c r="HF257" s="47"/>
      <c r="HI257" s="47"/>
      <c r="HJ257" s="47"/>
      <c r="HK257" s="47"/>
      <c r="HL257" s="47"/>
      <c r="HM257" s="47"/>
      <c r="HN257" s="47"/>
      <c r="HO257" s="47"/>
      <c r="HP257" s="47"/>
      <c r="HS257" s="47"/>
      <c r="HT257" s="47"/>
      <c r="HU257" s="47"/>
      <c r="HV257" s="47"/>
      <c r="HW257" s="47"/>
      <c r="HX257" s="47"/>
      <c r="HY257" s="47"/>
      <c r="HZ257" s="47"/>
      <c r="IC257" s="47"/>
      <c r="ID257" s="47"/>
      <c r="IE257" s="47"/>
      <c r="IF257" s="47"/>
      <c r="IG257" s="47"/>
      <c r="IH257" s="47"/>
      <c r="II257" s="47"/>
      <c r="IJ257" s="47"/>
      <c r="IM257" s="47"/>
      <c r="IN257" s="47"/>
      <c r="IO257" s="47"/>
      <c r="IP257" s="47"/>
      <c r="IQ257" s="47"/>
      <c r="IR257" s="47"/>
      <c r="IS257" s="47"/>
      <c r="IT257" s="47"/>
      <c r="IW257" s="47"/>
      <c r="IX257" s="47"/>
      <c r="IY257" s="47"/>
      <c r="IZ257" s="47"/>
      <c r="JA257" s="47"/>
      <c r="JB257" s="47"/>
      <c r="JC257" s="47"/>
      <c r="JD257" s="47"/>
      <c r="JG257" s="47"/>
      <c r="JH257" s="47"/>
      <c r="JI257" s="47"/>
      <c r="JJ257" s="47"/>
      <c r="JK257" s="47"/>
      <c r="JL257" s="47"/>
      <c r="JM257" s="47"/>
      <c r="JN257" s="47"/>
      <c r="JQ257" s="47"/>
      <c r="JR257" s="47"/>
      <c r="JS257" s="47"/>
      <c r="JT257" s="47"/>
      <c r="JU257" s="47"/>
      <c r="JV257" s="47"/>
      <c r="JW257" s="47"/>
      <c r="JX257" s="47"/>
      <c r="KA257" s="47"/>
      <c r="KB257" s="47"/>
      <c r="KC257" s="47"/>
      <c r="KD257" s="47"/>
      <c r="KE257" s="47"/>
      <c r="KF257" s="47"/>
      <c r="KG257" s="47"/>
      <c r="KH257" s="47"/>
      <c r="KK257" s="47"/>
      <c r="KL257" s="47"/>
      <c r="KM257" s="47"/>
      <c r="KN257" s="47"/>
      <c r="KO257" s="47"/>
      <c r="KP257" s="47"/>
      <c r="KQ257" s="47"/>
      <c r="KR257" s="47"/>
      <c r="KU257" s="47"/>
      <c r="KV257" s="47"/>
      <c r="KW257" s="47"/>
      <c r="KX257" s="47"/>
      <c r="KY257" s="47"/>
      <c r="KZ257" s="47"/>
      <c r="LA257" s="47"/>
      <c r="LB257" s="47"/>
    </row>
    <row r="258" spans="29:314" x14ac:dyDescent="0.25">
      <c r="AC258" s="47"/>
      <c r="AD258" s="47"/>
      <c r="AE258" s="47"/>
      <c r="AF258" s="47"/>
      <c r="AG258" s="49"/>
      <c r="AH258" s="47"/>
      <c r="AI258" s="47"/>
      <c r="AJ258" s="47"/>
      <c r="AK258" s="47"/>
      <c r="AL258" s="47"/>
      <c r="AM258" s="47"/>
      <c r="AN258" s="47"/>
      <c r="AO258" s="47"/>
      <c r="AP258" s="47"/>
      <c r="AQ258" s="47"/>
      <c r="AR258" s="47"/>
      <c r="AS258" s="47"/>
      <c r="AT258" s="47"/>
      <c r="AU258" s="47"/>
      <c r="AV258" s="47"/>
      <c r="AW258" s="47"/>
      <c r="AX258" s="47"/>
      <c r="AY258" s="47"/>
      <c r="AZ258" s="47"/>
      <c r="BA258" s="47"/>
      <c r="BB258" s="47"/>
      <c r="BC258" s="47"/>
      <c r="BD258" s="47"/>
      <c r="BE258" s="47"/>
      <c r="BF258" s="47"/>
      <c r="BG258" s="47"/>
      <c r="BH258" s="47"/>
      <c r="BI258" s="47"/>
      <c r="BJ258" s="47"/>
      <c r="BK258" s="47"/>
      <c r="BL258" s="47"/>
      <c r="BM258" s="47"/>
      <c r="BN258" s="49"/>
      <c r="BO258" s="47"/>
      <c r="BP258" s="47"/>
      <c r="BQ258" s="47"/>
      <c r="BR258" s="47"/>
      <c r="BS258" s="47"/>
      <c r="BT258" s="47"/>
      <c r="BU258" s="47"/>
      <c r="BV258" s="47"/>
      <c r="BW258" s="47"/>
      <c r="BX258" s="47"/>
      <c r="BY258" s="47"/>
      <c r="BZ258" s="47"/>
      <c r="CA258" s="47"/>
      <c r="CB258" s="47"/>
      <c r="CC258" s="47"/>
      <c r="CD258" s="47"/>
      <c r="CE258" s="47"/>
      <c r="CF258" s="47"/>
      <c r="CG258" s="49"/>
      <c r="CH258" s="47"/>
      <c r="CI258" s="47"/>
      <c r="CJ258" s="47"/>
      <c r="CK258" s="47"/>
      <c r="CL258" s="47"/>
      <c r="CM258" s="47"/>
      <c r="CN258" s="47"/>
      <c r="CO258" s="47"/>
      <c r="CP258" s="47"/>
      <c r="CQ258" s="47"/>
      <c r="CS258" s="47"/>
      <c r="CT258" s="47"/>
      <c r="CU258" s="47"/>
      <c r="CV258" s="47"/>
      <c r="CW258" s="47"/>
      <c r="CX258" s="47"/>
      <c r="CY258" s="47"/>
      <c r="CZ258" s="47"/>
      <c r="DA258" s="47"/>
      <c r="DB258" s="47"/>
      <c r="DC258" s="47"/>
      <c r="DD258" s="47"/>
      <c r="DE258" s="47"/>
      <c r="DF258" s="47"/>
      <c r="DG258" s="47"/>
      <c r="DH258" s="47"/>
      <c r="DI258" s="47"/>
      <c r="DJ258" s="47"/>
      <c r="DK258" s="47"/>
      <c r="DM258" s="47"/>
      <c r="DN258" s="47"/>
      <c r="DO258" s="47"/>
      <c r="DP258" s="47"/>
      <c r="DQ258" s="47"/>
      <c r="DR258" s="47"/>
      <c r="DS258" s="47"/>
      <c r="DT258" s="47"/>
      <c r="DU258" s="47"/>
      <c r="DV258" s="49"/>
      <c r="DW258" s="47"/>
      <c r="DX258" s="47"/>
      <c r="DY258" s="47"/>
      <c r="DZ258" s="47"/>
      <c r="EA258" s="47"/>
      <c r="EB258" s="47"/>
      <c r="EC258" s="47"/>
      <c r="ED258" s="47"/>
      <c r="EE258" s="47"/>
      <c r="EF258" s="47"/>
      <c r="EG258" s="47"/>
      <c r="EH258" s="47"/>
      <c r="EI258" s="47"/>
      <c r="EJ258" s="47"/>
      <c r="EK258" s="47"/>
      <c r="EL258" s="47"/>
      <c r="EM258" s="47"/>
      <c r="EN258" s="47"/>
      <c r="EO258" s="47"/>
      <c r="EP258" s="47"/>
      <c r="EQ258" s="47"/>
      <c r="ER258" s="47"/>
      <c r="ES258" s="47"/>
      <c r="ET258" s="47"/>
      <c r="EU258" s="47"/>
      <c r="EV258" s="47"/>
      <c r="EW258" s="47"/>
      <c r="EX258" s="47"/>
      <c r="EY258" s="47"/>
      <c r="EZ258" s="47"/>
      <c r="FA258" s="47"/>
      <c r="FB258" s="47"/>
      <c r="FC258" s="47"/>
      <c r="FD258" s="47"/>
      <c r="FE258" s="47"/>
      <c r="FF258" s="47"/>
      <c r="FG258" s="47"/>
      <c r="FH258" s="47"/>
      <c r="FI258" s="47"/>
      <c r="FJ258" s="49"/>
      <c r="FK258" s="47"/>
      <c r="FL258" s="47"/>
      <c r="FM258" s="47"/>
      <c r="FN258" s="47"/>
      <c r="FO258" s="47"/>
      <c r="FP258" s="47"/>
      <c r="FQ258" s="47"/>
      <c r="FR258" s="47"/>
      <c r="FS258" s="47"/>
      <c r="FT258" s="47"/>
      <c r="FU258" s="47"/>
      <c r="FV258" s="47"/>
      <c r="FW258" s="47"/>
      <c r="FX258" s="47"/>
      <c r="FY258" s="47"/>
      <c r="FZ258" s="47"/>
      <c r="GA258" s="47"/>
      <c r="GB258" s="47"/>
      <c r="GC258" s="47"/>
      <c r="GD258" s="47"/>
      <c r="GE258" s="47"/>
      <c r="GF258" s="47"/>
      <c r="GG258" s="47"/>
      <c r="GH258" s="47"/>
      <c r="GI258" s="47"/>
      <c r="GJ258" s="47"/>
      <c r="GK258" s="47"/>
      <c r="GL258" s="47"/>
      <c r="GM258" s="47"/>
      <c r="GN258" s="47"/>
      <c r="GO258" s="47"/>
      <c r="GP258" s="47"/>
      <c r="GQ258" s="47"/>
      <c r="GR258" s="47"/>
      <c r="GS258" s="47"/>
      <c r="GT258" s="47"/>
      <c r="GU258" s="47"/>
      <c r="GV258" s="47"/>
      <c r="GW258" s="47"/>
      <c r="GX258" s="47"/>
      <c r="GY258" s="47"/>
      <c r="GZ258" s="47"/>
      <c r="HA258" s="47"/>
      <c r="HB258" s="47"/>
      <c r="HC258" s="47"/>
      <c r="HD258" s="47"/>
      <c r="HE258" s="47"/>
      <c r="HF258" s="47"/>
      <c r="HI258" s="47"/>
      <c r="HJ258" s="47"/>
      <c r="HK258" s="47"/>
      <c r="HL258" s="47"/>
      <c r="HM258" s="47"/>
      <c r="HN258" s="47"/>
      <c r="HO258" s="47"/>
      <c r="HP258" s="47"/>
      <c r="HS258" s="47"/>
      <c r="HT258" s="47"/>
      <c r="HU258" s="47"/>
      <c r="HV258" s="47"/>
      <c r="HW258" s="47"/>
      <c r="HX258" s="47"/>
      <c r="HY258" s="47"/>
      <c r="HZ258" s="47"/>
      <c r="IC258" s="47"/>
      <c r="ID258" s="47"/>
      <c r="IE258" s="47"/>
      <c r="IF258" s="47"/>
      <c r="IG258" s="47"/>
      <c r="IH258" s="47"/>
      <c r="II258" s="47"/>
      <c r="IJ258" s="47"/>
      <c r="IM258" s="47"/>
      <c r="IN258" s="47"/>
      <c r="IO258" s="47"/>
      <c r="IP258" s="47"/>
      <c r="IQ258" s="47"/>
      <c r="IR258" s="47"/>
      <c r="IS258" s="47"/>
      <c r="IT258" s="47"/>
      <c r="IW258" s="47"/>
      <c r="IX258" s="47"/>
      <c r="IY258" s="47"/>
      <c r="IZ258" s="47"/>
      <c r="JA258" s="47"/>
      <c r="JB258" s="47"/>
      <c r="JC258" s="47"/>
      <c r="JD258" s="47"/>
      <c r="JG258" s="47"/>
      <c r="JH258" s="47"/>
      <c r="JI258" s="47"/>
      <c r="JJ258" s="47"/>
      <c r="JK258" s="47"/>
      <c r="JL258" s="47"/>
      <c r="JM258" s="47"/>
      <c r="JN258" s="47"/>
      <c r="JQ258" s="47"/>
      <c r="JR258" s="47"/>
      <c r="JS258" s="47"/>
      <c r="JT258" s="47"/>
      <c r="JU258" s="47"/>
      <c r="JV258" s="47"/>
      <c r="JW258" s="47"/>
      <c r="JX258" s="47"/>
      <c r="KA258" s="47"/>
      <c r="KB258" s="47"/>
      <c r="KC258" s="47"/>
      <c r="KD258" s="47"/>
      <c r="KE258" s="47"/>
      <c r="KF258" s="47"/>
      <c r="KG258" s="47"/>
      <c r="KH258" s="47"/>
      <c r="KK258" s="47"/>
      <c r="KL258" s="47"/>
      <c r="KM258" s="47"/>
      <c r="KN258" s="47"/>
      <c r="KO258" s="47"/>
      <c r="KP258" s="47"/>
      <c r="KQ258" s="47"/>
      <c r="KR258" s="47"/>
      <c r="KU258" s="47"/>
      <c r="KV258" s="47"/>
      <c r="KW258" s="47"/>
      <c r="KX258" s="47"/>
      <c r="KY258" s="47"/>
      <c r="KZ258" s="47"/>
      <c r="LA258" s="47"/>
      <c r="LB258" s="47"/>
    </row>
    <row r="259" spans="29:314" x14ac:dyDescent="0.25">
      <c r="AC259" s="47"/>
      <c r="AD259" s="47"/>
      <c r="AE259" s="47"/>
      <c r="AF259" s="47"/>
      <c r="AG259" s="49"/>
      <c r="AH259" s="47"/>
      <c r="AI259" s="47"/>
      <c r="AJ259" s="47"/>
      <c r="AK259" s="47"/>
      <c r="AL259" s="47"/>
      <c r="AM259" s="47"/>
      <c r="AN259" s="47"/>
      <c r="AO259" s="47"/>
      <c r="AP259" s="47"/>
      <c r="AQ259" s="47"/>
      <c r="AR259" s="47"/>
      <c r="AS259" s="47"/>
      <c r="AT259" s="47"/>
      <c r="AU259" s="47"/>
      <c r="AV259" s="47"/>
      <c r="AW259" s="47"/>
      <c r="AX259" s="47"/>
      <c r="AY259" s="47"/>
      <c r="AZ259" s="47"/>
      <c r="BA259" s="47"/>
      <c r="BB259" s="47"/>
      <c r="BC259" s="47"/>
      <c r="BD259" s="47"/>
      <c r="BE259" s="47"/>
      <c r="BF259" s="47"/>
      <c r="BG259" s="47"/>
      <c r="BH259" s="47"/>
      <c r="BI259" s="47"/>
      <c r="BJ259" s="47"/>
      <c r="BK259" s="47"/>
      <c r="BL259" s="47"/>
      <c r="BM259" s="47"/>
      <c r="BN259" s="49"/>
      <c r="BO259" s="47"/>
      <c r="BP259" s="47"/>
      <c r="BQ259" s="47"/>
      <c r="BR259" s="47"/>
      <c r="BS259" s="47"/>
      <c r="BT259" s="47"/>
      <c r="BU259" s="47"/>
      <c r="BV259" s="47"/>
      <c r="BW259" s="47"/>
      <c r="BX259" s="47"/>
      <c r="BY259" s="47"/>
      <c r="BZ259" s="47"/>
      <c r="CA259" s="47"/>
      <c r="CB259" s="47"/>
      <c r="CC259" s="47"/>
      <c r="CD259" s="47"/>
      <c r="CE259" s="47"/>
      <c r="CF259" s="47"/>
      <c r="CG259" s="49"/>
      <c r="CH259" s="47"/>
      <c r="CI259" s="47"/>
      <c r="CJ259" s="47"/>
      <c r="CK259" s="47"/>
      <c r="CL259" s="47"/>
      <c r="CM259" s="47"/>
      <c r="CN259" s="47"/>
      <c r="CO259" s="47"/>
      <c r="CP259" s="47"/>
      <c r="CQ259" s="47"/>
      <c r="CS259" s="47"/>
      <c r="CT259" s="47"/>
      <c r="CU259" s="47"/>
      <c r="CV259" s="47"/>
      <c r="CW259" s="47"/>
      <c r="CX259" s="47"/>
      <c r="CY259" s="47"/>
      <c r="CZ259" s="47"/>
      <c r="DA259" s="47"/>
      <c r="DB259" s="47"/>
      <c r="DC259" s="47"/>
      <c r="DD259" s="47"/>
      <c r="DE259" s="47"/>
      <c r="DF259" s="47"/>
      <c r="DG259" s="47"/>
      <c r="DH259" s="47"/>
      <c r="DI259" s="47"/>
      <c r="DJ259" s="47"/>
      <c r="DK259" s="47"/>
      <c r="DM259" s="47"/>
      <c r="DN259" s="47"/>
      <c r="DO259" s="47"/>
      <c r="DP259" s="47"/>
      <c r="DQ259" s="47"/>
      <c r="DR259" s="47"/>
      <c r="DS259" s="47"/>
      <c r="DT259" s="47"/>
      <c r="DU259" s="47"/>
      <c r="DV259" s="49"/>
      <c r="DW259" s="47"/>
      <c r="DX259" s="47"/>
      <c r="DY259" s="47"/>
      <c r="DZ259" s="47"/>
      <c r="EA259" s="47"/>
      <c r="EB259" s="47"/>
      <c r="EC259" s="47"/>
      <c r="ED259" s="47"/>
      <c r="EE259" s="47"/>
      <c r="EF259" s="47"/>
      <c r="EG259" s="47"/>
      <c r="EH259" s="47"/>
      <c r="EI259" s="47"/>
      <c r="EJ259" s="47"/>
      <c r="EK259" s="47"/>
      <c r="EL259" s="47"/>
      <c r="EM259" s="47"/>
      <c r="EN259" s="47"/>
      <c r="EO259" s="47"/>
      <c r="EP259" s="47"/>
      <c r="EQ259" s="47"/>
      <c r="ER259" s="47"/>
      <c r="ES259" s="47"/>
      <c r="ET259" s="47"/>
      <c r="EU259" s="47"/>
      <c r="EV259" s="47"/>
      <c r="EW259" s="47"/>
      <c r="EX259" s="47"/>
      <c r="EY259" s="47"/>
      <c r="EZ259" s="47"/>
      <c r="FA259" s="47"/>
      <c r="FB259" s="47"/>
      <c r="FC259" s="47"/>
      <c r="FD259" s="47"/>
      <c r="FE259" s="47"/>
      <c r="FF259" s="47"/>
      <c r="FG259" s="47"/>
      <c r="FH259" s="47"/>
      <c r="FI259" s="47"/>
      <c r="FJ259" s="49"/>
      <c r="FK259" s="47"/>
      <c r="FL259" s="47"/>
      <c r="FM259" s="47"/>
      <c r="FN259" s="47"/>
      <c r="FO259" s="47"/>
      <c r="FP259" s="47"/>
      <c r="FQ259" s="47"/>
      <c r="FR259" s="47"/>
      <c r="FS259" s="47"/>
      <c r="FT259" s="47"/>
      <c r="FU259" s="47"/>
      <c r="FV259" s="47"/>
      <c r="FW259" s="47"/>
      <c r="FX259" s="47"/>
      <c r="FY259" s="47"/>
      <c r="FZ259" s="47"/>
      <c r="GA259" s="47"/>
      <c r="GB259" s="47"/>
      <c r="GC259" s="47"/>
      <c r="GD259" s="47"/>
      <c r="GE259" s="47"/>
      <c r="GF259" s="47"/>
      <c r="GG259" s="47"/>
      <c r="GH259" s="47"/>
      <c r="GI259" s="47"/>
      <c r="GJ259" s="47"/>
      <c r="GK259" s="47"/>
      <c r="GL259" s="47"/>
      <c r="GM259" s="47"/>
      <c r="GN259" s="47"/>
      <c r="GO259" s="47"/>
      <c r="GP259" s="47"/>
      <c r="GQ259" s="47"/>
      <c r="GR259" s="47"/>
      <c r="GS259" s="47"/>
      <c r="GT259" s="47"/>
      <c r="GU259" s="47"/>
      <c r="GV259" s="47"/>
      <c r="GW259" s="47"/>
      <c r="GX259" s="47"/>
      <c r="GY259" s="47"/>
      <c r="GZ259" s="47"/>
      <c r="HA259" s="47"/>
      <c r="HB259" s="47"/>
      <c r="HC259" s="47"/>
      <c r="HD259" s="47"/>
      <c r="HE259" s="47"/>
      <c r="HF259" s="47"/>
      <c r="HI259" s="47"/>
      <c r="HJ259" s="47"/>
      <c r="HK259" s="47"/>
      <c r="HL259" s="47"/>
      <c r="HM259" s="47"/>
      <c r="HN259" s="47"/>
      <c r="HO259" s="47"/>
      <c r="HP259" s="47"/>
      <c r="HS259" s="47"/>
      <c r="HT259" s="47"/>
      <c r="HU259" s="47"/>
      <c r="HV259" s="47"/>
      <c r="HW259" s="47"/>
      <c r="HX259" s="47"/>
      <c r="HY259" s="47"/>
      <c r="HZ259" s="47"/>
      <c r="IC259" s="47"/>
      <c r="ID259" s="47"/>
      <c r="IE259" s="47"/>
      <c r="IF259" s="47"/>
      <c r="IG259" s="47"/>
      <c r="IH259" s="47"/>
      <c r="II259" s="47"/>
      <c r="IJ259" s="47"/>
      <c r="IM259" s="47"/>
      <c r="IN259" s="47"/>
      <c r="IO259" s="47"/>
      <c r="IP259" s="47"/>
      <c r="IQ259" s="47"/>
      <c r="IR259" s="47"/>
      <c r="IS259" s="47"/>
      <c r="IT259" s="47"/>
      <c r="IW259" s="47"/>
      <c r="IX259" s="47"/>
      <c r="IY259" s="47"/>
      <c r="IZ259" s="47"/>
      <c r="JA259" s="47"/>
      <c r="JB259" s="47"/>
      <c r="JC259" s="47"/>
      <c r="JD259" s="47"/>
      <c r="JG259" s="47"/>
      <c r="JH259" s="47"/>
      <c r="JI259" s="47"/>
      <c r="JJ259" s="47"/>
      <c r="JK259" s="47"/>
      <c r="JL259" s="47"/>
      <c r="JM259" s="47"/>
      <c r="JN259" s="47"/>
      <c r="JQ259" s="47"/>
      <c r="JR259" s="47"/>
      <c r="JS259" s="47"/>
      <c r="JT259" s="47"/>
      <c r="JU259" s="47"/>
      <c r="JV259" s="47"/>
      <c r="JW259" s="47"/>
      <c r="JX259" s="47"/>
      <c r="KA259" s="47"/>
      <c r="KB259" s="47"/>
      <c r="KC259" s="47"/>
      <c r="KD259" s="47"/>
      <c r="KE259" s="47"/>
      <c r="KF259" s="47"/>
      <c r="KG259" s="47"/>
      <c r="KH259" s="47"/>
      <c r="KK259" s="47"/>
      <c r="KL259" s="47"/>
      <c r="KM259" s="47"/>
      <c r="KN259" s="47"/>
      <c r="KO259" s="47"/>
      <c r="KP259" s="47"/>
      <c r="KQ259" s="47"/>
      <c r="KR259" s="47"/>
      <c r="KU259" s="47"/>
      <c r="KV259" s="47"/>
      <c r="KW259" s="47"/>
      <c r="KX259" s="47"/>
      <c r="KY259" s="47"/>
      <c r="KZ259" s="47"/>
      <c r="LA259" s="47"/>
      <c r="LB259" s="47"/>
    </row>
    <row r="260" spans="29:314" x14ac:dyDescent="0.25">
      <c r="AC260" s="47"/>
      <c r="AD260" s="47"/>
      <c r="AE260" s="47"/>
      <c r="AF260" s="47"/>
      <c r="AG260" s="49"/>
      <c r="AH260" s="47"/>
      <c r="AI260" s="47"/>
      <c r="AJ260" s="47"/>
      <c r="AK260" s="47"/>
      <c r="AL260" s="47"/>
      <c r="AM260" s="47"/>
      <c r="AN260" s="47"/>
      <c r="AO260" s="47"/>
      <c r="AP260" s="47"/>
      <c r="AQ260" s="47"/>
      <c r="AR260" s="47"/>
      <c r="AS260" s="47"/>
      <c r="AT260" s="47"/>
      <c r="AU260" s="47"/>
      <c r="AV260" s="47"/>
      <c r="AW260" s="47"/>
      <c r="AX260" s="47"/>
      <c r="AY260" s="47"/>
      <c r="AZ260" s="47"/>
      <c r="BA260" s="47"/>
      <c r="BB260" s="47"/>
      <c r="BC260" s="47"/>
      <c r="BD260" s="47"/>
      <c r="BE260" s="47"/>
      <c r="BF260" s="47"/>
      <c r="BG260" s="47"/>
      <c r="BH260" s="47"/>
      <c r="BI260" s="47"/>
      <c r="BJ260" s="47"/>
      <c r="BK260" s="47"/>
      <c r="BL260" s="47"/>
      <c r="BM260" s="47"/>
      <c r="BN260" s="49"/>
      <c r="BO260" s="47"/>
      <c r="BP260" s="47"/>
      <c r="BQ260" s="47"/>
      <c r="BR260" s="47"/>
      <c r="BS260" s="47"/>
      <c r="BT260" s="47"/>
      <c r="BU260" s="47"/>
      <c r="BV260" s="47"/>
      <c r="BW260" s="47"/>
      <c r="BX260" s="47"/>
      <c r="BY260" s="47"/>
      <c r="BZ260" s="47"/>
      <c r="CA260" s="47"/>
      <c r="CB260" s="47"/>
      <c r="CC260" s="47"/>
      <c r="CD260" s="47"/>
      <c r="CE260" s="47"/>
      <c r="CF260" s="47"/>
      <c r="CG260" s="49"/>
      <c r="CH260" s="47"/>
      <c r="CI260" s="47"/>
      <c r="CJ260" s="47"/>
      <c r="CK260" s="47"/>
      <c r="CL260" s="47"/>
      <c r="CM260" s="47"/>
      <c r="CN260" s="47"/>
      <c r="CO260" s="47"/>
      <c r="CP260" s="47"/>
      <c r="CQ260" s="47"/>
      <c r="CS260" s="47"/>
      <c r="CT260" s="47"/>
      <c r="CU260" s="47"/>
      <c r="CV260" s="47"/>
      <c r="CW260" s="47"/>
      <c r="CX260" s="47"/>
      <c r="CY260" s="47"/>
      <c r="CZ260" s="47"/>
      <c r="DA260" s="47"/>
      <c r="DB260" s="47"/>
      <c r="DC260" s="47"/>
      <c r="DD260" s="47"/>
      <c r="DE260" s="47"/>
      <c r="DF260" s="47"/>
      <c r="DG260" s="47"/>
      <c r="DH260" s="47"/>
      <c r="DI260" s="47"/>
      <c r="DJ260" s="47"/>
      <c r="DK260" s="47"/>
      <c r="DM260" s="47"/>
      <c r="DN260" s="47"/>
      <c r="DO260" s="47"/>
      <c r="DP260" s="47"/>
      <c r="DQ260" s="47"/>
      <c r="DR260" s="47"/>
      <c r="DS260" s="47"/>
      <c r="DT260" s="47"/>
      <c r="DU260" s="47"/>
      <c r="DV260" s="49"/>
      <c r="DW260" s="47"/>
      <c r="DX260" s="47"/>
      <c r="DY260" s="47"/>
      <c r="DZ260" s="47"/>
      <c r="EA260" s="47"/>
      <c r="EB260" s="47"/>
      <c r="EC260" s="47"/>
      <c r="ED260" s="47"/>
      <c r="EE260" s="47"/>
      <c r="EF260" s="47"/>
      <c r="EG260" s="47"/>
      <c r="EH260" s="47"/>
      <c r="EI260" s="47"/>
      <c r="EJ260" s="47"/>
      <c r="EK260" s="47"/>
      <c r="EL260" s="47"/>
      <c r="EM260" s="47"/>
      <c r="EN260" s="47"/>
      <c r="EO260" s="47"/>
      <c r="EP260" s="47"/>
      <c r="EQ260" s="47"/>
      <c r="ER260" s="47"/>
      <c r="ES260" s="47"/>
      <c r="ET260" s="47"/>
      <c r="EU260" s="47"/>
      <c r="EV260" s="47"/>
      <c r="EW260" s="47"/>
      <c r="EX260" s="47"/>
      <c r="EY260" s="47"/>
      <c r="EZ260" s="47"/>
      <c r="FA260" s="47"/>
      <c r="FB260" s="47"/>
      <c r="FC260" s="47"/>
      <c r="FD260" s="47"/>
      <c r="FE260" s="47"/>
      <c r="FF260" s="47"/>
      <c r="FG260" s="47"/>
      <c r="FH260" s="47"/>
      <c r="FI260" s="47"/>
      <c r="FJ260" s="49"/>
      <c r="FK260" s="47"/>
      <c r="FL260" s="47"/>
      <c r="FM260" s="47"/>
      <c r="FN260" s="47"/>
      <c r="FO260" s="47"/>
      <c r="FP260" s="47"/>
      <c r="FQ260" s="47"/>
      <c r="FR260" s="47"/>
      <c r="FS260" s="47"/>
      <c r="FT260" s="47"/>
      <c r="FU260" s="47"/>
      <c r="FV260" s="47"/>
      <c r="FW260" s="47"/>
      <c r="FX260" s="47"/>
      <c r="FY260" s="47"/>
      <c r="FZ260" s="47"/>
      <c r="GA260" s="47"/>
      <c r="GB260" s="47"/>
      <c r="GC260" s="47"/>
      <c r="GD260" s="47"/>
      <c r="GE260" s="47"/>
      <c r="GF260" s="47"/>
      <c r="GG260" s="47"/>
      <c r="GH260" s="47"/>
      <c r="GI260" s="47"/>
      <c r="GJ260" s="47"/>
      <c r="GK260" s="47"/>
      <c r="GL260" s="47"/>
      <c r="GM260" s="47"/>
      <c r="GN260" s="47"/>
      <c r="GO260" s="47"/>
      <c r="GP260" s="47"/>
      <c r="GQ260" s="47"/>
      <c r="GR260" s="47"/>
      <c r="GS260" s="47"/>
      <c r="GT260" s="47"/>
      <c r="GU260" s="47"/>
      <c r="GV260" s="47"/>
      <c r="GW260" s="47"/>
      <c r="GX260" s="47"/>
      <c r="GY260" s="47"/>
      <c r="GZ260" s="47"/>
      <c r="HA260" s="47"/>
      <c r="HB260" s="47"/>
      <c r="HC260" s="47"/>
      <c r="HD260" s="47"/>
      <c r="HE260" s="47"/>
      <c r="HF260" s="47"/>
      <c r="HI260" s="47"/>
      <c r="HJ260" s="47"/>
      <c r="HK260" s="47"/>
      <c r="HL260" s="47"/>
      <c r="HM260" s="47"/>
      <c r="HN260" s="47"/>
      <c r="HO260" s="47"/>
      <c r="HP260" s="47"/>
      <c r="HS260" s="47"/>
      <c r="HT260" s="47"/>
      <c r="HU260" s="47"/>
      <c r="HV260" s="47"/>
      <c r="HW260" s="47"/>
      <c r="HX260" s="47"/>
      <c r="HY260" s="47"/>
      <c r="HZ260" s="47"/>
      <c r="IC260" s="47"/>
      <c r="ID260" s="47"/>
      <c r="IE260" s="47"/>
      <c r="IF260" s="47"/>
      <c r="IG260" s="47"/>
      <c r="IH260" s="47"/>
      <c r="II260" s="47"/>
      <c r="IJ260" s="47"/>
      <c r="IM260" s="47"/>
      <c r="IN260" s="47"/>
      <c r="IO260" s="47"/>
      <c r="IP260" s="47"/>
      <c r="IQ260" s="47"/>
      <c r="IR260" s="47"/>
      <c r="IS260" s="47"/>
      <c r="IT260" s="47"/>
      <c r="IW260" s="47"/>
      <c r="IX260" s="47"/>
      <c r="IY260" s="47"/>
      <c r="IZ260" s="47"/>
      <c r="JA260" s="47"/>
      <c r="JB260" s="47"/>
      <c r="JC260" s="47"/>
      <c r="JD260" s="47"/>
      <c r="JG260" s="47"/>
      <c r="JH260" s="47"/>
      <c r="JI260" s="47"/>
      <c r="JJ260" s="47"/>
      <c r="JK260" s="47"/>
      <c r="JL260" s="47"/>
      <c r="JM260" s="47"/>
      <c r="JN260" s="47"/>
      <c r="JQ260" s="47"/>
      <c r="JR260" s="47"/>
      <c r="JS260" s="47"/>
      <c r="JT260" s="47"/>
      <c r="JU260" s="47"/>
      <c r="JV260" s="47"/>
      <c r="JW260" s="47"/>
      <c r="JX260" s="47"/>
      <c r="KA260" s="47"/>
      <c r="KB260" s="47"/>
      <c r="KC260" s="47"/>
      <c r="KD260" s="47"/>
      <c r="KE260" s="47"/>
      <c r="KF260" s="47"/>
      <c r="KG260" s="47"/>
      <c r="KH260" s="47"/>
      <c r="KK260" s="47"/>
      <c r="KL260" s="47"/>
      <c r="KM260" s="47"/>
      <c r="KN260" s="47"/>
      <c r="KO260" s="47"/>
      <c r="KP260" s="47"/>
      <c r="KQ260" s="47"/>
      <c r="KR260" s="47"/>
      <c r="KU260" s="47"/>
      <c r="KV260" s="47"/>
      <c r="KW260" s="47"/>
      <c r="KX260" s="47"/>
      <c r="KY260" s="47"/>
      <c r="KZ260" s="47"/>
      <c r="LA260" s="47"/>
      <c r="LB260" s="47"/>
    </row>
    <row r="261" spans="29:314" x14ac:dyDescent="0.25">
      <c r="AC261" s="47"/>
      <c r="AD261" s="47"/>
      <c r="AE261" s="47"/>
      <c r="AF261" s="47"/>
      <c r="AG261" s="49"/>
      <c r="AH261" s="47"/>
      <c r="AI261" s="47"/>
      <c r="AJ261" s="47"/>
      <c r="AK261" s="47"/>
      <c r="AL261" s="47"/>
      <c r="AM261" s="47"/>
      <c r="AN261" s="47"/>
      <c r="AO261" s="47"/>
      <c r="AP261" s="47"/>
      <c r="AQ261" s="47"/>
      <c r="AR261" s="47"/>
      <c r="AS261" s="47"/>
      <c r="AT261" s="47"/>
      <c r="AU261" s="47"/>
      <c r="AV261" s="47"/>
      <c r="AW261" s="47"/>
      <c r="AX261" s="47"/>
      <c r="AY261" s="47"/>
      <c r="AZ261" s="47"/>
      <c r="BA261" s="47"/>
      <c r="BB261" s="47"/>
      <c r="BC261" s="47"/>
      <c r="BD261" s="47"/>
      <c r="BE261" s="47"/>
      <c r="BF261" s="47"/>
      <c r="BG261" s="47"/>
      <c r="BH261" s="47"/>
      <c r="BI261" s="47"/>
      <c r="BJ261" s="47"/>
      <c r="BK261" s="47"/>
      <c r="BL261" s="47"/>
      <c r="BM261" s="47"/>
      <c r="BN261" s="49"/>
      <c r="BO261" s="47"/>
      <c r="BP261" s="47"/>
      <c r="BQ261" s="47"/>
      <c r="BR261" s="47"/>
      <c r="BS261" s="47"/>
      <c r="BT261" s="47"/>
      <c r="BU261" s="47"/>
      <c r="BV261" s="47"/>
      <c r="BW261" s="47"/>
      <c r="BX261" s="47"/>
      <c r="BY261" s="47"/>
      <c r="BZ261" s="47"/>
      <c r="CA261" s="47"/>
      <c r="CB261" s="47"/>
      <c r="CC261" s="47"/>
      <c r="CD261" s="47"/>
      <c r="CE261" s="47"/>
      <c r="CF261" s="47"/>
      <c r="CG261" s="49"/>
      <c r="CH261" s="47"/>
      <c r="CI261" s="47"/>
      <c r="CJ261" s="47"/>
      <c r="CK261" s="47"/>
      <c r="CL261" s="47"/>
      <c r="CM261" s="47"/>
      <c r="CN261" s="47"/>
      <c r="CO261" s="47"/>
      <c r="CP261" s="47"/>
      <c r="CQ261" s="47"/>
      <c r="CS261" s="47"/>
      <c r="CT261" s="47"/>
      <c r="CU261" s="47"/>
      <c r="CV261" s="47"/>
      <c r="CW261" s="47"/>
      <c r="CX261" s="47"/>
      <c r="CY261" s="47"/>
      <c r="CZ261" s="47"/>
      <c r="DA261" s="47"/>
      <c r="DB261" s="47"/>
      <c r="DC261" s="47"/>
      <c r="DD261" s="47"/>
      <c r="DE261" s="47"/>
      <c r="DF261" s="47"/>
      <c r="DG261" s="47"/>
      <c r="DH261" s="47"/>
      <c r="DI261" s="47"/>
      <c r="DJ261" s="47"/>
      <c r="DK261" s="47"/>
      <c r="DM261" s="47"/>
      <c r="DN261" s="47"/>
      <c r="DO261" s="47"/>
      <c r="DP261" s="47"/>
      <c r="DQ261" s="47"/>
      <c r="DR261" s="47"/>
      <c r="DS261" s="47"/>
      <c r="DT261" s="47"/>
      <c r="DU261" s="47"/>
      <c r="DV261" s="49"/>
      <c r="DW261" s="47"/>
      <c r="DX261" s="47"/>
      <c r="DY261" s="47"/>
      <c r="DZ261" s="47"/>
      <c r="EA261" s="47"/>
      <c r="EB261" s="47"/>
      <c r="EC261" s="47"/>
      <c r="ED261" s="47"/>
      <c r="EE261" s="47"/>
      <c r="EF261" s="47"/>
      <c r="EG261" s="47"/>
      <c r="EH261" s="47"/>
      <c r="EI261" s="47"/>
      <c r="EJ261" s="47"/>
      <c r="EK261" s="47"/>
      <c r="EL261" s="47"/>
      <c r="EM261" s="47"/>
      <c r="EN261" s="47"/>
      <c r="EO261" s="47"/>
      <c r="EP261" s="47"/>
      <c r="EQ261" s="47"/>
      <c r="ER261" s="47"/>
      <c r="ES261" s="47"/>
      <c r="ET261" s="47"/>
      <c r="EU261" s="47"/>
      <c r="EV261" s="47"/>
      <c r="EW261" s="47"/>
      <c r="EX261" s="47"/>
      <c r="EY261" s="47"/>
      <c r="EZ261" s="47"/>
      <c r="FA261" s="47"/>
      <c r="FB261" s="47"/>
      <c r="FC261" s="47"/>
      <c r="FD261" s="47"/>
      <c r="FE261" s="47"/>
      <c r="FF261" s="47"/>
      <c r="FG261" s="47"/>
      <c r="FH261" s="47"/>
      <c r="FI261" s="47"/>
      <c r="FJ261" s="49"/>
      <c r="FK261" s="47"/>
      <c r="FL261" s="47"/>
      <c r="FM261" s="47"/>
      <c r="FN261" s="47"/>
      <c r="FO261" s="47"/>
      <c r="FP261" s="47"/>
      <c r="FQ261" s="47"/>
      <c r="FR261" s="47"/>
      <c r="FS261" s="47"/>
      <c r="FT261" s="47"/>
      <c r="FU261" s="47"/>
      <c r="FV261" s="47"/>
      <c r="FW261" s="47"/>
      <c r="FX261" s="47"/>
      <c r="FY261" s="47"/>
      <c r="FZ261" s="47"/>
      <c r="GA261" s="47"/>
      <c r="GB261" s="47"/>
      <c r="GC261" s="47"/>
      <c r="GD261" s="47"/>
      <c r="GE261" s="47"/>
      <c r="GF261" s="47"/>
      <c r="GG261" s="47"/>
      <c r="GH261" s="47"/>
      <c r="GI261" s="47"/>
      <c r="GJ261" s="47"/>
      <c r="GK261" s="47"/>
      <c r="GL261" s="47"/>
      <c r="GM261" s="47"/>
      <c r="GN261" s="47"/>
      <c r="GO261" s="47"/>
      <c r="GP261" s="47"/>
      <c r="GQ261" s="47"/>
      <c r="GR261" s="47"/>
      <c r="GS261" s="47"/>
      <c r="GT261" s="47"/>
      <c r="GU261" s="47"/>
      <c r="GV261" s="47"/>
      <c r="GW261" s="47"/>
      <c r="GX261" s="47"/>
      <c r="GY261" s="47"/>
      <c r="GZ261" s="47"/>
      <c r="HA261" s="47"/>
      <c r="HB261" s="47"/>
      <c r="HC261" s="47"/>
      <c r="HD261" s="47"/>
      <c r="HE261" s="47"/>
      <c r="HF261" s="47"/>
      <c r="HI261" s="47"/>
      <c r="HJ261" s="47"/>
      <c r="HK261" s="47"/>
      <c r="HL261" s="47"/>
      <c r="HM261" s="47"/>
      <c r="HN261" s="47"/>
      <c r="HO261" s="47"/>
      <c r="HP261" s="47"/>
      <c r="HS261" s="47"/>
      <c r="HT261" s="47"/>
      <c r="HU261" s="47"/>
      <c r="HV261" s="47"/>
      <c r="HW261" s="47"/>
      <c r="HX261" s="47"/>
      <c r="HY261" s="47"/>
      <c r="HZ261" s="47"/>
      <c r="IC261" s="47"/>
      <c r="ID261" s="47"/>
      <c r="IE261" s="47"/>
      <c r="IF261" s="47"/>
      <c r="IG261" s="47"/>
      <c r="IH261" s="47"/>
      <c r="II261" s="47"/>
      <c r="IJ261" s="47"/>
      <c r="IM261" s="47"/>
      <c r="IN261" s="47"/>
      <c r="IO261" s="47"/>
      <c r="IP261" s="47"/>
      <c r="IQ261" s="47"/>
      <c r="IR261" s="47"/>
      <c r="IS261" s="47"/>
      <c r="IT261" s="47"/>
      <c r="IW261" s="47"/>
      <c r="IX261" s="47"/>
      <c r="IY261" s="47"/>
      <c r="IZ261" s="47"/>
      <c r="JA261" s="47"/>
      <c r="JB261" s="47"/>
      <c r="JC261" s="47"/>
      <c r="JD261" s="47"/>
      <c r="JG261" s="47"/>
      <c r="JH261" s="47"/>
      <c r="JI261" s="47"/>
      <c r="JJ261" s="47"/>
      <c r="JK261" s="47"/>
      <c r="JL261" s="47"/>
      <c r="JM261" s="47"/>
      <c r="JN261" s="47"/>
      <c r="JQ261" s="47"/>
      <c r="JR261" s="47"/>
      <c r="JS261" s="47"/>
      <c r="JT261" s="47"/>
      <c r="JU261" s="47"/>
      <c r="JV261" s="47"/>
      <c r="JW261" s="47"/>
      <c r="JX261" s="47"/>
      <c r="KA261" s="47"/>
      <c r="KB261" s="47"/>
      <c r="KC261" s="47"/>
      <c r="KD261" s="47"/>
      <c r="KE261" s="47"/>
      <c r="KF261" s="47"/>
      <c r="KG261" s="47"/>
      <c r="KH261" s="47"/>
      <c r="KK261" s="47"/>
      <c r="KL261" s="47"/>
      <c r="KM261" s="47"/>
      <c r="KN261" s="47"/>
      <c r="KO261" s="47"/>
      <c r="KP261" s="47"/>
      <c r="KQ261" s="47"/>
      <c r="KR261" s="47"/>
      <c r="KU261" s="47"/>
      <c r="KV261" s="47"/>
      <c r="KW261" s="47"/>
      <c r="KX261" s="47"/>
      <c r="KY261" s="47"/>
      <c r="KZ261" s="47"/>
      <c r="LA261" s="47"/>
      <c r="LB261" s="47"/>
    </row>
    <row r="262" spans="29:314" x14ac:dyDescent="0.25">
      <c r="AC262" s="47"/>
      <c r="AD262" s="47"/>
      <c r="AE262" s="47"/>
      <c r="AF262" s="47"/>
      <c r="AG262" s="49"/>
      <c r="AH262" s="47"/>
      <c r="AI262" s="47"/>
      <c r="AJ262" s="47"/>
      <c r="AK262" s="47"/>
      <c r="AL262" s="47"/>
      <c r="AM262" s="47"/>
      <c r="AN262" s="47"/>
      <c r="AO262" s="47"/>
      <c r="AP262" s="47"/>
      <c r="AQ262" s="47"/>
      <c r="AR262" s="47"/>
      <c r="AS262" s="47"/>
      <c r="AT262" s="47"/>
      <c r="AU262" s="47"/>
      <c r="AV262" s="47"/>
      <c r="AW262" s="47"/>
      <c r="AX262" s="47"/>
      <c r="AY262" s="47"/>
      <c r="AZ262" s="47"/>
      <c r="BA262" s="47"/>
      <c r="BB262" s="47"/>
      <c r="BC262" s="47"/>
      <c r="BD262" s="47"/>
      <c r="BE262" s="47"/>
      <c r="BF262" s="47"/>
      <c r="BG262" s="47"/>
      <c r="BH262" s="47"/>
      <c r="BI262" s="47"/>
      <c r="BJ262" s="47"/>
      <c r="BK262" s="47"/>
      <c r="BL262" s="47"/>
      <c r="BM262" s="47"/>
      <c r="BN262" s="49"/>
      <c r="BO262" s="47"/>
      <c r="BP262" s="47"/>
      <c r="BQ262" s="47"/>
      <c r="BR262" s="47"/>
      <c r="BS262" s="47"/>
      <c r="BT262" s="47"/>
      <c r="BU262" s="47"/>
      <c r="BV262" s="47"/>
      <c r="BW262" s="47"/>
      <c r="BX262" s="47"/>
      <c r="BY262" s="47"/>
      <c r="BZ262" s="47"/>
      <c r="CA262" s="47"/>
      <c r="CB262" s="47"/>
      <c r="CC262" s="47"/>
      <c r="CD262" s="47"/>
      <c r="CE262" s="47"/>
      <c r="CF262" s="47"/>
      <c r="CG262" s="49"/>
      <c r="CH262" s="47"/>
      <c r="CI262" s="47"/>
      <c r="CJ262" s="47"/>
      <c r="CK262" s="47"/>
      <c r="CL262" s="47"/>
      <c r="CM262" s="47"/>
      <c r="CN262" s="47"/>
      <c r="CO262" s="47"/>
      <c r="CP262" s="47"/>
      <c r="CQ262" s="47"/>
      <c r="CS262" s="47"/>
      <c r="CT262" s="47"/>
      <c r="CU262" s="47"/>
      <c r="CV262" s="47"/>
      <c r="CW262" s="47"/>
      <c r="CX262" s="47"/>
      <c r="CY262" s="47"/>
      <c r="CZ262" s="47"/>
      <c r="DA262" s="47"/>
      <c r="DB262" s="47"/>
      <c r="DC262" s="47"/>
      <c r="DD262" s="47"/>
      <c r="DE262" s="47"/>
      <c r="DF262" s="47"/>
      <c r="DG262" s="47"/>
      <c r="DH262" s="47"/>
      <c r="DI262" s="47"/>
      <c r="DJ262" s="47"/>
      <c r="DK262" s="47"/>
      <c r="DM262" s="47"/>
      <c r="DN262" s="47"/>
      <c r="DO262" s="47"/>
      <c r="DP262" s="47"/>
      <c r="DQ262" s="47"/>
      <c r="DR262" s="47"/>
      <c r="DS262" s="47"/>
      <c r="DT262" s="47"/>
      <c r="DU262" s="47"/>
      <c r="DV262" s="49"/>
      <c r="DW262" s="47"/>
      <c r="DX262" s="47"/>
      <c r="DY262" s="47"/>
      <c r="DZ262" s="47"/>
      <c r="EA262" s="47"/>
      <c r="EB262" s="47"/>
      <c r="EC262" s="47"/>
      <c r="ED262" s="47"/>
      <c r="EE262" s="47"/>
      <c r="EF262" s="47"/>
      <c r="EG262" s="47"/>
      <c r="EH262" s="47"/>
      <c r="EI262" s="47"/>
      <c r="EJ262" s="47"/>
      <c r="EK262" s="47"/>
      <c r="EL262" s="47"/>
      <c r="EM262" s="47"/>
      <c r="EN262" s="47"/>
      <c r="EO262" s="47"/>
      <c r="EP262" s="47"/>
      <c r="EQ262" s="47"/>
      <c r="ER262" s="47"/>
      <c r="ES262" s="47"/>
      <c r="ET262" s="47"/>
      <c r="EU262" s="47"/>
      <c r="EV262" s="47"/>
      <c r="EW262" s="47"/>
      <c r="EX262" s="47"/>
      <c r="EY262" s="47"/>
      <c r="EZ262" s="47"/>
      <c r="FA262" s="47"/>
      <c r="FB262" s="47"/>
      <c r="FC262" s="47"/>
      <c r="FD262" s="47"/>
      <c r="FE262" s="47"/>
      <c r="FF262" s="47"/>
      <c r="FG262" s="47"/>
      <c r="FH262" s="47"/>
      <c r="FI262" s="47"/>
      <c r="FJ262" s="49"/>
      <c r="FK262" s="47"/>
      <c r="FL262" s="47"/>
      <c r="FM262" s="47"/>
      <c r="FN262" s="47"/>
      <c r="FO262" s="47"/>
      <c r="FP262" s="47"/>
      <c r="FQ262" s="47"/>
      <c r="FR262" s="47"/>
      <c r="FS262" s="47"/>
      <c r="FT262" s="47"/>
      <c r="FU262" s="47"/>
      <c r="FV262" s="47"/>
      <c r="FW262" s="47"/>
      <c r="FX262" s="47"/>
      <c r="FY262" s="47"/>
      <c r="FZ262" s="47"/>
      <c r="GA262" s="47"/>
      <c r="GB262" s="47"/>
      <c r="GC262" s="47"/>
      <c r="GD262" s="47"/>
      <c r="GE262" s="47"/>
      <c r="GF262" s="47"/>
      <c r="GG262" s="47"/>
      <c r="GH262" s="47"/>
      <c r="GI262" s="47"/>
      <c r="GJ262" s="47"/>
      <c r="GK262" s="47"/>
      <c r="GL262" s="47"/>
      <c r="GM262" s="47"/>
      <c r="GN262" s="47"/>
      <c r="GO262" s="47"/>
      <c r="GP262" s="47"/>
      <c r="GQ262" s="47"/>
      <c r="GR262" s="47"/>
      <c r="GS262" s="47"/>
      <c r="GT262" s="47"/>
      <c r="GU262" s="47"/>
      <c r="GV262" s="47"/>
      <c r="GW262" s="47"/>
      <c r="GX262" s="47"/>
      <c r="GY262" s="47"/>
      <c r="GZ262" s="47"/>
      <c r="HA262" s="47"/>
      <c r="HB262" s="47"/>
      <c r="HC262" s="47"/>
      <c r="HD262" s="47"/>
      <c r="HE262" s="47"/>
      <c r="HF262" s="47"/>
      <c r="HI262" s="47"/>
      <c r="HJ262" s="47"/>
      <c r="HK262" s="47"/>
      <c r="HL262" s="47"/>
      <c r="HM262" s="47"/>
      <c r="HN262" s="47"/>
      <c r="HO262" s="47"/>
      <c r="HP262" s="47"/>
      <c r="HS262" s="47"/>
      <c r="HT262" s="47"/>
      <c r="HU262" s="47"/>
      <c r="HV262" s="47"/>
      <c r="HW262" s="47"/>
      <c r="HX262" s="47"/>
      <c r="HY262" s="47"/>
      <c r="HZ262" s="47"/>
      <c r="IC262" s="47"/>
      <c r="ID262" s="47"/>
      <c r="IE262" s="47"/>
      <c r="IF262" s="47"/>
      <c r="IG262" s="47"/>
      <c r="IH262" s="47"/>
      <c r="II262" s="47"/>
      <c r="IJ262" s="47"/>
      <c r="IM262" s="47"/>
      <c r="IN262" s="47"/>
      <c r="IO262" s="47"/>
      <c r="IP262" s="47"/>
      <c r="IQ262" s="47"/>
      <c r="IR262" s="47"/>
      <c r="IS262" s="47"/>
      <c r="IT262" s="47"/>
      <c r="IW262" s="47"/>
      <c r="IX262" s="47"/>
      <c r="IY262" s="47"/>
      <c r="IZ262" s="47"/>
      <c r="JA262" s="47"/>
      <c r="JB262" s="47"/>
      <c r="JC262" s="47"/>
      <c r="JD262" s="47"/>
      <c r="JG262" s="47"/>
      <c r="JH262" s="47"/>
      <c r="JI262" s="47"/>
      <c r="JJ262" s="47"/>
      <c r="JK262" s="47"/>
      <c r="JL262" s="47"/>
      <c r="JM262" s="47"/>
      <c r="JN262" s="47"/>
      <c r="JQ262" s="47"/>
      <c r="JR262" s="47"/>
      <c r="JS262" s="47"/>
      <c r="JT262" s="47"/>
      <c r="JU262" s="47"/>
      <c r="JV262" s="47"/>
      <c r="JW262" s="47"/>
      <c r="JX262" s="47"/>
      <c r="KA262" s="47"/>
      <c r="KB262" s="47"/>
      <c r="KC262" s="47"/>
      <c r="KD262" s="47"/>
      <c r="KE262" s="47"/>
      <c r="KF262" s="47"/>
      <c r="KG262" s="47"/>
      <c r="KH262" s="47"/>
      <c r="KK262" s="47"/>
      <c r="KL262" s="47"/>
      <c r="KM262" s="47"/>
      <c r="KN262" s="47"/>
      <c r="KO262" s="47"/>
      <c r="KP262" s="47"/>
      <c r="KQ262" s="47"/>
      <c r="KR262" s="47"/>
      <c r="KU262" s="47"/>
      <c r="KV262" s="47"/>
      <c r="KW262" s="47"/>
      <c r="KX262" s="47"/>
      <c r="KY262" s="47"/>
      <c r="KZ262" s="47"/>
      <c r="LA262" s="47"/>
      <c r="LB262" s="47"/>
    </row>
    <row r="263" spans="29:314" x14ac:dyDescent="0.25">
      <c r="AC263" s="47"/>
      <c r="AD263" s="47"/>
      <c r="AE263" s="47"/>
      <c r="AF263" s="47"/>
      <c r="AG263" s="49"/>
      <c r="AH263" s="47"/>
      <c r="AI263" s="47"/>
      <c r="AJ263" s="47"/>
      <c r="AK263" s="47"/>
      <c r="AL263" s="47"/>
      <c r="AM263" s="47"/>
      <c r="AN263" s="47"/>
      <c r="AO263" s="47"/>
      <c r="AP263" s="47"/>
      <c r="AQ263" s="47"/>
      <c r="AR263" s="47"/>
      <c r="AS263" s="47"/>
      <c r="AT263" s="47"/>
      <c r="AU263" s="47"/>
      <c r="AV263" s="47"/>
      <c r="AW263" s="47"/>
      <c r="AX263" s="47"/>
      <c r="AY263" s="47"/>
      <c r="AZ263" s="47"/>
      <c r="BA263" s="47"/>
      <c r="BB263" s="47"/>
      <c r="BC263" s="47"/>
      <c r="BD263" s="47"/>
      <c r="BE263" s="47"/>
      <c r="BF263" s="47"/>
      <c r="BG263" s="47"/>
      <c r="BH263" s="47"/>
      <c r="BI263" s="47"/>
      <c r="BJ263" s="47"/>
      <c r="BK263" s="47"/>
      <c r="BL263" s="47"/>
      <c r="BM263" s="47"/>
      <c r="BN263" s="49"/>
      <c r="BO263" s="47"/>
      <c r="BP263" s="47"/>
      <c r="BQ263" s="47"/>
      <c r="BR263" s="47"/>
      <c r="BS263" s="47"/>
      <c r="BT263" s="47"/>
      <c r="BU263" s="47"/>
      <c r="BV263" s="47"/>
      <c r="BW263" s="47"/>
      <c r="BX263" s="47"/>
      <c r="BY263" s="47"/>
      <c r="BZ263" s="47"/>
      <c r="CA263" s="47"/>
      <c r="CB263" s="47"/>
      <c r="CC263" s="47"/>
      <c r="CD263" s="47"/>
      <c r="CE263" s="47"/>
      <c r="CF263" s="47"/>
      <c r="CG263" s="49"/>
      <c r="CH263" s="47"/>
      <c r="CI263" s="47"/>
      <c r="CJ263" s="47"/>
      <c r="CK263" s="47"/>
      <c r="CL263" s="47"/>
      <c r="CM263" s="47"/>
      <c r="CN263" s="47"/>
      <c r="CO263" s="47"/>
      <c r="CP263" s="47"/>
      <c r="CQ263" s="47"/>
      <c r="CS263" s="47"/>
      <c r="CT263" s="47"/>
      <c r="CU263" s="47"/>
      <c r="CV263" s="47"/>
      <c r="CW263" s="47"/>
      <c r="CX263" s="47"/>
      <c r="CY263" s="47"/>
      <c r="CZ263" s="47"/>
      <c r="DA263" s="47"/>
      <c r="DB263" s="47"/>
      <c r="DC263" s="47"/>
      <c r="DD263" s="47"/>
      <c r="DE263" s="47"/>
      <c r="DF263" s="47"/>
      <c r="DG263" s="47"/>
      <c r="DH263" s="47"/>
      <c r="DI263" s="47"/>
      <c r="DJ263" s="47"/>
      <c r="DK263" s="47"/>
      <c r="DM263" s="47"/>
      <c r="DN263" s="47"/>
      <c r="DO263" s="47"/>
      <c r="DP263" s="47"/>
      <c r="DQ263" s="47"/>
      <c r="DR263" s="47"/>
      <c r="DS263" s="47"/>
      <c r="DT263" s="47"/>
      <c r="DU263" s="47"/>
      <c r="DV263" s="49"/>
      <c r="DW263" s="47"/>
      <c r="DX263" s="47"/>
      <c r="DY263" s="47"/>
      <c r="DZ263" s="47"/>
      <c r="EA263" s="47"/>
      <c r="EB263" s="47"/>
      <c r="EC263" s="47"/>
      <c r="ED263" s="47"/>
      <c r="EE263" s="47"/>
      <c r="EF263" s="47"/>
      <c r="EG263" s="47"/>
      <c r="EH263" s="47"/>
      <c r="EI263" s="47"/>
      <c r="EJ263" s="47"/>
      <c r="EK263" s="47"/>
      <c r="EL263" s="47"/>
      <c r="EM263" s="47"/>
      <c r="EN263" s="47"/>
      <c r="EO263" s="47"/>
      <c r="EP263" s="47"/>
      <c r="EQ263" s="47"/>
      <c r="ER263" s="47"/>
      <c r="ES263" s="47"/>
      <c r="ET263" s="47"/>
      <c r="EU263" s="47"/>
      <c r="EV263" s="47"/>
      <c r="EW263" s="47"/>
      <c r="EX263" s="47"/>
      <c r="EY263" s="47"/>
      <c r="EZ263" s="47"/>
      <c r="FA263" s="47"/>
      <c r="FB263" s="47"/>
      <c r="FC263" s="47"/>
      <c r="FD263" s="47"/>
      <c r="FE263" s="47"/>
      <c r="FF263" s="47"/>
      <c r="FG263" s="47"/>
      <c r="FH263" s="47"/>
      <c r="FI263" s="47"/>
      <c r="FJ263" s="49"/>
      <c r="FK263" s="47"/>
      <c r="FL263" s="47"/>
      <c r="FM263" s="47"/>
      <c r="FN263" s="47"/>
      <c r="FO263" s="47"/>
      <c r="FP263" s="47"/>
      <c r="FQ263" s="47"/>
      <c r="FR263" s="47"/>
      <c r="FS263" s="47"/>
      <c r="FT263" s="47"/>
      <c r="FU263" s="47"/>
      <c r="FV263" s="47"/>
      <c r="FW263" s="47"/>
      <c r="FX263" s="47"/>
      <c r="FY263" s="47"/>
      <c r="FZ263" s="47"/>
      <c r="GA263" s="47"/>
      <c r="GB263" s="47"/>
      <c r="GC263" s="47"/>
      <c r="GD263" s="47"/>
      <c r="GE263" s="47"/>
      <c r="GF263" s="47"/>
      <c r="GG263" s="47"/>
      <c r="GH263" s="47"/>
      <c r="GI263" s="47"/>
      <c r="GJ263" s="47"/>
      <c r="GK263" s="47"/>
      <c r="GL263" s="47"/>
      <c r="GM263" s="47"/>
      <c r="GN263" s="47"/>
      <c r="GO263" s="47"/>
      <c r="GP263" s="47"/>
      <c r="GQ263" s="47"/>
      <c r="GR263" s="47"/>
      <c r="GS263" s="47"/>
      <c r="GT263" s="47"/>
      <c r="GU263" s="47"/>
      <c r="GV263" s="47"/>
      <c r="GW263" s="47"/>
      <c r="GX263" s="47"/>
      <c r="GY263" s="47"/>
      <c r="GZ263" s="47"/>
      <c r="HA263" s="47"/>
      <c r="HB263" s="47"/>
      <c r="HC263" s="47"/>
      <c r="HD263" s="47"/>
      <c r="HE263" s="47"/>
      <c r="HF263" s="47"/>
      <c r="HI263" s="47"/>
      <c r="HJ263" s="47"/>
      <c r="HK263" s="47"/>
      <c r="HL263" s="47"/>
      <c r="HM263" s="47"/>
      <c r="HN263" s="47"/>
      <c r="HO263" s="47"/>
      <c r="HP263" s="47"/>
      <c r="HS263" s="47"/>
      <c r="HT263" s="47"/>
      <c r="HU263" s="47"/>
      <c r="HV263" s="47"/>
      <c r="HW263" s="47"/>
      <c r="HX263" s="47"/>
      <c r="HY263" s="47"/>
      <c r="HZ263" s="47"/>
      <c r="IC263" s="47"/>
      <c r="ID263" s="47"/>
      <c r="IE263" s="47"/>
      <c r="IF263" s="47"/>
      <c r="IG263" s="47"/>
      <c r="IH263" s="47"/>
      <c r="II263" s="47"/>
      <c r="IJ263" s="47"/>
      <c r="IM263" s="47"/>
      <c r="IN263" s="47"/>
      <c r="IO263" s="47"/>
      <c r="IP263" s="47"/>
      <c r="IQ263" s="47"/>
      <c r="IR263" s="47"/>
      <c r="IS263" s="47"/>
      <c r="IT263" s="47"/>
      <c r="IW263" s="47"/>
      <c r="IX263" s="47"/>
      <c r="IY263" s="47"/>
      <c r="IZ263" s="47"/>
      <c r="JA263" s="47"/>
      <c r="JB263" s="47"/>
      <c r="JC263" s="47"/>
      <c r="JD263" s="47"/>
      <c r="JG263" s="47"/>
      <c r="JH263" s="47"/>
      <c r="JI263" s="47"/>
      <c r="JJ263" s="47"/>
      <c r="JK263" s="47"/>
      <c r="JL263" s="47"/>
      <c r="JM263" s="47"/>
      <c r="JN263" s="47"/>
      <c r="JQ263" s="47"/>
      <c r="JR263" s="47"/>
      <c r="JS263" s="47"/>
      <c r="JT263" s="47"/>
      <c r="JU263" s="47"/>
      <c r="JV263" s="47"/>
      <c r="JW263" s="47"/>
      <c r="JX263" s="47"/>
      <c r="KA263" s="47"/>
      <c r="KB263" s="47"/>
      <c r="KC263" s="47"/>
      <c r="KD263" s="47"/>
      <c r="KE263" s="47"/>
      <c r="KF263" s="47"/>
      <c r="KG263" s="47"/>
      <c r="KH263" s="47"/>
      <c r="KK263" s="47"/>
      <c r="KL263" s="47"/>
      <c r="KM263" s="47"/>
      <c r="KN263" s="47"/>
      <c r="KO263" s="47"/>
      <c r="KP263" s="47"/>
      <c r="KQ263" s="47"/>
      <c r="KR263" s="47"/>
      <c r="KU263" s="47"/>
      <c r="KV263" s="47"/>
      <c r="KW263" s="47"/>
      <c r="KX263" s="47"/>
      <c r="KY263" s="47"/>
      <c r="KZ263" s="47"/>
      <c r="LA263" s="47"/>
      <c r="LB263" s="47"/>
    </row>
    <row r="264" spans="29:314" x14ac:dyDescent="0.25">
      <c r="AC264" s="47"/>
      <c r="AD264" s="47"/>
      <c r="AE264" s="47"/>
      <c r="AF264" s="47"/>
      <c r="AG264" s="49"/>
      <c r="AH264" s="47"/>
      <c r="AI264" s="47"/>
      <c r="AJ264" s="47"/>
      <c r="AK264" s="47"/>
      <c r="AL264" s="47"/>
      <c r="AM264" s="47"/>
      <c r="AN264" s="47"/>
      <c r="AO264" s="47"/>
      <c r="AP264" s="47"/>
      <c r="AQ264" s="47"/>
      <c r="AR264" s="47"/>
      <c r="AS264" s="47"/>
      <c r="AT264" s="47"/>
      <c r="AU264" s="47"/>
      <c r="AV264" s="47"/>
      <c r="AW264" s="47"/>
      <c r="AX264" s="47"/>
      <c r="AY264" s="47"/>
      <c r="AZ264" s="47"/>
      <c r="BA264" s="47"/>
      <c r="BB264" s="47"/>
      <c r="BC264" s="47"/>
      <c r="BD264" s="47"/>
      <c r="BE264" s="47"/>
      <c r="BF264" s="47"/>
      <c r="BG264" s="47"/>
      <c r="BH264" s="47"/>
      <c r="BI264" s="47"/>
      <c r="BJ264" s="47"/>
      <c r="BK264" s="47"/>
      <c r="BL264" s="47"/>
      <c r="BM264" s="47"/>
      <c r="BN264" s="49"/>
      <c r="BO264" s="47"/>
      <c r="BP264" s="47"/>
      <c r="BQ264" s="47"/>
      <c r="BR264" s="47"/>
      <c r="BS264" s="47"/>
      <c r="BT264" s="47"/>
      <c r="BU264" s="47"/>
      <c r="BV264" s="47"/>
      <c r="BW264" s="47"/>
      <c r="BX264" s="47"/>
      <c r="BY264" s="47"/>
      <c r="BZ264" s="47"/>
      <c r="CA264" s="47"/>
      <c r="CB264" s="47"/>
      <c r="CC264" s="47"/>
      <c r="CD264" s="47"/>
      <c r="CE264" s="47"/>
      <c r="CF264" s="47"/>
      <c r="CG264" s="49"/>
      <c r="CH264" s="47"/>
      <c r="CI264" s="47"/>
      <c r="CJ264" s="47"/>
      <c r="CK264" s="47"/>
      <c r="CL264" s="47"/>
      <c r="CM264" s="47"/>
      <c r="CN264" s="47"/>
      <c r="CO264" s="47"/>
      <c r="CP264" s="47"/>
      <c r="CQ264" s="47"/>
      <c r="CS264" s="47"/>
      <c r="CT264" s="47"/>
      <c r="CU264" s="47"/>
      <c r="CV264" s="47"/>
      <c r="CW264" s="47"/>
      <c r="CX264" s="47"/>
      <c r="CY264" s="47"/>
      <c r="CZ264" s="47"/>
      <c r="DA264" s="47"/>
      <c r="DB264" s="47"/>
      <c r="DC264" s="47"/>
      <c r="DD264" s="47"/>
      <c r="DE264" s="47"/>
      <c r="DF264" s="47"/>
      <c r="DG264" s="47"/>
      <c r="DH264" s="47"/>
      <c r="DI264" s="47"/>
      <c r="DJ264" s="47"/>
      <c r="DK264" s="47"/>
      <c r="DM264" s="47"/>
      <c r="DN264" s="47"/>
      <c r="DO264" s="47"/>
      <c r="DP264" s="47"/>
      <c r="DQ264" s="47"/>
      <c r="DR264" s="47"/>
      <c r="DS264" s="47"/>
      <c r="DT264" s="47"/>
      <c r="DU264" s="47"/>
      <c r="DV264" s="49"/>
      <c r="DW264" s="47"/>
      <c r="DX264" s="47"/>
      <c r="DY264" s="47"/>
      <c r="DZ264" s="47"/>
      <c r="EA264" s="47"/>
      <c r="EB264" s="47"/>
      <c r="EC264" s="47"/>
      <c r="ED264" s="47"/>
      <c r="EE264" s="47"/>
      <c r="EF264" s="47"/>
      <c r="EG264" s="47"/>
      <c r="EH264" s="47"/>
      <c r="EI264" s="47"/>
      <c r="EJ264" s="47"/>
      <c r="EK264" s="47"/>
      <c r="EL264" s="47"/>
      <c r="EM264" s="47"/>
      <c r="EN264" s="47"/>
      <c r="EO264" s="47"/>
      <c r="EP264" s="47"/>
      <c r="EQ264" s="47"/>
      <c r="ER264" s="47"/>
      <c r="ES264" s="47"/>
      <c r="ET264" s="47"/>
      <c r="EU264" s="47"/>
      <c r="EV264" s="47"/>
      <c r="EW264" s="47"/>
      <c r="EX264" s="47"/>
      <c r="EY264" s="47"/>
      <c r="EZ264" s="47"/>
      <c r="FA264" s="47"/>
      <c r="FB264" s="47"/>
      <c r="FC264" s="47"/>
      <c r="FD264" s="47"/>
      <c r="FE264" s="47"/>
      <c r="FF264" s="47"/>
      <c r="FG264" s="47"/>
      <c r="FH264" s="47"/>
      <c r="FI264" s="47"/>
      <c r="FJ264" s="49"/>
      <c r="FK264" s="47"/>
      <c r="FL264" s="47"/>
      <c r="FM264" s="47"/>
      <c r="FN264" s="47"/>
      <c r="FO264" s="47"/>
      <c r="FP264" s="47"/>
      <c r="FQ264" s="47"/>
      <c r="FR264" s="47"/>
      <c r="FS264" s="47"/>
      <c r="FT264" s="47"/>
      <c r="FU264" s="47"/>
      <c r="FV264" s="47"/>
      <c r="FW264" s="47"/>
      <c r="FX264" s="47"/>
      <c r="FY264" s="47"/>
      <c r="FZ264" s="47"/>
      <c r="GA264" s="47"/>
      <c r="GB264" s="47"/>
      <c r="GC264" s="47"/>
      <c r="GD264" s="47"/>
      <c r="GE264" s="47"/>
      <c r="GF264" s="47"/>
      <c r="GG264" s="47"/>
      <c r="GH264" s="47"/>
      <c r="GI264" s="47"/>
      <c r="GJ264" s="47"/>
      <c r="GK264" s="47"/>
      <c r="GL264" s="47"/>
      <c r="GM264" s="47"/>
      <c r="GN264" s="47"/>
      <c r="GO264" s="47"/>
      <c r="GP264" s="47"/>
      <c r="GQ264" s="47"/>
      <c r="GR264" s="47"/>
      <c r="GS264" s="47"/>
      <c r="GT264" s="47"/>
      <c r="GU264" s="47"/>
      <c r="GV264" s="47"/>
      <c r="GW264" s="47"/>
      <c r="GX264" s="47"/>
      <c r="GY264" s="47"/>
      <c r="GZ264" s="47"/>
      <c r="HA264" s="47"/>
      <c r="HB264" s="47"/>
      <c r="HC264" s="47"/>
      <c r="HD264" s="47"/>
      <c r="HE264" s="47"/>
      <c r="HF264" s="47"/>
      <c r="HI264" s="47"/>
      <c r="HJ264" s="47"/>
      <c r="HK264" s="47"/>
      <c r="HL264" s="47"/>
      <c r="HM264" s="47"/>
      <c r="HN264" s="47"/>
      <c r="HO264" s="47"/>
      <c r="HP264" s="47"/>
      <c r="HS264" s="47"/>
      <c r="HT264" s="47"/>
      <c r="HU264" s="47"/>
      <c r="HV264" s="47"/>
      <c r="HW264" s="47"/>
      <c r="HX264" s="47"/>
      <c r="HY264" s="47"/>
      <c r="HZ264" s="47"/>
      <c r="IC264" s="47"/>
      <c r="ID264" s="47"/>
      <c r="IE264" s="47"/>
      <c r="IF264" s="47"/>
      <c r="IG264" s="47"/>
      <c r="IH264" s="47"/>
      <c r="II264" s="47"/>
      <c r="IJ264" s="47"/>
      <c r="IM264" s="47"/>
      <c r="IN264" s="47"/>
      <c r="IO264" s="47"/>
      <c r="IP264" s="47"/>
      <c r="IQ264" s="47"/>
      <c r="IR264" s="47"/>
      <c r="IS264" s="47"/>
      <c r="IT264" s="47"/>
      <c r="IW264" s="47"/>
      <c r="IX264" s="47"/>
      <c r="IY264" s="47"/>
      <c r="IZ264" s="47"/>
      <c r="JA264" s="47"/>
      <c r="JB264" s="47"/>
      <c r="JC264" s="47"/>
      <c r="JD264" s="47"/>
      <c r="JG264" s="47"/>
      <c r="JH264" s="47"/>
      <c r="JI264" s="47"/>
      <c r="JJ264" s="47"/>
      <c r="JK264" s="47"/>
      <c r="JL264" s="47"/>
      <c r="JM264" s="47"/>
      <c r="JN264" s="47"/>
      <c r="JQ264" s="47"/>
      <c r="JR264" s="47"/>
      <c r="JS264" s="47"/>
      <c r="JT264" s="47"/>
      <c r="JU264" s="47"/>
      <c r="JV264" s="47"/>
      <c r="JW264" s="47"/>
      <c r="JX264" s="47"/>
      <c r="KA264" s="47"/>
      <c r="KB264" s="47"/>
      <c r="KC264" s="47"/>
      <c r="KD264" s="47"/>
      <c r="KE264" s="47"/>
      <c r="KF264" s="47"/>
      <c r="KG264" s="47"/>
      <c r="KH264" s="47"/>
      <c r="KK264" s="47"/>
      <c r="KL264" s="47"/>
      <c r="KM264" s="47"/>
      <c r="KN264" s="47"/>
      <c r="KO264" s="47"/>
      <c r="KP264" s="47"/>
      <c r="KQ264" s="47"/>
      <c r="KR264" s="47"/>
      <c r="KU264" s="47"/>
      <c r="KV264" s="47"/>
      <c r="KW264" s="47"/>
      <c r="KX264" s="47"/>
      <c r="KY264" s="47"/>
      <c r="KZ264" s="47"/>
      <c r="LA264" s="47"/>
      <c r="LB264" s="47"/>
    </row>
    <row r="265" spans="29:314" x14ac:dyDescent="0.25">
      <c r="AC265" s="47"/>
      <c r="AD265" s="47"/>
      <c r="AE265" s="47"/>
      <c r="AF265" s="47"/>
      <c r="AG265" s="49"/>
      <c r="AH265" s="47"/>
      <c r="AI265" s="47"/>
      <c r="AJ265" s="47"/>
      <c r="AK265" s="47"/>
      <c r="AL265" s="47"/>
      <c r="AM265" s="47"/>
      <c r="AN265" s="47"/>
      <c r="AO265" s="47"/>
      <c r="AP265" s="47"/>
      <c r="AQ265" s="47"/>
      <c r="AR265" s="47"/>
      <c r="AS265" s="47"/>
      <c r="AT265" s="47"/>
      <c r="AU265" s="47"/>
      <c r="AV265" s="47"/>
      <c r="AW265" s="47"/>
      <c r="AX265" s="47"/>
      <c r="AY265" s="47"/>
      <c r="AZ265" s="47"/>
      <c r="BA265" s="47"/>
      <c r="BB265" s="47"/>
      <c r="BC265" s="47"/>
      <c r="BD265" s="47"/>
      <c r="BE265" s="47"/>
      <c r="BF265" s="47"/>
      <c r="BG265" s="47"/>
      <c r="BH265" s="47"/>
      <c r="BI265" s="47"/>
      <c r="BJ265" s="47"/>
      <c r="BK265" s="47"/>
      <c r="BL265" s="47"/>
      <c r="BM265" s="47"/>
      <c r="BN265" s="49"/>
      <c r="BO265" s="47"/>
      <c r="BP265" s="47"/>
      <c r="BQ265" s="47"/>
      <c r="BR265" s="47"/>
      <c r="BS265" s="47"/>
      <c r="BT265" s="47"/>
      <c r="BU265" s="47"/>
      <c r="BV265" s="47"/>
      <c r="BW265" s="47"/>
      <c r="BX265" s="47"/>
      <c r="BY265" s="47"/>
      <c r="BZ265" s="47"/>
      <c r="CA265" s="47"/>
      <c r="CB265" s="47"/>
      <c r="CC265" s="47"/>
      <c r="CD265" s="47"/>
      <c r="CE265" s="47"/>
      <c r="CF265" s="47"/>
      <c r="CG265" s="49"/>
      <c r="CH265" s="47"/>
      <c r="CI265" s="47"/>
      <c r="CJ265" s="47"/>
      <c r="CK265" s="47"/>
      <c r="CL265" s="47"/>
      <c r="CM265" s="47"/>
      <c r="CN265" s="47"/>
      <c r="CO265" s="47"/>
      <c r="CP265" s="47"/>
      <c r="CQ265" s="47"/>
      <c r="CS265" s="47"/>
      <c r="CT265" s="47"/>
      <c r="CU265" s="47"/>
      <c r="CV265" s="47"/>
      <c r="CW265" s="47"/>
      <c r="CX265" s="47"/>
      <c r="CY265" s="47"/>
      <c r="CZ265" s="47"/>
      <c r="DA265" s="47"/>
      <c r="DB265" s="47"/>
      <c r="DC265" s="47"/>
      <c r="DD265" s="47"/>
      <c r="DE265" s="47"/>
      <c r="DF265" s="47"/>
      <c r="DG265" s="47"/>
      <c r="DH265" s="47"/>
      <c r="DI265" s="47"/>
      <c r="DJ265" s="47"/>
      <c r="DK265" s="47"/>
      <c r="DM265" s="47"/>
      <c r="DN265" s="47"/>
      <c r="DO265" s="47"/>
      <c r="DP265" s="47"/>
      <c r="DQ265" s="47"/>
      <c r="DR265" s="47"/>
      <c r="DS265" s="47"/>
      <c r="DT265" s="47"/>
      <c r="DU265" s="47"/>
      <c r="DV265" s="49"/>
      <c r="DW265" s="47"/>
      <c r="DX265" s="47"/>
      <c r="DY265" s="47"/>
      <c r="DZ265" s="47"/>
      <c r="EA265" s="47"/>
      <c r="EB265" s="47"/>
      <c r="EC265" s="47"/>
      <c r="ED265" s="47"/>
      <c r="EE265" s="47"/>
      <c r="EF265" s="47"/>
      <c r="EG265" s="47"/>
      <c r="EH265" s="47"/>
      <c r="EI265" s="47"/>
      <c r="EJ265" s="47"/>
      <c r="EK265" s="47"/>
      <c r="EL265" s="47"/>
      <c r="EM265" s="47"/>
      <c r="EN265" s="47"/>
      <c r="EO265" s="47"/>
      <c r="EP265" s="47"/>
      <c r="EQ265" s="47"/>
      <c r="ER265" s="47"/>
      <c r="ES265" s="47"/>
      <c r="ET265" s="47"/>
      <c r="EU265" s="47"/>
      <c r="EV265" s="47"/>
      <c r="EW265" s="47"/>
      <c r="EX265" s="47"/>
      <c r="EY265" s="47"/>
      <c r="EZ265" s="47"/>
      <c r="FA265" s="47"/>
      <c r="FB265" s="47"/>
      <c r="FC265" s="47"/>
      <c r="FD265" s="47"/>
      <c r="FE265" s="47"/>
      <c r="FF265" s="47"/>
      <c r="FG265" s="47"/>
      <c r="FH265" s="47"/>
      <c r="FI265" s="47"/>
      <c r="FJ265" s="49"/>
      <c r="FK265" s="47"/>
      <c r="FL265" s="47"/>
      <c r="FM265" s="47"/>
      <c r="FN265" s="47"/>
      <c r="FO265" s="47"/>
      <c r="FP265" s="47"/>
      <c r="FQ265" s="47"/>
      <c r="FR265" s="47"/>
      <c r="FS265" s="47"/>
      <c r="FT265" s="47"/>
      <c r="FU265" s="47"/>
      <c r="FV265" s="47"/>
      <c r="FW265" s="47"/>
      <c r="FX265" s="47"/>
      <c r="FY265" s="47"/>
      <c r="FZ265" s="47"/>
      <c r="GA265" s="47"/>
      <c r="GB265" s="47"/>
      <c r="GC265" s="47"/>
      <c r="GD265" s="47"/>
      <c r="GE265" s="47"/>
      <c r="GF265" s="47"/>
      <c r="GG265" s="47"/>
      <c r="GH265" s="47"/>
      <c r="GI265" s="47"/>
      <c r="GJ265" s="47"/>
      <c r="GK265" s="47"/>
      <c r="GL265" s="47"/>
      <c r="GM265" s="47"/>
      <c r="GN265" s="47"/>
      <c r="GO265" s="47"/>
      <c r="GP265" s="47"/>
      <c r="GQ265" s="47"/>
      <c r="GR265" s="47"/>
      <c r="GS265" s="47"/>
      <c r="GT265" s="47"/>
      <c r="GU265" s="47"/>
      <c r="GV265" s="47"/>
      <c r="GW265" s="47"/>
      <c r="GX265" s="47"/>
      <c r="GY265" s="47"/>
      <c r="GZ265" s="47"/>
      <c r="HA265" s="47"/>
      <c r="HB265" s="47"/>
      <c r="HC265" s="47"/>
      <c r="HD265" s="47"/>
      <c r="HE265" s="47"/>
      <c r="HF265" s="47"/>
      <c r="HI265" s="47"/>
      <c r="HJ265" s="47"/>
      <c r="HK265" s="47"/>
      <c r="HL265" s="47"/>
      <c r="HM265" s="47"/>
      <c r="HN265" s="47"/>
      <c r="HO265" s="47"/>
      <c r="HP265" s="47"/>
      <c r="HS265" s="47"/>
      <c r="HT265" s="47"/>
      <c r="HU265" s="47"/>
      <c r="HV265" s="47"/>
      <c r="HW265" s="47"/>
      <c r="HX265" s="47"/>
      <c r="HY265" s="47"/>
      <c r="HZ265" s="47"/>
      <c r="IC265" s="47"/>
      <c r="ID265" s="47"/>
      <c r="IE265" s="47"/>
      <c r="IF265" s="47"/>
      <c r="IG265" s="47"/>
      <c r="IH265" s="47"/>
      <c r="II265" s="47"/>
      <c r="IJ265" s="47"/>
      <c r="IM265" s="47"/>
      <c r="IN265" s="47"/>
      <c r="IO265" s="47"/>
      <c r="IP265" s="47"/>
      <c r="IQ265" s="47"/>
      <c r="IR265" s="47"/>
      <c r="IS265" s="47"/>
      <c r="IT265" s="47"/>
      <c r="IW265" s="47"/>
      <c r="IX265" s="47"/>
      <c r="IY265" s="47"/>
      <c r="IZ265" s="47"/>
      <c r="JA265" s="47"/>
      <c r="JB265" s="47"/>
      <c r="JC265" s="47"/>
      <c r="JD265" s="47"/>
      <c r="JG265" s="47"/>
      <c r="JH265" s="47"/>
      <c r="JI265" s="47"/>
      <c r="JJ265" s="47"/>
      <c r="JK265" s="47"/>
      <c r="JL265" s="47"/>
      <c r="JM265" s="47"/>
      <c r="JN265" s="47"/>
      <c r="JQ265" s="47"/>
      <c r="JR265" s="47"/>
      <c r="JS265" s="47"/>
      <c r="JT265" s="47"/>
      <c r="JU265" s="47"/>
      <c r="JV265" s="47"/>
      <c r="JW265" s="47"/>
      <c r="JX265" s="47"/>
      <c r="KA265" s="47"/>
      <c r="KB265" s="47"/>
      <c r="KC265" s="47"/>
      <c r="KD265" s="47"/>
      <c r="KE265" s="47"/>
      <c r="KF265" s="47"/>
      <c r="KG265" s="47"/>
      <c r="KH265" s="47"/>
      <c r="KK265" s="47"/>
      <c r="KL265" s="47"/>
      <c r="KM265" s="47"/>
      <c r="KN265" s="47"/>
      <c r="KO265" s="47"/>
      <c r="KP265" s="47"/>
      <c r="KQ265" s="47"/>
      <c r="KR265" s="47"/>
      <c r="KU265" s="47"/>
      <c r="KV265" s="47"/>
      <c r="KW265" s="47"/>
      <c r="KX265" s="47"/>
      <c r="KY265" s="47"/>
      <c r="KZ265" s="47"/>
      <c r="LA265" s="47"/>
      <c r="LB265" s="47"/>
    </row>
    <row r="266" spans="29:314" x14ac:dyDescent="0.25">
      <c r="AC266" s="47"/>
      <c r="AD266" s="47"/>
      <c r="AE266" s="47"/>
      <c r="AF266" s="47"/>
      <c r="AG266" s="49"/>
      <c r="AH266" s="47"/>
      <c r="AI266" s="47"/>
      <c r="AJ266" s="47"/>
      <c r="AK266" s="47"/>
      <c r="AL266" s="47"/>
      <c r="AM266" s="47"/>
      <c r="AN266" s="47"/>
      <c r="AO266" s="47"/>
      <c r="AP266" s="47"/>
      <c r="AQ266" s="47"/>
      <c r="AR266" s="47"/>
      <c r="AS266" s="47"/>
      <c r="AT266" s="47"/>
      <c r="AU266" s="47"/>
      <c r="AV266" s="47"/>
      <c r="AW266" s="47"/>
      <c r="AX266" s="47"/>
      <c r="AY266" s="47"/>
      <c r="AZ266" s="47"/>
      <c r="BA266" s="47"/>
      <c r="BB266" s="47"/>
      <c r="BC266" s="47"/>
      <c r="BD266" s="47"/>
      <c r="BE266" s="47"/>
      <c r="BF266" s="47"/>
      <c r="BG266" s="47"/>
      <c r="BH266" s="47"/>
      <c r="BI266" s="47"/>
      <c r="BJ266" s="47"/>
      <c r="BK266" s="47"/>
      <c r="BL266" s="47"/>
      <c r="BM266" s="47"/>
      <c r="BN266" s="49"/>
      <c r="BO266" s="47"/>
      <c r="BP266" s="47"/>
      <c r="BQ266" s="47"/>
      <c r="BR266" s="47"/>
      <c r="BS266" s="47"/>
      <c r="BT266" s="47"/>
      <c r="BU266" s="47"/>
      <c r="BV266" s="47"/>
      <c r="BW266" s="47"/>
      <c r="BX266" s="47"/>
      <c r="BY266" s="47"/>
      <c r="BZ266" s="47"/>
      <c r="CA266" s="47"/>
      <c r="CB266" s="47"/>
      <c r="CC266" s="47"/>
      <c r="CD266" s="47"/>
      <c r="CE266" s="47"/>
      <c r="CF266" s="47"/>
      <c r="CG266" s="49"/>
      <c r="CH266" s="47"/>
      <c r="CI266" s="47"/>
      <c r="CJ266" s="47"/>
      <c r="CK266" s="47"/>
      <c r="CL266" s="47"/>
      <c r="CM266" s="47"/>
      <c r="CN266" s="47"/>
      <c r="CO266" s="47"/>
      <c r="CP266" s="47"/>
      <c r="CQ266" s="47"/>
      <c r="CS266" s="47"/>
      <c r="CT266" s="47"/>
      <c r="CU266" s="47"/>
      <c r="CV266" s="47"/>
      <c r="CW266" s="47"/>
      <c r="CX266" s="47"/>
      <c r="CY266" s="47"/>
      <c r="CZ266" s="47"/>
      <c r="DA266" s="47"/>
      <c r="DB266" s="47"/>
      <c r="DC266" s="47"/>
      <c r="DD266" s="47"/>
      <c r="DE266" s="47"/>
      <c r="DF266" s="47"/>
      <c r="DG266" s="47"/>
      <c r="DH266" s="47"/>
      <c r="DI266" s="47"/>
      <c r="DJ266" s="47"/>
      <c r="DK266" s="47"/>
      <c r="DM266" s="47"/>
      <c r="DN266" s="47"/>
      <c r="DO266" s="47"/>
      <c r="DP266" s="47"/>
      <c r="DQ266" s="47"/>
      <c r="DR266" s="47"/>
      <c r="DS266" s="47"/>
      <c r="DT266" s="47"/>
      <c r="DU266" s="47"/>
      <c r="DV266" s="49"/>
      <c r="DW266" s="47"/>
      <c r="DX266" s="47"/>
      <c r="DY266" s="47"/>
      <c r="DZ266" s="47"/>
      <c r="EA266" s="47"/>
      <c r="EB266" s="47"/>
      <c r="EC266" s="47"/>
      <c r="ED266" s="47"/>
      <c r="EE266" s="47"/>
      <c r="EF266" s="47"/>
      <c r="EG266" s="47"/>
      <c r="EH266" s="47"/>
      <c r="EI266" s="47"/>
      <c r="EJ266" s="47"/>
      <c r="EK266" s="47"/>
      <c r="EL266" s="47"/>
      <c r="EM266" s="47"/>
      <c r="EN266" s="47"/>
      <c r="EO266" s="47"/>
      <c r="EP266" s="47"/>
      <c r="EQ266" s="47"/>
      <c r="ER266" s="47"/>
      <c r="ES266" s="47"/>
      <c r="ET266" s="47"/>
      <c r="EU266" s="47"/>
      <c r="EV266" s="47"/>
      <c r="EW266" s="47"/>
      <c r="EX266" s="47"/>
      <c r="EY266" s="47"/>
      <c r="EZ266" s="47"/>
      <c r="FA266" s="47"/>
      <c r="FB266" s="47"/>
      <c r="FC266" s="47"/>
      <c r="FD266" s="47"/>
      <c r="FE266" s="47"/>
      <c r="FF266" s="47"/>
      <c r="FG266" s="47"/>
      <c r="FH266" s="47"/>
      <c r="FI266" s="47"/>
      <c r="FJ266" s="49"/>
      <c r="FK266" s="47"/>
      <c r="FL266" s="47"/>
      <c r="FM266" s="47"/>
      <c r="FN266" s="47"/>
      <c r="FO266" s="47"/>
      <c r="FP266" s="47"/>
      <c r="FQ266" s="47"/>
      <c r="FR266" s="47"/>
      <c r="FS266" s="47"/>
      <c r="FT266" s="47"/>
      <c r="FU266" s="47"/>
      <c r="FV266" s="47"/>
      <c r="FW266" s="47"/>
      <c r="FX266" s="47"/>
      <c r="FY266" s="47"/>
      <c r="FZ266" s="47"/>
      <c r="GA266" s="47"/>
      <c r="GB266" s="47"/>
      <c r="GC266" s="47"/>
      <c r="GD266" s="47"/>
      <c r="GE266" s="47"/>
      <c r="GF266" s="47"/>
      <c r="GG266" s="47"/>
      <c r="GH266" s="47"/>
      <c r="GI266" s="47"/>
      <c r="GJ266" s="47"/>
      <c r="GK266" s="47"/>
      <c r="GL266" s="47"/>
      <c r="GM266" s="47"/>
      <c r="GN266" s="47"/>
      <c r="GO266" s="47"/>
      <c r="GP266" s="47"/>
      <c r="GQ266" s="47"/>
      <c r="GR266" s="47"/>
      <c r="GS266" s="47"/>
      <c r="GT266" s="47"/>
      <c r="GU266" s="47"/>
      <c r="GV266" s="47"/>
      <c r="GW266" s="47"/>
      <c r="GX266" s="47"/>
      <c r="GY266" s="47"/>
      <c r="GZ266" s="47"/>
      <c r="HA266" s="47"/>
      <c r="HB266" s="47"/>
      <c r="HC266" s="47"/>
      <c r="HD266" s="47"/>
      <c r="HE266" s="47"/>
      <c r="HF266" s="47"/>
      <c r="HI266" s="47"/>
      <c r="HJ266" s="47"/>
      <c r="HK266" s="47"/>
      <c r="HL266" s="47"/>
      <c r="HM266" s="47"/>
      <c r="HN266" s="47"/>
      <c r="HO266" s="47"/>
      <c r="HP266" s="47"/>
      <c r="HS266" s="47"/>
      <c r="HT266" s="47"/>
      <c r="HU266" s="47"/>
      <c r="HV266" s="47"/>
      <c r="HW266" s="47"/>
      <c r="HX266" s="47"/>
      <c r="HY266" s="47"/>
      <c r="HZ266" s="47"/>
      <c r="IC266" s="47"/>
      <c r="ID266" s="47"/>
      <c r="IE266" s="47"/>
      <c r="IF266" s="47"/>
      <c r="IG266" s="47"/>
      <c r="IH266" s="47"/>
      <c r="II266" s="47"/>
      <c r="IJ266" s="47"/>
      <c r="IM266" s="47"/>
      <c r="IN266" s="47"/>
      <c r="IO266" s="47"/>
      <c r="IP266" s="47"/>
      <c r="IQ266" s="47"/>
      <c r="IR266" s="47"/>
      <c r="IS266" s="47"/>
      <c r="IT266" s="47"/>
      <c r="IW266" s="47"/>
      <c r="IX266" s="47"/>
      <c r="IY266" s="47"/>
      <c r="IZ266" s="47"/>
      <c r="JA266" s="47"/>
      <c r="JB266" s="47"/>
      <c r="JC266" s="47"/>
      <c r="JD266" s="47"/>
      <c r="JG266" s="47"/>
      <c r="JH266" s="47"/>
      <c r="JI266" s="47"/>
      <c r="JJ266" s="47"/>
      <c r="JK266" s="47"/>
      <c r="JL266" s="47"/>
      <c r="JM266" s="47"/>
      <c r="JN266" s="47"/>
      <c r="JQ266" s="47"/>
      <c r="JR266" s="47"/>
      <c r="JS266" s="47"/>
      <c r="JT266" s="47"/>
      <c r="JU266" s="47"/>
      <c r="JV266" s="47"/>
      <c r="JW266" s="47"/>
      <c r="JX266" s="47"/>
      <c r="KA266" s="47"/>
      <c r="KB266" s="47"/>
      <c r="KC266" s="47"/>
      <c r="KD266" s="47"/>
      <c r="KE266" s="47"/>
      <c r="KF266" s="47"/>
      <c r="KG266" s="47"/>
      <c r="KH266" s="47"/>
      <c r="KK266" s="47"/>
      <c r="KL266" s="47"/>
      <c r="KM266" s="47"/>
      <c r="KN266" s="47"/>
      <c r="KO266" s="47"/>
      <c r="KP266" s="47"/>
      <c r="KQ266" s="47"/>
      <c r="KR266" s="47"/>
      <c r="KU266" s="47"/>
      <c r="KV266" s="47"/>
      <c r="KW266" s="47"/>
      <c r="KX266" s="47"/>
      <c r="KY266" s="47"/>
      <c r="KZ266" s="47"/>
      <c r="LA266" s="47"/>
      <c r="LB266" s="47"/>
    </row>
    <row r="267" spans="29:314" x14ac:dyDescent="0.25">
      <c r="AC267" s="47"/>
      <c r="AD267" s="47"/>
      <c r="AE267" s="47"/>
      <c r="AF267" s="47"/>
      <c r="AG267" s="49"/>
      <c r="AH267" s="47"/>
      <c r="AI267" s="47"/>
      <c r="AJ267" s="47"/>
      <c r="AK267" s="47"/>
      <c r="AL267" s="47"/>
      <c r="AM267" s="47"/>
      <c r="AN267" s="47"/>
      <c r="AO267" s="47"/>
      <c r="AP267" s="47"/>
      <c r="AQ267" s="47"/>
      <c r="AR267" s="47"/>
      <c r="AS267" s="47"/>
      <c r="AT267" s="47"/>
      <c r="AU267" s="47"/>
      <c r="AV267" s="47"/>
      <c r="AW267" s="47"/>
      <c r="AX267" s="47"/>
      <c r="AY267" s="47"/>
      <c r="AZ267" s="47"/>
      <c r="BA267" s="47"/>
      <c r="BB267" s="47"/>
      <c r="BC267" s="47"/>
      <c r="BD267" s="47"/>
      <c r="BE267" s="47"/>
      <c r="BF267" s="47"/>
      <c r="BG267" s="47"/>
      <c r="BH267" s="47"/>
      <c r="BI267" s="47"/>
      <c r="BJ267" s="47"/>
      <c r="BK267" s="47"/>
      <c r="BL267" s="47"/>
      <c r="BM267" s="47"/>
      <c r="BN267" s="49"/>
      <c r="BO267" s="47"/>
      <c r="BP267" s="47"/>
      <c r="BQ267" s="47"/>
      <c r="BR267" s="47"/>
      <c r="BS267" s="47"/>
      <c r="BT267" s="47"/>
      <c r="BU267" s="47"/>
      <c r="BV267" s="47"/>
      <c r="BW267" s="47"/>
      <c r="BX267" s="47"/>
      <c r="BY267" s="47"/>
      <c r="BZ267" s="47"/>
      <c r="CA267" s="47"/>
      <c r="CB267" s="47"/>
      <c r="CC267" s="47"/>
      <c r="CD267" s="47"/>
      <c r="CE267" s="47"/>
      <c r="CF267" s="47"/>
      <c r="CG267" s="49"/>
      <c r="CH267" s="47"/>
      <c r="CI267" s="47"/>
      <c r="CJ267" s="47"/>
      <c r="CK267" s="47"/>
      <c r="CL267" s="47"/>
      <c r="CM267" s="47"/>
      <c r="CN267" s="47"/>
      <c r="CO267" s="47"/>
      <c r="CP267" s="47"/>
      <c r="CQ267" s="47"/>
      <c r="CS267" s="47"/>
      <c r="CT267" s="47"/>
      <c r="CU267" s="47"/>
      <c r="CV267" s="47"/>
      <c r="CW267" s="47"/>
      <c r="CX267" s="47"/>
      <c r="CY267" s="47"/>
      <c r="CZ267" s="47"/>
      <c r="DA267" s="47"/>
      <c r="DB267" s="47"/>
      <c r="DC267" s="47"/>
      <c r="DD267" s="47"/>
      <c r="DE267" s="47"/>
      <c r="DF267" s="47"/>
      <c r="DG267" s="47"/>
      <c r="DH267" s="47"/>
      <c r="DI267" s="47"/>
      <c r="DJ267" s="47"/>
      <c r="DK267" s="47"/>
      <c r="DM267" s="47"/>
      <c r="DN267" s="47"/>
      <c r="DO267" s="47"/>
      <c r="DP267" s="47"/>
      <c r="DQ267" s="47"/>
      <c r="DR267" s="47"/>
      <c r="DS267" s="47"/>
      <c r="DT267" s="47"/>
      <c r="DU267" s="47"/>
      <c r="DV267" s="49"/>
      <c r="DW267" s="47"/>
      <c r="DX267" s="47"/>
      <c r="DY267" s="47"/>
      <c r="DZ267" s="47"/>
      <c r="EA267" s="47"/>
      <c r="EB267" s="47"/>
      <c r="EC267" s="47"/>
      <c r="ED267" s="47"/>
      <c r="EE267" s="47"/>
      <c r="EF267" s="47"/>
      <c r="EG267" s="47"/>
      <c r="EH267" s="47"/>
      <c r="EI267" s="47"/>
      <c r="EJ267" s="47"/>
      <c r="EK267" s="47"/>
      <c r="EL267" s="47"/>
      <c r="EM267" s="47"/>
      <c r="EN267" s="47"/>
      <c r="EO267" s="47"/>
      <c r="EP267" s="47"/>
      <c r="EQ267" s="47"/>
      <c r="ER267" s="47"/>
      <c r="ES267" s="47"/>
      <c r="ET267" s="47"/>
      <c r="EU267" s="47"/>
      <c r="EV267" s="47"/>
      <c r="EW267" s="47"/>
      <c r="EX267" s="47"/>
      <c r="EY267" s="47"/>
      <c r="EZ267" s="47"/>
      <c r="FA267" s="47"/>
      <c r="FB267" s="47"/>
      <c r="FC267" s="47"/>
      <c r="FD267" s="47"/>
      <c r="FE267" s="47"/>
      <c r="FF267" s="47"/>
      <c r="FG267" s="47"/>
      <c r="FH267" s="47"/>
      <c r="FI267" s="47"/>
      <c r="FJ267" s="49"/>
      <c r="FK267" s="47"/>
      <c r="FL267" s="47"/>
      <c r="FM267" s="47"/>
      <c r="FN267" s="47"/>
      <c r="FO267" s="47"/>
      <c r="FP267" s="47"/>
      <c r="FQ267" s="47"/>
      <c r="FR267" s="47"/>
      <c r="FS267" s="47"/>
      <c r="FT267" s="47"/>
      <c r="FU267" s="47"/>
      <c r="FV267" s="47"/>
      <c r="FW267" s="47"/>
      <c r="FX267" s="47"/>
      <c r="FY267" s="47"/>
      <c r="FZ267" s="47"/>
      <c r="GA267" s="47"/>
      <c r="GB267" s="47"/>
      <c r="GC267" s="47"/>
      <c r="GD267" s="47"/>
      <c r="GE267" s="47"/>
      <c r="GF267" s="47"/>
      <c r="GG267" s="47"/>
      <c r="GH267" s="47"/>
      <c r="GI267" s="47"/>
      <c r="GJ267" s="47"/>
      <c r="GK267" s="47"/>
      <c r="GL267" s="47"/>
      <c r="GM267" s="47"/>
      <c r="GN267" s="47"/>
      <c r="GO267" s="47"/>
      <c r="GP267" s="47"/>
      <c r="GQ267" s="47"/>
      <c r="GR267" s="47"/>
      <c r="GS267" s="47"/>
      <c r="GT267" s="47"/>
      <c r="GU267" s="47"/>
      <c r="GV267" s="47"/>
      <c r="GW267" s="47"/>
      <c r="GX267" s="47"/>
      <c r="GY267" s="47"/>
      <c r="GZ267" s="47"/>
      <c r="HA267" s="47"/>
      <c r="HB267" s="47"/>
      <c r="HC267" s="47"/>
      <c r="HD267" s="47"/>
      <c r="HE267" s="47"/>
      <c r="HF267" s="47"/>
      <c r="HI267" s="47"/>
      <c r="HJ267" s="47"/>
      <c r="HK267" s="47"/>
      <c r="HL267" s="47"/>
      <c r="HM267" s="47"/>
      <c r="HN267" s="47"/>
      <c r="HO267" s="47"/>
      <c r="HP267" s="47"/>
      <c r="HS267" s="47"/>
      <c r="HT267" s="47"/>
      <c r="HU267" s="47"/>
      <c r="HV267" s="47"/>
      <c r="HW267" s="47"/>
      <c r="HX267" s="47"/>
      <c r="HY267" s="47"/>
      <c r="HZ267" s="47"/>
      <c r="IC267" s="47"/>
      <c r="ID267" s="47"/>
      <c r="IE267" s="47"/>
      <c r="IF267" s="47"/>
      <c r="IG267" s="47"/>
      <c r="IH267" s="47"/>
      <c r="II267" s="47"/>
      <c r="IJ267" s="47"/>
      <c r="IM267" s="47"/>
      <c r="IN267" s="47"/>
      <c r="IO267" s="47"/>
      <c r="IP267" s="47"/>
      <c r="IQ267" s="47"/>
      <c r="IR267" s="47"/>
      <c r="IS267" s="47"/>
      <c r="IT267" s="47"/>
      <c r="IW267" s="47"/>
      <c r="IX267" s="47"/>
      <c r="IY267" s="47"/>
      <c r="IZ267" s="47"/>
      <c r="JA267" s="47"/>
      <c r="JB267" s="47"/>
      <c r="JC267" s="47"/>
      <c r="JD267" s="47"/>
      <c r="JG267" s="47"/>
      <c r="JH267" s="47"/>
      <c r="JI267" s="47"/>
      <c r="JJ267" s="47"/>
      <c r="JK267" s="47"/>
      <c r="JL267" s="47"/>
      <c r="JM267" s="47"/>
      <c r="JN267" s="47"/>
      <c r="JQ267" s="47"/>
      <c r="JR267" s="47"/>
      <c r="JS267" s="47"/>
      <c r="JT267" s="47"/>
      <c r="JU267" s="47"/>
      <c r="JV267" s="47"/>
      <c r="JW267" s="47"/>
      <c r="JX267" s="47"/>
      <c r="KA267" s="47"/>
      <c r="KB267" s="47"/>
      <c r="KC267" s="47"/>
      <c r="KD267" s="47"/>
      <c r="KE267" s="47"/>
      <c r="KF267" s="47"/>
      <c r="KG267" s="47"/>
      <c r="KH267" s="47"/>
      <c r="KK267" s="47"/>
      <c r="KL267" s="47"/>
      <c r="KM267" s="47"/>
      <c r="KN267" s="47"/>
      <c r="KO267" s="47"/>
      <c r="KP267" s="47"/>
      <c r="KQ267" s="47"/>
      <c r="KR267" s="47"/>
      <c r="KU267" s="47"/>
      <c r="KV267" s="47"/>
      <c r="KW267" s="47"/>
      <c r="KX267" s="47"/>
      <c r="KY267" s="47"/>
      <c r="KZ267" s="47"/>
      <c r="LA267" s="47"/>
      <c r="LB267" s="47"/>
    </row>
    <row r="268" spans="29:314" x14ac:dyDescent="0.25">
      <c r="AC268" s="47"/>
      <c r="AD268" s="47"/>
      <c r="AE268" s="47"/>
      <c r="AF268" s="47"/>
      <c r="AG268" s="49"/>
      <c r="AH268" s="47"/>
      <c r="AI268" s="47"/>
      <c r="AJ268" s="47"/>
      <c r="AK268" s="47"/>
      <c r="AL268" s="47"/>
      <c r="AM268" s="47"/>
      <c r="AN268" s="47"/>
      <c r="AO268" s="47"/>
      <c r="AP268" s="47"/>
      <c r="AQ268" s="47"/>
      <c r="AR268" s="47"/>
      <c r="AS268" s="47"/>
      <c r="AT268" s="47"/>
      <c r="AU268" s="47"/>
      <c r="AV268" s="47"/>
      <c r="AW268" s="47"/>
      <c r="AX268" s="47"/>
      <c r="AY268" s="47"/>
      <c r="AZ268" s="47"/>
      <c r="BA268" s="47"/>
      <c r="BB268" s="47"/>
      <c r="BC268" s="47"/>
      <c r="BD268" s="47"/>
      <c r="BE268" s="47"/>
      <c r="BF268" s="47"/>
      <c r="BG268" s="47"/>
      <c r="BH268" s="47"/>
      <c r="BI268" s="47"/>
      <c r="BJ268" s="47"/>
      <c r="BK268" s="47"/>
      <c r="BL268" s="47"/>
      <c r="BM268" s="47"/>
      <c r="BN268" s="49"/>
      <c r="BO268" s="47"/>
      <c r="BP268" s="47"/>
      <c r="BQ268" s="47"/>
      <c r="BR268" s="47"/>
      <c r="BS268" s="47"/>
      <c r="BT268" s="47"/>
      <c r="BU268" s="47"/>
      <c r="BV268" s="47"/>
      <c r="BW268" s="47"/>
      <c r="BX268" s="47"/>
      <c r="BY268" s="47"/>
      <c r="BZ268" s="47"/>
      <c r="CA268" s="47"/>
      <c r="CB268" s="47"/>
      <c r="CC268" s="47"/>
      <c r="CD268" s="47"/>
      <c r="CE268" s="47"/>
      <c r="CF268" s="47"/>
      <c r="CG268" s="49"/>
      <c r="CH268" s="47"/>
      <c r="CI268" s="47"/>
      <c r="CJ268" s="47"/>
      <c r="CK268" s="47"/>
      <c r="CL268" s="47"/>
      <c r="CM268" s="47"/>
      <c r="CN268" s="47"/>
      <c r="CO268" s="47"/>
      <c r="CP268" s="47"/>
      <c r="CQ268" s="47"/>
      <c r="CS268" s="47"/>
      <c r="CT268" s="47"/>
      <c r="CU268" s="47"/>
      <c r="CV268" s="47"/>
      <c r="CW268" s="47"/>
      <c r="CX268" s="47"/>
      <c r="CY268" s="47"/>
      <c r="CZ268" s="47"/>
      <c r="DA268" s="47"/>
      <c r="DB268" s="47"/>
      <c r="DC268" s="47"/>
      <c r="DD268" s="47"/>
      <c r="DE268" s="47"/>
      <c r="DF268" s="47"/>
      <c r="DG268" s="47"/>
      <c r="DH268" s="47"/>
      <c r="DI268" s="47"/>
      <c r="DJ268" s="47"/>
      <c r="DK268" s="47"/>
      <c r="DM268" s="47"/>
      <c r="DN268" s="47"/>
      <c r="DO268" s="47"/>
      <c r="DP268" s="47"/>
      <c r="DQ268" s="47"/>
      <c r="DR268" s="47"/>
      <c r="DS268" s="47"/>
      <c r="DT268" s="47"/>
      <c r="DU268" s="47"/>
      <c r="DV268" s="49"/>
      <c r="DW268" s="47"/>
      <c r="DX268" s="47"/>
      <c r="DY268" s="47"/>
      <c r="DZ268" s="47"/>
      <c r="EA268" s="47"/>
      <c r="EB268" s="47"/>
      <c r="EC268" s="47"/>
      <c r="ED268" s="47"/>
      <c r="EE268" s="47"/>
      <c r="EF268" s="47"/>
      <c r="EG268" s="47"/>
      <c r="EH268" s="47"/>
      <c r="EI268" s="47"/>
      <c r="EJ268" s="47"/>
      <c r="EK268" s="47"/>
      <c r="EL268" s="47"/>
      <c r="EM268" s="47"/>
      <c r="EN268" s="47"/>
      <c r="EO268" s="47"/>
      <c r="EP268" s="47"/>
      <c r="EQ268" s="47"/>
      <c r="ER268" s="47"/>
      <c r="ES268" s="47"/>
      <c r="ET268" s="47"/>
      <c r="EU268" s="47"/>
      <c r="EV268" s="47"/>
      <c r="EW268" s="47"/>
      <c r="EX268" s="47"/>
      <c r="EY268" s="47"/>
      <c r="EZ268" s="47"/>
      <c r="FA268" s="47"/>
      <c r="FB268" s="47"/>
      <c r="FC268" s="47"/>
      <c r="FD268" s="47"/>
      <c r="FE268" s="47"/>
      <c r="FF268" s="47"/>
      <c r="FG268" s="47"/>
      <c r="FH268" s="47"/>
      <c r="FI268" s="47"/>
      <c r="FJ268" s="49"/>
      <c r="FK268" s="47"/>
      <c r="FL268" s="47"/>
      <c r="FM268" s="47"/>
      <c r="FN268" s="47"/>
      <c r="FO268" s="47"/>
      <c r="FP268" s="47"/>
      <c r="FQ268" s="47"/>
      <c r="FR268" s="47"/>
      <c r="FS268" s="47"/>
      <c r="FT268" s="47"/>
      <c r="FU268" s="47"/>
      <c r="FV268" s="47"/>
      <c r="FW268" s="47"/>
      <c r="FX268" s="47"/>
      <c r="FY268" s="47"/>
      <c r="FZ268" s="47"/>
      <c r="GA268" s="47"/>
      <c r="GB268" s="47"/>
      <c r="GC268" s="47"/>
      <c r="GD268" s="47"/>
      <c r="GE268" s="47"/>
      <c r="GF268" s="47"/>
      <c r="GG268" s="47"/>
      <c r="GH268" s="47"/>
      <c r="GI268" s="47"/>
      <c r="GJ268" s="47"/>
      <c r="GK268" s="47"/>
      <c r="GL268" s="47"/>
      <c r="GM268" s="47"/>
      <c r="GN268" s="47"/>
      <c r="GO268" s="47"/>
      <c r="GP268" s="47"/>
      <c r="GQ268" s="47"/>
      <c r="GR268" s="47"/>
      <c r="GS268" s="47"/>
      <c r="GT268" s="47"/>
      <c r="GU268" s="47"/>
      <c r="GV268" s="47"/>
      <c r="GW268" s="47"/>
      <c r="GX268" s="47"/>
      <c r="GY268" s="47"/>
      <c r="GZ268" s="47"/>
      <c r="HA268" s="47"/>
      <c r="HB268" s="47"/>
      <c r="HC268" s="47"/>
      <c r="HD268" s="47"/>
      <c r="HE268" s="47"/>
      <c r="HF268" s="47"/>
      <c r="HI268" s="47"/>
      <c r="HJ268" s="47"/>
      <c r="HK268" s="47"/>
      <c r="HL268" s="47"/>
      <c r="HM268" s="47"/>
      <c r="HN268" s="47"/>
      <c r="HO268" s="47"/>
      <c r="HP268" s="47"/>
      <c r="HS268" s="47"/>
      <c r="HT268" s="47"/>
      <c r="HU268" s="47"/>
      <c r="HV268" s="47"/>
      <c r="HW268" s="47"/>
      <c r="HX268" s="47"/>
      <c r="HY268" s="47"/>
      <c r="HZ268" s="47"/>
      <c r="IC268" s="47"/>
      <c r="ID268" s="47"/>
      <c r="IE268" s="47"/>
      <c r="IF268" s="47"/>
      <c r="IG268" s="47"/>
      <c r="IH268" s="47"/>
      <c r="II268" s="47"/>
      <c r="IJ268" s="47"/>
      <c r="IM268" s="47"/>
      <c r="IN268" s="47"/>
      <c r="IO268" s="47"/>
      <c r="IP268" s="47"/>
      <c r="IQ268" s="47"/>
      <c r="IR268" s="47"/>
      <c r="IS268" s="47"/>
      <c r="IT268" s="47"/>
      <c r="IW268" s="47"/>
      <c r="IX268" s="47"/>
      <c r="IY268" s="47"/>
      <c r="IZ268" s="47"/>
      <c r="JA268" s="47"/>
      <c r="JB268" s="47"/>
      <c r="JC268" s="47"/>
      <c r="JD268" s="47"/>
      <c r="JG268" s="47"/>
      <c r="JH268" s="47"/>
      <c r="JI268" s="47"/>
      <c r="JJ268" s="47"/>
      <c r="JK268" s="47"/>
      <c r="JL268" s="47"/>
      <c r="JM268" s="47"/>
      <c r="JN268" s="47"/>
      <c r="JQ268" s="47"/>
      <c r="JR268" s="47"/>
      <c r="JS268" s="47"/>
      <c r="JT268" s="47"/>
      <c r="JU268" s="47"/>
      <c r="JV268" s="47"/>
      <c r="JW268" s="47"/>
      <c r="JX268" s="47"/>
      <c r="KA268" s="47"/>
      <c r="KB268" s="47"/>
      <c r="KC268" s="47"/>
      <c r="KD268" s="47"/>
      <c r="KE268" s="47"/>
      <c r="KF268" s="47"/>
      <c r="KG268" s="47"/>
      <c r="KH268" s="47"/>
      <c r="KK268" s="47"/>
      <c r="KL268" s="47"/>
      <c r="KM268" s="47"/>
      <c r="KN268" s="47"/>
      <c r="KO268" s="47"/>
      <c r="KP268" s="47"/>
      <c r="KQ268" s="47"/>
      <c r="KR268" s="47"/>
      <c r="KU268" s="47"/>
      <c r="KV268" s="47"/>
      <c r="KW268" s="47"/>
      <c r="KX268" s="47"/>
      <c r="KY268" s="47"/>
      <c r="KZ268" s="47"/>
      <c r="LA268" s="47"/>
      <c r="LB268" s="47"/>
    </row>
    <row r="269" spans="29:314" x14ac:dyDescent="0.25">
      <c r="AC269" s="47"/>
      <c r="AD269" s="47"/>
      <c r="AE269" s="47"/>
      <c r="AF269" s="47"/>
      <c r="AG269" s="49"/>
      <c r="AH269" s="47"/>
      <c r="AI269" s="47"/>
      <c r="AJ269" s="47"/>
      <c r="AK269" s="47"/>
      <c r="AL269" s="47"/>
      <c r="AM269" s="47"/>
      <c r="AN269" s="47"/>
      <c r="AO269" s="47"/>
      <c r="AP269" s="47"/>
      <c r="AQ269" s="47"/>
      <c r="AR269" s="47"/>
      <c r="AS269" s="47"/>
      <c r="AT269" s="47"/>
      <c r="AU269" s="47"/>
      <c r="AV269" s="47"/>
      <c r="AW269" s="47"/>
      <c r="AX269" s="47"/>
      <c r="AY269" s="47"/>
      <c r="AZ269" s="47"/>
      <c r="BA269" s="47"/>
      <c r="BB269" s="47"/>
      <c r="BC269" s="47"/>
      <c r="BD269" s="47"/>
      <c r="BE269" s="47"/>
      <c r="BF269" s="47"/>
      <c r="BG269" s="47"/>
      <c r="BH269" s="47"/>
      <c r="BI269" s="47"/>
      <c r="BJ269" s="47"/>
      <c r="BK269" s="47"/>
      <c r="BL269" s="47"/>
      <c r="BM269" s="47"/>
      <c r="BN269" s="49"/>
      <c r="BO269" s="47"/>
      <c r="BP269" s="47"/>
      <c r="BQ269" s="47"/>
      <c r="BR269" s="47"/>
      <c r="BS269" s="47"/>
      <c r="BT269" s="47"/>
      <c r="BU269" s="47"/>
      <c r="BV269" s="47"/>
      <c r="BW269" s="47"/>
      <c r="BX269" s="47"/>
      <c r="BY269" s="47"/>
      <c r="BZ269" s="47"/>
      <c r="CA269" s="47"/>
      <c r="CB269" s="47"/>
      <c r="CC269" s="47"/>
      <c r="CD269" s="47"/>
      <c r="CE269" s="47"/>
      <c r="CF269" s="47"/>
      <c r="CG269" s="49"/>
      <c r="CH269" s="47"/>
      <c r="CI269" s="47"/>
      <c r="CJ269" s="47"/>
      <c r="CK269" s="47"/>
      <c r="CL269" s="47"/>
      <c r="CM269" s="47"/>
      <c r="CN269" s="47"/>
      <c r="CO269" s="47"/>
      <c r="CP269" s="47"/>
      <c r="CQ269" s="47"/>
      <c r="CS269" s="47"/>
      <c r="CT269" s="47"/>
      <c r="CU269" s="47"/>
      <c r="CV269" s="47"/>
      <c r="CW269" s="47"/>
      <c r="CX269" s="47"/>
      <c r="CY269" s="47"/>
      <c r="CZ269" s="47"/>
      <c r="DA269" s="47"/>
      <c r="DB269" s="47"/>
      <c r="DC269" s="47"/>
      <c r="DD269" s="47"/>
      <c r="DE269" s="47"/>
      <c r="DF269" s="47"/>
      <c r="DG269" s="47"/>
      <c r="DH269" s="47"/>
      <c r="DI269" s="47"/>
      <c r="DJ269" s="47"/>
      <c r="DK269" s="47"/>
      <c r="DM269" s="47"/>
      <c r="DN269" s="47"/>
      <c r="DO269" s="47"/>
      <c r="DP269" s="47"/>
      <c r="DQ269" s="47"/>
      <c r="DR269" s="47"/>
      <c r="DS269" s="47"/>
      <c r="DT269" s="47"/>
      <c r="DU269" s="47"/>
      <c r="DV269" s="49"/>
      <c r="DW269" s="47"/>
      <c r="DX269" s="47"/>
      <c r="DY269" s="47"/>
      <c r="DZ269" s="47"/>
      <c r="EA269" s="47"/>
      <c r="EB269" s="47"/>
      <c r="EC269" s="47"/>
      <c r="ED269" s="47"/>
      <c r="EE269" s="47"/>
      <c r="EF269" s="47"/>
      <c r="EG269" s="47"/>
      <c r="EH269" s="47"/>
      <c r="EI269" s="47"/>
      <c r="EJ269" s="47"/>
      <c r="EK269" s="47"/>
      <c r="EL269" s="47"/>
      <c r="EM269" s="47"/>
      <c r="EN269" s="47"/>
      <c r="EO269" s="47"/>
      <c r="EP269" s="47"/>
      <c r="EQ269" s="47"/>
      <c r="ER269" s="47"/>
      <c r="ES269" s="47"/>
      <c r="ET269" s="47"/>
      <c r="EU269" s="47"/>
      <c r="EV269" s="47"/>
      <c r="EW269" s="47"/>
      <c r="EX269" s="47"/>
      <c r="EY269" s="47"/>
      <c r="EZ269" s="47"/>
      <c r="FA269" s="47"/>
      <c r="FB269" s="47"/>
      <c r="FC269" s="47"/>
      <c r="FD269" s="47"/>
      <c r="FE269" s="47"/>
      <c r="FF269" s="47"/>
      <c r="FG269" s="47"/>
      <c r="FH269" s="47"/>
      <c r="FI269" s="47"/>
      <c r="FJ269" s="49"/>
      <c r="FK269" s="47"/>
      <c r="FL269" s="47"/>
      <c r="FM269" s="47"/>
      <c r="FN269" s="47"/>
      <c r="FO269" s="47"/>
      <c r="FP269" s="47"/>
      <c r="FQ269" s="47"/>
      <c r="FR269" s="47"/>
      <c r="FS269" s="47"/>
      <c r="FT269" s="47"/>
      <c r="FU269" s="47"/>
      <c r="FV269" s="47"/>
      <c r="FW269" s="47"/>
      <c r="FX269" s="47"/>
      <c r="FY269" s="47"/>
      <c r="FZ269" s="47"/>
      <c r="GA269" s="47"/>
      <c r="GB269" s="47"/>
      <c r="GC269" s="47"/>
      <c r="GD269" s="47"/>
      <c r="GE269" s="47"/>
      <c r="GF269" s="47"/>
      <c r="GG269" s="47"/>
      <c r="GH269" s="47"/>
      <c r="GI269" s="47"/>
      <c r="GJ269" s="47"/>
      <c r="GK269" s="47"/>
      <c r="GL269" s="47"/>
      <c r="GM269" s="47"/>
      <c r="GN269" s="47"/>
      <c r="GO269" s="47"/>
      <c r="GP269" s="47"/>
      <c r="GQ269" s="47"/>
      <c r="GR269" s="47"/>
      <c r="GS269" s="47"/>
      <c r="GT269" s="47"/>
      <c r="GU269" s="47"/>
      <c r="GV269" s="47"/>
      <c r="GW269" s="47"/>
      <c r="GX269" s="47"/>
      <c r="GY269" s="47"/>
      <c r="GZ269" s="47"/>
      <c r="HA269" s="47"/>
      <c r="HB269" s="47"/>
      <c r="HC269" s="47"/>
      <c r="HD269" s="47"/>
      <c r="HE269" s="47"/>
      <c r="HF269" s="47"/>
      <c r="HI269" s="47"/>
      <c r="HJ269" s="47"/>
      <c r="HK269" s="47"/>
      <c r="HL269" s="47"/>
      <c r="HM269" s="47"/>
      <c r="HN269" s="47"/>
      <c r="HO269" s="47"/>
      <c r="HP269" s="47"/>
      <c r="HS269" s="47"/>
      <c r="HT269" s="47"/>
      <c r="HU269" s="47"/>
      <c r="HV269" s="47"/>
      <c r="HW269" s="47"/>
      <c r="HX269" s="47"/>
      <c r="HY269" s="47"/>
      <c r="HZ269" s="47"/>
      <c r="IC269" s="47"/>
      <c r="ID269" s="47"/>
      <c r="IE269" s="47"/>
      <c r="IF269" s="47"/>
      <c r="IG269" s="47"/>
      <c r="IH269" s="47"/>
      <c r="II269" s="47"/>
      <c r="IJ269" s="47"/>
      <c r="IM269" s="47"/>
      <c r="IN269" s="47"/>
      <c r="IO269" s="47"/>
      <c r="IP269" s="47"/>
      <c r="IQ269" s="47"/>
      <c r="IR269" s="47"/>
      <c r="IS269" s="47"/>
      <c r="IT269" s="47"/>
      <c r="IW269" s="47"/>
      <c r="IX269" s="47"/>
      <c r="IY269" s="47"/>
      <c r="IZ269" s="47"/>
      <c r="JA269" s="47"/>
      <c r="JB269" s="47"/>
      <c r="JC269" s="47"/>
      <c r="JD269" s="47"/>
      <c r="JG269" s="47"/>
      <c r="JH269" s="47"/>
      <c r="JI269" s="47"/>
      <c r="JJ269" s="47"/>
      <c r="JK269" s="47"/>
      <c r="JL269" s="47"/>
      <c r="JM269" s="47"/>
      <c r="JN269" s="47"/>
      <c r="JQ269" s="47"/>
      <c r="JR269" s="47"/>
      <c r="JS269" s="47"/>
      <c r="JT269" s="47"/>
      <c r="JU269" s="47"/>
      <c r="JV269" s="47"/>
      <c r="JW269" s="47"/>
      <c r="JX269" s="47"/>
      <c r="KA269" s="47"/>
      <c r="KB269" s="47"/>
      <c r="KC269" s="47"/>
      <c r="KD269" s="47"/>
      <c r="KE269" s="47"/>
      <c r="KF269" s="47"/>
      <c r="KG269" s="47"/>
      <c r="KH269" s="47"/>
      <c r="KK269" s="47"/>
      <c r="KL269" s="47"/>
      <c r="KM269" s="47"/>
      <c r="KN269" s="47"/>
      <c r="KO269" s="47"/>
      <c r="KP269" s="47"/>
      <c r="KQ269" s="47"/>
      <c r="KR269" s="47"/>
      <c r="KU269" s="47"/>
      <c r="KV269" s="47"/>
      <c r="KW269" s="47"/>
      <c r="KX269" s="47"/>
      <c r="KY269" s="47"/>
      <c r="KZ269" s="47"/>
      <c r="LA269" s="47"/>
      <c r="LB269" s="47"/>
    </row>
    <row r="270" spans="29:314" x14ac:dyDescent="0.25">
      <c r="AC270" s="47"/>
      <c r="AD270" s="47"/>
      <c r="AE270" s="47"/>
      <c r="AF270" s="47"/>
      <c r="AG270" s="49"/>
      <c r="AH270" s="47"/>
      <c r="AI270" s="47"/>
      <c r="AJ270" s="47"/>
      <c r="AK270" s="47"/>
      <c r="AL270" s="47"/>
      <c r="AM270" s="47"/>
      <c r="AN270" s="47"/>
      <c r="AO270" s="47"/>
      <c r="AP270" s="47"/>
      <c r="AQ270" s="47"/>
      <c r="AR270" s="47"/>
      <c r="AS270" s="47"/>
      <c r="AT270" s="47"/>
      <c r="AU270" s="47"/>
      <c r="AV270" s="47"/>
      <c r="AW270" s="47"/>
      <c r="AX270" s="47"/>
      <c r="AY270" s="47"/>
      <c r="AZ270" s="47"/>
      <c r="BA270" s="47"/>
      <c r="BB270" s="47"/>
      <c r="BC270" s="47"/>
      <c r="BD270" s="47"/>
      <c r="BE270" s="47"/>
      <c r="BF270" s="47"/>
      <c r="BG270" s="47"/>
      <c r="BH270" s="47"/>
      <c r="BI270" s="47"/>
      <c r="BJ270" s="47"/>
      <c r="BK270" s="47"/>
      <c r="BL270" s="47"/>
      <c r="BM270" s="47"/>
      <c r="BN270" s="49"/>
      <c r="BO270" s="47"/>
      <c r="BP270" s="47"/>
      <c r="BQ270" s="47"/>
      <c r="BR270" s="47"/>
      <c r="BS270" s="47"/>
      <c r="BT270" s="47"/>
      <c r="BU270" s="47"/>
      <c r="BV270" s="47"/>
      <c r="BW270" s="47"/>
      <c r="BX270" s="47"/>
      <c r="BY270" s="47"/>
      <c r="BZ270" s="47"/>
      <c r="CA270" s="47"/>
      <c r="CB270" s="47"/>
      <c r="CC270" s="47"/>
      <c r="CD270" s="47"/>
      <c r="CE270" s="47"/>
      <c r="CF270" s="47"/>
      <c r="CG270" s="49"/>
      <c r="CH270" s="47"/>
      <c r="CI270" s="47"/>
      <c r="CJ270" s="47"/>
      <c r="CK270" s="47"/>
      <c r="CL270" s="47"/>
      <c r="CM270" s="47"/>
      <c r="CN270" s="47"/>
      <c r="CO270" s="47"/>
      <c r="CP270" s="47"/>
      <c r="CQ270" s="47"/>
      <c r="CS270" s="47"/>
      <c r="CT270" s="47"/>
      <c r="CU270" s="47"/>
      <c r="CV270" s="47"/>
      <c r="CW270" s="47"/>
      <c r="CX270" s="47"/>
      <c r="CY270" s="47"/>
      <c r="CZ270" s="47"/>
      <c r="DA270" s="47"/>
      <c r="DB270" s="47"/>
      <c r="DC270" s="47"/>
      <c r="DD270" s="47"/>
      <c r="DE270" s="47"/>
      <c r="DF270" s="47"/>
      <c r="DG270" s="47"/>
      <c r="DH270" s="47"/>
      <c r="DI270" s="47"/>
      <c r="DJ270" s="47"/>
      <c r="DK270" s="47"/>
      <c r="DM270" s="47"/>
      <c r="DN270" s="47"/>
      <c r="DO270" s="47"/>
      <c r="DP270" s="47"/>
      <c r="DQ270" s="47"/>
      <c r="DR270" s="47"/>
      <c r="DS270" s="47"/>
      <c r="DT270" s="47"/>
      <c r="DU270" s="47"/>
      <c r="DV270" s="49"/>
      <c r="DW270" s="47"/>
      <c r="DX270" s="47"/>
      <c r="DY270" s="47"/>
      <c r="DZ270" s="47"/>
      <c r="EA270" s="47"/>
      <c r="EB270" s="47"/>
      <c r="EC270" s="47"/>
      <c r="ED270" s="47"/>
      <c r="EE270" s="47"/>
      <c r="EF270" s="47"/>
      <c r="EG270" s="47"/>
      <c r="EH270" s="47"/>
      <c r="EI270" s="47"/>
      <c r="EJ270" s="47"/>
      <c r="EK270" s="47"/>
      <c r="EL270" s="47"/>
      <c r="EM270" s="47"/>
      <c r="EN270" s="47"/>
      <c r="EO270" s="47"/>
      <c r="EP270" s="47"/>
      <c r="EQ270" s="47"/>
      <c r="ER270" s="47"/>
      <c r="ES270" s="47"/>
      <c r="ET270" s="47"/>
      <c r="EU270" s="47"/>
      <c r="EV270" s="47"/>
      <c r="EW270" s="47"/>
      <c r="EX270" s="47"/>
      <c r="EY270" s="47"/>
      <c r="EZ270" s="47"/>
      <c r="FA270" s="47"/>
      <c r="FB270" s="47"/>
      <c r="FC270" s="47"/>
      <c r="FD270" s="47"/>
      <c r="FE270" s="47"/>
      <c r="FF270" s="47"/>
      <c r="FG270" s="47"/>
      <c r="FH270" s="47"/>
      <c r="FI270" s="47"/>
      <c r="FJ270" s="49"/>
      <c r="FK270" s="47"/>
      <c r="FL270" s="47"/>
      <c r="FM270" s="47"/>
      <c r="FN270" s="47"/>
      <c r="FO270" s="47"/>
      <c r="FP270" s="47"/>
      <c r="FQ270" s="47"/>
      <c r="FR270" s="47"/>
      <c r="FS270" s="47"/>
      <c r="FT270" s="47"/>
      <c r="FU270" s="47"/>
      <c r="FV270" s="47"/>
      <c r="FW270" s="47"/>
      <c r="FX270" s="47"/>
      <c r="FY270" s="47"/>
      <c r="FZ270" s="47"/>
      <c r="GA270" s="47"/>
      <c r="GB270" s="47"/>
      <c r="GC270" s="47"/>
      <c r="GD270" s="47"/>
      <c r="GE270" s="47"/>
      <c r="GF270" s="47"/>
      <c r="GG270" s="47"/>
      <c r="GH270" s="47"/>
      <c r="GI270" s="47"/>
      <c r="GJ270" s="47"/>
      <c r="GK270" s="47"/>
      <c r="GL270" s="47"/>
      <c r="GM270" s="47"/>
      <c r="GN270" s="47"/>
      <c r="GO270" s="47"/>
      <c r="GP270" s="47"/>
      <c r="GQ270" s="47"/>
      <c r="GR270" s="47"/>
      <c r="GS270" s="47"/>
      <c r="GT270" s="47"/>
      <c r="GU270" s="47"/>
      <c r="GV270" s="47"/>
      <c r="GW270" s="47"/>
      <c r="GX270" s="47"/>
      <c r="GY270" s="47"/>
      <c r="GZ270" s="47"/>
      <c r="HA270" s="47"/>
      <c r="HB270" s="47"/>
      <c r="HC270" s="47"/>
      <c r="HD270" s="47"/>
      <c r="HE270" s="47"/>
      <c r="HF270" s="47"/>
      <c r="HI270" s="47"/>
      <c r="HJ270" s="47"/>
      <c r="HK270" s="47"/>
      <c r="HL270" s="47"/>
      <c r="HM270" s="47"/>
      <c r="HN270" s="47"/>
      <c r="HO270" s="47"/>
      <c r="HP270" s="47"/>
      <c r="HS270" s="47"/>
      <c r="HT270" s="47"/>
      <c r="HU270" s="47"/>
      <c r="HV270" s="47"/>
      <c r="HW270" s="47"/>
      <c r="HX270" s="47"/>
      <c r="HY270" s="47"/>
      <c r="HZ270" s="47"/>
      <c r="IC270" s="47"/>
      <c r="ID270" s="47"/>
      <c r="IE270" s="47"/>
      <c r="IF270" s="47"/>
      <c r="IG270" s="47"/>
      <c r="IH270" s="47"/>
      <c r="II270" s="47"/>
      <c r="IJ270" s="47"/>
      <c r="IM270" s="47"/>
      <c r="IN270" s="47"/>
      <c r="IO270" s="47"/>
      <c r="IP270" s="47"/>
      <c r="IQ270" s="47"/>
      <c r="IR270" s="47"/>
      <c r="IS270" s="47"/>
      <c r="IT270" s="47"/>
      <c r="IW270" s="47"/>
      <c r="IX270" s="47"/>
      <c r="IY270" s="47"/>
      <c r="IZ270" s="47"/>
      <c r="JA270" s="47"/>
      <c r="JB270" s="47"/>
      <c r="JC270" s="47"/>
      <c r="JD270" s="47"/>
      <c r="JG270" s="47"/>
      <c r="JH270" s="47"/>
      <c r="JI270" s="47"/>
      <c r="JJ270" s="47"/>
      <c r="JK270" s="47"/>
      <c r="JL270" s="47"/>
      <c r="JM270" s="47"/>
      <c r="JN270" s="47"/>
      <c r="JQ270" s="47"/>
      <c r="JR270" s="47"/>
      <c r="JS270" s="47"/>
      <c r="JT270" s="47"/>
      <c r="JU270" s="47"/>
      <c r="JV270" s="47"/>
      <c r="JW270" s="47"/>
      <c r="JX270" s="47"/>
      <c r="KA270" s="47"/>
      <c r="KB270" s="47"/>
      <c r="KC270" s="47"/>
      <c r="KD270" s="47"/>
      <c r="KE270" s="47"/>
      <c r="KF270" s="47"/>
      <c r="KG270" s="47"/>
      <c r="KH270" s="47"/>
      <c r="KK270" s="47"/>
      <c r="KL270" s="47"/>
      <c r="KM270" s="47"/>
      <c r="KN270" s="47"/>
      <c r="KO270" s="47"/>
      <c r="KP270" s="47"/>
      <c r="KQ270" s="47"/>
      <c r="KR270" s="47"/>
      <c r="KU270" s="47"/>
      <c r="KV270" s="47"/>
      <c r="KW270" s="47"/>
      <c r="KX270" s="47"/>
      <c r="KY270" s="47"/>
      <c r="KZ270" s="47"/>
      <c r="LA270" s="47"/>
      <c r="LB270" s="47"/>
    </row>
    <row r="271" spans="29:314" x14ac:dyDescent="0.25">
      <c r="AC271" s="47"/>
      <c r="AD271" s="47"/>
      <c r="AE271" s="47"/>
      <c r="AF271" s="47"/>
      <c r="AG271" s="49"/>
      <c r="AH271" s="47"/>
      <c r="AI271" s="47"/>
      <c r="AJ271" s="47"/>
      <c r="AK271" s="47"/>
      <c r="AL271" s="47"/>
      <c r="AM271" s="47"/>
      <c r="AN271" s="47"/>
      <c r="AO271" s="47"/>
      <c r="AP271" s="47"/>
      <c r="AQ271" s="47"/>
      <c r="AR271" s="47"/>
      <c r="AS271" s="47"/>
      <c r="AT271" s="47"/>
      <c r="AU271" s="47"/>
      <c r="AV271" s="47"/>
      <c r="AW271" s="47"/>
      <c r="AX271" s="47"/>
      <c r="AY271" s="47"/>
      <c r="AZ271" s="47"/>
      <c r="BA271" s="47"/>
      <c r="BB271" s="47"/>
      <c r="BC271" s="47"/>
      <c r="BD271" s="47"/>
      <c r="BE271" s="47"/>
      <c r="BF271" s="47"/>
      <c r="BG271" s="47"/>
      <c r="BH271" s="47"/>
      <c r="BI271" s="47"/>
      <c r="BJ271" s="47"/>
      <c r="BK271" s="47"/>
      <c r="BL271" s="47"/>
      <c r="BM271" s="47"/>
      <c r="BN271" s="49"/>
      <c r="BO271" s="47"/>
      <c r="BP271" s="47"/>
      <c r="BQ271" s="47"/>
      <c r="BR271" s="47"/>
      <c r="BS271" s="47"/>
      <c r="BT271" s="47"/>
      <c r="BU271" s="47"/>
      <c r="BV271" s="47"/>
      <c r="BW271" s="47"/>
      <c r="BX271" s="47"/>
      <c r="BY271" s="47"/>
      <c r="BZ271" s="47"/>
      <c r="CA271" s="47"/>
      <c r="CB271" s="47"/>
      <c r="CC271" s="47"/>
      <c r="CD271" s="47"/>
      <c r="CE271" s="47"/>
      <c r="CF271" s="47"/>
      <c r="CG271" s="49"/>
      <c r="CH271" s="47"/>
      <c r="CI271" s="47"/>
      <c r="CJ271" s="47"/>
      <c r="CK271" s="47"/>
      <c r="CL271" s="47"/>
      <c r="CM271" s="47"/>
      <c r="CN271" s="47"/>
      <c r="CO271" s="47"/>
      <c r="CP271" s="47"/>
      <c r="CQ271" s="47"/>
      <c r="CS271" s="47"/>
      <c r="CT271" s="47"/>
      <c r="CU271" s="47"/>
      <c r="CV271" s="47"/>
      <c r="CW271" s="47"/>
      <c r="CX271" s="47"/>
      <c r="CY271" s="47"/>
      <c r="CZ271" s="47"/>
      <c r="DA271" s="47"/>
      <c r="DB271" s="47"/>
      <c r="DC271" s="47"/>
      <c r="DD271" s="47"/>
      <c r="DE271" s="47"/>
      <c r="DF271" s="47"/>
      <c r="DG271" s="47"/>
      <c r="DH271" s="47"/>
      <c r="DI271" s="47"/>
      <c r="DJ271" s="47"/>
      <c r="DK271" s="47"/>
      <c r="DM271" s="47"/>
      <c r="DN271" s="47"/>
      <c r="DO271" s="47"/>
      <c r="DP271" s="47"/>
      <c r="DQ271" s="47"/>
      <c r="DR271" s="47"/>
      <c r="DS271" s="47"/>
      <c r="DT271" s="47"/>
      <c r="DU271" s="47"/>
      <c r="DV271" s="49"/>
      <c r="DW271" s="47"/>
      <c r="DX271" s="47"/>
      <c r="DY271" s="47"/>
      <c r="DZ271" s="47"/>
      <c r="EA271" s="47"/>
      <c r="EB271" s="47"/>
      <c r="EC271" s="47"/>
      <c r="ED271" s="47"/>
      <c r="EE271" s="47"/>
      <c r="EF271" s="47"/>
      <c r="EG271" s="47"/>
      <c r="EH271" s="47"/>
      <c r="EI271" s="47"/>
      <c r="EJ271" s="47"/>
      <c r="EK271" s="47"/>
      <c r="EL271" s="47"/>
      <c r="EM271" s="47"/>
      <c r="EN271" s="47"/>
      <c r="EO271" s="47"/>
      <c r="EP271" s="47"/>
      <c r="EQ271" s="47"/>
      <c r="ER271" s="47"/>
      <c r="ES271" s="47"/>
      <c r="ET271" s="47"/>
      <c r="EU271" s="47"/>
      <c r="EV271" s="47"/>
      <c r="EW271" s="47"/>
      <c r="EX271" s="47"/>
      <c r="EY271" s="47"/>
      <c r="EZ271" s="47"/>
      <c r="FA271" s="47"/>
      <c r="FB271" s="47"/>
      <c r="FC271" s="47"/>
      <c r="FD271" s="47"/>
      <c r="FE271" s="47"/>
      <c r="FF271" s="47"/>
      <c r="FG271" s="47"/>
      <c r="FH271" s="47"/>
      <c r="FI271" s="47"/>
      <c r="FJ271" s="49"/>
      <c r="FK271" s="47"/>
      <c r="FL271" s="47"/>
      <c r="FM271" s="47"/>
      <c r="FN271" s="47"/>
      <c r="FO271" s="47"/>
      <c r="FP271" s="47"/>
      <c r="FQ271" s="47"/>
      <c r="FR271" s="47"/>
      <c r="FS271" s="47"/>
      <c r="FT271" s="47"/>
      <c r="FU271" s="47"/>
      <c r="FV271" s="47"/>
      <c r="FW271" s="47"/>
      <c r="FX271" s="47"/>
      <c r="FY271" s="47"/>
      <c r="FZ271" s="47"/>
      <c r="GA271" s="47"/>
      <c r="GB271" s="47"/>
      <c r="GC271" s="47"/>
      <c r="GD271" s="47"/>
      <c r="GE271" s="47"/>
      <c r="GF271" s="47"/>
      <c r="GG271" s="47"/>
      <c r="GH271" s="47"/>
      <c r="GI271" s="47"/>
      <c r="GJ271" s="47"/>
      <c r="GK271" s="47"/>
      <c r="GL271" s="47"/>
      <c r="GM271" s="47"/>
      <c r="GN271" s="47"/>
      <c r="GO271" s="47"/>
      <c r="GP271" s="47"/>
      <c r="GQ271" s="47"/>
      <c r="GR271" s="47"/>
      <c r="GS271" s="47"/>
      <c r="GT271" s="47"/>
      <c r="GU271" s="47"/>
      <c r="GV271" s="47"/>
      <c r="GW271" s="47"/>
      <c r="GX271" s="47"/>
      <c r="GY271" s="47"/>
      <c r="GZ271" s="47"/>
      <c r="HA271" s="47"/>
      <c r="HB271" s="47"/>
      <c r="HC271" s="47"/>
      <c r="HD271" s="47"/>
      <c r="HE271" s="47"/>
      <c r="HF271" s="47"/>
      <c r="HI271" s="47"/>
      <c r="HJ271" s="47"/>
      <c r="HK271" s="47"/>
      <c r="HL271" s="47"/>
      <c r="HM271" s="47"/>
      <c r="HN271" s="47"/>
      <c r="HO271" s="47"/>
      <c r="HP271" s="47"/>
      <c r="HS271" s="47"/>
      <c r="HT271" s="47"/>
      <c r="HU271" s="47"/>
      <c r="HV271" s="47"/>
      <c r="HW271" s="47"/>
      <c r="HX271" s="47"/>
      <c r="HY271" s="47"/>
      <c r="HZ271" s="47"/>
      <c r="IC271" s="47"/>
      <c r="ID271" s="47"/>
      <c r="IE271" s="47"/>
      <c r="IF271" s="47"/>
      <c r="IG271" s="47"/>
      <c r="IH271" s="47"/>
      <c r="II271" s="47"/>
      <c r="IJ271" s="47"/>
      <c r="IM271" s="47"/>
      <c r="IN271" s="47"/>
      <c r="IO271" s="47"/>
      <c r="IP271" s="47"/>
      <c r="IQ271" s="47"/>
      <c r="IR271" s="47"/>
      <c r="IS271" s="47"/>
      <c r="IT271" s="47"/>
      <c r="IW271" s="47"/>
      <c r="IX271" s="47"/>
      <c r="IY271" s="47"/>
      <c r="IZ271" s="47"/>
      <c r="JA271" s="47"/>
      <c r="JB271" s="47"/>
      <c r="JC271" s="47"/>
      <c r="JD271" s="47"/>
      <c r="JG271" s="47"/>
      <c r="JH271" s="47"/>
      <c r="JI271" s="47"/>
      <c r="JJ271" s="47"/>
      <c r="JK271" s="47"/>
      <c r="JL271" s="47"/>
      <c r="JM271" s="47"/>
      <c r="JN271" s="47"/>
      <c r="JQ271" s="47"/>
      <c r="JR271" s="47"/>
      <c r="JS271" s="47"/>
      <c r="JT271" s="47"/>
      <c r="JU271" s="47"/>
      <c r="JV271" s="47"/>
      <c r="JW271" s="47"/>
      <c r="JX271" s="47"/>
      <c r="KA271" s="47"/>
      <c r="KB271" s="47"/>
      <c r="KC271" s="47"/>
      <c r="KD271" s="47"/>
      <c r="KE271" s="47"/>
      <c r="KF271" s="47"/>
      <c r="KG271" s="47"/>
      <c r="KH271" s="47"/>
      <c r="KK271" s="47"/>
      <c r="KL271" s="47"/>
      <c r="KM271" s="47"/>
      <c r="KN271" s="47"/>
      <c r="KO271" s="47"/>
      <c r="KP271" s="47"/>
      <c r="KQ271" s="47"/>
      <c r="KR271" s="47"/>
      <c r="KU271" s="47"/>
      <c r="KV271" s="47"/>
      <c r="KW271" s="47"/>
      <c r="KX271" s="47"/>
      <c r="KY271" s="47"/>
      <c r="KZ271" s="47"/>
      <c r="LA271" s="47"/>
      <c r="LB271" s="47"/>
    </row>
    <row r="272" spans="29:314" x14ac:dyDescent="0.25">
      <c r="AC272" s="47"/>
      <c r="AD272" s="47"/>
      <c r="AE272" s="47"/>
      <c r="AF272" s="47"/>
      <c r="AG272" s="49"/>
      <c r="AH272" s="47"/>
      <c r="AI272" s="47"/>
      <c r="AJ272" s="47"/>
      <c r="AK272" s="47"/>
      <c r="AL272" s="47"/>
      <c r="AM272" s="47"/>
      <c r="AN272" s="47"/>
      <c r="AO272" s="47"/>
      <c r="AP272" s="47"/>
      <c r="AQ272" s="47"/>
      <c r="AR272" s="47"/>
      <c r="AS272" s="47"/>
      <c r="AT272" s="47"/>
      <c r="AU272" s="47"/>
      <c r="AV272" s="47"/>
      <c r="AW272" s="47"/>
      <c r="AX272" s="47"/>
      <c r="AY272" s="47"/>
      <c r="AZ272" s="47"/>
      <c r="BA272" s="47"/>
      <c r="BB272" s="47"/>
      <c r="BC272" s="47"/>
      <c r="BD272" s="47"/>
      <c r="BE272" s="47"/>
      <c r="BF272" s="47"/>
      <c r="BG272" s="47"/>
      <c r="BH272" s="47"/>
      <c r="BI272" s="47"/>
      <c r="BJ272" s="47"/>
      <c r="BK272" s="47"/>
      <c r="BL272" s="47"/>
      <c r="BM272" s="47"/>
      <c r="BN272" s="49"/>
      <c r="BO272" s="47"/>
      <c r="BP272" s="47"/>
      <c r="BQ272" s="47"/>
      <c r="BR272" s="47"/>
      <c r="BS272" s="47"/>
      <c r="BT272" s="47"/>
      <c r="BU272" s="47"/>
      <c r="BV272" s="47"/>
      <c r="BW272" s="47"/>
      <c r="BX272" s="47"/>
      <c r="BY272" s="47"/>
      <c r="BZ272" s="47"/>
      <c r="CA272" s="47"/>
      <c r="CB272" s="47"/>
      <c r="CC272" s="47"/>
      <c r="CD272" s="47"/>
      <c r="CE272" s="47"/>
      <c r="CF272" s="47"/>
      <c r="CG272" s="49"/>
      <c r="CH272" s="47"/>
      <c r="CI272" s="47"/>
      <c r="CJ272" s="47"/>
      <c r="CK272" s="47"/>
      <c r="CL272" s="47"/>
      <c r="CM272" s="47"/>
      <c r="CN272" s="47"/>
      <c r="CO272" s="47"/>
      <c r="CP272" s="47"/>
      <c r="CQ272" s="47"/>
      <c r="CS272" s="47"/>
      <c r="CT272" s="47"/>
      <c r="CU272" s="47"/>
      <c r="CV272" s="47"/>
      <c r="CW272" s="47"/>
      <c r="CX272" s="47"/>
      <c r="CY272" s="47"/>
      <c r="CZ272" s="47"/>
      <c r="DA272" s="47"/>
      <c r="DB272" s="47"/>
      <c r="DC272" s="47"/>
      <c r="DD272" s="47"/>
      <c r="DE272" s="47"/>
      <c r="DF272" s="47"/>
      <c r="DG272" s="47"/>
      <c r="DH272" s="47"/>
      <c r="DI272" s="47"/>
      <c r="DJ272" s="47"/>
      <c r="DK272" s="47"/>
      <c r="DM272" s="47"/>
      <c r="DN272" s="47"/>
      <c r="DO272" s="47"/>
      <c r="DP272" s="47"/>
      <c r="DQ272" s="47"/>
      <c r="DR272" s="47"/>
      <c r="DS272" s="47"/>
      <c r="DT272" s="47"/>
      <c r="DU272" s="47"/>
      <c r="DV272" s="49"/>
      <c r="DW272" s="47"/>
      <c r="DX272" s="47"/>
      <c r="DY272" s="47"/>
      <c r="DZ272" s="47"/>
      <c r="EA272" s="47"/>
      <c r="EB272" s="47"/>
      <c r="EC272" s="47"/>
      <c r="ED272" s="47"/>
      <c r="EE272" s="47"/>
      <c r="EF272" s="47"/>
      <c r="EG272" s="47"/>
      <c r="EH272" s="47"/>
      <c r="EI272" s="47"/>
      <c r="EJ272" s="47"/>
      <c r="EK272" s="47"/>
      <c r="EL272" s="47"/>
      <c r="EM272" s="47"/>
      <c r="EN272" s="47"/>
      <c r="EO272" s="47"/>
      <c r="EP272" s="47"/>
      <c r="EQ272" s="47"/>
      <c r="ER272" s="47"/>
      <c r="ES272" s="47"/>
      <c r="ET272" s="47"/>
      <c r="EU272" s="47"/>
      <c r="EV272" s="47"/>
      <c r="EW272" s="47"/>
      <c r="EX272" s="47"/>
      <c r="EY272" s="47"/>
      <c r="EZ272" s="47"/>
      <c r="FA272" s="47"/>
      <c r="FB272" s="47"/>
      <c r="FC272" s="47"/>
      <c r="FD272" s="47"/>
      <c r="FE272" s="47"/>
      <c r="FF272" s="47"/>
      <c r="FG272" s="47"/>
      <c r="FH272" s="47"/>
      <c r="FI272" s="47"/>
      <c r="FJ272" s="49"/>
      <c r="FK272" s="47"/>
      <c r="FL272" s="47"/>
      <c r="FM272" s="47"/>
      <c r="FN272" s="47"/>
      <c r="FO272" s="47"/>
      <c r="FP272" s="47"/>
      <c r="FQ272" s="47"/>
      <c r="FR272" s="47"/>
      <c r="FS272" s="47"/>
      <c r="FT272" s="47"/>
      <c r="FU272" s="47"/>
      <c r="FV272" s="47"/>
      <c r="FW272" s="47"/>
      <c r="FX272" s="47"/>
      <c r="FY272" s="47"/>
      <c r="FZ272" s="47"/>
      <c r="GA272" s="47"/>
      <c r="GB272" s="47"/>
      <c r="GC272" s="47"/>
      <c r="GD272" s="47"/>
      <c r="GE272" s="47"/>
      <c r="GF272" s="47"/>
      <c r="GG272" s="47"/>
      <c r="GH272" s="47"/>
      <c r="GI272" s="47"/>
      <c r="GJ272" s="47"/>
      <c r="GK272" s="47"/>
      <c r="GL272" s="47"/>
      <c r="GM272" s="47"/>
      <c r="GN272" s="47"/>
      <c r="GO272" s="47"/>
      <c r="GP272" s="47"/>
      <c r="GQ272" s="47"/>
      <c r="GR272" s="47"/>
      <c r="GS272" s="47"/>
      <c r="GT272" s="47"/>
      <c r="GU272" s="47"/>
      <c r="GV272" s="47"/>
      <c r="GW272" s="47"/>
      <c r="GX272" s="47"/>
      <c r="GY272" s="47"/>
      <c r="GZ272" s="47"/>
      <c r="HA272" s="47"/>
      <c r="HB272" s="47"/>
      <c r="HC272" s="47"/>
      <c r="HD272" s="47"/>
      <c r="HE272" s="47"/>
      <c r="HF272" s="47"/>
      <c r="HI272" s="47"/>
      <c r="HJ272" s="47"/>
      <c r="HK272" s="47"/>
      <c r="HL272" s="47"/>
      <c r="HM272" s="47"/>
      <c r="HN272" s="47"/>
      <c r="HO272" s="47"/>
      <c r="HP272" s="47"/>
      <c r="HS272" s="47"/>
      <c r="HT272" s="47"/>
      <c r="HU272" s="47"/>
      <c r="HV272" s="47"/>
      <c r="HW272" s="47"/>
      <c r="HX272" s="47"/>
      <c r="HY272" s="47"/>
      <c r="HZ272" s="47"/>
      <c r="IC272" s="47"/>
      <c r="ID272" s="47"/>
      <c r="IE272" s="47"/>
      <c r="IF272" s="47"/>
      <c r="IG272" s="47"/>
      <c r="IH272" s="47"/>
      <c r="II272" s="47"/>
      <c r="IJ272" s="47"/>
      <c r="IM272" s="47"/>
      <c r="IN272" s="47"/>
      <c r="IO272" s="47"/>
      <c r="IP272" s="47"/>
      <c r="IQ272" s="47"/>
      <c r="IR272" s="47"/>
      <c r="IS272" s="47"/>
      <c r="IT272" s="47"/>
      <c r="IW272" s="47"/>
      <c r="IX272" s="47"/>
      <c r="IY272" s="47"/>
      <c r="IZ272" s="47"/>
      <c r="JA272" s="47"/>
      <c r="JB272" s="47"/>
      <c r="JC272" s="47"/>
      <c r="JD272" s="47"/>
      <c r="JG272" s="47"/>
      <c r="JH272" s="47"/>
      <c r="JI272" s="47"/>
      <c r="JJ272" s="47"/>
      <c r="JK272" s="47"/>
      <c r="JL272" s="47"/>
      <c r="JM272" s="47"/>
      <c r="JN272" s="47"/>
      <c r="JQ272" s="47"/>
      <c r="JR272" s="47"/>
      <c r="JS272" s="47"/>
      <c r="JT272" s="47"/>
      <c r="JU272" s="47"/>
      <c r="JV272" s="47"/>
      <c r="JW272" s="47"/>
      <c r="JX272" s="47"/>
      <c r="KA272" s="47"/>
      <c r="KB272" s="47"/>
      <c r="KC272" s="47"/>
      <c r="KD272" s="47"/>
      <c r="KE272" s="47"/>
      <c r="KF272" s="47"/>
      <c r="KG272" s="47"/>
      <c r="KH272" s="47"/>
      <c r="KK272" s="47"/>
      <c r="KL272" s="47"/>
      <c r="KM272" s="47"/>
      <c r="KN272" s="47"/>
      <c r="KO272" s="47"/>
      <c r="KP272" s="47"/>
      <c r="KQ272" s="47"/>
      <c r="KR272" s="47"/>
      <c r="KU272" s="47"/>
      <c r="KV272" s="47"/>
      <c r="KW272" s="47"/>
      <c r="KX272" s="47"/>
      <c r="KY272" s="47"/>
      <c r="KZ272" s="47"/>
      <c r="LA272" s="47"/>
      <c r="LB272" s="47"/>
    </row>
    <row r="273" spans="29:314" x14ac:dyDescent="0.25">
      <c r="AC273" s="47"/>
      <c r="AD273" s="47"/>
      <c r="AE273" s="47"/>
      <c r="AF273" s="47"/>
      <c r="AG273" s="49"/>
      <c r="AH273" s="47"/>
      <c r="AI273" s="47"/>
      <c r="AJ273" s="47"/>
      <c r="AK273" s="47"/>
      <c r="AL273" s="47"/>
      <c r="AM273" s="47"/>
      <c r="AN273" s="47"/>
      <c r="AO273" s="47"/>
      <c r="AP273" s="47"/>
      <c r="AQ273" s="47"/>
      <c r="AR273" s="47"/>
      <c r="AS273" s="47"/>
      <c r="AT273" s="47"/>
      <c r="AU273" s="47"/>
      <c r="AV273" s="47"/>
      <c r="AW273" s="47"/>
      <c r="AX273" s="47"/>
      <c r="AY273" s="47"/>
      <c r="AZ273" s="47"/>
      <c r="BA273" s="47"/>
      <c r="BB273" s="47"/>
      <c r="BC273" s="47"/>
      <c r="BD273" s="47"/>
      <c r="BE273" s="47"/>
      <c r="BF273" s="47"/>
      <c r="BG273" s="47"/>
      <c r="BH273" s="47"/>
      <c r="BI273" s="47"/>
      <c r="BJ273" s="47"/>
      <c r="BK273" s="47"/>
      <c r="BL273" s="47"/>
      <c r="BM273" s="47"/>
      <c r="BN273" s="49"/>
      <c r="BO273" s="47"/>
      <c r="BP273" s="47"/>
      <c r="BQ273" s="47"/>
      <c r="BR273" s="47"/>
      <c r="BS273" s="47"/>
      <c r="BT273" s="47"/>
      <c r="BU273" s="47"/>
      <c r="BV273" s="47"/>
      <c r="BW273" s="47"/>
      <c r="BX273" s="47"/>
      <c r="BY273" s="47"/>
      <c r="BZ273" s="47"/>
      <c r="CA273" s="47"/>
      <c r="CB273" s="47"/>
      <c r="CC273" s="47"/>
      <c r="CD273" s="47"/>
      <c r="CE273" s="47"/>
      <c r="CF273" s="47"/>
      <c r="CG273" s="49"/>
      <c r="CH273" s="47"/>
      <c r="CI273" s="47"/>
      <c r="CJ273" s="47"/>
      <c r="CK273" s="47"/>
      <c r="CL273" s="47"/>
      <c r="CM273" s="47"/>
      <c r="CN273" s="47"/>
      <c r="CO273" s="47"/>
      <c r="CP273" s="47"/>
      <c r="CQ273" s="47"/>
      <c r="CS273" s="47"/>
      <c r="CT273" s="47"/>
      <c r="CU273" s="47"/>
      <c r="CV273" s="47"/>
      <c r="CW273" s="47"/>
      <c r="CX273" s="47"/>
      <c r="CY273" s="47"/>
      <c r="CZ273" s="47"/>
      <c r="DA273" s="47"/>
      <c r="DB273" s="47"/>
      <c r="DC273" s="47"/>
      <c r="DD273" s="47"/>
      <c r="DE273" s="47"/>
      <c r="DF273" s="47"/>
      <c r="DG273" s="47"/>
      <c r="DH273" s="47"/>
      <c r="DI273" s="47"/>
      <c r="DJ273" s="47"/>
      <c r="DK273" s="47"/>
      <c r="DM273" s="47"/>
      <c r="DN273" s="47"/>
      <c r="DO273" s="47"/>
      <c r="DP273" s="47"/>
      <c r="DQ273" s="47"/>
      <c r="DR273" s="47"/>
      <c r="DS273" s="47"/>
      <c r="DT273" s="47"/>
      <c r="DU273" s="47"/>
      <c r="DV273" s="49"/>
      <c r="DW273" s="47"/>
      <c r="DX273" s="47"/>
      <c r="DY273" s="47"/>
      <c r="DZ273" s="47"/>
      <c r="EA273" s="47"/>
      <c r="EB273" s="47"/>
      <c r="EC273" s="47"/>
      <c r="ED273" s="47"/>
      <c r="EE273" s="47"/>
      <c r="EF273" s="47"/>
      <c r="EG273" s="47"/>
      <c r="EH273" s="47"/>
      <c r="EI273" s="47"/>
      <c r="EJ273" s="47"/>
      <c r="EK273" s="47"/>
      <c r="EL273" s="47"/>
      <c r="EM273" s="47"/>
      <c r="EN273" s="47"/>
      <c r="EO273" s="47"/>
      <c r="EP273" s="47"/>
      <c r="EQ273" s="47"/>
      <c r="ER273" s="47"/>
      <c r="ES273" s="47"/>
      <c r="ET273" s="47"/>
      <c r="EU273" s="47"/>
      <c r="EV273" s="47"/>
      <c r="EW273" s="47"/>
      <c r="EX273" s="47"/>
      <c r="EY273" s="47"/>
      <c r="EZ273" s="47"/>
      <c r="FA273" s="47"/>
      <c r="FB273" s="47"/>
      <c r="FC273" s="47"/>
      <c r="FD273" s="47"/>
      <c r="FE273" s="47"/>
      <c r="FF273" s="47"/>
      <c r="FG273" s="47"/>
      <c r="FH273" s="47"/>
      <c r="FI273" s="47"/>
      <c r="FJ273" s="49"/>
      <c r="FK273" s="47"/>
      <c r="FL273" s="47"/>
      <c r="FM273" s="47"/>
      <c r="FN273" s="47"/>
      <c r="FO273" s="47"/>
      <c r="FP273" s="47"/>
      <c r="FQ273" s="47"/>
      <c r="FR273" s="47"/>
      <c r="FS273" s="47"/>
      <c r="FT273" s="47"/>
      <c r="FU273" s="47"/>
      <c r="FV273" s="47"/>
      <c r="FW273" s="47"/>
      <c r="FX273" s="47"/>
      <c r="FY273" s="47"/>
      <c r="FZ273" s="47"/>
      <c r="GA273" s="47"/>
      <c r="GB273" s="47"/>
      <c r="GC273" s="47"/>
      <c r="GD273" s="47"/>
      <c r="GE273" s="47"/>
      <c r="GF273" s="47"/>
      <c r="GG273" s="47"/>
      <c r="GH273" s="47"/>
      <c r="GI273" s="47"/>
      <c r="GJ273" s="47"/>
      <c r="GK273" s="47"/>
      <c r="GL273" s="47"/>
      <c r="GM273" s="47"/>
      <c r="GN273" s="47"/>
      <c r="GO273" s="47"/>
      <c r="GP273" s="47"/>
      <c r="GQ273" s="47"/>
      <c r="GR273" s="47"/>
      <c r="GS273" s="47"/>
      <c r="GT273" s="47"/>
      <c r="GU273" s="47"/>
      <c r="GV273" s="47"/>
      <c r="GW273" s="47"/>
      <c r="GX273" s="47"/>
      <c r="GY273" s="47"/>
      <c r="GZ273" s="47"/>
      <c r="HA273" s="47"/>
      <c r="HB273" s="47"/>
      <c r="HC273" s="47"/>
      <c r="HD273" s="47"/>
      <c r="HE273" s="47"/>
      <c r="HF273" s="47"/>
      <c r="HI273" s="47"/>
      <c r="HJ273" s="47"/>
      <c r="HK273" s="47"/>
      <c r="HL273" s="47"/>
      <c r="HM273" s="47"/>
      <c r="HN273" s="47"/>
      <c r="HO273" s="47"/>
      <c r="HP273" s="47"/>
      <c r="HS273" s="47"/>
      <c r="HT273" s="47"/>
      <c r="HU273" s="47"/>
      <c r="HV273" s="47"/>
      <c r="HW273" s="47"/>
      <c r="HX273" s="47"/>
      <c r="HY273" s="47"/>
      <c r="HZ273" s="47"/>
      <c r="IC273" s="47"/>
      <c r="ID273" s="47"/>
      <c r="IE273" s="47"/>
      <c r="IF273" s="47"/>
      <c r="IG273" s="47"/>
      <c r="IH273" s="47"/>
      <c r="II273" s="47"/>
      <c r="IJ273" s="47"/>
      <c r="IM273" s="47"/>
      <c r="IN273" s="47"/>
      <c r="IO273" s="47"/>
      <c r="IP273" s="47"/>
      <c r="IQ273" s="47"/>
      <c r="IR273" s="47"/>
      <c r="IS273" s="47"/>
      <c r="IT273" s="47"/>
      <c r="IW273" s="47"/>
      <c r="IX273" s="47"/>
      <c r="IY273" s="47"/>
      <c r="IZ273" s="47"/>
      <c r="JA273" s="47"/>
      <c r="JB273" s="47"/>
      <c r="JC273" s="47"/>
      <c r="JD273" s="47"/>
      <c r="JG273" s="47"/>
      <c r="JH273" s="47"/>
      <c r="JI273" s="47"/>
      <c r="JJ273" s="47"/>
      <c r="JK273" s="47"/>
      <c r="JL273" s="47"/>
      <c r="JM273" s="47"/>
      <c r="JN273" s="47"/>
      <c r="JQ273" s="47"/>
      <c r="JR273" s="47"/>
      <c r="JS273" s="47"/>
      <c r="JT273" s="47"/>
      <c r="JU273" s="47"/>
      <c r="JV273" s="47"/>
      <c r="JW273" s="47"/>
      <c r="JX273" s="47"/>
      <c r="KA273" s="47"/>
      <c r="KB273" s="47"/>
      <c r="KC273" s="47"/>
      <c r="KD273" s="47"/>
      <c r="KE273" s="47"/>
      <c r="KF273" s="47"/>
      <c r="KG273" s="47"/>
      <c r="KH273" s="47"/>
      <c r="KK273" s="47"/>
      <c r="KL273" s="47"/>
      <c r="KM273" s="47"/>
      <c r="KN273" s="47"/>
      <c r="KO273" s="47"/>
      <c r="KP273" s="47"/>
      <c r="KQ273" s="47"/>
      <c r="KR273" s="47"/>
      <c r="KU273" s="47"/>
      <c r="KV273" s="47"/>
      <c r="KW273" s="47"/>
      <c r="KX273" s="47"/>
      <c r="KY273" s="47"/>
      <c r="KZ273" s="47"/>
      <c r="LA273" s="47"/>
      <c r="LB273" s="47"/>
    </row>
    <row r="274" spans="29:314" x14ac:dyDescent="0.25">
      <c r="AC274" s="47"/>
      <c r="AD274" s="47"/>
      <c r="AE274" s="47"/>
      <c r="AF274" s="47"/>
      <c r="AG274" s="49"/>
      <c r="AH274" s="47"/>
      <c r="AI274" s="47"/>
      <c r="AJ274" s="47"/>
      <c r="AK274" s="47"/>
      <c r="AL274" s="47"/>
      <c r="AM274" s="47"/>
      <c r="AN274" s="47"/>
      <c r="AO274" s="47"/>
      <c r="AP274" s="47"/>
      <c r="AQ274" s="47"/>
      <c r="AR274" s="47"/>
      <c r="AS274" s="47"/>
      <c r="AT274" s="47"/>
      <c r="AU274" s="47"/>
      <c r="AV274" s="47"/>
      <c r="AW274" s="47"/>
      <c r="AX274" s="47"/>
      <c r="AY274" s="47"/>
      <c r="AZ274" s="47"/>
      <c r="BA274" s="47"/>
      <c r="BB274" s="47"/>
      <c r="BC274" s="47"/>
      <c r="BD274" s="47"/>
      <c r="BE274" s="47"/>
      <c r="BF274" s="47"/>
      <c r="BG274" s="47"/>
      <c r="BH274" s="47"/>
      <c r="BI274" s="47"/>
      <c r="BJ274" s="47"/>
      <c r="BK274" s="47"/>
      <c r="BL274" s="47"/>
      <c r="BM274" s="47"/>
      <c r="BN274" s="49"/>
      <c r="BO274" s="47"/>
      <c r="BP274" s="47"/>
      <c r="BQ274" s="47"/>
      <c r="BR274" s="47"/>
      <c r="BS274" s="47"/>
      <c r="BT274" s="47"/>
      <c r="BU274" s="47"/>
      <c r="BV274" s="47"/>
      <c r="BW274" s="47"/>
      <c r="BX274" s="47"/>
      <c r="BY274" s="47"/>
      <c r="BZ274" s="47"/>
      <c r="CA274" s="47"/>
      <c r="CB274" s="47"/>
      <c r="CC274" s="47"/>
      <c r="CD274" s="47"/>
      <c r="CE274" s="47"/>
      <c r="CF274" s="47"/>
      <c r="CG274" s="49"/>
      <c r="CH274" s="47"/>
      <c r="CI274" s="47"/>
      <c r="CJ274" s="47"/>
      <c r="CK274" s="47"/>
      <c r="CL274" s="47"/>
      <c r="CM274" s="47"/>
      <c r="CN274" s="47"/>
      <c r="CO274" s="47"/>
      <c r="CP274" s="47"/>
      <c r="CQ274" s="47"/>
      <c r="CS274" s="47"/>
      <c r="CT274" s="47"/>
      <c r="CU274" s="47"/>
      <c r="CV274" s="47"/>
      <c r="CW274" s="47"/>
      <c r="CX274" s="47"/>
      <c r="CY274" s="47"/>
      <c r="CZ274" s="47"/>
      <c r="DA274" s="47"/>
      <c r="DB274" s="47"/>
      <c r="DC274" s="47"/>
      <c r="DD274" s="47"/>
      <c r="DE274" s="47"/>
      <c r="DF274" s="47"/>
      <c r="DG274" s="47"/>
      <c r="DH274" s="47"/>
      <c r="DI274" s="47"/>
      <c r="DJ274" s="47"/>
      <c r="DK274" s="47"/>
      <c r="DM274" s="47"/>
      <c r="DN274" s="47"/>
      <c r="DO274" s="47"/>
      <c r="DP274" s="47"/>
      <c r="DQ274" s="47"/>
      <c r="DR274" s="47"/>
      <c r="DS274" s="47"/>
      <c r="DT274" s="47"/>
      <c r="DU274" s="47"/>
      <c r="DV274" s="49"/>
      <c r="DW274" s="47"/>
      <c r="DX274" s="47"/>
      <c r="DY274" s="47"/>
      <c r="DZ274" s="47"/>
      <c r="EA274" s="47"/>
      <c r="EB274" s="47"/>
      <c r="EC274" s="47"/>
      <c r="ED274" s="47"/>
      <c r="EE274" s="47"/>
      <c r="EF274" s="47"/>
      <c r="EG274" s="47"/>
      <c r="EH274" s="47"/>
      <c r="EI274" s="47"/>
      <c r="EJ274" s="47"/>
      <c r="EK274" s="47"/>
      <c r="EL274" s="47"/>
      <c r="EM274" s="47"/>
      <c r="EN274" s="47"/>
      <c r="EO274" s="47"/>
      <c r="EP274" s="47"/>
      <c r="EQ274" s="47"/>
      <c r="ER274" s="47"/>
      <c r="ES274" s="47"/>
      <c r="ET274" s="47"/>
      <c r="EU274" s="47"/>
      <c r="EV274" s="47"/>
      <c r="EW274" s="47"/>
      <c r="EX274" s="47"/>
      <c r="EY274" s="47"/>
      <c r="EZ274" s="47"/>
      <c r="FA274" s="47"/>
      <c r="FB274" s="47"/>
      <c r="FC274" s="47"/>
      <c r="FD274" s="47"/>
      <c r="FE274" s="47"/>
      <c r="FF274" s="47"/>
      <c r="FG274" s="47"/>
      <c r="FH274" s="47"/>
      <c r="FI274" s="47"/>
      <c r="FJ274" s="49"/>
      <c r="FK274" s="47"/>
      <c r="FL274" s="47"/>
      <c r="FM274" s="47"/>
      <c r="FN274" s="47"/>
      <c r="FO274" s="47"/>
      <c r="FP274" s="47"/>
      <c r="FQ274" s="47"/>
      <c r="FR274" s="47"/>
      <c r="FS274" s="47"/>
      <c r="FT274" s="47"/>
      <c r="FU274" s="47"/>
      <c r="FV274" s="47"/>
      <c r="FW274" s="47"/>
      <c r="FX274" s="47"/>
      <c r="FY274" s="47"/>
      <c r="FZ274" s="47"/>
      <c r="GA274" s="47"/>
      <c r="GB274" s="47"/>
      <c r="GC274" s="47"/>
      <c r="GD274" s="47"/>
      <c r="GE274" s="47"/>
      <c r="GF274" s="47"/>
      <c r="GG274" s="47"/>
      <c r="GH274" s="47"/>
      <c r="GI274" s="47"/>
      <c r="GJ274" s="47"/>
      <c r="GK274" s="47"/>
      <c r="GL274" s="47"/>
      <c r="GM274" s="47"/>
      <c r="GN274" s="47"/>
      <c r="GO274" s="47"/>
      <c r="GP274" s="47"/>
      <c r="GQ274" s="47"/>
      <c r="GR274" s="47"/>
      <c r="GS274" s="47"/>
      <c r="GT274" s="47"/>
      <c r="GU274" s="47"/>
      <c r="GV274" s="47"/>
      <c r="GW274" s="47"/>
      <c r="GX274" s="47"/>
      <c r="GY274" s="47"/>
      <c r="GZ274" s="47"/>
      <c r="HA274" s="47"/>
      <c r="HB274" s="47"/>
      <c r="HC274" s="47"/>
      <c r="HD274" s="47"/>
      <c r="HE274" s="47"/>
      <c r="HF274" s="47"/>
      <c r="HI274" s="47"/>
      <c r="HJ274" s="47"/>
      <c r="HK274" s="47"/>
      <c r="HL274" s="47"/>
      <c r="HM274" s="47"/>
      <c r="HN274" s="47"/>
      <c r="HO274" s="47"/>
      <c r="HP274" s="47"/>
      <c r="HS274" s="47"/>
      <c r="HT274" s="47"/>
      <c r="HU274" s="47"/>
      <c r="HV274" s="47"/>
      <c r="HW274" s="47"/>
      <c r="HX274" s="47"/>
      <c r="HY274" s="47"/>
      <c r="HZ274" s="47"/>
      <c r="IC274" s="47"/>
      <c r="ID274" s="47"/>
      <c r="IE274" s="47"/>
      <c r="IF274" s="47"/>
      <c r="IG274" s="47"/>
      <c r="IH274" s="47"/>
      <c r="II274" s="47"/>
      <c r="IJ274" s="47"/>
      <c r="IM274" s="47"/>
      <c r="IN274" s="47"/>
      <c r="IO274" s="47"/>
      <c r="IP274" s="47"/>
      <c r="IQ274" s="47"/>
      <c r="IR274" s="47"/>
      <c r="IS274" s="47"/>
      <c r="IT274" s="47"/>
      <c r="IW274" s="47"/>
      <c r="IX274" s="47"/>
      <c r="IY274" s="47"/>
      <c r="IZ274" s="47"/>
      <c r="JA274" s="47"/>
      <c r="JB274" s="47"/>
      <c r="JC274" s="47"/>
      <c r="JD274" s="47"/>
      <c r="JG274" s="47"/>
      <c r="JH274" s="47"/>
      <c r="JI274" s="47"/>
      <c r="JJ274" s="47"/>
      <c r="JK274" s="47"/>
      <c r="JL274" s="47"/>
      <c r="JM274" s="47"/>
      <c r="JN274" s="47"/>
      <c r="JQ274" s="47"/>
      <c r="JR274" s="47"/>
      <c r="JS274" s="47"/>
      <c r="JT274" s="47"/>
      <c r="JU274" s="47"/>
      <c r="JV274" s="47"/>
      <c r="JW274" s="47"/>
      <c r="JX274" s="47"/>
      <c r="KA274" s="47"/>
      <c r="KB274" s="47"/>
      <c r="KC274" s="47"/>
      <c r="KD274" s="47"/>
      <c r="KE274" s="47"/>
      <c r="KF274" s="47"/>
      <c r="KG274" s="47"/>
      <c r="KH274" s="47"/>
      <c r="KK274" s="47"/>
      <c r="KL274" s="47"/>
      <c r="KM274" s="47"/>
      <c r="KN274" s="47"/>
      <c r="KO274" s="47"/>
      <c r="KP274" s="47"/>
      <c r="KQ274" s="47"/>
      <c r="KR274" s="47"/>
      <c r="KU274" s="47"/>
      <c r="KV274" s="47"/>
      <c r="KW274" s="47"/>
      <c r="KX274" s="47"/>
      <c r="KY274" s="47"/>
      <c r="KZ274" s="47"/>
      <c r="LA274" s="47"/>
      <c r="LB274" s="47"/>
    </row>
    <row r="275" spans="29:314" x14ac:dyDescent="0.25">
      <c r="AC275" s="47"/>
      <c r="AD275" s="47"/>
      <c r="AE275" s="47"/>
      <c r="AF275" s="47"/>
      <c r="AG275" s="49"/>
      <c r="AH275" s="47"/>
      <c r="AI275" s="47"/>
      <c r="AJ275" s="47"/>
      <c r="AK275" s="47"/>
      <c r="AL275" s="47"/>
      <c r="AM275" s="47"/>
      <c r="AN275" s="47"/>
      <c r="AO275" s="47"/>
      <c r="AP275" s="47"/>
      <c r="AQ275" s="47"/>
      <c r="AR275" s="47"/>
      <c r="AS275" s="47"/>
      <c r="AT275" s="47"/>
      <c r="AU275" s="47"/>
      <c r="AV275" s="47"/>
      <c r="AW275" s="47"/>
      <c r="AX275" s="47"/>
      <c r="AY275" s="47"/>
      <c r="AZ275" s="47"/>
      <c r="BA275" s="47"/>
      <c r="BB275" s="47"/>
      <c r="BC275" s="47"/>
      <c r="BD275" s="47"/>
      <c r="BE275" s="47"/>
      <c r="BF275" s="47"/>
      <c r="BG275" s="47"/>
      <c r="BH275" s="47"/>
      <c r="BI275" s="47"/>
      <c r="BJ275" s="47"/>
      <c r="BK275" s="47"/>
      <c r="BL275" s="47"/>
      <c r="BM275" s="47"/>
      <c r="BN275" s="49"/>
      <c r="BO275" s="47"/>
      <c r="BP275" s="47"/>
      <c r="BQ275" s="47"/>
      <c r="BR275" s="47"/>
      <c r="BS275" s="47"/>
      <c r="BT275" s="47"/>
      <c r="BU275" s="47"/>
      <c r="BV275" s="47"/>
      <c r="BW275" s="47"/>
      <c r="BX275" s="47"/>
      <c r="BY275" s="47"/>
      <c r="BZ275" s="47"/>
      <c r="CA275" s="47"/>
      <c r="CB275" s="47"/>
      <c r="CC275" s="47"/>
      <c r="CD275" s="47"/>
      <c r="CE275" s="47"/>
      <c r="CF275" s="47"/>
      <c r="CG275" s="49"/>
      <c r="CH275" s="47"/>
      <c r="CI275" s="47"/>
      <c r="CJ275" s="47"/>
      <c r="CK275" s="47"/>
      <c r="CL275" s="47"/>
      <c r="CM275" s="47"/>
      <c r="CN275" s="47"/>
      <c r="CO275" s="47"/>
      <c r="CP275" s="47"/>
      <c r="CQ275" s="47"/>
      <c r="CS275" s="47"/>
      <c r="CT275" s="47"/>
      <c r="CU275" s="47"/>
      <c r="CV275" s="47"/>
      <c r="CW275" s="47"/>
      <c r="CX275" s="47"/>
      <c r="CY275" s="47"/>
      <c r="CZ275" s="47"/>
      <c r="DA275" s="47"/>
      <c r="DB275" s="47"/>
      <c r="DC275" s="47"/>
      <c r="DD275" s="47"/>
      <c r="DE275" s="47"/>
      <c r="DF275" s="47"/>
      <c r="DG275" s="47"/>
      <c r="DH275" s="47"/>
      <c r="DI275" s="47"/>
      <c r="DJ275" s="47"/>
      <c r="DK275" s="47"/>
      <c r="DM275" s="47"/>
      <c r="DN275" s="47"/>
      <c r="DO275" s="47"/>
      <c r="DP275" s="47"/>
      <c r="DQ275" s="47"/>
      <c r="DR275" s="47"/>
      <c r="DS275" s="47"/>
      <c r="DT275" s="47"/>
      <c r="DU275" s="47"/>
      <c r="DV275" s="49"/>
      <c r="DW275" s="47"/>
      <c r="DX275" s="47"/>
      <c r="DY275" s="47"/>
      <c r="DZ275" s="47"/>
      <c r="EA275" s="47"/>
      <c r="EB275" s="47"/>
      <c r="EC275" s="47"/>
      <c r="ED275" s="47"/>
      <c r="EE275" s="47"/>
      <c r="EF275" s="47"/>
      <c r="EG275" s="47"/>
      <c r="EH275" s="47"/>
      <c r="EI275" s="47"/>
      <c r="EJ275" s="47"/>
      <c r="EK275" s="47"/>
      <c r="EL275" s="47"/>
      <c r="EM275" s="47"/>
      <c r="EN275" s="47"/>
      <c r="EO275" s="47"/>
      <c r="EP275" s="47"/>
      <c r="EQ275" s="47"/>
      <c r="ER275" s="47"/>
      <c r="ES275" s="47"/>
      <c r="ET275" s="47"/>
      <c r="EU275" s="47"/>
      <c r="EV275" s="47"/>
      <c r="EW275" s="47"/>
      <c r="EX275" s="47"/>
      <c r="EY275" s="47"/>
      <c r="EZ275" s="47"/>
      <c r="FA275" s="47"/>
      <c r="FB275" s="47"/>
      <c r="FC275" s="47"/>
      <c r="FD275" s="47"/>
      <c r="FE275" s="47"/>
      <c r="FF275" s="47"/>
      <c r="FG275" s="47"/>
      <c r="FH275" s="47"/>
      <c r="FI275" s="47"/>
      <c r="FJ275" s="49"/>
      <c r="FK275" s="47"/>
      <c r="FL275" s="47"/>
      <c r="FM275" s="47"/>
      <c r="FN275" s="47"/>
      <c r="FO275" s="47"/>
      <c r="FP275" s="47"/>
      <c r="FQ275" s="47"/>
      <c r="FR275" s="47"/>
      <c r="FS275" s="47"/>
      <c r="FT275" s="47"/>
      <c r="FU275" s="47"/>
      <c r="FV275" s="47"/>
      <c r="FW275" s="47"/>
      <c r="FX275" s="47"/>
      <c r="FY275" s="47"/>
      <c r="FZ275" s="47"/>
      <c r="GA275" s="47"/>
      <c r="GB275" s="47"/>
      <c r="GC275" s="47"/>
      <c r="GD275" s="47"/>
      <c r="GE275" s="47"/>
      <c r="GF275" s="47"/>
      <c r="GG275" s="47"/>
      <c r="GH275" s="47"/>
      <c r="GI275" s="47"/>
      <c r="GJ275" s="47"/>
      <c r="GK275" s="47"/>
      <c r="GL275" s="47"/>
      <c r="GM275" s="47"/>
      <c r="GN275" s="47"/>
      <c r="GO275" s="47"/>
      <c r="GP275" s="47"/>
      <c r="GQ275" s="47"/>
      <c r="GR275" s="47"/>
      <c r="GS275" s="47"/>
      <c r="GT275" s="47"/>
      <c r="GU275" s="47"/>
      <c r="GV275" s="47"/>
      <c r="GW275" s="47"/>
      <c r="GX275" s="47"/>
      <c r="GY275" s="47"/>
      <c r="GZ275" s="47"/>
      <c r="HA275" s="47"/>
      <c r="HB275" s="47"/>
      <c r="HC275" s="47"/>
      <c r="HD275" s="47"/>
      <c r="HE275" s="47"/>
      <c r="HF275" s="47"/>
      <c r="HI275" s="47"/>
      <c r="HJ275" s="47"/>
      <c r="HK275" s="47"/>
      <c r="HL275" s="47"/>
      <c r="HM275" s="47"/>
      <c r="HN275" s="47"/>
      <c r="HO275" s="47"/>
      <c r="HP275" s="47"/>
      <c r="HS275" s="47"/>
      <c r="HT275" s="47"/>
      <c r="HU275" s="47"/>
      <c r="HV275" s="47"/>
      <c r="HW275" s="47"/>
      <c r="HX275" s="47"/>
      <c r="HY275" s="47"/>
      <c r="HZ275" s="47"/>
      <c r="IC275" s="47"/>
      <c r="ID275" s="47"/>
      <c r="IE275" s="47"/>
      <c r="IF275" s="47"/>
      <c r="IG275" s="47"/>
      <c r="IH275" s="47"/>
      <c r="II275" s="47"/>
      <c r="IJ275" s="47"/>
      <c r="IM275" s="47"/>
      <c r="IN275" s="47"/>
      <c r="IO275" s="47"/>
      <c r="IP275" s="47"/>
      <c r="IQ275" s="47"/>
      <c r="IR275" s="47"/>
      <c r="IS275" s="47"/>
      <c r="IT275" s="47"/>
      <c r="IW275" s="47"/>
      <c r="IX275" s="47"/>
      <c r="IY275" s="47"/>
      <c r="IZ275" s="47"/>
      <c r="JA275" s="47"/>
      <c r="JB275" s="47"/>
      <c r="JC275" s="47"/>
      <c r="JD275" s="47"/>
      <c r="JG275" s="47"/>
      <c r="JH275" s="47"/>
      <c r="JI275" s="47"/>
      <c r="JJ275" s="47"/>
      <c r="JK275" s="47"/>
      <c r="JL275" s="47"/>
      <c r="JM275" s="47"/>
      <c r="JN275" s="47"/>
      <c r="JQ275" s="47"/>
      <c r="JR275" s="47"/>
      <c r="JS275" s="47"/>
      <c r="JT275" s="47"/>
      <c r="JU275" s="47"/>
      <c r="JV275" s="47"/>
      <c r="JW275" s="47"/>
      <c r="JX275" s="47"/>
      <c r="KA275" s="47"/>
      <c r="KB275" s="47"/>
      <c r="KC275" s="47"/>
      <c r="KD275" s="47"/>
      <c r="KE275" s="47"/>
      <c r="KF275" s="47"/>
      <c r="KG275" s="47"/>
      <c r="KH275" s="47"/>
      <c r="KK275" s="47"/>
      <c r="KL275" s="47"/>
      <c r="KM275" s="47"/>
      <c r="KN275" s="47"/>
      <c r="KO275" s="47"/>
      <c r="KP275" s="47"/>
      <c r="KQ275" s="47"/>
      <c r="KR275" s="47"/>
      <c r="KU275" s="47"/>
      <c r="KV275" s="47"/>
      <c r="KW275" s="47"/>
      <c r="KX275" s="47"/>
      <c r="KY275" s="47"/>
      <c r="KZ275" s="47"/>
      <c r="LA275" s="47"/>
      <c r="LB275" s="47"/>
    </row>
    <row r="276" spans="29:314" x14ac:dyDescent="0.25">
      <c r="AC276" s="47"/>
      <c r="AD276" s="47"/>
      <c r="AE276" s="47"/>
      <c r="AF276" s="47"/>
      <c r="AG276" s="49"/>
      <c r="AH276" s="47"/>
      <c r="AI276" s="47"/>
      <c r="AJ276" s="47"/>
      <c r="AK276" s="47"/>
      <c r="AL276" s="47"/>
      <c r="AM276" s="47"/>
      <c r="AN276" s="47"/>
      <c r="AO276" s="47"/>
      <c r="AP276" s="47"/>
      <c r="AQ276" s="47"/>
      <c r="AR276" s="47"/>
      <c r="AS276" s="47"/>
      <c r="AT276" s="47"/>
      <c r="AU276" s="47"/>
      <c r="AV276" s="47"/>
      <c r="AW276" s="47"/>
      <c r="AX276" s="47"/>
      <c r="AY276" s="47"/>
      <c r="AZ276" s="47"/>
      <c r="BA276" s="47"/>
      <c r="BB276" s="47"/>
      <c r="BC276" s="47"/>
      <c r="BD276" s="47"/>
      <c r="BE276" s="47"/>
      <c r="BF276" s="47"/>
      <c r="BG276" s="47"/>
      <c r="BH276" s="47"/>
      <c r="BI276" s="47"/>
      <c r="BJ276" s="47"/>
      <c r="BK276" s="47"/>
      <c r="BL276" s="47"/>
      <c r="BM276" s="47"/>
      <c r="BN276" s="49"/>
      <c r="BO276" s="47"/>
      <c r="BP276" s="47"/>
      <c r="BQ276" s="47"/>
      <c r="BR276" s="47"/>
      <c r="BS276" s="47"/>
      <c r="BT276" s="47"/>
      <c r="BU276" s="47"/>
      <c r="BV276" s="47"/>
      <c r="BW276" s="47"/>
      <c r="BX276" s="47"/>
      <c r="BY276" s="47"/>
      <c r="BZ276" s="47"/>
      <c r="CA276" s="47"/>
      <c r="CB276" s="47"/>
      <c r="CC276" s="47"/>
      <c r="CD276" s="47"/>
      <c r="CE276" s="47"/>
      <c r="CF276" s="47"/>
      <c r="CG276" s="49"/>
      <c r="CH276" s="47"/>
      <c r="CI276" s="47"/>
      <c r="CJ276" s="47"/>
      <c r="CK276" s="47"/>
      <c r="CL276" s="47"/>
      <c r="CM276" s="47"/>
      <c r="CN276" s="47"/>
      <c r="CO276" s="47"/>
      <c r="CP276" s="47"/>
      <c r="CQ276" s="47"/>
      <c r="CS276" s="47"/>
      <c r="CT276" s="47"/>
      <c r="CU276" s="47"/>
      <c r="CV276" s="47"/>
      <c r="CW276" s="47"/>
      <c r="CX276" s="47"/>
      <c r="CY276" s="47"/>
      <c r="CZ276" s="47"/>
      <c r="DA276" s="47"/>
      <c r="DB276" s="47"/>
      <c r="DC276" s="47"/>
      <c r="DD276" s="47"/>
      <c r="DE276" s="47"/>
      <c r="DF276" s="47"/>
      <c r="DG276" s="47"/>
      <c r="DH276" s="47"/>
      <c r="DI276" s="47"/>
      <c r="DJ276" s="47"/>
      <c r="DK276" s="47"/>
      <c r="DM276" s="47"/>
      <c r="DN276" s="47"/>
      <c r="DO276" s="47"/>
      <c r="DP276" s="47"/>
      <c r="DQ276" s="47"/>
      <c r="DR276" s="47"/>
      <c r="DS276" s="47"/>
      <c r="DT276" s="47"/>
      <c r="DU276" s="47"/>
      <c r="DV276" s="49"/>
      <c r="DW276" s="47"/>
      <c r="DX276" s="47"/>
      <c r="DY276" s="47"/>
      <c r="DZ276" s="47"/>
      <c r="EA276" s="47"/>
      <c r="EB276" s="47"/>
      <c r="EC276" s="47"/>
      <c r="ED276" s="47"/>
      <c r="EE276" s="47"/>
      <c r="EF276" s="47"/>
      <c r="EG276" s="47"/>
      <c r="EH276" s="47"/>
      <c r="EI276" s="47"/>
      <c r="EJ276" s="47"/>
      <c r="EK276" s="47"/>
      <c r="EL276" s="47"/>
      <c r="EM276" s="47"/>
      <c r="EN276" s="47"/>
      <c r="EO276" s="47"/>
      <c r="EP276" s="47"/>
      <c r="EQ276" s="47"/>
      <c r="ER276" s="47"/>
      <c r="ES276" s="47"/>
      <c r="ET276" s="47"/>
      <c r="EU276" s="47"/>
      <c r="EV276" s="47"/>
      <c r="EW276" s="47"/>
      <c r="EX276" s="47"/>
      <c r="EY276" s="47"/>
      <c r="EZ276" s="47"/>
      <c r="FA276" s="47"/>
      <c r="FB276" s="47"/>
      <c r="FC276" s="47"/>
      <c r="FD276" s="47"/>
      <c r="FE276" s="47"/>
      <c r="FF276" s="47"/>
      <c r="FG276" s="47"/>
      <c r="FH276" s="47"/>
      <c r="FI276" s="47"/>
      <c r="FJ276" s="49"/>
      <c r="FK276" s="47"/>
      <c r="FL276" s="47"/>
      <c r="FM276" s="47"/>
      <c r="FN276" s="47"/>
      <c r="FO276" s="47"/>
      <c r="FP276" s="47"/>
      <c r="FQ276" s="47"/>
      <c r="FR276" s="47"/>
      <c r="FS276" s="47"/>
      <c r="FT276" s="47"/>
      <c r="FU276" s="47"/>
      <c r="FV276" s="47"/>
      <c r="FW276" s="47"/>
      <c r="FX276" s="47"/>
      <c r="FY276" s="47"/>
      <c r="FZ276" s="47"/>
      <c r="GA276" s="47"/>
      <c r="GB276" s="47"/>
      <c r="GC276" s="47"/>
      <c r="GD276" s="47"/>
      <c r="GE276" s="47"/>
      <c r="GF276" s="47"/>
      <c r="GG276" s="47"/>
      <c r="GH276" s="47"/>
      <c r="GI276" s="47"/>
      <c r="GJ276" s="47"/>
      <c r="GK276" s="47"/>
      <c r="GL276" s="47"/>
      <c r="GM276" s="47"/>
      <c r="GN276" s="47"/>
      <c r="GO276" s="47"/>
      <c r="GP276" s="47"/>
      <c r="GQ276" s="47"/>
      <c r="GR276" s="47"/>
      <c r="GS276" s="47"/>
      <c r="GT276" s="47"/>
      <c r="GU276" s="47"/>
      <c r="GV276" s="47"/>
      <c r="GW276" s="47"/>
      <c r="GX276" s="47"/>
      <c r="GY276" s="47"/>
      <c r="GZ276" s="47"/>
      <c r="HA276" s="47"/>
      <c r="HB276" s="47"/>
      <c r="HC276" s="47"/>
      <c r="HD276" s="47"/>
      <c r="HE276" s="47"/>
      <c r="HF276" s="47"/>
      <c r="HI276" s="47"/>
      <c r="HJ276" s="47"/>
      <c r="HK276" s="47"/>
      <c r="HL276" s="47"/>
      <c r="HM276" s="47"/>
      <c r="HN276" s="47"/>
      <c r="HO276" s="47"/>
      <c r="HP276" s="47"/>
      <c r="HS276" s="47"/>
      <c r="HT276" s="47"/>
      <c r="HU276" s="47"/>
      <c r="HV276" s="47"/>
      <c r="HW276" s="47"/>
      <c r="HX276" s="47"/>
      <c r="HY276" s="47"/>
      <c r="HZ276" s="47"/>
      <c r="IC276" s="47"/>
      <c r="ID276" s="47"/>
      <c r="IE276" s="47"/>
      <c r="IF276" s="47"/>
      <c r="IG276" s="47"/>
      <c r="IH276" s="47"/>
      <c r="II276" s="47"/>
      <c r="IJ276" s="47"/>
      <c r="IM276" s="47"/>
      <c r="IN276" s="47"/>
      <c r="IO276" s="47"/>
      <c r="IP276" s="47"/>
      <c r="IQ276" s="47"/>
      <c r="IR276" s="47"/>
      <c r="IS276" s="47"/>
      <c r="IT276" s="47"/>
      <c r="IW276" s="47"/>
      <c r="IX276" s="47"/>
      <c r="IY276" s="47"/>
      <c r="IZ276" s="47"/>
      <c r="JA276" s="47"/>
      <c r="JB276" s="47"/>
      <c r="JC276" s="47"/>
      <c r="JD276" s="47"/>
      <c r="JG276" s="47"/>
      <c r="JH276" s="47"/>
      <c r="JI276" s="47"/>
      <c r="JJ276" s="47"/>
      <c r="JK276" s="47"/>
      <c r="JL276" s="47"/>
      <c r="JM276" s="47"/>
      <c r="JN276" s="47"/>
      <c r="JQ276" s="47"/>
      <c r="JR276" s="47"/>
      <c r="JS276" s="47"/>
      <c r="JT276" s="47"/>
      <c r="JU276" s="47"/>
      <c r="JV276" s="47"/>
      <c r="JW276" s="47"/>
      <c r="JX276" s="47"/>
      <c r="KA276" s="47"/>
      <c r="KB276" s="47"/>
      <c r="KC276" s="47"/>
      <c r="KD276" s="47"/>
      <c r="KE276" s="47"/>
      <c r="KF276" s="47"/>
      <c r="KG276" s="47"/>
      <c r="KH276" s="47"/>
      <c r="KK276" s="47"/>
      <c r="KL276" s="47"/>
      <c r="KM276" s="47"/>
      <c r="KN276" s="47"/>
      <c r="KO276" s="47"/>
      <c r="KP276" s="47"/>
      <c r="KQ276" s="47"/>
      <c r="KR276" s="47"/>
      <c r="KU276" s="47"/>
      <c r="KV276" s="47"/>
      <c r="KW276" s="47"/>
      <c r="KX276" s="47"/>
      <c r="KY276" s="47"/>
      <c r="KZ276" s="47"/>
      <c r="LA276" s="47"/>
      <c r="LB276" s="47"/>
    </row>
    <row r="277" spans="29:314" x14ac:dyDescent="0.25">
      <c r="AC277" s="47"/>
      <c r="AD277" s="47"/>
      <c r="AE277" s="47"/>
      <c r="AF277" s="47"/>
      <c r="AG277" s="49"/>
      <c r="AH277" s="47"/>
      <c r="AI277" s="47"/>
      <c r="AJ277" s="47"/>
      <c r="AK277" s="47"/>
      <c r="AL277" s="47"/>
      <c r="AM277" s="47"/>
      <c r="AN277" s="47"/>
      <c r="AO277" s="47"/>
      <c r="AP277" s="47"/>
      <c r="AQ277" s="47"/>
      <c r="AR277" s="47"/>
      <c r="AS277" s="47"/>
      <c r="AT277" s="47"/>
      <c r="AU277" s="47"/>
      <c r="AV277" s="47"/>
      <c r="AW277" s="47"/>
      <c r="AX277" s="47"/>
      <c r="AY277" s="47"/>
      <c r="AZ277" s="47"/>
      <c r="BA277" s="47"/>
      <c r="BB277" s="47"/>
      <c r="BC277" s="47"/>
      <c r="BD277" s="47"/>
      <c r="BE277" s="47"/>
      <c r="BF277" s="47"/>
      <c r="BG277" s="47"/>
      <c r="BH277" s="47"/>
      <c r="BI277" s="47"/>
      <c r="BJ277" s="47"/>
      <c r="BK277" s="47"/>
      <c r="BL277" s="47"/>
      <c r="BM277" s="47"/>
      <c r="BN277" s="49"/>
      <c r="BO277" s="47"/>
      <c r="BP277" s="47"/>
      <c r="BQ277" s="47"/>
      <c r="BR277" s="47"/>
      <c r="BS277" s="47"/>
      <c r="BT277" s="47"/>
      <c r="BU277" s="47"/>
      <c r="BV277" s="47"/>
      <c r="BW277" s="47"/>
      <c r="BX277" s="47"/>
      <c r="BY277" s="47"/>
      <c r="BZ277" s="47"/>
      <c r="CA277" s="47"/>
      <c r="CB277" s="47"/>
      <c r="CC277" s="47"/>
      <c r="CD277" s="47"/>
      <c r="CE277" s="47"/>
      <c r="CF277" s="47"/>
      <c r="CG277" s="49"/>
      <c r="CH277" s="47"/>
      <c r="CI277" s="47"/>
      <c r="CJ277" s="47"/>
      <c r="CK277" s="47"/>
      <c r="CL277" s="47"/>
      <c r="CM277" s="47"/>
      <c r="CN277" s="47"/>
      <c r="CO277" s="47"/>
      <c r="CP277" s="47"/>
      <c r="CQ277" s="47"/>
      <c r="CS277" s="47"/>
      <c r="CT277" s="47"/>
      <c r="CU277" s="47"/>
      <c r="CV277" s="47"/>
      <c r="CW277" s="47"/>
      <c r="CX277" s="47"/>
      <c r="CY277" s="47"/>
      <c r="CZ277" s="47"/>
      <c r="DA277" s="47"/>
      <c r="DB277" s="47"/>
      <c r="DC277" s="47"/>
      <c r="DD277" s="47"/>
      <c r="DE277" s="47"/>
      <c r="DF277" s="47"/>
      <c r="DG277" s="47"/>
      <c r="DH277" s="47"/>
      <c r="DI277" s="47"/>
      <c r="DJ277" s="47"/>
      <c r="DK277" s="47"/>
      <c r="DM277" s="47"/>
      <c r="DN277" s="47"/>
      <c r="DO277" s="47"/>
      <c r="DP277" s="47"/>
      <c r="DQ277" s="47"/>
      <c r="DR277" s="47"/>
      <c r="DS277" s="47"/>
      <c r="DT277" s="47"/>
      <c r="DU277" s="47"/>
      <c r="DV277" s="49"/>
      <c r="DW277" s="47"/>
      <c r="DX277" s="47"/>
      <c r="DY277" s="47"/>
      <c r="DZ277" s="47"/>
      <c r="EA277" s="47"/>
      <c r="EB277" s="47"/>
      <c r="EC277" s="47"/>
      <c r="ED277" s="47"/>
      <c r="EE277" s="47"/>
      <c r="EF277" s="47"/>
      <c r="EG277" s="47"/>
      <c r="EH277" s="47"/>
      <c r="EI277" s="47"/>
      <c r="EJ277" s="47"/>
      <c r="EK277" s="47"/>
      <c r="EL277" s="47"/>
      <c r="EM277" s="47"/>
      <c r="EN277" s="47"/>
      <c r="EO277" s="47"/>
      <c r="EP277" s="47"/>
      <c r="EQ277" s="47"/>
      <c r="ER277" s="47"/>
      <c r="ES277" s="47"/>
      <c r="ET277" s="47"/>
      <c r="EU277" s="47"/>
      <c r="EV277" s="47"/>
      <c r="EW277" s="47"/>
      <c r="EX277" s="47"/>
      <c r="EY277" s="47"/>
      <c r="EZ277" s="47"/>
      <c r="FA277" s="47"/>
      <c r="FB277" s="47"/>
      <c r="FC277" s="47"/>
      <c r="FD277" s="47"/>
      <c r="FE277" s="47"/>
      <c r="FF277" s="47"/>
      <c r="FG277" s="47"/>
      <c r="FH277" s="47"/>
      <c r="FI277" s="47"/>
      <c r="FJ277" s="49"/>
      <c r="FK277" s="47"/>
      <c r="FL277" s="47"/>
      <c r="FM277" s="47"/>
      <c r="FN277" s="47"/>
      <c r="FO277" s="47"/>
      <c r="FP277" s="47"/>
      <c r="FQ277" s="47"/>
      <c r="FR277" s="47"/>
      <c r="FS277" s="47"/>
      <c r="FT277" s="47"/>
      <c r="FU277" s="47"/>
      <c r="FV277" s="47"/>
      <c r="FW277" s="47"/>
      <c r="FX277" s="47"/>
      <c r="FY277" s="47"/>
      <c r="FZ277" s="47"/>
      <c r="GA277" s="47"/>
      <c r="GB277" s="47"/>
      <c r="GC277" s="47"/>
      <c r="GD277" s="47"/>
      <c r="GE277" s="47"/>
      <c r="GF277" s="47"/>
      <c r="GG277" s="47"/>
      <c r="GH277" s="47"/>
      <c r="GI277" s="47"/>
      <c r="GJ277" s="47"/>
      <c r="GK277" s="47"/>
      <c r="GL277" s="47"/>
      <c r="GM277" s="47"/>
      <c r="GN277" s="47"/>
      <c r="GO277" s="47"/>
      <c r="GP277" s="47"/>
      <c r="GQ277" s="47"/>
      <c r="GR277" s="47"/>
      <c r="GS277" s="47"/>
      <c r="GT277" s="47"/>
      <c r="GU277" s="47"/>
      <c r="GV277" s="47"/>
      <c r="GW277" s="47"/>
      <c r="GX277" s="47"/>
      <c r="GY277" s="47"/>
      <c r="GZ277" s="47"/>
      <c r="HA277" s="47"/>
      <c r="HB277" s="47"/>
      <c r="HC277" s="47"/>
      <c r="HD277" s="47"/>
      <c r="HE277" s="47"/>
      <c r="HF277" s="47"/>
      <c r="HI277" s="47"/>
      <c r="HJ277" s="47"/>
      <c r="HK277" s="47"/>
      <c r="HL277" s="47"/>
      <c r="HM277" s="47"/>
      <c r="HN277" s="47"/>
      <c r="HO277" s="47"/>
      <c r="HP277" s="47"/>
      <c r="HS277" s="47"/>
      <c r="HT277" s="47"/>
      <c r="HU277" s="47"/>
      <c r="HV277" s="47"/>
      <c r="HW277" s="47"/>
      <c r="HX277" s="47"/>
      <c r="HY277" s="47"/>
      <c r="HZ277" s="47"/>
      <c r="IC277" s="47"/>
      <c r="ID277" s="47"/>
      <c r="IE277" s="47"/>
      <c r="IF277" s="47"/>
      <c r="IG277" s="47"/>
      <c r="IH277" s="47"/>
      <c r="II277" s="47"/>
      <c r="IJ277" s="47"/>
      <c r="IM277" s="47"/>
      <c r="IN277" s="47"/>
      <c r="IO277" s="47"/>
      <c r="IP277" s="47"/>
      <c r="IQ277" s="47"/>
      <c r="IR277" s="47"/>
      <c r="IS277" s="47"/>
      <c r="IT277" s="47"/>
      <c r="IW277" s="47"/>
      <c r="IX277" s="47"/>
      <c r="IY277" s="47"/>
      <c r="IZ277" s="47"/>
      <c r="JA277" s="47"/>
      <c r="JB277" s="47"/>
      <c r="JC277" s="47"/>
      <c r="JD277" s="47"/>
      <c r="JG277" s="47"/>
      <c r="JH277" s="47"/>
      <c r="JI277" s="47"/>
      <c r="JJ277" s="47"/>
      <c r="JK277" s="47"/>
      <c r="JL277" s="47"/>
      <c r="JM277" s="47"/>
      <c r="JN277" s="47"/>
      <c r="JQ277" s="47"/>
      <c r="JR277" s="47"/>
      <c r="JS277" s="47"/>
      <c r="JT277" s="47"/>
      <c r="JU277" s="47"/>
      <c r="JV277" s="47"/>
      <c r="JW277" s="47"/>
      <c r="JX277" s="47"/>
      <c r="KA277" s="47"/>
      <c r="KB277" s="47"/>
      <c r="KC277" s="47"/>
      <c r="KD277" s="47"/>
      <c r="KE277" s="47"/>
      <c r="KF277" s="47"/>
      <c r="KG277" s="47"/>
      <c r="KH277" s="47"/>
      <c r="KK277" s="47"/>
      <c r="KL277" s="47"/>
      <c r="KM277" s="47"/>
      <c r="KN277" s="47"/>
      <c r="KO277" s="47"/>
      <c r="KP277" s="47"/>
      <c r="KQ277" s="47"/>
      <c r="KR277" s="47"/>
      <c r="KU277" s="47"/>
      <c r="KV277" s="47"/>
      <c r="KW277" s="47"/>
      <c r="KX277" s="47"/>
      <c r="KY277" s="47"/>
      <c r="KZ277" s="47"/>
      <c r="LA277" s="47"/>
      <c r="LB277" s="47"/>
    </row>
    <row r="278" spans="29:314" x14ac:dyDescent="0.25">
      <c r="AC278" s="47"/>
      <c r="AD278" s="47"/>
      <c r="AE278" s="47"/>
      <c r="AF278" s="47"/>
      <c r="AG278" s="49"/>
      <c r="AH278" s="47"/>
      <c r="AI278" s="47"/>
      <c r="AJ278" s="47"/>
      <c r="AK278" s="47"/>
      <c r="AL278" s="47"/>
      <c r="AM278" s="47"/>
      <c r="AN278" s="47"/>
      <c r="AO278" s="47"/>
      <c r="AP278" s="47"/>
      <c r="AQ278" s="47"/>
      <c r="AR278" s="47"/>
      <c r="AS278" s="47"/>
      <c r="AT278" s="47"/>
      <c r="AU278" s="47"/>
      <c r="AV278" s="47"/>
      <c r="AW278" s="47"/>
      <c r="AX278" s="47"/>
      <c r="AY278" s="47"/>
      <c r="AZ278" s="47"/>
      <c r="BA278" s="47"/>
      <c r="BB278" s="47"/>
      <c r="BC278" s="47"/>
      <c r="BD278" s="47"/>
      <c r="BE278" s="47"/>
      <c r="BF278" s="47"/>
      <c r="BG278" s="47"/>
      <c r="BH278" s="47"/>
      <c r="BI278" s="47"/>
      <c r="BJ278" s="47"/>
      <c r="BK278" s="47"/>
      <c r="BL278" s="47"/>
      <c r="BM278" s="47"/>
      <c r="BN278" s="49"/>
      <c r="BO278" s="47"/>
      <c r="BP278" s="47"/>
      <c r="BQ278" s="47"/>
      <c r="BR278" s="47"/>
      <c r="BS278" s="47"/>
      <c r="BT278" s="47"/>
      <c r="BU278" s="47"/>
      <c r="BV278" s="47"/>
      <c r="BW278" s="47"/>
      <c r="BX278" s="47"/>
      <c r="BY278" s="47"/>
      <c r="BZ278" s="47"/>
      <c r="CA278" s="47"/>
      <c r="CB278" s="47"/>
      <c r="CC278" s="47"/>
      <c r="CD278" s="47"/>
      <c r="CE278" s="47"/>
      <c r="CF278" s="47"/>
      <c r="CG278" s="49"/>
      <c r="CH278" s="47"/>
      <c r="CI278" s="47"/>
      <c r="CJ278" s="47"/>
      <c r="CK278" s="47"/>
      <c r="CL278" s="47"/>
      <c r="CM278" s="47"/>
      <c r="CN278" s="47"/>
      <c r="CO278" s="47"/>
      <c r="CP278" s="47"/>
      <c r="CQ278" s="47"/>
      <c r="CS278" s="47"/>
      <c r="CT278" s="47"/>
      <c r="CU278" s="47"/>
      <c r="CV278" s="47"/>
      <c r="CW278" s="47"/>
      <c r="CX278" s="47"/>
      <c r="CY278" s="47"/>
      <c r="CZ278" s="47"/>
      <c r="DA278" s="47"/>
      <c r="DB278" s="47"/>
      <c r="DC278" s="47"/>
      <c r="DD278" s="47"/>
      <c r="DE278" s="47"/>
      <c r="DF278" s="47"/>
      <c r="DG278" s="47"/>
      <c r="DH278" s="47"/>
      <c r="DI278" s="47"/>
      <c r="DJ278" s="47"/>
      <c r="DK278" s="47"/>
      <c r="DM278" s="47"/>
      <c r="DN278" s="47"/>
      <c r="DO278" s="47"/>
      <c r="DP278" s="47"/>
      <c r="DQ278" s="47"/>
      <c r="DR278" s="47"/>
      <c r="DS278" s="47"/>
      <c r="DT278" s="47"/>
      <c r="DU278" s="47"/>
      <c r="DV278" s="49"/>
      <c r="DW278" s="47"/>
      <c r="DX278" s="47"/>
      <c r="DY278" s="47"/>
      <c r="DZ278" s="47"/>
      <c r="EA278" s="47"/>
      <c r="EB278" s="47"/>
      <c r="EC278" s="47"/>
      <c r="ED278" s="47"/>
      <c r="EE278" s="47"/>
      <c r="EF278" s="47"/>
      <c r="EG278" s="47"/>
      <c r="EH278" s="47"/>
      <c r="EI278" s="47"/>
      <c r="EJ278" s="47"/>
      <c r="EK278" s="47"/>
      <c r="EL278" s="47"/>
      <c r="EM278" s="47"/>
      <c r="EN278" s="47"/>
      <c r="EO278" s="47"/>
      <c r="EP278" s="47"/>
      <c r="EQ278" s="47"/>
      <c r="ER278" s="47"/>
      <c r="ES278" s="47"/>
      <c r="ET278" s="47"/>
      <c r="EU278" s="47"/>
      <c r="EV278" s="47"/>
      <c r="EW278" s="47"/>
      <c r="EX278" s="47"/>
      <c r="EY278" s="47"/>
      <c r="EZ278" s="47"/>
      <c r="FA278" s="47"/>
      <c r="FB278" s="47"/>
      <c r="FC278" s="47"/>
      <c r="FD278" s="47"/>
      <c r="FE278" s="47"/>
      <c r="FF278" s="47"/>
      <c r="FG278" s="47"/>
      <c r="FH278" s="47"/>
      <c r="FI278" s="47"/>
      <c r="FJ278" s="49"/>
      <c r="FK278" s="47"/>
      <c r="FL278" s="47"/>
      <c r="FM278" s="47"/>
      <c r="FN278" s="47"/>
      <c r="FO278" s="47"/>
      <c r="FP278" s="47"/>
      <c r="FQ278" s="47"/>
      <c r="FR278" s="47"/>
      <c r="FS278" s="47"/>
      <c r="FT278" s="47"/>
      <c r="FU278" s="47"/>
      <c r="FV278" s="47"/>
      <c r="FW278" s="47"/>
      <c r="FX278" s="47"/>
      <c r="FY278" s="47"/>
      <c r="FZ278" s="47"/>
      <c r="GA278" s="47"/>
      <c r="GB278" s="47"/>
      <c r="GC278" s="47"/>
      <c r="GD278" s="47"/>
      <c r="GE278" s="47"/>
      <c r="GF278" s="47"/>
      <c r="GG278" s="47"/>
      <c r="GH278" s="47"/>
      <c r="GI278" s="47"/>
      <c r="GJ278" s="47"/>
      <c r="GK278" s="47"/>
      <c r="GL278" s="47"/>
      <c r="GM278" s="47"/>
      <c r="GN278" s="47"/>
      <c r="GO278" s="47"/>
      <c r="GP278" s="47"/>
      <c r="GQ278" s="47"/>
      <c r="GR278" s="47"/>
      <c r="GS278" s="47"/>
      <c r="GT278" s="47"/>
      <c r="GU278" s="47"/>
      <c r="GV278" s="47"/>
      <c r="GW278" s="47"/>
      <c r="GX278" s="47"/>
      <c r="GY278" s="47"/>
      <c r="GZ278" s="47"/>
      <c r="HA278" s="47"/>
      <c r="HB278" s="47"/>
      <c r="HC278" s="47"/>
      <c r="HD278" s="47"/>
      <c r="HE278" s="47"/>
      <c r="HF278" s="47"/>
      <c r="HI278" s="47"/>
      <c r="HJ278" s="47"/>
      <c r="HK278" s="47"/>
      <c r="HL278" s="47"/>
      <c r="HM278" s="47"/>
      <c r="HN278" s="47"/>
      <c r="HO278" s="47"/>
      <c r="HP278" s="47"/>
      <c r="HS278" s="47"/>
      <c r="HT278" s="47"/>
      <c r="HU278" s="47"/>
      <c r="HV278" s="47"/>
      <c r="HW278" s="47"/>
      <c r="HX278" s="47"/>
      <c r="HY278" s="47"/>
      <c r="HZ278" s="47"/>
      <c r="IC278" s="47"/>
      <c r="ID278" s="47"/>
      <c r="IE278" s="47"/>
      <c r="IF278" s="47"/>
      <c r="IG278" s="47"/>
      <c r="IH278" s="47"/>
      <c r="II278" s="47"/>
      <c r="IJ278" s="47"/>
      <c r="IM278" s="47"/>
      <c r="IN278" s="47"/>
      <c r="IO278" s="47"/>
      <c r="IP278" s="47"/>
      <c r="IQ278" s="47"/>
      <c r="IR278" s="47"/>
      <c r="IS278" s="47"/>
      <c r="IT278" s="47"/>
      <c r="IW278" s="47"/>
      <c r="IX278" s="47"/>
      <c r="IY278" s="47"/>
      <c r="IZ278" s="47"/>
      <c r="JA278" s="47"/>
      <c r="JB278" s="47"/>
      <c r="JC278" s="47"/>
      <c r="JD278" s="47"/>
      <c r="JG278" s="47"/>
      <c r="JH278" s="47"/>
      <c r="JI278" s="47"/>
      <c r="JJ278" s="47"/>
      <c r="JK278" s="47"/>
      <c r="JL278" s="47"/>
      <c r="JM278" s="47"/>
      <c r="JN278" s="47"/>
      <c r="JQ278" s="47"/>
      <c r="JR278" s="47"/>
      <c r="JS278" s="47"/>
      <c r="JT278" s="47"/>
      <c r="JU278" s="47"/>
      <c r="JV278" s="47"/>
      <c r="JW278" s="47"/>
      <c r="JX278" s="47"/>
      <c r="KA278" s="47"/>
      <c r="KB278" s="47"/>
      <c r="KC278" s="47"/>
      <c r="KD278" s="47"/>
      <c r="KE278" s="47"/>
      <c r="KF278" s="47"/>
      <c r="KG278" s="47"/>
      <c r="KH278" s="47"/>
      <c r="KK278" s="47"/>
      <c r="KL278" s="47"/>
      <c r="KM278" s="47"/>
      <c r="KN278" s="47"/>
      <c r="KO278" s="47"/>
      <c r="KP278" s="47"/>
      <c r="KQ278" s="47"/>
      <c r="KR278" s="47"/>
      <c r="KU278" s="47"/>
      <c r="KV278" s="47"/>
      <c r="KW278" s="47"/>
      <c r="KX278" s="47"/>
      <c r="KY278" s="47"/>
      <c r="KZ278" s="47"/>
      <c r="LA278" s="47"/>
      <c r="LB278" s="47"/>
    </row>
    <row r="279" spans="29:314" x14ac:dyDescent="0.25">
      <c r="AC279" s="47"/>
      <c r="AD279" s="47"/>
      <c r="AE279" s="47"/>
      <c r="AF279" s="47"/>
      <c r="AG279" s="49"/>
      <c r="AH279" s="47"/>
      <c r="AI279" s="47"/>
      <c r="AJ279" s="47"/>
      <c r="AK279" s="47"/>
      <c r="AL279" s="47"/>
      <c r="AM279" s="47"/>
      <c r="AN279" s="47"/>
      <c r="AO279" s="47"/>
      <c r="AP279" s="47"/>
      <c r="AQ279" s="47"/>
      <c r="AR279" s="47"/>
      <c r="AS279" s="47"/>
      <c r="AT279" s="47"/>
      <c r="AU279" s="47"/>
      <c r="AV279" s="47"/>
      <c r="AW279" s="47"/>
      <c r="AX279" s="47"/>
      <c r="AY279" s="47"/>
      <c r="AZ279" s="47"/>
      <c r="BA279" s="47"/>
      <c r="BB279" s="47"/>
      <c r="BC279" s="47"/>
      <c r="BD279" s="47"/>
      <c r="BE279" s="47"/>
      <c r="BF279" s="47"/>
      <c r="BG279" s="47"/>
      <c r="BH279" s="47"/>
      <c r="BI279" s="47"/>
      <c r="BJ279" s="47"/>
      <c r="BK279" s="47"/>
      <c r="BL279" s="47"/>
      <c r="BM279" s="47"/>
      <c r="BN279" s="49"/>
      <c r="BO279" s="47"/>
      <c r="BP279" s="47"/>
      <c r="BQ279" s="47"/>
      <c r="BR279" s="47"/>
      <c r="BS279" s="47"/>
      <c r="BT279" s="47"/>
      <c r="BU279" s="47"/>
      <c r="BV279" s="47"/>
      <c r="BW279" s="47"/>
      <c r="BX279" s="47"/>
      <c r="BY279" s="47"/>
      <c r="BZ279" s="47"/>
      <c r="CA279" s="47"/>
      <c r="CB279" s="47"/>
      <c r="CC279" s="47"/>
      <c r="CD279" s="47"/>
      <c r="CE279" s="47"/>
      <c r="CF279" s="47"/>
      <c r="CG279" s="49"/>
      <c r="CH279" s="47"/>
      <c r="CI279" s="47"/>
      <c r="CJ279" s="47"/>
      <c r="CK279" s="47"/>
      <c r="CL279" s="47"/>
      <c r="CM279" s="47"/>
      <c r="CN279" s="47"/>
      <c r="CO279" s="47"/>
      <c r="CP279" s="47"/>
      <c r="CQ279" s="47"/>
      <c r="CS279" s="47"/>
      <c r="CT279" s="47"/>
      <c r="CU279" s="47"/>
      <c r="CV279" s="47"/>
      <c r="CW279" s="47"/>
      <c r="CX279" s="47"/>
      <c r="CY279" s="47"/>
      <c r="CZ279" s="47"/>
      <c r="DA279" s="47"/>
      <c r="DB279" s="47"/>
      <c r="DC279" s="47"/>
      <c r="DD279" s="47"/>
      <c r="DE279" s="47"/>
      <c r="DF279" s="47"/>
      <c r="DG279" s="47"/>
      <c r="DH279" s="47"/>
      <c r="DI279" s="47"/>
      <c r="DJ279" s="47"/>
      <c r="DK279" s="47"/>
      <c r="DM279" s="47"/>
      <c r="DN279" s="47"/>
      <c r="DO279" s="47"/>
      <c r="DP279" s="47"/>
      <c r="DQ279" s="47"/>
      <c r="DR279" s="47"/>
      <c r="DS279" s="47"/>
      <c r="DT279" s="47"/>
      <c r="DU279" s="47"/>
      <c r="DV279" s="49"/>
      <c r="DW279" s="47"/>
      <c r="DX279" s="47"/>
      <c r="DY279" s="47"/>
      <c r="DZ279" s="47"/>
      <c r="EA279" s="47"/>
      <c r="EB279" s="47"/>
      <c r="EC279" s="47"/>
      <c r="ED279" s="47"/>
      <c r="EE279" s="47"/>
      <c r="EF279" s="47"/>
      <c r="EG279" s="47"/>
      <c r="EH279" s="47"/>
      <c r="EI279" s="47"/>
      <c r="EJ279" s="47"/>
      <c r="EK279" s="47"/>
      <c r="EL279" s="47"/>
      <c r="EM279" s="47"/>
      <c r="EN279" s="47"/>
      <c r="EO279" s="47"/>
      <c r="EP279" s="47"/>
      <c r="EQ279" s="47"/>
      <c r="ER279" s="47"/>
      <c r="ES279" s="47"/>
      <c r="ET279" s="47"/>
      <c r="EU279" s="47"/>
      <c r="EV279" s="47"/>
      <c r="EW279" s="47"/>
      <c r="EX279" s="47"/>
      <c r="EY279" s="47"/>
      <c r="EZ279" s="47"/>
      <c r="FA279" s="47"/>
      <c r="FB279" s="47"/>
      <c r="FC279" s="47"/>
      <c r="FD279" s="47"/>
      <c r="FE279" s="47"/>
      <c r="FF279" s="47"/>
      <c r="FG279" s="47"/>
      <c r="FH279" s="47"/>
      <c r="FI279" s="47"/>
      <c r="FJ279" s="49"/>
      <c r="FK279" s="47"/>
      <c r="FL279" s="47"/>
      <c r="FM279" s="47"/>
      <c r="FN279" s="47"/>
      <c r="FO279" s="47"/>
      <c r="FP279" s="47"/>
      <c r="FQ279" s="47"/>
      <c r="FR279" s="47"/>
      <c r="FS279" s="47"/>
      <c r="FT279" s="47"/>
      <c r="FU279" s="47"/>
      <c r="FV279" s="47"/>
      <c r="FW279" s="47"/>
      <c r="FX279" s="47"/>
      <c r="FY279" s="47"/>
      <c r="FZ279" s="47"/>
      <c r="GA279" s="47"/>
      <c r="GB279" s="47"/>
      <c r="GC279" s="47"/>
      <c r="GD279" s="47"/>
      <c r="GE279" s="47"/>
      <c r="GF279" s="47"/>
      <c r="GG279" s="47"/>
      <c r="GH279" s="47"/>
      <c r="GI279" s="47"/>
      <c r="GJ279" s="47"/>
      <c r="GK279" s="47"/>
      <c r="GL279" s="47"/>
      <c r="GM279" s="47"/>
      <c r="GN279" s="47"/>
      <c r="GO279" s="47"/>
      <c r="GP279" s="47"/>
      <c r="GQ279" s="47"/>
      <c r="GR279" s="47"/>
      <c r="GS279" s="47"/>
      <c r="GT279" s="47"/>
      <c r="GU279" s="47"/>
      <c r="GV279" s="47"/>
      <c r="GW279" s="47"/>
      <c r="GX279" s="47"/>
      <c r="GY279" s="47"/>
      <c r="GZ279" s="47"/>
      <c r="HA279" s="47"/>
      <c r="HB279" s="47"/>
      <c r="HC279" s="47"/>
      <c r="HD279" s="47"/>
      <c r="HE279" s="47"/>
      <c r="HF279" s="47"/>
      <c r="HI279" s="47"/>
      <c r="HJ279" s="47"/>
      <c r="HK279" s="47"/>
      <c r="HL279" s="47"/>
      <c r="HM279" s="47"/>
      <c r="HN279" s="47"/>
      <c r="HO279" s="47"/>
      <c r="HP279" s="47"/>
      <c r="HS279" s="47"/>
      <c r="HT279" s="47"/>
      <c r="HU279" s="47"/>
      <c r="HV279" s="47"/>
      <c r="HW279" s="47"/>
      <c r="HX279" s="47"/>
      <c r="HY279" s="47"/>
      <c r="HZ279" s="47"/>
      <c r="IC279" s="47"/>
      <c r="ID279" s="47"/>
      <c r="IE279" s="47"/>
      <c r="IF279" s="47"/>
      <c r="IG279" s="47"/>
      <c r="IH279" s="47"/>
      <c r="II279" s="47"/>
      <c r="IJ279" s="47"/>
      <c r="IM279" s="47"/>
      <c r="IN279" s="47"/>
      <c r="IO279" s="47"/>
      <c r="IP279" s="47"/>
      <c r="IQ279" s="47"/>
      <c r="IR279" s="47"/>
      <c r="IS279" s="47"/>
      <c r="IT279" s="47"/>
      <c r="IW279" s="47"/>
      <c r="IX279" s="47"/>
      <c r="IY279" s="47"/>
      <c r="IZ279" s="47"/>
      <c r="JA279" s="47"/>
      <c r="JB279" s="47"/>
      <c r="JC279" s="47"/>
      <c r="JD279" s="47"/>
      <c r="JG279" s="47"/>
      <c r="JH279" s="47"/>
      <c r="JI279" s="47"/>
      <c r="JJ279" s="47"/>
      <c r="JK279" s="47"/>
      <c r="JL279" s="47"/>
      <c r="JM279" s="47"/>
      <c r="JN279" s="47"/>
      <c r="JQ279" s="47"/>
      <c r="JR279" s="47"/>
      <c r="JS279" s="47"/>
      <c r="JT279" s="47"/>
      <c r="JU279" s="47"/>
      <c r="JV279" s="47"/>
      <c r="JW279" s="47"/>
      <c r="JX279" s="47"/>
      <c r="KA279" s="47"/>
      <c r="KB279" s="47"/>
      <c r="KC279" s="47"/>
      <c r="KD279" s="47"/>
      <c r="KE279" s="47"/>
      <c r="KF279" s="47"/>
      <c r="KG279" s="47"/>
      <c r="KH279" s="47"/>
      <c r="KK279" s="47"/>
      <c r="KL279" s="47"/>
      <c r="KM279" s="47"/>
      <c r="KN279" s="47"/>
      <c r="KO279" s="47"/>
      <c r="KP279" s="47"/>
      <c r="KQ279" s="47"/>
      <c r="KR279" s="47"/>
      <c r="KU279" s="47"/>
      <c r="KV279" s="47"/>
      <c r="KW279" s="47"/>
      <c r="KX279" s="47"/>
      <c r="KY279" s="47"/>
      <c r="KZ279" s="47"/>
      <c r="LA279" s="47"/>
      <c r="LB279" s="47"/>
    </row>
    <row r="280" spans="29:314" x14ac:dyDescent="0.25">
      <c r="AC280" s="47"/>
      <c r="AD280" s="47"/>
      <c r="AE280" s="47"/>
      <c r="AF280" s="47"/>
      <c r="AG280" s="49"/>
      <c r="AH280" s="47"/>
      <c r="AI280" s="47"/>
      <c r="AJ280" s="47"/>
      <c r="AK280" s="47"/>
      <c r="AL280" s="47"/>
      <c r="AM280" s="47"/>
      <c r="AN280" s="47"/>
      <c r="AO280" s="47"/>
      <c r="AP280" s="47"/>
      <c r="AQ280" s="47"/>
      <c r="AR280" s="47"/>
      <c r="AS280" s="47"/>
      <c r="AT280" s="47"/>
      <c r="AU280" s="47"/>
      <c r="AV280" s="47"/>
      <c r="AW280" s="47"/>
      <c r="AX280" s="47"/>
      <c r="AY280" s="47"/>
      <c r="AZ280" s="47"/>
      <c r="BA280" s="47"/>
      <c r="BB280" s="47"/>
      <c r="BC280" s="47"/>
      <c r="BD280" s="47"/>
      <c r="BE280" s="47"/>
      <c r="BF280" s="47"/>
      <c r="BG280" s="47"/>
      <c r="BH280" s="47"/>
      <c r="BI280" s="47"/>
      <c r="BJ280" s="47"/>
      <c r="BK280" s="47"/>
      <c r="BL280" s="47"/>
      <c r="BM280" s="47"/>
      <c r="BN280" s="49"/>
      <c r="BO280" s="47"/>
      <c r="BP280" s="47"/>
      <c r="BQ280" s="47"/>
      <c r="BR280" s="47"/>
      <c r="BS280" s="47"/>
      <c r="BT280" s="47"/>
      <c r="BU280" s="47"/>
      <c r="BV280" s="47"/>
      <c r="BW280" s="47"/>
      <c r="BX280" s="47"/>
      <c r="BY280" s="47"/>
      <c r="BZ280" s="47"/>
      <c r="CA280" s="47"/>
      <c r="CB280" s="47"/>
      <c r="CC280" s="47"/>
      <c r="CD280" s="47"/>
      <c r="CE280" s="47"/>
      <c r="CF280" s="47"/>
      <c r="CG280" s="49"/>
      <c r="CH280" s="47"/>
      <c r="CI280" s="47"/>
      <c r="CJ280" s="47"/>
      <c r="CK280" s="47"/>
      <c r="CL280" s="47"/>
      <c r="CM280" s="47"/>
      <c r="CN280" s="47"/>
      <c r="CO280" s="47"/>
      <c r="CP280" s="47"/>
      <c r="CQ280" s="47"/>
      <c r="CS280" s="47"/>
      <c r="CT280" s="47"/>
      <c r="CU280" s="47"/>
      <c r="CV280" s="47"/>
      <c r="CW280" s="47"/>
      <c r="CX280" s="47"/>
      <c r="CY280" s="47"/>
      <c r="CZ280" s="47"/>
      <c r="DA280" s="47"/>
      <c r="DB280" s="47"/>
      <c r="DC280" s="47"/>
      <c r="DD280" s="47"/>
      <c r="DE280" s="47"/>
      <c r="DF280" s="47"/>
      <c r="DG280" s="47"/>
      <c r="DH280" s="47"/>
      <c r="DI280" s="47"/>
      <c r="DJ280" s="47"/>
      <c r="DK280" s="47"/>
      <c r="DM280" s="47"/>
      <c r="DN280" s="47"/>
      <c r="DO280" s="47"/>
      <c r="DP280" s="47"/>
      <c r="DQ280" s="47"/>
      <c r="DR280" s="47"/>
      <c r="DS280" s="47"/>
      <c r="DT280" s="47"/>
      <c r="DU280" s="47"/>
      <c r="DV280" s="49"/>
      <c r="DW280" s="47"/>
      <c r="DX280" s="47"/>
      <c r="DY280" s="47"/>
      <c r="DZ280" s="47"/>
      <c r="EA280" s="47"/>
      <c r="EB280" s="47"/>
      <c r="EC280" s="47"/>
      <c r="ED280" s="47"/>
      <c r="EE280" s="47"/>
      <c r="EF280" s="47"/>
      <c r="EG280" s="47"/>
      <c r="EH280" s="47"/>
      <c r="EI280" s="47"/>
      <c r="EJ280" s="47"/>
      <c r="EK280" s="47"/>
      <c r="EL280" s="47"/>
      <c r="EM280" s="47"/>
      <c r="EN280" s="47"/>
      <c r="EO280" s="47"/>
      <c r="EP280" s="47"/>
      <c r="EQ280" s="47"/>
      <c r="ER280" s="47"/>
      <c r="ES280" s="47"/>
      <c r="ET280" s="47"/>
      <c r="EU280" s="47"/>
      <c r="EV280" s="47"/>
      <c r="EW280" s="47"/>
      <c r="EX280" s="47"/>
      <c r="EY280" s="47"/>
      <c r="EZ280" s="47"/>
      <c r="FA280" s="47"/>
      <c r="FB280" s="47"/>
      <c r="FC280" s="47"/>
      <c r="FD280" s="47"/>
      <c r="FE280" s="47"/>
      <c r="FF280" s="47"/>
      <c r="FG280" s="47"/>
      <c r="FH280" s="47"/>
      <c r="FI280" s="47"/>
      <c r="FJ280" s="49"/>
      <c r="FK280" s="47"/>
      <c r="FL280" s="47"/>
      <c r="FM280" s="47"/>
      <c r="FN280" s="47"/>
      <c r="FO280" s="47"/>
      <c r="FP280" s="47"/>
      <c r="FQ280" s="47"/>
      <c r="FR280" s="47"/>
      <c r="FS280" s="47"/>
      <c r="FT280" s="47"/>
      <c r="FU280" s="47"/>
      <c r="FV280" s="47"/>
      <c r="FW280" s="47"/>
      <c r="FX280" s="47"/>
      <c r="FY280" s="47"/>
      <c r="FZ280" s="47"/>
      <c r="GA280" s="47"/>
      <c r="GB280" s="47"/>
      <c r="GC280" s="47"/>
      <c r="GD280" s="47"/>
      <c r="GE280" s="47"/>
      <c r="GF280" s="47"/>
      <c r="GG280" s="47"/>
      <c r="GH280" s="47"/>
      <c r="GI280" s="47"/>
      <c r="GJ280" s="47"/>
      <c r="GK280" s="47"/>
      <c r="GL280" s="47"/>
      <c r="GM280" s="47"/>
      <c r="GN280" s="47"/>
      <c r="GO280" s="47"/>
      <c r="GP280" s="47"/>
      <c r="GQ280" s="47"/>
      <c r="GR280" s="47"/>
      <c r="GS280" s="47"/>
      <c r="GT280" s="47"/>
      <c r="GU280" s="47"/>
      <c r="GV280" s="47"/>
      <c r="GW280" s="47"/>
      <c r="GX280" s="47"/>
      <c r="GY280" s="47"/>
      <c r="GZ280" s="47"/>
      <c r="HA280" s="47"/>
      <c r="HB280" s="47"/>
      <c r="HC280" s="47"/>
      <c r="HD280" s="47"/>
      <c r="HE280" s="47"/>
      <c r="HF280" s="47"/>
      <c r="HI280" s="47"/>
      <c r="HJ280" s="47"/>
      <c r="HK280" s="47"/>
      <c r="HL280" s="47"/>
      <c r="HM280" s="47"/>
      <c r="HN280" s="47"/>
      <c r="HO280" s="47"/>
      <c r="HP280" s="47"/>
      <c r="HS280" s="47"/>
      <c r="HT280" s="47"/>
      <c r="HU280" s="47"/>
      <c r="HV280" s="47"/>
      <c r="HW280" s="47"/>
      <c r="HX280" s="47"/>
      <c r="HY280" s="47"/>
      <c r="HZ280" s="47"/>
      <c r="IC280" s="47"/>
      <c r="ID280" s="47"/>
      <c r="IE280" s="47"/>
      <c r="IF280" s="47"/>
      <c r="IG280" s="47"/>
      <c r="IH280" s="47"/>
      <c r="II280" s="47"/>
      <c r="IJ280" s="47"/>
      <c r="IM280" s="47"/>
      <c r="IN280" s="47"/>
      <c r="IO280" s="47"/>
      <c r="IP280" s="47"/>
      <c r="IQ280" s="47"/>
      <c r="IR280" s="47"/>
      <c r="IS280" s="47"/>
      <c r="IT280" s="47"/>
      <c r="IW280" s="47"/>
      <c r="IX280" s="47"/>
      <c r="IY280" s="47"/>
      <c r="IZ280" s="47"/>
      <c r="JA280" s="47"/>
      <c r="JB280" s="47"/>
      <c r="JC280" s="47"/>
      <c r="JD280" s="47"/>
      <c r="JG280" s="47"/>
      <c r="JH280" s="47"/>
      <c r="JI280" s="47"/>
      <c r="JJ280" s="47"/>
      <c r="JK280" s="47"/>
      <c r="JL280" s="47"/>
      <c r="JM280" s="47"/>
      <c r="JN280" s="47"/>
      <c r="JQ280" s="47"/>
      <c r="JR280" s="47"/>
      <c r="JS280" s="47"/>
      <c r="JT280" s="47"/>
      <c r="JU280" s="47"/>
      <c r="JV280" s="47"/>
      <c r="JW280" s="47"/>
      <c r="JX280" s="47"/>
      <c r="KA280" s="47"/>
      <c r="KB280" s="47"/>
      <c r="KC280" s="47"/>
      <c r="KD280" s="47"/>
      <c r="KE280" s="47"/>
      <c r="KF280" s="47"/>
      <c r="KG280" s="47"/>
      <c r="KH280" s="47"/>
      <c r="KK280" s="47"/>
      <c r="KL280" s="47"/>
      <c r="KM280" s="47"/>
      <c r="KN280" s="47"/>
      <c r="KO280" s="47"/>
      <c r="KP280" s="47"/>
      <c r="KQ280" s="47"/>
      <c r="KR280" s="47"/>
      <c r="KU280" s="47"/>
      <c r="KV280" s="47"/>
      <c r="KW280" s="47"/>
      <c r="KX280" s="47"/>
      <c r="KY280" s="47"/>
      <c r="KZ280" s="47"/>
      <c r="LA280" s="47"/>
      <c r="LB280" s="47"/>
    </row>
    <row r="281" spans="29:314" x14ac:dyDescent="0.25">
      <c r="AC281" s="47"/>
      <c r="AD281" s="47"/>
      <c r="AE281" s="47"/>
      <c r="AF281" s="47"/>
      <c r="AG281" s="49"/>
      <c r="AH281" s="47"/>
      <c r="AI281" s="47"/>
      <c r="AJ281" s="47"/>
      <c r="AK281" s="47"/>
      <c r="AL281" s="47"/>
      <c r="AM281" s="47"/>
      <c r="AN281" s="47"/>
      <c r="AO281" s="47"/>
      <c r="AP281" s="47"/>
      <c r="AQ281" s="47"/>
      <c r="AR281" s="47"/>
      <c r="AS281" s="47"/>
      <c r="AT281" s="47"/>
      <c r="AU281" s="47"/>
      <c r="AV281" s="47"/>
      <c r="AW281" s="47"/>
      <c r="AX281" s="47"/>
      <c r="AY281" s="47"/>
      <c r="AZ281" s="47"/>
      <c r="BA281" s="47"/>
      <c r="BB281" s="47"/>
      <c r="BC281" s="47"/>
      <c r="BD281" s="47"/>
      <c r="BE281" s="47"/>
      <c r="BF281" s="47"/>
      <c r="BG281" s="47"/>
      <c r="BH281" s="47"/>
      <c r="BI281" s="47"/>
      <c r="BJ281" s="47"/>
      <c r="BK281" s="47"/>
      <c r="BL281" s="47"/>
      <c r="BM281" s="47"/>
      <c r="BN281" s="49"/>
      <c r="BO281" s="47"/>
      <c r="BP281" s="47"/>
      <c r="BQ281" s="47"/>
      <c r="BR281" s="47"/>
      <c r="BS281" s="47"/>
      <c r="BT281" s="47"/>
      <c r="BU281" s="47"/>
      <c r="BV281" s="47"/>
      <c r="BW281" s="47"/>
      <c r="BX281" s="47"/>
      <c r="BY281" s="47"/>
      <c r="BZ281" s="47"/>
      <c r="CA281" s="47"/>
      <c r="CB281" s="47"/>
      <c r="CC281" s="47"/>
      <c r="CD281" s="47"/>
      <c r="CE281" s="47"/>
      <c r="CF281" s="47"/>
      <c r="CG281" s="49"/>
      <c r="CH281" s="47"/>
      <c r="CI281" s="47"/>
      <c r="CJ281" s="47"/>
      <c r="CK281" s="47"/>
      <c r="CL281" s="47"/>
      <c r="CM281" s="47"/>
      <c r="CN281" s="47"/>
      <c r="CO281" s="47"/>
      <c r="CP281" s="47"/>
      <c r="CQ281" s="47"/>
      <c r="CS281" s="47"/>
      <c r="CT281" s="47"/>
      <c r="CU281" s="47"/>
      <c r="CV281" s="47"/>
      <c r="CW281" s="47"/>
      <c r="CX281" s="47"/>
      <c r="CY281" s="47"/>
      <c r="CZ281" s="47"/>
      <c r="DA281" s="47"/>
      <c r="DB281" s="47"/>
      <c r="DC281" s="47"/>
      <c r="DD281" s="47"/>
      <c r="DE281" s="47"/>
      <c r="DF281" s="47"/>
      <c r="DG281" s="47"/>
      <c r="DH281" s="47"/>
      <c r="DI281" s="47"/>
      <c r="DJ281" s="47"/>
      <c r="DK281" s="47"/>
      <c r="DM281" s="47"/>
      <c r="DN281" s="47"/>
      <c r="DO281" s="47"/>
      <c r="DP281" s="47"/>
      <c r="DQ281" s="47"/>
      <c r="DR281" s="47"/>
      <c r="DS281" s="47"/>
      <c r="DT281" s="47"/>
      <c r="DU281" s="47"/>
      <c r="DV281" s="49"/>
      <c r="DW281" s="47"/>
      <c r="DX281" s="47"/>
      <c r="DY281" s="47"/>
      <c r="DZ281" s="47"/>
      <c r="EA281" s="47"/>
      <c r="EB281" s="47"/>
      <c r="EC281" s="47"/>
      <c r="ED281" s="47"/>
      <c r="EE281" s="47"/>
      <c r="EF281" s="47"/>
      <c r="EG281" s="47"/>
      <c r="EH281" s="47"/>
      <c r="EI281" s="47"/>
      <c r="EJ281" s="47"/>
      <c r="EK281" s="47"/>
      <c r="EL281" s="47"/>
      <c r="EM281" s="47"/>
      <c r="EN281" s="47"/>
      <c r="EO281" s="47"/>
      <c r="EP281" s="47"/>
      <c r="EQ281" s="47"/>
      <c r="ER281" s="47"/>
      <c r="ES281" s="47"/>
      <c r="ET281" s="47"/>
      <c r="EU281" s="47"/>
      <c r="EV281" s="47"/>
      <c r="EW281" s="47"/>
      <c r="EX281" s="47"/>
      <c r="EY281" s="47"/>
      <c r="EZ281" s="47"/>
      <c r="FA281" s="47"/>
      <c r="FB281" s="47"/>
      <c r="FC281" s="47"/>
      <c r="FD281" s="47"/>
      <c r="FE281" s="47"/>
      <c r="FF281" s="47"/>
      <c r="FG281" s="47"/>
      <c r="FH281" s="47"/>
      <c r="FI281" s="47"/>
      <c r="FJ281" s="49"/>
      <c r="FK281" s="47"/>
      <c r="FL281" s="47"/>
      <c r="FM281" s="47"/>
      <c r="FN281" s="47"/>
      <c r="FO281" s="47"/>
      <c r="FP281" s="47"/>
      <c r="FQ281" s="47"/>
      <c r="FR281" s="47"/>
      <c r="FS281" s="47"/>
      <c r="FT281" s="47"/>
      <c r="FU281" s="47"/>
      <c r="FV281" s="47"/>
      <c r="FW281" s="47"/>
      <c r="FX281" s="47"/>
      <c r="FY281" s="47"/>
      <c r="FZ281" s="47"/>
      <c r="GA281" s="47"/>
      <c r="GB281" s="47"/>
      <c r="GC281" s="47"/>
      <c r="GD281" s="47"/>
      <c r="GE281" s="47"/>
      <c r="GF281" s="47"/>
      <c r="GG281" s="47"/>
      <c r="GH281" s="47"/>
      <c r="GI281" s="47"/>
      <c r="GJ281" s="47"/>
      <c r="GK281" s="47"/>
      <c r="GL281" s="47"/>
      <c r="GM281" s="47"/>
      <c r="GN281" s="47"/>
      <c r="GO281" s="47"/>
      <c r="GP281" s="47"/>
      <c r="GQ281" s="47"/>
      <c r="GR281" s="47"/>
      <c r="GS281" s="47"/>
      <c r="GT281" s="47"/>
      <c r="GU281" s="47"/>
      <c r="GV281" s="47"/>
      <c r="GW281" s="47"/>
      <c r="GX281" s="47"/>
      <c r="GY281" s="47"/>
      <c r="GZ281" s="47"/>
      <c r="HA281" s="47"/>
      <c r="HB281" s="47"/>
      <c r="HC281" s="47"/>
      <c r="HD281" s="47"/>
      <c r="HE281" s="47"/>
      <c r="HF281" s="47"/>
      <c r="HI281" s="47"/>
      <c r="HJ281" s="47"/>
      <c r="HK281" s="47"/>
      <c r="HL281" s="47"/>
      <c r="HM281" s="47"/>
      <c r="HN281" s="47"/>
      <c r="HO281" s="47"/>
      <c r="HP281" s="47"/>
      <c r="HS281" s="47"/>
      <c r="HT281" s="47"/>
      <c r="HU281" s="47"/>
      <c r="HV281" s="47"/>
      <c r="HW281" s="47"/>
      <c r="HX281" s="47"/>
      <c r="HY281" s="47"/>
      <c r="HZ281" s="47"/>
      <c r="IC281" s="47"/>
      <c r="ID281" s="47"/>
      <c r="IE281" s="47"/>
      <c r="IF281" s="47"/>
      <c r="IG281" s="47"/>
      <c r="IH281" s="47"/>
      <c r="II281" s="47"/>
      <c r="IJ281" s="47"/>
      <c r="IM281" s="47"/>
      <c r="IN281" s="47"/>
      <c r="IO281" s="47"/>
      <c r="IP281" s="47"/>
      <c r="IQ281" s="47"/>
      <c r="IR281" s="47"/>
      <c r="IS281" s="47"/>
      <c r="IT281" s="47"/>
      <c r="IW281" s="47"/>
      <c r="IX281" s="47"/>
      <c r="IY281" s="47"/>
      <c r="IZ281" s="47"/>
      <c r="JA281" s="47"/>
      <c r="JB281" s="47"/>
      <c r="JC281" s="47"/>
      <c r="JD281" s="47"/>
      <c r="JG281" s="47"/>
      <c r="JH281" s="47"/>
      <c r="JI281" s="47"/>
      <c r="JJ281" s="47"/>
      <c r="JK281" s="47"/>
      <c r="JL281" s="47"/>
      <c r="JM281" s="47"/>
      <c r="JN281" s="47"/>
      <c r="JQ281" s="47"/>
      <c r="JR281" s="47"/>
      <c r="JS281" s="47"/>
      <c r="JT281" s="47"/>
      <c r="JU281" s="47"/>
      <c r="JV281" s="47"/>
      <c r="JW281" s="47"/>
      <c r="JX281" s="47"/>
      <c r="KA281" s="47"/>
      <c r="KB281" s="47"/>
      <c r="KC281" s="47"/>
      <c r="KD281" s="47"/>
      <c r="KE281" s="47"/>
      <c r="KF281" s="47"/>
      <c r="KG281" s="47"/>
      <c r="KH281" s="47"/>
      <c r="KK281" s="47"/>
      <c r="KL281" s="47"/>
      <c r="KM281" s="47"/>
      <c r="KN281" s="47"/>
      <c r="KO281" s="47"/>
      <c r="KP281" s="47"/>
      <c r="KQ281" s="47"/>
      <c r="KR281" s="47"/>
      <c r="KU281" s="47"/>
      <c r="KV281" s="47"/>
      <c r="KW281" s="47"/>
      <c r="KX281" s="47"/>
      <c r="KY281" s="47"/>
      <c r="KZ281" s="47"/>
      <c r="LA281" s="47"/>
      <c r="LB281" s="47"/>
    </row>
    <row r="282" spans="29:314" x14ac:dyDescent="0.25">
      <c r="AC282" s="47"/>
      <c r="AD282" s="47"/>
      <c r="AE282" s="47"/>
      <c r="AF282" s="47"/>
      <c r="AG282" s="49"/>
      <c r="AH282" s="47"/>
      <c r="AI282" s="47"/>
      <c r="AJ282" s="47"/>
      <c r="AK282" s="47"/>
      <c r="AL282" s="47"/>
      <c r="AM282" s="47"/>
      <c r="AN282" s="47"/>
      <c r="AO282" s="47"/>
      <c r="AP282" s="47"/>
      <c r="AQ282" s="47"/>
      <c r="AR282" s="47"/>
      <c r="AS282" s="47"/>
      <c r="AT282" s="47"/>
      <c r="AU282" s="47"/>
      <c r="AV282" s="47"/>
      <c r="AW282" s="47"/>
      <c r="AX282" s="47"/>
      <c r="AY282" s="47"/>
      <c r="AZ282" s="47"/>
      <c r="BA282" s="47"/>
      <c r="BB282" s="47"/>
      <c r="BC282" s="47"/>
      <c r="BD282" s="47"/>
      <c r="BE282" s="47"/>
      <c r="BF282" s="47"/>
      <c r="BG282" s="47"/>
      <c r="BH282" s="47"/>
      <c r="BI282" s="47"/>
      <c r="BJ282" s="47"/>
      <c r="BK282" s="47"/>
      <c r="BL282" s="47"/>
      <c r="BM282" s="47"/>
      <c r="BN282" s="49"/>
      <c r="BO282" s="47"/>
      <c r="BP282" s="47"/>
      <c r="BQ282" s="47"/>
      <c r="BR282" s="47"/>
      <c r="BS282" s="47"/>
      <c r="BT282" s="47"/>
      <c r="BU282" s="47"/>
      <c r="BV282" s="47"/>
      <c r="BW282" s="47"/>
      <c r="BX282" s="47"/>
      <c r="BY282" s="47"/>
      <c r="BZ282" s="47"/>
      <c r="CA282" s="47"/>
      <c r="CB282" s="47"/>
      <c r="CC282" s="47"/>
      <c r="CD282" s="47"/>
      <c r="CE282" s="47"/>
      <c r="CF282" s="47"/>
      <c r="CG282" s="49"/>
      <c r="CH282" s="47"/>
      <c r="CI282" s="47"/>
      <c r="CJ282" s="47"/>
      <c r="CK282" s="47"/>
      <c r="CL282" s="47"/>
      <c r="CM282" s="47"/>
      <c r="CN282" s="47"/>
      <c r="CO282" s="47"/>
      <c r="CP282" s="47"/>
      <c r="CQ282" s="47"/>
      <c r="CS282" s="47"/>
      <c r="CT282" s="47"/>
      <c r="CU282" s="47"/>
      <c r="CV282" s="47"/>
      <c r="CW282" s="47"/>
      <c r="CX282" s="47"/>
      <c r="CY282" s="47"/>
      <c r="CZ282" s="47"/>
      <c r="DA282" s="47"/>
      <c r="DB282" s="47"/>
      <c r="DC282" s="47"/>
      <c r="DD282" s="47"/>
      <c r="DE282" s="47"/>
      <c r="DF282" s="47"/>
      <c r="DG282" s="47"/>
      <c r="DH282" s="47"/>
      <c r="DI282" s="47"/>
      <c r="DJ282" s="47"/>
      <c r="DK282" s="47"/>
      <c r="DM282" s="47"/>
      <c r="DN282" s="47"/>
      <c r="DO282" s="47"/>
      <c r="DP282" s="47"/>
      <c r="DQ282" s="47"/>
      <c r="DR282" s="47"/>
      <c r="DS282" s="47"/>
      <c r="DT282" s="47"/>
      <c r="DU282" s="47"/>
      <c r="DV282" s="49"/>
      <c r="DW282" s="47"/>
      <c r="DX282" s="47"/>
      <c r="DY282" s="47"/>
      <c r="DZ282" s="47"/>
      <c r="EA282" s="47"/>
      <c r="EB282" s="47"/>
      <c r="EC282" s="47"/>
      <c r="ED282" s="47"/>
      <c r="EE282" s="47"/>
      <c r="EF282" s="47"/>
      <c r="EG282" s="47"/>
      <c r="EH282" s="47"/>
      <c r="EI282" s="47"/>
      <c r="EJ282" s="47"/>
      <c r="EK282" s="47"/>
      <c r="EL282" s="47"/>
      <c r="EM282" s="47"/>
      <c r="EN282" s="47"/>
      <c r="EO282" s="47"/>
      <c r="EP282" s="47"/>
      <c r="EQ282" s="47"/>
      <c r="ER282" s="47"/>
      <c r="ES282" s="47"/>
      <c r="ET282" s="47"/>
      <c r="EU282" s="47"/>
      <c r="EV282" s="47"/>
      <c r="EW282" s="47"/>
      <c r="EX282" s="47"/>
      <c r="EY282" s="47"/>
      <c r="EZ282" s="47"/>
      <c r="FA282" s="47"/>
      <c r="FB282" s="47"/>
      <c r="FC282" s="47"/>
      <c r="FD282" s="47"/>
      <c r="FE282" s="47"/>
      <c r="FF282" s="47"/>
      <c r="FG282" s="47"/>
      <c r="FH282" s="47"/>
      <c r="FI282" s="47"/>
      <c r="FJ282" s="49"/>
      <c r="FK282" s="47"/>
      <c r="FL282" s="47"/>
      <c r="FM282" s="47"/>
      <c r="FN282" s="47"/>
      <c r="FO282" s="47"/>
      <c r="FP282" s="47"/>
      <c r="FQ282" s="47"/>
      <c r="FR282" s="47"/>
      <c r="FS282" s="47"/>
      <c r="FT282" s="47"/>
      <c r="FU282" s="47"/>
      <c r="FV282" s="47"/>
      <c r="FW282" s="47"/>
      <c r="FX282" s="47"/>
      <c r="FY282" s="47"/>
      <c r="FZ282" s="47"/>
      <c r="GA282" s="47"/>
      <c r="GB282" s="47"/>
      <c r="GC282" s="47"/>
      <c r="GD282" s="47"/>
      <c r="GE282" s="47"/>
      <c r="GF282" s="47"/>
      <c r="GG282" s="47"/>
      <c r="GH282" s="47"/>
      <c r="GI282" s="47"/>
      <c r="GJ282" s="47"/>
      <c r="GK282" s="47"/>
      <c r="GL282" s="47"/>
      <c r="GM282" s="47"/>
      <c r="GN282" s="47"/>
      <c r="GO282" s="47"/>
      <c r="GP282" s="47"/>
      <c r="GQ282" s="47"/>
      <c r="GR282" s="47"/>
      <c r="GS282" s="47"/>
      <c r="GT282" s="47"/>
      <c r="GU282" s="47"/>
      <c r="GV282" s="47"/>
      <c r="GW282" s="47"/>
      <c r="GX282" s="47"/>
      <c r="GY282" s="47"/>
      <c r="GZ282" s="47"/>
      <c r="HA282" s="47"/>
      <c r="HB282" s="47"/>
      <c r="HC282" s="47"/>
      <c r="HD282" s="47"/>
      <c r="HE282" s="47"/>
      <c r="HF282" s="47"/>
      <c r="HI282" s="47"/>
      <c r="HJ282" s="47"/>
      <c r="HK282" s="47"/>
      <c r="HL282" s="47"/>
      <c r="HM282" s="47"/>
      <c r="HN282" s="47"/>
      <c r="HO282" s="47"/>
      <c r="HP282" s="47"/>
      <c r="HS282" s="47"/>
      <c r="HT282" s="47"/>
      <c r="HU282" s="47"/>
      <c r="HV282" s="47"/>
      <c r="HW282" s="47"/>
      <c r="HX282" s="47"/>
      <c r="HY282" s="47"/>
      <c r="HZ282" s="47"/>
      <c r="IC282" s="47"/>
      <c r="ID282" s="47"/>
      <c r="IE282" s="47"/>
      <c r="IF282" s="47"/>
      <c r="IG282" s="47"/>
      <c r="IH282" s="47"/>
      <c r="II282" s="47"/>
      <c r="IJ282" s="47"/>
      <c r="IM282" s="47"/>
      <c r="IN282" s="47"/>
      <c r="IO282" s="47"/>
      <c r="IP282" s="47"/>
      <c r="IQ282" s="47"/>
      <c r="IR282" s="47"/>
      <c r="IS282" s="47"/>
      <c r="IT282" s="47"/>
      <c r="IW282" s="47"/>
      <c r="IX282" s="47"/>
      <c r="IY282" s="47"/>
      <c r="IZ282" s="47"/>
      <c r="JA282" s="47"/>
      <c r="JB282" s="47"/>
      <c r="JC282" s="47"/>
      <c r="JD282" s="47"/>
      <c r="JG282" s="47"/>
      <c r="JH282" s="47"/>
      <c r="JI282" s="47"/>
      <c r="JJ282" s="47"/>
      <c r="JK282" s="47"/>
      <c r="JL282" s="47"/>
      <c r="JM282" s="47"/>
      <c r="JN282" s="47"/>
      <c r="JQ282" s="47"/>
      <c r="JR282" s="47"/>
      <c r="JS282" s="47"/>
      <c r="JT282" s="47"/>
      <c r="JU282" s="47"/>
      <c r="JV282" s="47"/>
      <c r="JW282" s="47"/>
      <c r="JX282" s="47"/>
      <c r="KA282" s="47"/>
      <c r="KB282" s="47"/>
      <c r="KC282" s="47"/>
      <c r="KD282" s="47"/>
      <c r="KE282" s="47"/>
      <c r="KF282" s="47"/>
      <c r="KG282" s="47"/>
      <c r="KH282" s="47"/>
      <c r="KK282" s="47"/>
      <c r="KL282" s="47"/>
      <c r="KM282" s="47"/>
      <c r="KN282" s="47"/>
      <c r="KO282" s="47"/>
      <c r="KP282" s="47"/>
      <c r="KQ282" s="47"/>
      <c r="KR282" s="47"/>
      <c r="KU282" s="47"/>
      <c r="KV282" s="47"/>
      <c r="KW282" s="47"/>
      <c r="KX282" s="47"/>
      <c r="KY282" s="47"/>
      <c r="KZ282" s="47"/>
      <c r="LA282" s="47"/>
      <c r="LB282" s="47"/>
    </row>
    <row r="283" spans="29:314" x14ac:dyDescent="0.25">
      <c r="AC283" s="47"/>
      <c r="AD283" s="47"/>
      <c r="AE283" s="47"/>
      <c r="AF283" s="47"/>
      <c r="AG283" s="49"/>
      <c r="AH283" s="47"/>
      <c r="AI283" s="47"/>
      <c r="AJ283" s="47"/>
      <c r="AK283" s="47"/>
      <c r="AL283" s="47"/>
      <c r="AM283" s="47"/>
      <c r="AN283" s="47"/>
      <c r="AO283" s="47"/>
      <c r="AP283" s="47"/>
      <c r="AQ283" s="47"/>
      <c r="AR283" s="47"/>
      <c r="AS283" s="47"/>
      <c r="AT283" s="47"/>
      <c r="AU283" s="47"/>
      <c r="AV283" s="47"/>
      <c r="AW283" s="47"/>
      <c r="AX283" s="47"/>
      <c r="AY283" s="47"/>
      <c r="AZ283" s="47"/>
      <c r="BA283" s="47"/>
      <c r="BB283" s="47"/>
      <c r="BC283" s="47"/>
      <c r="BD283" s="47"/>
      <c r="BE283" s="47"/>
      <c r="BF283" s="47"/>
      <c r="BG283" s="47"/>
      <c r="BH283" s="47"/>
      <c r="BI283" s="47"/>
      <c r="BJ283" s="47"/>
      <c r="BK283" s="47"/>
      <c r="BL283" s="47"/>
      <c r="BM283" s="47"/>
      <c r="BN283" s="49"/>
      <c r="BO283" s="47"/>
      <c r="BP283" s="47"/>
      <c r="BQ283" s="47"/>
      <c r="BR283" s="47"/>
      <c r="BS283" s="47"/>
      <c r="BT283" s="47"/>
      <c r="BU283" s="47"/>
      <c r="BV283" s="47"/>
      <c r="BW283" s="47"/>
      <c r="BX283" s="47"/>
      <c r="BY283" s="47"/>
      <c r="BZ283" s="47"/>
      <c r="CA283" s="47"/>
      <c r="CB283" s="47"/>
      <c r="CC283" s="47"/>
      <c r="CD283" s="47"/>
      <c r="CE283" s="47"/>
      <c r="CF283" s="47"/>
      <c r="CG283" s="49"/>
      <c r="CH283" s="47"/>
      <c r="CI283" s="47"/>
      <c r="CJ283" s="47"/>
      <c r="CK283" s="47"/>
      <c r="CL283" s="47"/>
      <c r="CM283" s="47"/>
      <c r="CN283" s="47"/>
      <c r="CO283" s="47"/>
      <c r="CP283" s="47"/>
      <c r="CQ283" s="47"/>
      <c r="CS283" s="47"/>
      <c r="CT283" s="47"/>
      <c r="CU283" s="47"/>
      <c r="CV283" s="47"/>
      <c r="CW283" s="47"/>
      <c r="CX283" s="47"/>
      <c r="CY283" s="47"/>
      <c r="CZ283" s="47"/>
      <c r="DA283" s="47"/>
      <c r="DB283" s="47"/>
      <c r="DC283" s="47"/>
      <c r="DD283" s="47"/>
      <c r="DE283" s="47"/>
      <c r="DF283" s="47"/>
      <c r="DG283" s="47"/>
      <c r="DH283" s="47"/>
      <c r="DI283" s="47"/>
      <c r="DJ283" s="47"/>
      <c r="DK283" s="47"/>
      <c r="DM283" s="47"/>
      <c r="DN283" s="47"/>
      <c r="DO283" s="47"/>
      <c r="DP283" s="47"/>
      <c r="DQ283" s="47"/>
      <c r="DR283" s="47"/>
      <c r="DS283" s="47"/>
      <c r="DT283" s="47"/>
      <c r="DU283" s="47"/>
      <c r="DV283" s="49"/>
      <c r="DW283" s="47"/>
      <c r="DX283" s="47"/>
      <c r="DY283" s="47"/>
      <c r="DZ283" s="47"/>
      <c r="EA283" s="47"/>
      <c r="EB283" s="47"/>
      <c r="EC283" s="47"/>
      <c r="ED283" s="47"/>
      <c r="EE283" s="47"/>
      <c r="EF283" s="47"/>
      <c r="EG283" s="47"/>
      <c r="EH283" s="47"/>
      <c r="EI283" s="47"/>
      <c r="EJ283" s="47"/>
      <c r="EK283" s="47"/>
      <c r="EL283" s="47"/>
      <c r="EM283" s="47"/>
      <c r="EN283" s="47"/>
      <c r="EO283" s="47"/>
      <c r="EP283" s="47"/>
      <c r="EQ283" s="47"/>
      <c r="ER283" s="47"/>
      <c r="ES283" s="47"/>
      <c r="ET283" s="47"/>
      <c r="EU283" s="47"/>
      <c r="EV283" s="47"/>
      <c r="EW283" s="47"/>
      <c r="EX283" s="47"/>
      <c r="EY283" s="47"/>
      <c r="EZ283" s="47"/>
      <c r="FA283" s="47"/>
      <c r="FB283" s="47"/>
      <c r="FC283" s="47"/>
      <c r="FD283" s="47"/>
      <c r="FE283" s="47"/>
      <c r="FF283" s="47"/>
      <c r="FG283" s="47"/>
      <c r="FH283" s="47"/>
      <c r="FI283" s="47"/>
      <c r="FJ283" s="49"/>
      <c r="FK283" s="47"/>
      <c r="FL283" s="47"/>
      <c r="FM283" s="47"/>
      <c r="FN283" s="47"/>
      <c r="FO283" s="47"/>
      <c r="FP283" s="47"/>
      <c r="FQ283" s="47"/>
      <c r="FR283" s="47"/>
      <c r="FS283" s="47"/>
      <c r="FT283" s="47"/>
      <c r="FU283" s="47"/>
      <c r="FV283" s="47"/>
      <c r="FW283" s="47"/>
      <c r="FX283" s="47"/>
      <c r="FY283" s="47"/>
      <c r="FZ283" s="47"/>
      <c r="GA283" s="47"/>
      <c r="GB283" s="47"/>
      <c r="GC283" s="47"/>
      <c r="GD283" s="47"/>
      <c r="GE283" s="47"/>
      <c r="GF283" s="47"/>
      <c r="GG283" s="47"/>
      <c r="GH283" s="47"/>
      <c r="GI283" s="47"/>
      <c r="GJ283" s="47"/>
      <c r="GK283" s="47"/>
      <c r="GL283" s="47"/>
      <c r="GM283" s="47"/>
      <c r="GN283" s="47"/>
      <c r="GO283" s="47"/>
      <c r="GP283" s="47"/>
      <c r="GQ283" s="47"/>
      <c r="GR283" s="47"/>
      <c r="GS283" s="47"/>
      <c r="GT283" s="47"/>
      <c r="GU283" s="47"/>
      <c r="GV283" s="47"/>
      <c r="GW283" s="47"/>
      <c r="GX283" s="47"/>
      <c r="GY283" s="47"/>
      <c r="GZ283" s="47"/>
      <c r="HA283" s="47"/>
      <c r="HB283" s="47"/>
      <c r="HC283" s="47"/>
      <c r="HD283" s="47"/>
      <c r="HE283" s="47"/>
      <c r="HF283" s="47"/>
      <c r="HI283" s="47"/>
      <c r="HJ283" s="47"/>
      <c r="HK283" s="47"/>
      <c r="HL283" s="47"/>
      <c r="HM283" s="47"/>
      <c r="HN283" s="47"/>
      <c r="HO283" s="47"/>
      <c r="HP283" s="47"/>
      <c r="HS283" s="47"/>
      <c r="HT283" s="47"/>
      <c r="HU283" s="47"/>
      <c r="HV283" s="47"/>
      <c r="HW283" s="47"/>
      <c r="HX283" s="47"/>
      <c r="HY283" s="47"/>
      <c r="HZ283" s="47"/>
      <c r="IC283" s="47"/>
      <c r="ID283" s="47"/>
      <c r="IE283" s="47"/>
      <c r="IF283" s="47"/>
      <c r="IG283" s="47"/>
      <c r="IH283" s="47"/>
      <c r="II283" s="47"/>
      <c r="IJ283" s="47"/>
      <c r="IM283" s="47"/>
      <c r="IN283" s="47"/>
      <c r="IO283" s="47"/>
      <c r="IP283" s="47"/>
      <c r="IQ283" s="47"/>
      <c r="IR283" s="47"/>
      <c r="IS283" s="47"/>
      <c r="IT283" s="47"/>
      <c r="IW283" s="47"/>
      <c r="IX283" s="47"/>
      <c r="IY283" s="47"/>
      <c r="IZ283" s="47"/>
      <c r="JA283" s="47"/>
      <c r="JB283" s="47"/>
      <c r="JC283" s="47"/>
      <c r="JD283" s="47"/>
      <c r="JG283" s="47"/>
      <c r="JH283" s="47"/>
      <c r="JI283" s="47"/>
      <c r="JJ283" s="47"/>
      <c r="JK283" s="47"/>
      <c r="JL283" s="47"/>
      <c r="JM283" s="47"/>
      <c r="JN283" s="47"/>
      <c r="JQ283" s="47"/>
      <c r="JR283" s="47"/>
      <c r="JS283" s="47"/>
      <c r="JT283" s="47"/>
      <c r="JU283" s="47"/>
      <c r="JV283" s="47"/>
      <c r="JW283" s="47"/>
      <c r="JX283" s="47"/>
      <c r="KA283" s="47"/>
      <c r="KB283" s="47"/>
      <c r="KC283" s="47"/>
      <c r="KD283" s="47"/>
      <c r="KE283" s="47"/>
      <c r="KF283" s="47"/>
      <c r="KG283" s="47"/>
      <c r="KH283" s="47"/>
      <c r="KK283" s="47"/>
      <c r="KL283" s="47"/>
      <c r="KM283" s="47"/>
      <c r="KN283" s="47"/>
      <c r="KO283" s="47"/>
      <c r="KP283" s="47"/>
      <c r="KQ283" s="47"/>
      <c r="KR283" s="47"/>
      <c r="KU283" s="47"/>
      <c r="KV283" s="47"/>
      <c r="KW283" s="47"/>
      <c r="KX283" s="47"/>
      <c r="KY283" s="47"/>
      <c r="KZ283" s="47"/>
      <c r="LA283" s="47"/>
      <c r="LB283" s="47"/>
    </row>
    <row r="284" spans="29:314" x14ac:dyDescent="0.25">
      <c r="AC284" s="47"/>
      <c r="AD284" s="47"/>
      <c r="AE284" s="47"/>
      <c r="AF284" s="47"/>
      <c r="AG284" s="49"/>
      <c r="AH284" s="47"/>
      <c r="AI284" s="47"/>
      <c r="AJ284" s="47"/>
      <c r="AK284" s="47"/>
      <c r="AL284" s="47"/>
      <c r="AM284" s="47"/>
      <c r="AN284" s="47"/>
      <c r="AO284" s="47"/>
      <c r="AP284" s="47"/>
      <c r="AQ284" s="47"/>
      <c r="AR284" s="47"/>
      <c r="AS284" s="47"/>
      <c r="AT284" s="47"/>
      <c r="AU284" s="47"/>
      <c r="AV284" s="47"/>
      <c r="AW284" s="47"/>
      <c r="AX284" s="47"/>
      <c r="AY284" s="47"/>
      <c r="AZ284" s="47"/>
      <c r="BA284" s="47"/>
      <c r="BB284" s="47"/>
      <c r="BC284" s="47"/>
      <c r="BD284" s="47"/>
      <c r="BE284" s="47"/>
      <c r="BF284" s="47"/>
      <c r="BG284" s="47"/>
      <c r="BH284" s="47"/>
      <c r="BI284" s="47"/>
      <c r="BJ284" s="47"/>
      <c r="BK284" s="47"/>
      <c r="BL284" s="47"/>
      <c r="BM284" s="47"/>
      <c r="BN284" s="49"/>
      <c r="BO284" s="47"/>
      <c r="BP284" s="47"/>
      <c r="BQ284" s="47"/>
      <c r="BR284" s="47"/>
      <c r="BS284" s="47"/>
      <c r="BT284" s="47"/>
      <c r="BU284" s="47"/>
      <c r="BV284" s="47"/>
      <c r="BW284" s="47"/>
      <c r="BX284" s="47"/>
      <c r="BY284" s="47"/>
      <c r="BZ284" s="47"/>
      <c r="CA284" s="47"/>
      <c r="CB284" s="47"/>
      <c r="CC284" s="47"/>
      <c r="CD284" s="47"/>
      <c r="CE284" s="47"/>
      <c r="CF284" s="47"/>
      <c r="CG284" s="49"/>
      <c r="CH284" s="47"/>
      <c r="CI284" s="47"/>
      <c r="CJ284" s="47"/>
      <c r="CK284" s="47"/>
      <c r="CL284" s="47"/>
      <c r="CM284" s="47"/>
      <c r="CN284" s="47"/>
      <c r="CO284" s="47"/>
      <c r="CP284" s="47"/>
      <c r="CQ284" s="47"/>
      <c r="CS284" s="47"/>
      <c r="CT284" s="47"/>
      <c r="CU284" s="47"/>
      <c r="CV284" s="47"/>
      <c r="CW284" s="47"/>
      <c r="CX284" s="47"/>
      <c r="CY284" s="47"/>
      <c r="CZ284" s="47"/>
      <c r="DA284" s="47"/>
      <c r="DB284" s="47"/>
      <c r="DC284" s="47"/>
      <c r="DD284" s="47"/>
      <c r="DE284" s="47"/>
      <c r="DF284" s="47"/>
      <c r="DG284" s="47"/>
      <c r="DH284" s="47"/>
      <c r="DI284" s="47"/>
      <c r="DJ284" s="47"/>
      <c r="DK284" s="47"/>
      <c r="DM284" s="47"/>
      <c r="DN284" s="47"/>
      <c r="DO284" s="47"/>
      <c r="DP284" s="47"/>
      <c r="DQ284" s="47"/>
      <c r="DR284" s="47"/>
      <c r="DS284" s="47"/>
      <c r="DT284" s="47"/>
      <c r="DU284" s="47"/>
      <c r="DV284" s="49"/>
      <c r="DW284" s="47"/>
      <c r="DX284" s="47"/>
      <c r="DY284" s="47"/>
      <c r="DZ284" s="47"/>
      <c r="EA284" s="47"/>
      <c r="EB284" s="47"/>
      <c r="EC284" s="47"/>
      <c r="ED284" s="47"/>
      <c r="EE284" s="47"/>
      <c r="EF284" s="47"/>
      <c r="EG284" s="47"/>
      <c r="EH284" s="47"/>
      <c r="EI284" s="47"/>
      <c r="EJ284" s="47"/>
      <c r="EK284" s="47"/>
      <c r="EL284" s="47"/>
      <c r="EM284" s="47"/>
      <c r="EN284" s="47"/>
      <c r="EO284" s="47"/>
      <c r="EP284" s="47"/>
      <c r="EQ284" s="47"/>
      <c r="ER284" s="47"/>
      <c r="ES284" s="47"/>
      <c r="ET284" s="47"/>
      <c r="EU284" s="47"/>
      <c r="EV284" s="47"/>
      <c r="EW284" s="47"/>
      <c r="EX284" s="47"/>
      <c r="EY284" s="47"/>
      <c r="EZ284" s="47"/>
      <c r="FA284" s="47"/>
      <c r="FB284" s="47"/>
      <c r="FC284" s="47"/>
      <c r="FD284" s="47"/>
      <c r="FE284" s="47"/>
      <c r="FF284" s="47"/>
      <c r="FG284" s="47"/>
      <c r="FH284" s="47"/>
      <c r="FI284" s="47"/>
      <c r="FJ284" s="49"/>
      <c r="FK284" s="47"/>
      <c r="FL284" s="47"/>
      <c r="FM284" s="47"/>
      <c r="FN284" s="47"/>
      <c r="FO284" s="47"/>
      <c r="FP284" s="47"/>
      <c r="FQ284" s="47"/>
      <c r="FR284" s="47"/>
      <c r="FS284" s="47"/>
      <c r="FT284" s="47"/>
      <c r="FU284" s="47"/>
      <c r="FV284" s="47"/>
      <c r="FW284" s="47"/>
      <c r="FX284" s="47"/>
      <c r="FY284" s="47"/>
      <c r="FZ284" s="47"/>
      <c r="GA284" s="47"/>
      <c r="GB284" s="47"/>
      <c r="GC284" s="47"/>
      <c r="GD284" s="47"/>
      <c r="GE284" s="47"/>
      <c r="GF284" s="47"/>
      <c r="GG284" s="47"/>
      <c r="GH284" s="47"/>
      <c r="GI284" s="47"/>
      <c r="GJ284" s="47"/>
      <c r="GK284" s="47"/>
      <c r="GL284" s="47"/>
      <c r="GM284" s="47"/>
      <c r="GN284" s="47"/>
      <c r="GO284" s="47"/>
      <c r="GP284" s="47"/>
      <c r="GQ284" s="47"/>
      <c r="GR284" s="47"/>
      <c r="GS284" s="47"/>
      <c r="GT284" s="47"/>
      <c r="GU284" s="47"/>
      <c r="GV284" s="47"/>
      <c r="GW284" s="47"/>
      <c r="GX284" s="47"/>
      <c r="GY284" s="47"/>
      <c r="GZ284" s="47"/>
      <c r="HA284" s="47"/>
      <c r="HB284" s="47"/>
      <c r="HC284" s="47"/>
      <c r="HD284" s="47"/>
      <c r="HE284" s="47"/>
      <c r="HF284" s="47"/>
      <c r="HI284" s="47"/>
      <c r="HJ284" s="47"/>
      <c r="HK284" s="47"/>
      <c r="HL284" s="47"/>
      <c r="HM284" s="47"/>
      <c r="HN284" s="47"/>
      <c r="HO284" s="47"/>
      <c r="HP284" s="47"/>
      <c r="HS284" s="47"/>
      <c r="HT284" s="47"/>
      <c r="HU284" s="47"/>
      <c r="HV284" s="47"/>
      <c r="HW284" s="47"/>
      <c r="HX284" s="47"/>
      <c r="HY284" s="47"/>
      <c r="HZ284" s="47"/>
      <c r="IC284" s="47"/>
      <c r="ID284" s="47"/>
      <c r="IE284" s="47"/>
      <c r="IF284" s="47"/>
      <c r="IG284" s="47"/>
      <c r="IH284" s="47"/>
      <c r="II284" s="47"/>
      <c r="IJ284" s="47"/>
      <c r="IM284" s="47"/>
      <c r="IN284" s="47"/>
      <c r="IO284" s="47"/>
      <c r="IP284" s="47"/>
      <c r="IQ284" s="47"/>
      <c r="IR284" s="47"/>
      <c r="IS284" s="47"/>
      <c r="IT284" s="47"/>
      <c r="IW284" s="47"/>
      <c r="IX284" s="47"/>
      <c r="IY284" s="47"/>
      <c r="IZ284" s="47"/>
      <c r="JA284" s="47"/>
      <c r="JB284" s="47"/>
      <c r="JC284" s="47"/>
      <c r="JD284" s="47"/>
      <c r="JG284" s="47"/>
      <c r="JH284" s="47"/>
      <c r="JI284" s="47"/>
      <c r="JJ284" s="47"/>
      <c r="JK284" s="47"/>
      <c r="JL284" s="47"/>
      <c r="JM284" s="47"/>
      <c r="JN284" s="47"/>
      <c r="JQ284" s="47"/>
      <c r="JR284" s="47"/>
      <c r="JS284" s="47"/>
      <c r="JT284" s="47"/>
      <c r="JU284" s="47"/>
      <c r="JV284" s="47"/>
      <c r="JW284" s="47"/>
      <c r="JX284" s="47"/>
      <c r="KA284" s="47"/>
      <c r="KB284" s="47"/>
      <c r="KC284" s="47"/>
      <c r="KD284" s="47"/>
      <c r="KE284" s="47"/>
      <c r="KF284" s="47"/>
      <c r="KG284" s="47"/>
      <c r="KH284" s="47"/>
      <c r="KK284" s="47"/>
      <c r="KL284" s="47"/>
      <c r="KM284" s="47"/>
      <c r="KN284" s="47"/>
      <c r="KO284" s="47"/>
      <c r="KP284" s="47"/>
      <c r="KQ284" s="47"/>
      <c r="KR284" s="47"/>
      <c r="KU284" s="47"/>
      <c r="KV284" s="47"/>
      <c r="KW284" s="47"/>
      <c r="KX284" s="47"/>
      <c r="KY284" s="47"/>
      <c r="KZ284" s="47"/>
      <c r="LA284" s="47"/>
      <c r="LB284" s="47"/>
    </row>
    <row r="285" spans="29:314" x14ac:dyDescent="0.25">
      <c r="AC285" s="47"/>
      <c r="AD285" s="47"/>
      <c r="AE285" s="47"/>
      <c r="AF285" s="47"/>
      <c r="AG285" s="49"/>
      <c r="AH285" s="47"/>
      <c r="AI285" s="47"/>
      <c r="AJ285" s="47"/>
      <c r="AK285" s="47"/>
      <c r="AL285" s="47"/>
      <c r="AM285" s="47"/>
      <c r="AN285" s="47"/>
      <c r="AO285" s="47"/>
      <c r="AP285" s="47"/>
      <c r="AQ285" s="47"/>
      <c r="AR285" s="47"/>
      <c r="AS285" s="47"/>
      <c r="AT285" s="47"/>
      <c r="AU285" s="47"/>
      <c r="AV285" s="47"/>
      <c r="AW285" s="47"/>
      <c r="AX285" s="47"/>
      <c r="AY285" s="47"/>
      <c r="AZ285" s="47"/>
      <c r="BA285" s="47"/>
      <c r="BB285" s="47"/>
      <c r="BC285" s="47"/>
      <c r="BD285" s="47"/>
      <c r="BE285" s="47"/>
      <c r="BF285" s="47"/>
      <c r="BG285" s="47"/>
      <c r="BH285" s="47"/>
      <c r="BI285" s="47"/>
      <c r="BJ285" s="47"/>
      <c r="BK285" s="47"/>
      <c r="BL285" s="47"/>
      <c r="BM285" s="47"/>
      <c r="BN285" s="49"/>
      <c r="BO285" s="47"/>
      <c r="BP285" s="47"/>
      <c r="BQ285" s="47"/>
      <c r="BR285" s="47"/>
      <c r="BS285" s="47"/>
      <c r="BT285" s="47"/>
      <c r="BU285" s="47"/>
      <c r="BV285" s="47"/>
      <c r="BW285" s="47"/>
      <c r="BX285" s="47"/>
      <c r="BY285" s="47"/>
      <c r="BZ285" s="47"/>
      <c r="CA285" s="47"/>
      <c r="CB285" s="47"/>
      <c r="CC285" s="47"/>
      <c r="CD285" s="47"/>
      <c r="CE285" s="47"/>
      <c r="CF285" s="47"/>
      <c r="CG285" s="49"/>
      <c r="CH285" s="47"/>
      <c r="CI285" s="47"/>
      <c r="CJ285" s="47"/>
      <c r="CK285" s="47"/>
      <c r="CL285" s="47"/>
      <c r="CM285" s="47"/>
      <c r="CN285" s="47"/>
      <c r="CO285" s="47"/>
      <c r="CP285" s="47"/>
      <c r="CQ285" s="47"/>
      <c r="CS285" s="47"/>
      <c r="CT285" s="47"/>
      <c r="CU285" s="47"/>
      <c r="CV285" s="47"/>
      <c r="CW285" s="47"/>
      <c r="CX285" s="47"/>
      <c r="CY285" s="47"/>
      <c r="CZ285" s="47"/>
      <c r="DA285" s="47"/>
      <c r="DB285" s="47"/>
      <c r="DC285" s="47"/>
      <c r="DD285" s="47"/>
      <c r="DE285" s="47"/>
      <c r="DF285" s="47"/>
      <c r="DG285" s="47"/>
      <c r="DH285" s="47"/>
      <c r="DI285" s="47"/>
      <c r="DJ285" s="47"/>
      <c r="DK285" s="47"/>
      <c r="DM285" s="47"/>
      <c r="DN285" s="47"/>
      <c r="DO285" s="47"/>
      <c r="DP285" s="47"/>
      <c r="DQ285" s="47"/>
      <c r="DR285" s="47"/>
      <c r="DS285" s="47"/>
      <c r="DT285" s="47"/>
      <c r="DU285" s="47"/>
      <c r="DV285" s="49"/>
      <c r="DW285" s="47"/>
      <c r="DX285" s="47"/>
      <c r="DY285" s="47"/>
      <c r="DZ285" s="47"/>
      <c r="EA285" s="47"/>
      <c r="EB285" s="47"/>
      <c r="EC285" s="47"/>
      <c r="ED285" s="47"/>
      <c r="EE285" s="47"/>
      <c r="EF285" s="47"/>
      <c r="EG285" s="47"/>
      <c r="EH285" s="47"/>
      <c r="EI285" s="47"/>
      <c r="EJ285" s="47"/>
      <c r="EK285" s="47"/>
      <c r="EL285" s="47"/>
      <c r="EM285" s="47"/>
      <c r="EN285" s="47"/>
      <c r="EO285" s="47"/>
      <c r="EP285" s="47"/>
      <c r="EQ285" s="47"/>
      <c r="ER285" s="47"/>
      <c r="ES285" s="47"/>
      <c r="ET285" s="47"/>
      <c r="EU285" s="47"/>
      <c r="EV285" s="47"/>
      <c r="EW285" s="47"/>
      <c r="EX285" s="47"/>
      <c r="EY285" s="47"/>
      <c r="EZ285" s="47"/>
      <c r="FA285" s="47"/>
      <c r="FB285" s="47"/>
      <c r="FC285" s="47"/>
      <c r="FD285" s="47"/>
      <c r="FE285" s="47"/>
      <c r="FF285" s="47"/>
      <c r="FG285" s="47"/>
      <c r="FH285" s="47"/>
      <c r="FI285" s="47"/>
      <c r="FJ285" s="49"/>
      <c r="FK285" s="47"/>
      <c r="FL285" s="47"/>
      <c r="FM285" s="47"/>
      <c r="FN285" s="47"/>
      <c r="FO285" s="47"/>
      <c r="FP285" s="47"/>
      <c r="FQ285" s="47"/>
      <c r="FR285" s="47"/>
      <c r="FS285" s="47"/>
      <c r="FT285" s="47"/>
      <c r="FU285" s="47"/>
      <c r="FV285" s="47"/>
      <c r="FW285" s="47"/>
      <c r="FX285" s="47"/>
      <c r="FY285" s="47"/>
      <c r="FZ285" s="47"/>
      <c r="GA285" s="47"/>
      <c r="GB285" s="47"/>
      <c r="GC285" s="47"/>
      <c r="GD285" s="47"/>
      <c r="GE285" s="47"/>
      <c r="GF285" s="47"/>
      <c r="GG285" s="47"/>
      <c r="GH285" s="47"/>
      <c r="GI285" s="47"/>
      <c r="GJ285" s="47"/>
      <c r="GK285" s="47"/>
      <c r="GL285" s="47"/>
      <c r="GM285" s="47"/>
      <c r="GN285" s="47"/>
      <c r="GO285" s="47"/>
      <c r="GP285" s="47"/>
      <c r="GQ285" s="47"/>
      <c r="GR285" s="47"/>
      <c r="GS285" s="47"/>
      <c r="GT285" s="47"/>
      <c r="GU285" s="47"/>
      <c r="GV285" s="47"/>
      <c r="GW285" s="47"/>
      <c r="GX285" s="47"/>
      <c r="GY285" s="47"/>
      <c r="GZ285" s="47"/>
      <c r="HA285" s="47"/>
      <c r="HB285" s="47"/>
      <c r="HC285" s="47"/>
      <c r="HD285" s="47"/>
      <c r="HE285" s="47"/>
      <c r="HF285" s="47"/>
      <c r="HI285" s="47"/>
      <c r="HJ285" s="47"/>
      <c r="HK285" s="47"/>
      <c r="HL285" s="47"/>
      <c r="HM285" s="47"/>
      <c r="HN285" s="47"/>
      <c r="HO285" s="47"/>
      <c r="HP285" s="47"/>
      <c r="HS285" s="47"/>
      <c r="HT285" s="47"/>
      <c r="HU285" s="47"/>
      <c r="HV285" s="47"/>
      <c r="HW285" s="47"/>
      <c r="HX285" s="47"/>
      <c r="HY285" s="47"/>
      <c r="HZ285" s="47"/>
      <c r="IC285" s="47"/>
      <c r="ID285" s="47"/>
      <c r="IE285" s="47"/>
      <c r="IF285" s="47"/>
      <c r="IG285" s="47"/>
      <c r="IH285" s="47"/>
      <c r="II285" s="47"/>
      <c r="IJ285" s="47"/>
      <c r="IM285" s="47"/>
      <c r="IN285" s="47"/>
      <c r="IO285" s="47"/>
      <c r="IP285" s="47"/>
      <c r="IQ285" s="47"/>
      <c r="IR285" s="47"/>
      <c r="IS285" s="47"/>
      <c r="IT285" s="47"/>
      <c r="IW285" s="47"/>
      <c r="IX285" s="47"/>
      <c r="IY285" s="47"/>
      <c r="IZ285" s="47"/>
      <c r="JA285" s="47"/>
      <c r="JB285" s="47"/>
      <c r="JC285" s="47"/>
      <c r="JD285" s="47"/>
      <c r="JG285" s="47"/>
      <c r="JH285" s="47"/>
      <c r="JI285" s="47"/>
      <c r="JJ285" s="47"/>
      <c r="JK285" s="47"/>
      <c r="JL285" s="47"/>
      <c r="JM285" s="47"/>
      <c r="JN285" s="47"/>
      <c r="JQ285" s="47"/>
      <c r="JR285" s="47"/>
      <c r="JS285" s="47"/>
      <c r="JT285" s="47"/>
      <c r="JU285" s="47"/>
      <c r="JV285" s="47"/>
      <c r="JW285" s="47"/>
      <c r="JX285" s="47"/>
      <c r="KA285" s="47"/>
      <c r="KB285" s="47"/>
      <c r="KC285" s="47"/>
      <c r="KD285" s="47"/>
      <c r="KE285" s="47"/>
      <c r="KF285" s="47"/>
      <c r="KG285" s="47"/>
      <c r="KH285" s="47"/>
      <c r="KK285" s="47"/>
      <c r="KL285" s="47"/>
      <c r="KM285" s="47"/>
      <c r="KN285" s="47"/>
      <c r="KO285" s="47"/>
      <c r="KP285" s="47"/>
      <c r="KQ285" s="47"/>
      <c r="KR285" s="47"/>
      <c r="KU285" s="47"/>
      <c r="KV285" s="47"/>
      <c r="KW285" s="47"/>
      <c r="KX285" s="47"/>
      <c r="KY285" s="47"/>
      <c r="KZ285" s="47"/>
      <c r="LA285" s="47"/>
      <c r="LB285" s="47"/>
    </row>
    <row r="286" spans="29:314" x14ac:dyDescent="0.25">
      <c r="AC286" s="47"/>
      <c r="AD286" s="47"/>
      <c r="AE286" s="47"/>
      <c r="AF286" s="47"/>
      <c r="AG286" s="49"/>
      <c r="AH286" s="47"/>
      <c r="AI286" s="47"/>
      <c r="AJ286" s="47"/>
      <c r="AK286" s="47"/>
      <c r="AL286" s="47"/>
      <c r="AM286" s="47"/>
      <c r="AN286" s="47"/>
      <c r="AO286" s="47"/>
      <c r="AP286" s="47"/>
      <c r="AQ286" s="47"/>
      <c r="AR286" s="47"/>
      <c r="AS286" s="47"/>
      <c r="AT286" s="47"/>
      <c r="AU286" s="47"/>
      <c r="AV286" s="47"/>
      <c r="AW286" s="47"/>
      <c r="AX286" s="47"/>
      <c r="AY286" s="47"/>
      <c r="AZ286" s="47"/>
      <c r="BA286" s="47"/>
      <c r="BB286" s="47"/>
      <c r="BC286" s="47"/>
      <c r="BD286" s="47"/>
      <c r="BE286" s="47"/>
      <c r="BF286" s="47"/>
      <c r="BG286" s="47"/>
      <c r="BH286" s="47"/>
      <c r="BI286" s="47"/>
      <c r="BJ286" s="47"/>
      <c r="BK286" s="47"/>
      <c r="BL286" s="47"/>
      <c r="BM286" s="47"/>
      <c r="BN286" s="49"/>
      <c r="BO286" s="47"/>
      <c r="BP286" s="47"/>
      <c r="BQ286" s="47"/>
      <c r="BR286" s="47"/>
      <c r="BS286" s="47"/>
      <c r="BT286" s="47"/>
      <c r="BU286" s="47"/>
      <c r="BV286" s="47"/>
      <c r="BW286" s="47"/>
      <c r="BX286" s="47"/>
      <c r="BY286" s="47"/>
      <c r="BZ286" s="47"/>
      <c r="CA286" s="47"/>
      <c r="CB286" s="47"/>
      <c r="CC286" s="47"/>
      <c r="CD286" s="47"/>
      <c r="CE286" s="47"/>
      <c r="CF286" s="47"/>
      <c r="CG286" s="49"/>
      <c r="CH286" s="47"/>
      <c r="CI286" s="47"/>
      <c r="CJ286" s="47"/>
      <c r="CK286" s="47"/>
      <c r="CL286" s="47"/>
      <c r="CM286" s="47"/>
      <c r="CN286" s="47"/>
      <c r="CO286" s="47"/>
      <c r="CP286" s="47"/>
      <c r="CQ286" s="47"/>
      <c r="CS286" s="47"/>
      <c r="CT286" s="47"/>
      <c r="CU286" s="47"/>
      <c r="CV286" s="47"/>
      <c r="CW286" s="47"/>
      <c r="CX286" s="47"/>
      <c r="CY286" s="47"/>
      <c r="CZ286" s="47"/>
      <c r="DA286" s="47"/>
      <c r="DB286" s="47"/>
      <c r="DC286" s="47"/>
      <c r="DD286" s="47"/>
      <c r="DE286" s="47"/>
      <c r="DF286" s="47"/>
      <c r="DG286" s="47"/>
      <c r="DH286" s="47"/>
      <c r="DI286" s="47"/>
      <c r="DJ286" s="47"/>
      <c r="DK286" s="47"/>
      <c r="DM286" s="47"/>
      <c r="DN286" s="47"/>
      <c r="DO286" s="47"/>
      <c r="DP286" s="47"/>
      <c r="DQ286" s="47"/>
      <c r="DR286" s="47"/>
      <c r="DS286" s="47"/>
      <c r="DT286" s="47"/>
      <c r="DU286" s="47"/>
      <c r="DV286" s="49"/>
      <c r="DW286" s="47"/>
      <c r="DX286" s="47"/>
      <c r="DY286" s="47"/>
      <c r="DZ286" s="47"/>
      <c r="EA286" s="47"/>
      <c r="EB286" s="47"/>
      <c r="EC286" s="47"/>
      <c r="ED286" s="47"/>
      <c r="EE286" s="47"/>
      <c r="EF286" s="47"/>
      <c r="EG286" s="47"/>
      <c r="EH286" s="47"/>
      <c r="EI286" s="47"/>
      <c r="EJ286" s="47"/>
      <c r="EK286" s="47"/>
      <c r="EL286" s="47"/>
      <c r="EM286" s="47"/>
      <c r="EN286" s="47"/>
      <c r="EO286" s="47"/>
      <c r="EP286" s="47"/>
      <c r="EQ286" s="47"/>
      <c r="ER286" s="47"/>
      <c r="ES286" s="47"/>
      <c r="ET286" s="47"/>
      <c r="EU286" s="47"/>
      <c r="EV286" s="47"/>
      <c r="EW286" s="47"/>
      <c r="EX286" s="47"/>
      <c r="EY286" s="47"/>
      <c r="EZ286" s="47"/>
      <c r="FA286" s="47"/>
      <c r="FB286" s="47"/>
      <c r="FC286" s="47"/>
      <c r="FD286" s="47"/>
      <c r="FE286" s="47"/>
      <c r="FF286" s="47"/>
      <c r="FG286" s="47"/>
      <c r="FH286" s="47"/>
      <c r="FI286" s="47"/>
      <c r="FJ286" s="49"/>
      <c r="FK286" s="47"/>
      <c r="FL286" s="47"/>
      <c r="FM286" s="47"/>
      <c r="FN286" s="47"/>
      <c r="FO286" s="47"/>
      <c r="FP286" s="47"/>
      <c r="FQ286" s="47"/>
      <c r="FR286" s="47"/>
      <c r="FS286" s="47"/>
      <c r="FT286" s="47"/>
      <c r="FU286" s="47"/>
      <c r="FV286" s="47"/>
      <c r="FW286" s="47"/>
      <c r="FX286" s="47"/>
      <c r="FY286" s="47"/>
      <c r="FZ286" s="47"/>
      <c r="GA286" s="47"/>
      <c r="GB286" s="47"/>
      <c r="GC286" s="47"/>
      <c r="GD286" s="47"/>
      <c r="GE286" s="47"/>
      <c r="GF286" s="47"/>
      <c r="GG286" s="47"/>
      <c r="GH286" s="47"/>
      <c r="GI286" s="47"/>
      <c r="GJ286" s="47"/>
      <c r="GK286" s="47"/>
      <c r="GL286" s="47"/>
      <c r="GM286" s="47"/>
      <c r="GN286" s="47"/>
      <c r="GO286" s="47"/>
      <c r="GP286" s="47"/>
      <c r="GQ286" s="47"/>
      <c r="GR286" s="47"/>
      <c r="GS286" s="47"/>
      <c r="GT286" s="47"/>
      <c r="GU286" s="47"/>
      <c r="GV286" s="47"/>
      <c r="GW286" s="47"/>
      <c r="GX286" s="47"/>
      <c r="GY286" s="47"/>
      <c r="GZ286" s="47"/>
      <c r="HA286" s="47"/>
      <c r="HB286" s="47"/>
      <c r="HC286" s="47"/>
      <c r="HD286" s="47"/>
      <c r="HE286" s="47"/>
      <c r="HF286" s="47"/>
      <c r="HI286" s="47"/>
      <c r="HJ286" s="47"/>
      <c r="HK286" s="47"/>
      <c r="HL286" s="47"/>
      <c r="HM286" s="47"/>
      <c r="HN286" s="47"/>
      <c r="HO286" s="47"/>
      <c r="HP286" s="47"/>
      <c r="HS286" s="47"/>
      <c r="HT286" s="47"/>
      <c r="HU286" s="47"/>
      <c r="HV286" s="47"/>
      <c r="HW286" s="47"/>
      <c r="HX286" s="47"/>
      <c r="HY286" s="47"/>
      <c r="HZ286" s="47"/>
      <c r="IC286" s="47"/>
      <c r="ID286" s="47"/>
      <c r="IE286" s="47"/>
      <c r="IF286" s="47"/>
      <c r="IG286" s="47"/>
      <c r="IH286" s="47"/>
      <c r="II286" s="47"/>
      <c r="IJ286" s="47"/>
      <c r="IM286" s="47"/>
      <c r="IN286" s="47"/>
      <c r="IO286" s="47"/>
      <c r="IP286" s="47"/>
      <c r="IQ286" s="47"/>
      <c r="IR286" s="47"/>
      <c r="IS286" s="47"/>
      <c r="IT286" s="47"/>
      <c r="IW286" s="47"/>
      <c r="IX286" s="47"/>
      <c r="IY286" s="47"/>
      <c r="IZ286" s="47"/>
      <c r="JA286" s="47"/>
      <c r="JB286" s="47"/>
      <c r="JC286" s="47"/>
      <c r="JD286" s="47"/>
      <c r="JG286" s="47"/>
      <c r="JH286" s="47"/>
      <c r="JI286" s="47"/>
      <c r="JJ286" s="47"/>
      <c r="JK286" s="47"/>
      <c r="JL286" s="47"/>
      <c r="JM286" s="47"/>
      <c r="JN286" s="47"/>
      <c r="JQ286" s="47"/>
      <c r="JR286" s="47"/>
      <c r="JS286" s="47"/>
      <c r="JT286" s="47"/>
      <c r="JU286" s="47"/>
      <c r="JV286" s="47"/>
      <c r="JW286" s="47"/>
      <c r="JX286" s="47"/>
      <c r="KA286" s="47"/>
      <c r="KB286" s="47"/>
      <c r="KC286" s="47"/>
      <c r="KD286" s="47"/>
      <c r="KE286" s="47"/>
      <c r="KF286" s="47"/>
      <c r="KG286" s="47"/>
      <c r="KH286" s="47"/>
      <c r="KK286" s="47"/>
      <c r="KL286" s="47"/>
      <c r="KM286" s="47"/>
      <c r="KN286" s="47"/>
      <c r="KO286" s="47"/>
      <c r="KP286" s="47"/>
      <c r="KQ286" s="47"/>
      <c r="KR286" s="47"/>
      <c r="KU286" s="47"/>
      <c r="KV286" s="47"/>
      <c r="KW286" s="47"/>
      <c r="KX286" s="47"/>
      <c r="KY286" s="47"/>
      <c r="KZ286" s="47"/>
      <c r="LA286" s="47"/>
      <c r="LB286" s="47"/>
    </row>
    <row r="287" spans="29:314" x14ac:dyDescent="0.25">
      <c r="AC287" s="47"/>
      <c r="AD287" s="47"/>
      <c r="AE287" s="47"/>
      <c r="AF287" s="47"/>
      <c r="AG287" s="49"/>
      <c r="AH287" s="47"/>
      <c r="AI287" s="47"/>
      <c r="AJ287" s="47"/>
      <c r="AK287" s="47"/>
      <c r="AL287" s="47"/>
      <c r="AM287" s="47"/>
      <c r="AN287" s="47"/>
      <c r="AO287" s="47"/>
      <c r="AP287" s="47"/>
      <c r="AQ287" s="47"/>
      <c r="AR287" s="47"/>
      <c r="AS287" s="47"/>
      <c r="AT287" s="47"/>
      <c r="AU287" s="47"/>
      <c r="AV287" s="47"/>
      <c r="AW287" s="47"/>
      <c r="AX287" s="47"/>
      <c r="AY287" s="47"/>
      <c r="AZ287" s="47"/>
      <c r="BA287" s="47"/>
      <c r="BB287" s="47"/>
      <c r="BC287" s="47"/>
      <c r="BD287" s="47"/>
      <c r="BE287" s="47"/>
      <c r="BF287" s="47"/>
      <c r="BG287" s="47"/>
      <c r="BH287" s="47"/>
      <c r="BI287" s="47"/>
      <c r="BJ287" s="47"/>
      <c r="BK287" s="47"/>
      <c r="BL287" s="47"/>
      <c r="BM287" s="47"/>
      <c r="BN287" s="49"/>
      <c r="BO287" s="47"/>
      <c r="BP287" s="47"/>
      <c r="BQ287" s="47"/>
      <c r="BR287" s="47"/>
      <c r="BS287" s="47"/>
      <c r="BT287" s="47"/>
      <c r="BU287" s="47"/>
      <c r="BV287" s="47"/>
      <c r="BW287" s="47"/>
      <c r="BX287" s="47"/>
      <c r="BY287" s="47"/>
      <c r="BZ287" s="47"/>
      <c r="CA287" s="47"/>
      <c r="CB287" s="47"/>
      <c r="CC287" s="47"/>
      <c r="CD287" s="47"/>
      <c r="CE287" s="47"/>
      <c r="CF287" s="47"/>
      <c r="CG287" s="49"/>
      <c r="CH287" s="47"/>
      <c r="CI287" s="47"/>
      <c r="CJ287" s="47"/>
      <c r="CK287" s="47"/>
      <c r="CL287" s="47"/>
      <c r="CM287" s="47"/>
      <c r="CN287" s="47"/>
      <c r="CO287" s="47"/>
      <c r="CP287" s="47"/>
      <c r="CQ287" s="47"/>
      <c r="CS287" s="47"/>
      <c r="CT287" s="47"/>
      <c r="CU287" s="47"/>
      <c r="CV287" s="47"/>
      <c r="CW287" s="47"/>
      <c r="CX287" s="47"/>
      <c r="CY287" s="47"/>
      <c r="CZ287" s="47"/>
      <c r="DA287" s="47"/>
      <c r="DB287" s="47"/>
      <c r="DC287" s="47"/>
      <c r="DD287" s="47"/>
      <c r="DE287" s="47"/>
      <c r="DF287" s="47"/>
      <c r="DG287" s="47"/>
      <c r="DH287" s="47"/>
      <c r="DI287" s="47"/>
      <c r="DJ287" s="47"/>
      <c r="DK287" s="47"/>
      <c r="DM287" s="47"/>
      <c r="DN287" s="47"/>
      <c r="DO287" s="47"/>
      <c r="DP287" s="47"/>
      <c r="DQ287" s="47"/>
      <c r="DR287" s="47"/>
      <c r="DS287" s="47"/>
      <c r="DT287" s="47"/>
      <c r="DU287" s="47"/>
      <c r="DV287" s="49"/>
      <c r="DW287" s="47"/>
      <c r="DX287" s="47"/>
      <c r="DY287" s="47"/>
      <c r="DZ287" s="47"/>
      <c r="EA287" s="47"/>
      <c r="EB287" s="47"/>
      <c r="EC287" s="47"/>
      <c r="ED287" s="47"/>
      <c r="EE287" s="47"/>
      <c r="EF287" s="47"/>
      <c r="EG287" s="47"/>
      <c r="EH287" s="47"/>
      <c r="EI287" s="47"/>
      <c r="EJ287" s="47"/>
      <c r="EK287" s="47"/>
      <c r="EL287" s="47"/>
      <c r="EM287" s="47"/>
      <c r="EN287" s="47"/>
      <c r="EO287" s="47"/>
      <c r="EP287" s="47"/>
      <c r="EQ287" s="47"/>
      <c r="ER287" s="47"/>
      <c r="ES287" s="47"/>
      <c r="ET287" s="47"/>
      <c r="EU287" s="47"/>
      <c r="EV287" s="47"/>
      <c r="EW287" s="47"/>
      <c r="EX287" s="47"/>
      <c r="EY287" s="47"/>
      <c r="EZ287" s="47"/>
      <c r="FA287" s="47"/>
      <c r="FB287" s="47"/>
      <c r="FC287" s="47"/>
      <c r="FD287" s="47"/>
      <c r="FE287" s="47"/>
      <c r="FF287" s="47"/>
      <c r="FG287" s="47"/>
      <c r="FH287" s="47"/>
      <c r="FI287" s="47"/>
      <c r="FJ287" s="49"/>
      <c r="FK287" s="47"/>
      <c r="FL287" s="47"/>
      <c r="FM287" s="47"/>
      <c r="FN287" s="47"/>
      <c r="FO287" s="47"/>
      <c r="FP287" s="47"/>
      <c r="FQ287" s="47"/>
      <c r="FR287" s="47"/>
      <c r="FS287" s="47"/>
      <c r="FT287" s="47"/>
      <c r="FU287" s="47"/>
      <c r="FV287" s="47"/>
      <c r="FW287" s="47"/>
      <c r="FX287" s="47"/>
      <c r="FY287" s="47"/>
      <c r="FZ287" s="47"/>
      <c r="GA287" s="47"/>
      <c r="GB287" s="47"/>
      <c r="GC287" s="47"/>
      <c r="GD287" s="47"/>
      <c r="GE287" s="47"/>
      <c r="GF287" s="47"/>
      <c r="GG287" s="47"/>
      <c r="GH287" s="47"/>
      <c r="GI287" s="47"/>
      <c r="GJ287" s="47"/>
      <c r="GK287" s="47"/>
      <c r="GL287" s="47"/>
      <c r="GM287" s="47"/>
      <c r="GN287" s="47"/>
      <c r="GO287" s="47"/>
      <c r="GP287" s="47"/>
      <c r="GQ287" s="47"/>
      <c r="GR287" s="47"/>
      <c r="GS287" s="47"/>
      <c r="GT287" s="47"/>
      <c r="GU287" s="47"/>
      <c r="GV287" s="47"/>
      <c r="GW287" s="47"/>
      <c r="GX287" s="47"/>
      <c r="GY287" s="47"/>
      <c r="GZ287" s="47"/>
      <c r="HA287" s="47"/>
      <c r="HB287" s="47"/>
      <c r="HC287" s="47"/>
      <c r="HD287" s="47"/>
      <c r="HE287" s="47"/>
      <c r="HF287" s="47"/>
      <c r="HI287" s="47"/>
      <c r="HJ287" s="47"/>
      <c r="HK287" s="47"/>
      <c r="HL287" s="47"/>
      <c r="HM287" s="47"/>
      <c r="HN287" s="47"/>
      <c r="HO287" s="47"/>
      <c r="HP287" s="47"/>
      <c r="HS287" s="47"/>
      <c r="HT287" s="47"/>
      <c r="HU287" s="47"/>
      <c r="HV287" s="47"/>
      <c r="HW287" s="47"/>
      <c r="HX287" s="47"/>
      <c r="HY287" s="47"/>
      <c r="HZ287" s="47"/>
      <c r="IC287" s="47"/>
      <c r="ID287" s="47"/>
      <c r="IE287" s="47"/>
      <c r="IF287" s="47"/>
      <c r="IG287" s="47"/>
      <c r="IH287" s="47"/>
      <c r="II287" s="47"/>
      <c r="IJ287" s="47"/>
      <c r="IM287" s="47"/>
      <c r="IN287" s="47"/>
      <c r="IO287" s="47"/>
      <c r="IP287" s="47"/>
      <c r="IQ287" s="47"/>
      <c r="IR287" s="47"/>
      <c r="IS287" s="47"/>
      <c r="IT287" s="47"/>
      <c r="IW287" s="47"/>
      <c r="IX287" s="47"/>
      <c r="IY287" s="47"/>
      <c r="IZ287" s="47"/>
      <c r="JA287" s="47"/>
      <c r="JB287" s="47"/>
      <c r="JC287" s="47"/>
      <c r="JD287" s="47"/>
      <c r="JG287" s="47"/>
      <c r="JH287" s="47"/>
      <c r="JI287" s="47"/>
      <c r="JJ287" s="47"/>
      <c r="JK287" s="47"/>
      <c r="JL287" s="47"/>
      <c r="JM287" s="47"/>
      <c r="JN287" s="47"/>
      <c r="JQ287" s="47"/>
      <c r="JR287" s="47"/>
      <c r="JS287" s="47"/>
      <c r="JT287" s="47"/>
      <c r="JU287" s="47"/>
      <c r="JV287" s="47"/>
      <c r="JW287" s="47"/>
      <c r="JX287" s="47"/>
      <c r="KA287" s="47"/>
      <c r="KB287" s="47"/>
      <c r="KC287" s="47"/>
      <c r="KD287" s="47"/>
      <c r="KE287" s="47"/>
      <c r="KF287" s="47"/>
      <c r="KG287" s="47"/>
      <c r="KH287" s="47"/>
      <c r="KK287" s="47"/>
      <c r="KL287" s="47"/>
      <c r="KM287" s="47"/>
      <c r="KN287" s="47"/>
      <c r="KO287" s="47"/>
      <c r="KP287" s="47"/>
      <c r="KQ287" s="47"/>
      <c r="KR287" s="47"/>
      <c r="KU287" s="47"/>
      <c r="KV287" s="47"/>
      <c r="KW287" s="47"/>
      <c r="KX287" s="47"/>
      <c r="KY287" s="47"/>
      <c r="KZ287" s="47"/>
      <c r="LA287" s="47"/>
      <c r="LB287" s="47"/>
    </row>
    <row r="288" spans="29:314" x14ac:dyDescent="0.25">
      <c r="AC288" s="47"/>
      <c r="AD288" s="47"/>
      <c r="AE288" s="47"/>
      <c r="AF288" s="47"/>
      <c r="AG288" s="49"/>
      <c r="AH288" s="47"/>
      <c r="AI288" s="47"/>
      <c r="AJ288" s="47"/>
      <c r="AK288" s="47"/>
      <c r="AL288" s="47"/>
      <c r="AM288" s="47"/>
      <c r="AN288" s="47"/>
      <c r="AO288" s="47"/>
      <c r="AP288" s="47"/>
      <c r="AQ288" s="47"/>
      <c r="AR288" s="47"/>
      <c r="AS288" s="47"/>
      <c r="AT288" s="47"/>
      <c r="AU288" s="47"/>
      <c r="AV288" s="47"/>
      <c r="AW288" s="47"/>
      <c r="AX288" s="47"/>
      <c r="AY288" s="47"/>
      <c r="AZ288" s="47"/>
      <c r="BA288" s="47"/>
      <c r="BB288" s="47"/>
      <c r="BC288" s="47"/>
      <c r="BD288" s="47"/>
      <c r="BE288" s="47"/>
      <c r="BF288" s="47"/>
      <c r="BG288" s="47"/>
      <c r="BH288" s="47"/>
      <c r="BI288" s="47"/>
      <c r="BJ288" s="47"/>
      <c r="BK288" s="47"/>
      <c r="BL288" s="47"/>
      <c r="BM288" s="47"/>
      <c r="BN288" s="49"/>
      <c r="BO288" s="47"/>
      <c r="BP288" s="47"/>
      <c r="BQ288" s="47"/>
      <c r="BR288" s="47"/>
      <c r="BS288" s="47"/>
      <c r="BT288" s="47"/>
      <c r="BU288" s="47"/>
      <c r="BV288" s="47"/>
      <c r="BW288" s="47"/>
      <c r="BX288" s="47"/>
      <c r="BY288" s="47"/>
      <c r="BZ288" s="47"/>
      <c r="CA288" s="47"/>
      <c r="CB288" s="47"/>
      <c r="CC288" s="47"/>
      <c r="CD288" s="47"/>
      <c r="CE288" s="47"/>
      <c r="CF288" s="47"/>
      <c r="CG288" s="49"/>
      <c r="CH288" s="47"/>
      <c r="CI288" s="47"/>
      <c r="CJ288" s="47"/>
      <c r="CK288" s="47"/>
      <c r="CL288" s="47"/>
      <c r="CM288" s="47"/>
      <c r="CN288" s="47"/>
      <c r="CO288" s="47"/>
      <c r="CP288" s="47"/>
      <c r="CQ288" s="47"/>
      <c r="CS288" s="47"/>
      <c r="CT288" s="47"/>
      <c r="CU288" s="47"/>
      <c r="CV288" s="47"/>
      <c r="CW288" s="47"/>
      <c r="CX288" s="47"/>
      <c r="CY288" s="47"/>
      <c r="CZ288" s="47"/>
      <c r="DA288" s="47"/>
      <c r="DB288" s="47"/>
      <c r="DC288" s="47"/>
      <c r="DD288" s="47"/>
      <c r="DE288" s="47"/>
      <c r="DF288" s="47"/>
      <c r="DG288" s="47"/>
      <c r="DH288" s="47"/>
      <c r="DI288" s="47"/>
      <c r="DJ288" s="47"/>
      <c r="DK288" s="47"/>
      <c r="DM288" s="47"/>
      <c r="DN288" s="47"/>
      <c r="DO288" s="47"/>
      <c r="DP288" s="47"/>
      <c r="DQ288" s="47"/>
      <c r="DR288" s="47"/>
      <c r="DS288" s="47"/>
      <c r="DT288" s="47"/>
      <c r="DU288" s="47"/>
      <c r="DV288" s="49"/>
      <c r="DW288" s="47"/>
      <c r="DX288" s="47"/>
      <c r="DY288" s="47"/>
      <c r="DZ288" s="47"/>
      <c r="EA288" s="47"/>
      <c r="EB288" s="47"/>
      <c r="EC288" s="47"/>
      <c r="ED288" s="47"/>
      <c r="EE288" s="47"/>
      <c r="EF288" s="47"/>
      <c r="EG288" s="47"/>
      <c r="EH288" s="47"/>
      <c r="EI288" s="47"/>
      <c r="EJ288" s="47"/>
      <c r="EK288" s="47"/>
      <c r="EL288" s="47"/>
      <c r="EM288" s="47"/>
      <c r="EN288" s="47"/>
      <c r="EO288" s="47"/>
      <c r="EP288" s="47"/>
      <c r="EQ288" s="47"/>
      <c r="ER288" s="47"/>
      <c r="ES288" s="47"/>
      <c r="ET288" s="47"/>
      <c r="EU288" s="47"/>
      <c r="EV288" s="47"/>
      <c r="EW288" s="47"/>
      <c r="EX288" s="47"/>
      <c r="EY288" s="47"/>
      <c r="EZ288" s="47"/>
      <c r="FA288" s="47"/>
      <c r="FB288" s="47"/>
      <c r="FC288" s="47"/>
      <c r="FD288" s="47"/>
      <c r="FE288" s="47"/>
      <c r="FF288" s="47"/>
      <c r="FG288" s="47"/>
      <c r="FH288" s="47"/>
      <c r="FI288" s="47"/>
      <c r="FJ288" s="49"/>
      <c r="FK288" s="47"/>
      <c r="FL288" s="47"/>
      <c r="FM288" s="47"/>
      <c r="FN288" s="47"/>
      <c r="FO288" s="47"/>
      <c r="FP288" s="47"/>
      <c r="FQ288" s="47"/>
      <c r="FR288" s="47"/>
      <c r="FS288" s="47"/>
      <c r="FT288" s="47"/>
      <c r="FU288" s="47"/>
      <c r="FV288" s="47"/>
      <c r="FW288" s="47"/>
      <c r="FX288" s="47"/>
      <c r="FY288" s="47"/>
      <c r="FZ288" s="47"/>
      <c r="GA288" s="47"/>
      <c r="GB288" s="47"/>
      <c r="GC288" s="47"/>
      <c r="GD288" s="47"/>
      <c r="GE288" s="47"/>
      <c r="GF288" s="47"/>
      <c r="GG288" s="47"/>
      <c r="GH288" s="47"/>
      <c r="GI288" s="47"/>
      <c r="GJ288" s="47"/>
      <c r="GK288" s="47"/>
      <c r="GL288" s="47"/>
      <c r="GM288" s="47"/>
      <c r="GN288" s="47"/>
      <c r="GO288" s="47"/>
      <c r="GP288" s="47"/>
      <c r="GQ288" s="47"/>
      <c r="GR288" s="47"/>
      <c r="GS288" s="47"/>
      <c r="GT288" s="47"/>
      <c r="GU288" s="47"/>
      <c r="GV288" s="47"/>
      <c r="GW288" s="47"/>
      <c r="GX288" s="47"/>
      <c r="GY288" s="47"/>
      <c r="GZ288" s="47"/>
      <c r="HA288" s="47"/>
      <c r="HB288" s="47"/>
      <c r="HC288" s="47"/>
      <c r="HD288" s="47"/>
      <c r="HE288" s="47"/>
      <c r="HF288" s="47"/>
      <c r="HI288" s="47"/>
      <c r="HJ288" s="47"/>
      <c r="HK288" s="47"/>
      <c r="HL288" s="47"/>
      <c r="HM288" s="47"/>
      <c r="HN288" s="47"/>
      <c r="HO288" s="47"/>
      <c r="HP288" s="47"/>
      <c r="HS288" s="47"/>
      <c r="HT288" s="47"/>
      <c r="HU288" s="47"/>
      <c r="HV288" s="47"/>
      <c r="HW288" s="47"/>
      <c r="HX288" s="47"/>
      <c r="HY288" s="47"/>
      <c r="HZ288" s="47"/>
      <c r="IC288" s="47"/>
      <c r="ID288" s="47"/>
      <c r="IE288" s="47"/>
      <c r="IF288" s="47"/>
      <c r="IG288" s="47"/>
      <c r="IH288" s="47"/>
      <c r="II288" s="47"/>
      <c r="IJ288" s="47"/>
      <c r="IM288" s="47"/>
      <c r="IN288" s="47"/>
      <c r="IO288" s="47"/>
      <c r="IP288" s="47"/>
      <c r="IQ288" s="47"/>
      <c r="IR288" s="47"/>
      <c r="IS288" s="47"/>
      <c r="IT288" s="47"/>
      <c r="IW288" s="47"/>
      <c r="IX288" s="47"/>
      <c r="IY288" s="47"/>
      <c r="IZ288" s="47"/>
      <c r="JA288" s="47"/>
      <c r="JB288" s="47"/>
      <c r="JC288" s="47"/>
      <c r="JD288" s="47"/>
      <c r="JG288" s="47"/>
      <c r="JH288" s="47"/>
      <c r="JI288" s="47"/>
      <c r="JJ288" s="47"/>
      <c r="JK288" s="47"/>
      <c r="JL288" s="47"/>
      <c r="JM288" s="47"/>
      <c r="JN288" s="47"/>
      <c r="JQ288" s="47"/>
      <c r="JR288" s="47"/>
      <c r="JS288" s="47"/>
      <c r="JT288" s="47"/>
      <c r="JU288" s="47"/>
      <c r="JV288" s="47"/>
      <c r="JW288" s="47"/>
      <c r="JX288" s="47"/>
      <c r="KA288" s="47"/>
      <c r="KB288" s="47"/>
      <c r="KC288" s="47"/>
      <c r="KD288" s="47"/>
      <c r="KE288" s="47"/>
      <c r="KF288" s="47"/>
      <c r="KG288" s="47"/>
      <c r="KH288" s="47"/>
      <c r="KK288" s="47"/>
      <c r="KL288" s="47"/>
      <c r="KM288" s="47"/>
      <c r="KN288" s="47"/>
      <c r="KO288" s="47"/>
      <c r="KP288" s="47"/>
      <c r="KQ288" s="47"/>
      <c r="KR288" s="47"/>
      <c r="KU288" s="47"/>
      <c r="KV288" s="47"/>
      <c r="KW288" s="47"/>
      <c r="KX288" s="47"/>
      <c r="KY288" s="47"/>
      <c r="KZ288" s="47"/>
      <c r="LA288" s="47"/>
      <c r="LB288" s="47"/>
    </row>
    <row r="289" spans="29:314" x14ac:dyDescent="0.25">
      <c r="AC289" s="47"/>
      <c r="AD289" s="47"/>
      <c r="AE289" s="47"/>
      <c r="AF289" s="47"/>
      <c r="AG289" s="49"/>
      <c r="AH289" s="47"/>
      <c r="AI289" s="47"/>
      <c r="AJ289" s="47"/>
      <c r="AK289" s="47"/>
      <c r="AL289" s="47"/>
      <c r="AM289" s="47"/>
      <c r="AN289" s="47"/>
      <c r="AO289" s="47"/>
      <c r="AP289" s="47"/>
      <c r="AQ289" s="47"/>
      <c r="AR289" s="47"/>
      <c r="AS289" s="47"/>
      <c r="AT289" s="47"/>
      <c r="AU289" s="47"/>
      <c r="AV289" s="47"/>
      <c r="AW289" s="47"/>
      <c r="AX289" s="47"/>
      <c r="AY289" s="47"/>
      <c r="AZ289" s="47"/>
      <c r="BA289" s="47"/>
      <c r="BB289" s="47"/>
      <c r="BC289" s="47"/>
      <c r="BD289" s="47"/>
      <c r="BE289" s="47"/>
      <c r="BF289" s="47"/>
      <c r="BG289" s="47"/>
      <c r="BH289" s="47"/>
      <c r="BI289" s="47"/>
      <c r="BJ289" s="47"/>
      <c r="BK289" s="47"/>
      <c r="BL289" s="47"/>
      <c r="BM289" s="47"/>
      <c r="BN289" s="49"/>
      <c r="BO289" s="47"/>
      <c r="BP289" s="47"/>
      <c r="BQ289" s="47"/>
      <c r="BR289" s="47"/>
      <c r="BS289" s="47"/>
      <c r="BT289" s="47"/>
      <c r="BU289" s="47"/>
      <c r="BV289" s="47"/>
      <c r="BW289" s="47"/>
      <c r="BX289" s="47"/>
      <c r="BY289" s="47"/>
      <c r="BZ289" s="47"/>
      <c r="CA289" s="47"/>
      <c r="CB289" s="47"/>
      <c r="CC289" s="47"/>
      <c r="CD289" s="47"/>
      <c r="CE289" s="47"/>
      <c r="CF289" s="47"/>
      <c r="CG289" s="49"/>
      <c r="CH289" s="47"/>
      <c r="CI289" s="47"/>
      <c r="CJ289" s="47"/>
      <c r="CK289" s="47"/>
      <c r="CL289" s="47"/>
      <c r="CM289" s="47"/>
      <c r="CN289" s="47"/>
      <c r="CO289" s="47"/>
      <c r="CP289" s="47"/>
      <c r="CQ289" s="47"/>
      <c r="CS289" s="47"/>
      <c r="CT289" s="47"/>
      <c r="CU289" s="47"/>
      <c r="CV289" s="47"/>
      <c r="CW289" s="47"/>
      <c r="CX289" s="47"/>
      <c r="CY289" s="47"/>
      <c r="CZ289" s="47"/>
      <c r="DA289" s="47"/>
      <c r="DB289" s="47"/>
      <c r="DC289" s="47"/>
      <c r="DD289" s="47"/>
      <c r="DE289" s="47"/>
      <c r="DF289" s="47"/>
      <c r="DG289" s="47"/>
      <c r="DH289" s="47"/>
      <c r="DI289" s="47"/>
      <c r="DJ289" s="47"/>
      <c r="DK289" s="47"/>
      <c r="DM289" s="47"/>
      <c r="DN289" s="47"/>
      <c r="DO289" s="47"/>
      <c r="DP289" s="47"/>
      <c r="DQ289" s="47"/>
      <c r="DR289" s="47"/>
      <c r="DS289" s="47"/>
      <c r="DT289" s="47"/>
      <c r="DU289" s="47"/>
      <c r="DV289" s="49"/>
      <c r="DW289" s="47"/>
      <c r="DX289" s="47"/>
      <c r="DY289" s="47"/>
      <c r="DZ289" s="47"/>
      <c r="EA289" s="47"/>
      <c r="EB289" s="47"/>
      <c r="EC289" s="47"/>
      <c r="ED289" s="47"/>
      <c r="EE289" s="47"/>
      <c r="EF289" s="47"/>
      <c r="EG289" s="47"/>
      <c r="EH289" s="47"/>
      <c r="EI289" s="47"/>
      <c r="EJ289" s="47"/>
      <c r="EK289" s="47"/>
      <c r="EL289" s="47"/>
      <c r="EM289" s="47"/>
      <c r="EN289" s="47"/>
      <c r="EO289" s="47"/>
      <c r="EP289" s="47"/>
      <c r="EQ289" s="47"/>
      <c r="ER289" s="47"/>
      <c r="ES289" s="47"/>
      <c r="ET289" s="47"/>
      <c r="EU289" s="47"/>
      <c r="EV289" s="47"/>
      <c r="EW289" s="47"/>
      <c r="EX289" s="47"/>
      <c r="EY289" s="47"/>
      <c r="EZ289" s="47"/>
      <c r="FA289" s="47"/>
      <c r="FB289" s="47"/>
      <c r="FC289" s="47"/>
      <c r="FD289" s="47"/>
      <c r="FE289" s="47"/>
      <c r="FF289" s="47"/>
      <c r="FG289" s="47"/>
      <c r="FH289" s="47"/>
      <c r="FI289" s="47"/>
      <c r="FJ289" s="49"/>
      <c r="FK289" s="47"/>
      <c r="FL289" s="47"/>
      <c r="FM289" s="47"/>
      <c r="FN289" s="47"/>
      <c r="FO289" s="47"/>
      <c r="FP289" s="47"/>
      <c r="FQ289" s="47"/>
      <c r="FR289" s="47"/>
      <c r="FS289" s="47"/>
      <c r="FT289" s="47"/>
      <c r="FU289" s="47"/>
      <c r="FV289" s="47"/>
      <c r="FW289" s="47"/>
      <c r="FX289" s="47"/>
      <c r="FY289" s="47"/>
      <c r="FZ289" s="47"/>
      <c r="GA289" s="47"/>
      <c r="GB289" s="47"/>
      <c r="GC289" s="47"/>
      <c r="GD289" s="47"/>
      <c r="GE289" s="47"/>
      <c r="GF289" s="47"/>
      <c r="GG289" s="47"/>
      <c r="GH289" s="47"/>
      <c r="GI289" s="47"/>
      <c r="GJ289" s="47"/>
      <c r="GK289" s="47"/>
      <c r="GL289" s="47"/>
      <c r="GM289" s="47"/>
      <c r="GN289" s="47"/>
      <c r="GO289" s="47"/>
      <c r="GP289" s="47"/>
      <c r="GQ289" s="47"/>
      <c r="GR289" s="47"/>
      <c r="GS289" s="47"/>
      <c r="GT289" s="47"/>
      <c r="GU289" s="47"/>
      <c r="GV289" s="47"/>
      <c r="GW289" s="47"/>
      <c r="GX289" s="47"/>
      <c r="GY289" s="47"/>
      <c r="GZ289" s="47"/>
      <c r="HA289" s="47"/>
      <c r="HB289" s="47"/>
      <c r="HC289" s="47"/>
      <c r="HD289" s="47"/>
      <c r="HE289" s="47"/>
      <c r="HF289" s="47"/>
      <c r="HI289" s="47"/>
      <c r="HJ289" s="47"/>
      <c r="HK289" s="47"/>
      <c r="HL289" s="47"/>
      <c r="HM289" s="47"/>
      <c r="HN289" s="47"/>
      <c r="HO289" s="47"/>
      <c r="HP289" s="47"/>
      <c r="HS289" s="47"/>
      <c r="HT289" s="47"/>
      <c r="HU289" s="47"/>
      <c r="HV289" s="47"/>
      <c r="HW289" s="47"/>
      <c r="HX289" s="47"/>
      <c r="HY289" s="47"/>
      <c r="HZ289" s="47"/>
      <c r="IC289" s="47"/>
      <c r="ID289" s="47"/>
      <c r="IE289" s="47"/>
      <c r="IF289" s="47"/>
      <c r="IG289" s="47"/>
      <c r="IH289" s="47"/>
      <c r="II289" s="47"/>
      <c r="IJ289" s="47"/>
      <c r="IM289" s="47"/>
      <c r="IN289" s="47"/>
      <c r="IO289" s="47"/>
      <c r="IP289" s="47"/>
      <c r="IQ289" s="47"/>
      <c r="IR289" s="47"/>
      <c r="IS289" s="47"/>
      <c r="IT289" s="47"/>
      <c r="IW289" s="47"/>
      <c r="IX289" s="47"/>
      <c r="IY289" s="47"/>
      <c r="IZ289" s="47"/>
      <c r="JA289" s="47"/>
      <c r="JB289" s="47"/>
      <c r="JC289" s="47"/>
      <c r="JD289" s="47"/>
      <c r="JG289" s="47"/>
      <c r="JH289" s="47"/>
      <c r="JI289" s="47"/>
      <c r="JJ289" s="47"/>
      <c r="JK289" s="47"/>
      <c r="JL289" s="47"/>
      <c r="JM289" s="47"/>
      <c r="JN289" s="47"/>
      <c r="JQ289" s="47"/>
      <c r="JR289" s="47"/>
      <c r="JS289" s="47"/>
      <c r="JT289" s="47"/>
      <c r="JU289" s="47"/>
      <c r="JV289" s="47"/>
      <c r="JW289" s="47"/>
      <c r="JX289" s="47"/>
      <c r="KA289" s="47"/>
      <c r="KB289" s="47"/>
      <c r="KC289" s="47"/>
      <c r="KD289" s="47"/>
      <c r="KE289" s="47"/>
      <c r="KF289" s="47"/>
      <c r="KG289" s="47"/>
      <c r="KH289" s="47"/>
      <c r="KK289" s="47"/>
      <c r="KL289" s="47"/>
      <c r="KM289" s="47"/>
      <c r="KN289" s="47"/>
      <c r="KO289" s="47"/>
      <c r="KP289" s="47"/>
      <c r="KQ289" s="47"/>
      <c r="KR289" s="47"/>
      <c r="KU289" s="47"/>
      <c r="KV289" s="47"/>
      <c r="KW289" s="47"/>
      <c r="KX289" s="47"/>
      <c r="KY289" s="47"/>
      <c r="KZ289" s="47"/>
      <c r="LA289" s="47"/>
      <c r="LB289" s="47"/>
    </row>
    <row r="290" spans="29:314" x14ac:dyDescent="0.25">
      <c r="AC290" s="47"/>
      <c r="AD290" s="47"/>
      <c r="AE290" s="47"/>
      <c r="AF290" s="47"/>
      <c r="AG290" s="49"/>
      <c r="AH290" s="47"/>
      <c r="AI290" s="47"/>
      <c r="AJ290" s="47"/>
      <c r="AK290" s="47"/>
      <c r="AL290" s="47"/>
      <c r="AM290" s="47"/>
      <c r="AN290" s="47"/>
      <c r="AO290" s="47"/>
      <c r="AP290" s="47"/>
      <c r="AQ290" s="47"/>
      <c r="AR290" s="47"/>
      <c r="AS290" s="47"/>
      <c r="AT290" s="47"/>
      <c r="AU290" s="47"/>
      <c r="AV290" s="47"/>
      <c r="AW290" s="47"/>
      <c r="AX290" s="47"/>
      <c r="AY290" s="47"/>
      <c r="AZ290" s="47"/>
      <c r="BA290" s="47"/>
      <c r="BB290" s="47"/>
      <c r="BC290" s="47"/>
      <c r="BD290" s="47"/>
      <c r="BE290" s="47"/>
      <c r="BF290" s="47"/>
      <c r="BG290" s="47"/>
      <c r="BH290" s="47"/>
      <c r="BI290" s="47"/>
      <c r="BJ290" s="47"/>
      <c r="BK290" s="47"/>
      <c r="BL290" s="47"/>
      <c r="BM290" s="47"/>
      <c r="BN290" s="49"/>
      <c r="BO290" s="47"/>
      <c r="BP290" s="47"/>
      <c r="BQ290" s="47"/>
      <c r="BR290" s="47"/>
      <c r="BS290" s="47"/>
      <c r="BT290" s="47"/>
      <c r="BU290" s="47"/>
      <c r="BV290" s="47"/>
      <c r="BW290" s="47"/>
      <c r="BX290" s="47"/>
      <c r="BY290" s="47"/>
      <c r="BZ290" s="47"/>
      <c r="CA290" s="47"/>
      <c r="CB290" s="47"/>
      <c r="CC290" s="47"/>
      <c r="CD290" s="47"/>
      <c r="CE290" s="47"/>
      <c r="CF290" s="47"/>
      <c r="CG290" s="49"/>
      <c r="CH290" s="47"/>
      <c r="CI290" s="47"/>
      <c r="CJ290" s="47"/>
      <c r="CK290" s="47"/>
      <c r="CL290" s="47"/>
      <c r="CM290" s="47"/>
      <c r="CN290" s="47"/>
      <c r="CO290" s="47"/>
      <c r="CP290" s="47"/>
      <c r="CQ290" s="47"/>
      <c r="CS290" s="47"/>
      <c r="CT290" s="47"/>
      <c r="CU290" s="47"/>
      <c r="CV290" s="47"/>
      <c r="CW290" s="47"/>
      <c r="CX290" s="47"/>
      <c r="CY290" s="47"/>
      <c r="CZ290" s="47"/>
      <c r="DA290" s="47"/>
      <c r="DB290" s="47"/>
      <c r="DC290" s="47"/>
      <c r="DD290" s="47"/>
      <c r="DE290" s="47"/>
      <c r="DF290" s="47"/>
      <c r="DG290" s="47"/>
      <c r="DH290" s="47"/>
      <c r="DI290" s="47"/>
      <c r="DJ290" s="47"/>
      <c r="DK290" s="47"/>
      <c r="DM290" s="47"/>
      <c r="DN290" s="47"/>
      <c r="DO290" s="47"/>
      <c r="DP290" s="47"/>
      <c r="DQ290" s="47"/>
      <c r="DR290" s="47"/>
      <c r="DS290" s="47"/>
      <c r="DT290" s="47"/>
      <c r="DU290" s="47"/>
      <c r="DV290" s="49"/>
      <c r="DW290" s="47"/>
      <c r="DX290" s="47"/>
      <c r="DY290" s="47"/>
      <c r="DZ290" s="47"/>
      <c r="EA290" s="47"/>
      <c r="EB290" s="47"/>
      <c r="EC290" s="47"/>
      <c r="ED290" s="47"/>
      <c r="EE290" s="47"/>
      <c r="EF290" s="47"/>
      <c r="EG290" s="47"/>
      <c r="EH290" s="47"/>
      <c r="EI290" s="47"/>
      <c r="EJ290" s="47"/>
      <c r="EK290" s="47"/>
      <c r="EL290" s="47"/>
      <c r="EM290" s="47"/>
      <c r="EN290" s="47"/>
      <c r="EO290" s="47"/>
      <c r="EP290" s="47"/>
      <c r="EQ290" s="47"/>
      <c r="ER290" s="47"/>
      <c r="ES290" s="47"/>
      <c r="ET290" s="47"/>
      <c r="EU290" s="47"/>
      <c r="EV290" s="47"/>
      <c r="EW290" s="47"/>
      <c r="EX290" s="47"/>
      <c r="EY290" s="47"/>
      <c r="EZ290" s="47"/>
      <c r="FA290" s="47"/>
      <c r="FB290" s="47"/>
      <c r="FC290" s="47"/>
      <c r="FD290" s="47"/>
      <c r="FE290" s="47"/>
      <c r="FF290" s="47"/>
      <c r="FG290" s="47"/>
      <c r="FH290" s="47"/>
      <c r="FI290" s="47"/>
      <c r="FJ290" s="49"/>
      <c r="FK290" s="47"/>
      <c r="FL290" s="47"/>
      <c r="FM290" s="47"/>
      <c r="FN290" s="47"/>
      <c r="FO290" s="47"/>
      <c r="FP290" s="47"/>
      <c r="FQ290" s="47"/>
      <c r="FR290" s="47"/>
      <c r="FS290" s="47"/>
      <c r="FT290" s="47"/>
      <c r="FU290" s="47"/>
      <c r="FV290" s="47"/>
      <c r="FW290" s="47"/>
      <c r="FX290" s="47"/>
      <c r="FY290" s="47"/>
      <c r="FZ290" s="47"/>
      <c r="GA290" s="47"/>
      <c r="GB290" s="47"/>
      <c r="GC290" s="47"/>
      <c r="GD290" s="47"/>
      <c r="GE290" s="47"/>
      <c r="GF290" s="47"/>
      <c r="GG290" s="47"/>
      <c r="GH290" s="47"/>
      <c r="GI290" s="47"/>
      <c r="GJ290" s="47"/>
      <c r="GK290" s="47"/>
      <c r="GL290" s="47"/>
      <c r="GM290" s="47"/>
      <c r="GN290" s="47"/>
      <c r="GO290" s="47"/>
      <c r="GP290" s="47"/>
      <c r="GQ290" s="47"/>
      <c r="GR290" s="47"/>
      <c r="GS290" s="47"/>
      <c r="GT290" s="47"/>
      <c r="GU290" s="47"/>
      <c r="GV290" s="47"/>
      <c r="GW290" s="47"/>
      <c r="GX290" s="47"/>
      <c r="GY290" s="47"/>
      <c r="GZ290" s="47"/>
      <c r="HA290" s="47"/>
      <c r="HB290" s="47"/>
      <c r="HC290" s="47"/>
      <c r="HD290" s="47"/>
      <c r="HE290" s="47"/>
      <c r="HF290" s="47"/>
      <c r="HI290" s="47"/>
      <c r="HJ290" s="47"/>
      <c r="HK290" s="47"/>
      <c r="HL290" s="47"/>
      <c r="HM290" s="47"/>
      <c r="HN290" s="47"/>
      <c r="HO290" s="47"/>
      <c r="HP290" s="47"/>
      <c r="HS290" s="47"/>
      <c r="HT290" s="47"/>
      <c r="HU290" s="47"/>
      <c r="HV290" s="47"/>
      <c r="HW290" s="47"/>
      <c r="HX290" s="47"/>
      <c r="HY290" s="47"/>
      <c r="HZ290" s="47"/>
      <c r="IC290" s="47"/>
      <c r="ID290" s="47"/>
      <c r="IE290" s="47"/>
      <c r="IF290" s="47"/>
      <c r="IG290" s="47"/>
      <c r="IH290" s="47"/>
      <c r="II290" s="47"/>
      <c r="IJ290" s="47"/>
      <c r="IM290" s="47"/>
      <c r="IN290" s="47"/>
      <c r="IO290" s="47"/>
      <c r="IP290" s="47"/>
      <c r="IQ290" s="47"/>
      <c r="IR290" s="47"/>
      <c r="IS290" s="47"/>
      <c r="IT290" s="47"/>
      <c r="IW290" s="47"/>
      <c r="IX290" s="47"/>
      <c r="IY290" s="47"/>
      <c r="IZ290" s="47"/>
      <c r="JA290" s="47"/>
      <c r="JB290" s="47"/>
      <c r="JC290" s="47"/>
      <c r="JD290" s="47"/>
      <c r="JG290" s="47"/>
      <c r="JH290" s="47"/>
      <c r="JI290" s="47"/>
      <c r="JJ290" s="47"/>
      <c r="JK290" s="47"/>
      <c r="JL290" s="47"/>
      <c r="JM290" s="47"/>
      <c r="JN290" s="47"/>
      <c r="JQ290" s="47"/>
      <c r="JR290" s="47"/>
      <c r="JS290" s="47"/>
      <c r="JT290" s="47"/>
      <c r="JU290" s="47"/>
      <c r="JV290" s="47"/>
      <c r="JW290" s="47"/>
      <c r="JX290" s="47"/>
      <c r="KA290" s="47"/>
      <c r="KB290" s="47"/>
      <c r="KC290" s="47"/>
      <c r="KD290" s="47"/>
      <c r="KE290" s="47"/>
      <c r="KF290" s="47"/>
      <c r="KG290" s="47"/>
      <c r="KH290" s="47"/>
      <c r="KK290" s="47"/>
      <c r="KL290" s="47"/>
      <c r="KM290" s="47"/>
      <c r="KN290" s="47"/>
      <c r="KO290" s="47"/>
      <c r="KP290" s="47"/>
      <c r="KQ290" s="47"/>
      <c r="KR290" s="47"/>
      <c r="KU290" s="47"/>
      <c r="KV290" s="47"/>
      <c r="KW290" s="47"/>
      <c r="KX290" s="47"/>
      <c r="KY290" s="47"/>
      <c r="KZ290" s="47"/>
      <c r="LA290" s="47"/>
      <c r="LB290" s="47"/>
    </row>
    <row r="291" spans="29:314" x14ac:dyDescent="0.25">
      <c r="AC291" s="47"/>
      <c r="AD291" s="47"/>
      <c r="AE291" s="47"/>
      <c r="AF291" s="47"/>
      <c r="AG291" s="49"/>
      <c r="AH291" s="47"/>
      <c r="AI291" s="47"/>
      <c r="AJ291" s="47"/>
      <c r="AK291" s="47"/>
      <c r="AL291" s="47"/>
      <c r="AM291" s="47"/>
      <c r="AN291" s="47"/>
      <c r="AO291" s="47"/>
      <c r="AP291" s="47"/>
      <c r="AQ291" s="47"/>
      <c r="AR291" s="47"/>
      <c r="AS291" s="47"/>
      <c r="AT291" s="47"/>
      <c r="AU291" s="47"/>
      <c r="AV291" s="47"/>
      <c r="AW291" s="47"/>
      <c r="AX291" s="47"/>
      <c r="AY291" s="47"/>
      <c r="AZ291" s="47"/>
      <c r="BA291" s="47"/>
      <c r="BB291" s="47"/>
      <c r="BC291" s="47"/>
      <c r="BD291" s="47"/>
      <c r="BE291" s="47"/>
      <c r="BF291" s="47"/>
      <c r="BG291" s="47"/>
      <c r="BH291" s="47"/>
      <c r="BI291" s="47"/>
      <c r="BJ291" s="47"/>
      <c r="BK291" s="47"/>
      <c r="BL291" s="47"/>
      <c r="BM291" s="47"/>
      <c r="BN291" s="49"/>
      <c r="BO291" s="47"/>
      <c r="BP291" s="47"/>
      <c r="BQ291" s="47"/>
      <c r="BR291" s="47"/>
      <c r="BS291" s="47"/>
      <c r="BT291" s="47"/>
      <c r="BU291" s="47"/>
      <c r="BV291" s="47"/>
      <c r="BW291" s="47"/>
      <c r="BX291" s="47"/>
      <c r="BY291" s="47"/>
      <c r="BZ291" s="47"/>
      <c r="CA291" s="47"/>
      <c r="CB291" s="47"/>
      <c r="CC291" s="47"/>
      <c r="CD291" s="47"/>
      <c r="CE291" s="47"/>
      <c r="CF291" s="47"/>
      <c r="CG291" s="49"/>
      <c r="CH291" s="47"/>
      <c r="CI291" s="47"/>
      <c r="CJ291" s="47"/>
      <c r="CK291" s="47"/>
      <c r="CL291" s="47"/>
      <c r="CM291" s="47"/>
      <c r="CN291" s="47"/>
      <c r="CO291" s="47"/>
      <c r="CP291" s="47"/>
      <c r="CQ291" s="47"/>
      <c r="CS291" s="47"/>
      <c r="CT291" s="47"/>
      <c r="CU291" s="47"/>
      <c r="CV291" s="47"/>
      <c r="CW291" s="47"/>
      <c r="CX291" s="47"/>
      <c r="CY291" s="47"/>
      <c r="CZ291" s="47"/>
      <c r="DA291" s="47"/>
      <c r="DB291" s="47"/>
      <c r="DC291" s="47"/>
      <c r="DD291" s="47"/>
      <c r="DE291" s="47"/>
      <c r="DF291" s="47"/>
      <c r="DG291" s="47"/>
      <c r="DH291" s="47"/>
      <c r="DI291" s="47"/>
      <c r="DJ291" s="47"/>
      <c r="DK291" s="47"/>
      <c r="DM291" s="47"/>
      <c r="DN291" s="47"/>
      <c r="DO291" s="47"/>
      <c r="DP291" s="47"/>
      <c r="DQ291" s="47"/>
      <c r="DR291" s="47"/>
      <c r="DS291" s="47"/>
      <c r="DT291" s="47"/>
      <c r="DU291" s="47"/>
      <c r="DV291" s="49"/>
      <c r="DW291" s="47"/>
      <c r="DX291" s="47"/>
      <c r="DY291" s="47"/>
      <c r="DZ291" s="47"/>
      <c r="EA291" s="47"/>
      <c r="EB291" s="47"/>
      <c r="EC291" s="47"/>
      <c r="ED291" s="47"/>
      <c r="EE291" s="47"/>
      <c r="EF291" s="47"/>
      <c r="EG291" s="47"/>
      <c r="EH291" s="47"/>
      <c r="EI291" s="47"/>
      <c r="EJ291" s="47"/>
      <c r="EK291" s="47"/>
      <c r="EL291" s="47"/>
      <c r="EM291" s="47"/>
      <c r="EN291" s="47"/>
      <c r="EO291" s="47"/>
      <c r="EP291" s="47"/>
      <c r="EQ291" s="47"/>
      <c r="ER291" s="47"/>
      <c r="ES291" s="47"/>
      <c r="ET291" s="47"/>
      <c r="EU291" s="47"/>
      <c r="EV291" s="47"/>
      <c r="EW291" s="47"/>
      <c r="EX291" s="47"/>
      <c r="EY291" s="47"/>
      <c r="EZ291" s="47"/>
      <c r="FA291" s="47"/>
      <c r="FB291" s="47"/>
      <c r="FC291" s="47"/>
      <c r="FD291" s="47"/>
      <c r="FE291" s="47"/>
      <c r="FF291" s="47"/>
      <c r="FG291" s="47"/>
      <c r="FH291" s="47"/>
      <c r="FI291" s="47"/>
      <c r="FJ291" s="49"/>
      <c r="FK291" s="47"/>
      <c r="FL291" s="47"/>
      <c r="FM291" s="47"/>
      <c r="FN291" s="47"/>
      <c r="FO291" s="47"/>
      <c r="FP291" s="47"/>
      <c r="FQ291" s="47"/>
      <c r="FR291" s="47"/>
      <c r="FS291" s="47"/>
      <c r="FT291" s="47"/>
      <c r="FU291" s="47"/>
      <c r="FV291" s="47"/>
      <c r="FW291" s="47"/>
      <c r="FX291" s="47"/>
      <c r="FY291" s="47"/>
      <c r="FZ291" s="47"/>
      <c r="GA291" s="47"/>
      <c r="GB291" s="47"/>
      <c r="GC291" s="47"/>
      <c r="GD291" s="47"/>
      <c r="GE291" s="47"/>
      <c r="GF291" s="47"/>
      <c r="GG291" s="47"/>
      <c r="GH291" s="47"/>
      <c r="GI291" s="47"/>
      <c r="GJ291" s="47"/>
      <c r="GK291" s="47"/>
      <c r="GL291" s="47"/>
      <c r="GM291" s="47"/>
      <c r="GN291" s="47"/>
      <c r="GO291" s="47"/>
      <c r="GP291" s="47"/>
      <c r="GQ291" s="47"/>
      <c r="GR291" s="47"/>
      <c r="GS291" s="47"/>
      <c r="GT291" s="47"/>
      <c r="GU291" s="47"/>
      <c r="GV291" s="47"/>
      <c r="GW291" s="47"/>
      <c r="GX291" s="47"/>
      <c r="GY291" s="47"/>
      <c r="GZ291" s="47"/>
      <c r="HA291" s="47"/>
      <c r="HB291" s="47"/>
      <c r="HC291" s="47"/>
      <c r="HD291" s="47"/>
      <c r="HE291" s="47"/>
      <c r="HF291" s="47"/>
      <c r="HI291" s="47"/>
      <c r="HJ291" s="47"/>
      <c r="HK291" s="47"/>
      <c r="HL291" s="47"/>
      <c r="HM291" s="47"/>
      <c r="HN291" s="47"/>
      <c r="HO291" s="47"/>
      <c r="HP291" s="47"/>
      <c r="HS291" s="47"/>
      <c r="HT291" s="47"/>
      <c r="HU291" s="47"/>
      <c r="HV291" s="47"/>
      <c r="HW291" s="47"/>
      <c r="HX291" s="47"/>
      <c r="HY291" s="47"/>
      <c r="HZ291" s="47"/>
      <c r="IC291" s="47"/>
      <c r="ID291" s="47"/>
      <c r="IE291" s="47"/>
      <c r="IF291" s="47"/>
      <c r="IG291" s="47"/>
      <c r="IH291" s="47"/>
      <c r="II291" s="47"/>
      <c r="IJ291" s="47"/>
      <c r="IM291" s="47"/>
      <c r="IN291" s="47"/>
      <c r="IO291" s="47"/>
      <c r="IP291" s="47"/>
      <c r="IQ291" s="47"/>
      <c r="IR291" s="47"/>
      <c r="IS291" s="47"/>
      <c r="IT291" s="47"/>
      <c r="IW291" s="47"/>
      <c r="IX291" s="47"/>
      <c r="IY291" s="47"/>
      <c r="IZ291" s="47"/>
      <c r="JA291" s="47"/>
      <c r="JB291" s="47"/>
      <c r="JC291" s="47"/>
      <c r="JD291" s="47"/>
      <c r="JG291" s="47"/>
      <c r="JH291" s="47"/>
      <c r="JI291" s="47"/>
      <c r="JJ291" s="47"/>
      <c r="JK291" s="47"/>
      <c r="JL291" s="47"/>
      <c r="JM291" s="47"/>
      <c r="JN291" s="47"/>
      <c r="JQ291" s="47"/>
      <c r="JR291" s="47"/>
      <c r="JS291" s="47"/>
      <c r="JT291" s="47"/>
      <c r="JU291" s="47"/>
      <c r="JV291" s="47"/>
      <c r="JW291" s="47"/>
      <c r="JX291" s="47"/>
      <c r="KA291" s="47"/>
      <c r="KB291" s="47"/>
      <c r="KC291" s="47"/>
      <c r="KD291" s="47"/>
      <c r="KE291" s="47"/>
      <c r="KF291" s="47"/>
      <c r="KG291" s="47"/>
      <c r="KH291" s="47"/>
      <c r="KK291" s="47"/>
      <c r="KL291" s="47"/>
      <c r="KM291" s="47"/>
      <c r="KN291" s="47"/>
      <c r="KO291" s="47"/>
      <c r="KP291" s="47"/>
      <c r="KQ291" s="47"/>
      <c r="KR291" s="47"/>
      <c r="KU291" s="47"/>
      <c r="KV291" s="47"/>
      <c r="KW291" s="47"/>
      <c r="KX291" s="47"/>
      <c r="KY291" s="47"/>
      <c r="KZ291" s="47"/>
      <c r="LA291" s="47"/>
      <c r="LB291" s="47"/>
    </row>
    <row r="292" spans="29:314" x14ac:dyDescent="0.25">
      <c r="AC292" s="47"/>
      <c r="AD292" s="47"/>
      <c r="AE292" s="47"/>
      <c r="AF292" s="47"/>
      <c r="AG292" s="49"/>
      <c r="AH292" s="47"/>
      <c r="AI292" s="47"/>
      <c r="AJ292" s="47"/>
      <c r="AK292" s="47"/>
      <c r="AL292" s="47"/>
      <c r="AM292" s="47"/>
      <c r="AN292" s="47"/>
      <c r="AO292" s="47"/>
      <c r="AP292" s="47"/>
      <c r="AQ292" s="47"/>
      <c r="AR292" s="47"/>
      <c r="AS292" s="47"/>
      <c r="AT292" s="47"/>
      <c r="AU292" s="47"/>
      <c r="AV292" s="47"/>
      <c r="AW292" s="47"/>
      <c r="AX292" s="47"/>
      <c r="AY292" s="47"/>
      <c r="AZ292" s="47"/>
      <c r="BA292" s="47"/>
      <c r="BB292" s="47"/>
      <c r="BC292" s="47"/>
      <c r="BD292" s="47"/>
      <c r="BE292" s="47"/>
      <c r="BF292" s="47"/>
      <c r="BG292" s="47"/>
      <c r="BH292" s="47"/>
      <c r="BI292" s="47"/>
      <c r="BJ292" s="47"/>
      <c r="BK292" s="47"/>
      <c r="BL292" s="47"/>
      <c r="BM292" s="47"/>
      <c r="BN292" s="49"/>
      <c r="BO292" s="47"/>
      <c r="BP292" s="47"/>
      <c r="BQ292" s="47"/>
      <c r="BR292" s="47"/>
      <c r="BS292" s="47"/>
      <c r="BT292" s="47"/>
      <c r="BU292" s="47"/>
      <c r="BV292" s="47"/>
      <c r="BW292" s="47"/>
      <c r="BX292" s="47"/>
      <c r="BY292" s="47"/>
      <c r="BZ292" s="47"/>
      <c r="CA292" s="47"/>
      <c r="CB292" s="47"/>
      <c r="CC292" s="47"/>
      <c r="CD292" s="47"/>
      <c r="CE292" s="47"/>
      <c r="CF292" s="47"/>
      <c r="CG292" s="49"/>
      <c r="CH292" s="47"/>
      <c r="CI292" s="47"/>
      <c r="CJ292" s="47"/>
      <c r="CK292" s="47"/>
      <c r="CL292" s="47"/>
      <c r="CM292" s="47"/>
      <c r="CN292" s="47"/>
      <c r="CO292" s="47"/>
      <c r="CP292" s="47"/>
      <c r="CQ292" s="47"/>
      <c r="CS292" s="47"/>
      <c r="CT292" s="47"/>
      <c r="CU292" s="47"/>
      <c r="CV292" s="47"/>
      <c r="CW292" s="47"/>
      <c r="CX292" s="47"/>
      <c r="CY292" s="47"/>
      <c r="CZ292" s="47"/>
      <c r="DA292" s="47"/>
      <c r="DB292" s="47"/>
      <c r="DC292" s="47"/>
      <c r="DD292" s="47"/>
      <c r="DE292" s="47"/>
      <c r="DF292" s="47"/>
      <c r="DG292" s="47"/>
      <c r="DH292" s="47"/>
      <c r="DI292" s="47"/>
      <c r="DJ292" s="47"/>
      <c r="DK292" s="47"/>
      <c r="DM292" s="47"/>
      <c r="DN292" s="47"/>
      <c r="DO292" s="47"/>
      <c r="DP292" s="47"/>
      <c r="DQ292" s="47"/>
      <c r="DR292" s="47"/>
      <c r="DS292" s="47"/>
      <c r="DT292" s="47"/>
      <c r="DU292" s="47"/>
      <c r="DV292" s="49"/>
      <c r="DW292" s="47"/>
      <c r="DX292" s="47"/>
      <c r="DY292" s="47"/>
      <c r="DZ292" s="47"/>
      <c r="EA292" s="47"/>
      <c r="EB292" s="47"/>
      <c r="EC292" s="47"/>
      <c r="ED292" s="47"/>
      <c r="EE292" s="47"/>
      <c r="EF292" s="47"/>
      <c r="EG292" s="47"/>
      <c r="EH292" s="47"/>
      <c r="EI292" s="47"/>
      <c r="EJ292" s="47"/>
      <c r="EK292" s="47"/>
      <c r="EL292" s="47"/>
      <c r="EM292" s="47"/>
      <c r="EN292" s="47"/>
      <c r="EO292" s="47"/>
      <c r="EP292" s="47"/>
      <c r="EQ292" s="47"/>
      <c r="ER292" s="47"/>
      <c r="ES292" s="47"/>
      <c r="ET292" s="47"/>
      <c r="EU292" s="47"/>
      <c r="EV292" s="47"/>
      <c r="EW292" s="47"/>
      <c r="EX292" s="47"/>
      <c r="EY292" s="47"/>
      <c r="EZ292" s="47"/>
      <c r="FA292" s="47"/>
      <c r="FB292" s="47"/>
      <c r="FC292" s="47"/>
      <c r="FD292" s="47"/>
      <c r="FE292" s="47"/>
      <c r="FF292" s="47"/>
      <c r="FG292" s="47"/>
      <c r="FH292" s="47"/>
      <c r="FI292" s="47"/>
      <c r="FJ292" s="49"/>
      <c r="FK292" s="47"/>
      <c r="FL292" s="47"/>
      <c r="FM292" s="47"/>
      <c r="FN292" s="47"/>
      <c r="FO292" s="47"/>
      <c r="FP292" s="47"/>
      <c r="FQ292" s="47"/>
      <c r="FR292" s="47"/>
      <c r="FS292" s="47"/>
      <c r="FT292" s="47"/>
      <c r="FU292" s="47"/>
      <c r="FV292" s="47"/>
      <c r="FW292" s="47"/>
      <c r="FX292" s="47"/>
      <c r="FY292" s="47"/>
      <c r="FZ292" s="47"/>
      <c r="GA292" s="47"/>
      <c r="GB292" s="47"/>
      <c r="GC292" s="47"/>
      <c r="GD292" s="47"/>
      <c r="GE292" s="47"/>
      <c r="GF292" s="47"/>
      <c r="GG292" s="47"/>
      <c r="GH292" s="47"/>
      <c r="GI292" s="47"/>
      <c r="GJ292" s="47"/>
      <c r="GK292" s="47"/>
      <c r="GL292" s="47"/>
      <c r="GM292" s="47"/>
      <c r="GN292" s="47"/>
      <c r="GO292" s="47"/>
      <c r="GP292" s="47"/>
      <c r="GQ292" s="47"/>
      <c r="GR292" s="47"/>
      <c r="GS292" s="47"/>
      <c r="GT292" s="47"/>
      <c r="GU292" s="47"/>
      <c r="GV292" s="47"/>
      <c r="GW292" s="47"/>
      <c r="GX292" s="47"/>
      <c r="GY292" s="47"/>
      <c r="GZ292" s="47"/>
      <c r="HA292" s="47"/>
      <c r="HB292" s="47"/>
      <c r="HC292" s="47"/>
      <c r="HD292" s="47"/>
      <c r="HE292" s="47"/>
      <c r="HF292" s="47"/>
      <c r="HI292" s="47"/>
      <c r="HJ292" s="47"/>
      <c r="HK292" s="47"/>
      <c r="HL292" s="47"/>
      <c r="HM292" s="47"/>
      <c r="HN292" s="47"/>
      <c r="HO292" s="47"/>
      <c r="HP292" s="47"/>
      <c r="HS292" s="47"/>
      <c r="HT292" s="47"/>
      <c r="HU292" s="47"/>
      <c r="HV292" s="47"/>
      <c r="HW292" s="47"/>
      <c r="HX292" s="47"/>
      <c r="HY292" s="47"/>
      <c r="HZ292" s="47"/>
      <c r="IC292" s="47"/>
      <c r="ID292" s="47"/>
      <c r="IE292" s="47"/>
      <c r="IF292" s="47"/>
      <c r="IG292" s="47"/>
      <c r="IH292" s="47"/>
      <c r="II292" s="47"/>
      <c r="IJ292" s="47"/>
      <c r="IM292" s="47"/>
      <c r="IN292" s="47"/>
      <c r="IO292" s="47"/>
      <c r="IP292" s="47"/>
      <c r="IQ292" s="47"/>
      <c r="IR292" s="47"/>
      <c r="IS292" s="47"/>
      <c r="IT292" s="47"/>
      <c r="IW292" s="47"/>
      <c r="IX292" s="47"/>
      <c r="IY292" s="47"/>
      <c r="IZ292" s="47"/>
      <c r="JA292" s="47"/>
      <c r="JB292" s="47"/>
      <c r="JC292" s="47"/>
      <c r="JD292" s="47"/>
      <c r="JG292" s="47"/>
      <c r="JH292" s="47"/>
      <c r="JI292" s="47"/>
      <c r="JJ292" s="47"/>
      <c r="JK292" s="47"/>
      <c r="JL292" s="47"/>
      <c r="JM292" s="47"/>
      <c r="JN292" s="47"/>
      <c r="JQ292" s="47"/>
      <c r="JR292" s="47"/>
      <c r="JS292" s="47"/>
      <c r="JT292" s="47"/>
      <c r="JU292" s="47"/>
      <c r="JV292" s="47"/>
      <c r="JW292" s="47"/>
      <c r="JX292" s="47"/>
      <c r="KA292" s="47"/>
      <c r="KB292" s="47"/>
      <c r="KC292" s="47"/>
      <c r="KD292" s="47"/>
      <c r="KE292" s="47"/>
      <c r="KF292" s="47"/>
      <c r="KG292" s="47"/>
      <c r="KH292" s="47"/>
      <c r="KK292" s="47"/>
      <c r="KL292" s="47"/>
      <c r="KM292" s="47"/>
      <c r="KN292" s="47"/>
      <c r="KO292" s="47"/>
      <c r="KP292" s="47"/>
      <c r="KQ292" s="47"/>
      <c r="KR292" s="47"/>
      <c r="KU292" s="47"/>
      <c r="KV292" s="47"/>
      <c r="KW292" s="47"/>
      <c r="KX292" s="47"/>
      <c r="KY292" s="47"/>
      <c r="KZ292" s="47"/>
      <c r="LA292" s="47"/>
      <c r="LB292" s="47"/>
    </row>
    <row r="293" spans="29:314" x14ac:dyDescent="0.25">
      <c r="AC293" s="47"/>
      <c r="AD293" s="47"/>
      <c r="AE293" s="47"/>
      <c r="AF293" s="47"/>
      <c r="AG293" s="49"/>
      <c r="AH293" s="47"/>
      <c r="AI293" s="47"/>
      <c r="AJ293" s="47"/>
      <c r="AK293" s="47"/>
      <c r="AL293" s="47"/>
      <c r="AM293" s="47"/>
      <c r="AN293" s="47"/>
      <c r="AO293" s="47"/>
      <c r="AP293" s="47"/>
      <c r="AQ293" s="47"/>
      <c r="AR293" s="47"/>
      <c r="AS293" s="47"/>
      <c r="AT293" s="47"/>
      <c r="AU293" s="47"/>
      <c r="AV293" s="47"/>
      <c r="AW293" s="47"/>
      <c r="AX293" s="47"/>
      <c r="AY293" s="47"/>
      <c r="AZ293" s="47"/>
      <c r="BA293" s="47"/>
      <c r="BB293" s="47"/>
      <c r="BC293" s="47"/>
      <c r="BD293" s="47"/>
      <c r="BE293" s="47"/>
      <c r="BF293" s="47"/>
      <c r="BG293" s="47"/>
      <c r="BH293" s="47"/>
      <c r="BI293" s="47"/>
      <c r="BJ293" s="47"/>
      <c r="BK293" s="47"/>
      <c r="BL293" s="47"/>
      <c r="BM293" s="47"/>
      <c r="BN293" s="49"/>
      <c r="BO293" s="47"/>
      <c r="BP293" s="47"/>
      <c r="BQ293" s="47"/>
      <c r="BR293" s="47"/>
      <c r="BS293" s="47"/>
      <c r="BT293" s="47"/>
      <c r="BU293" s="47"/>
      <c r="BV293" s="47"/>
      <c r="BW293" s="47"/>
      <c r="BX293" s="47"/>
      <c r="BY293" s="47"/>
      <c r="BZ293" s="47"/>
      <c r="CA293" s="47"/>
      <c r="CB293" s="47"/>
      <c r="CC293" s="47"/>
      <c r="CD293" s="47"/>
      <c r="CE293" s="47"/>
      <c r="CF293" s="47"/>
      <c r="CG293" s="49"/>
      <c r="CH293" s="47"/>
      <c r="CI293" s="47"/>
      <c r="CJ293" s="47"/>
      <c r="CK293" s="47"/>
      <c r="CL293" s="47"/>
      <c r="CM293" s="47"/>
      <c r="CN293" s="47"/>
      <c r="CO293" s="47"/>
      <c r="CP293" s="47"/>
      <c r="CQ293" s="47"/>
      <c r="CS293" s="47"/>
      <c r="CT293" s="47"/>
      <c r="CU293" s="47"/>
      <c r="CV293" s="47"/>
      <c r="CW293" s="47"/>
      <c r="CX293" s="47"/>
      <c r="CY293" s="47"/>
      <c r="CZ293" s="47"/>
      <c r="DA293" s="47"/>
      <c r="DB293" s="47"/>
      <c r="DC293" s="47"/>
      <c r="DD293" s="47"/>
      <c r="DE293" s="47"/>
      <c r="DF293" s="47"/>
      <c r="DG293" s="47"/>
      <c r="DH293" s="47"/>
      <c r="DI293" s="47"/>
      <c r="DJ293" s="47"/>
      <c r="DK293" s="47"/>
      <c r="DM293" s="47"/>
      <c r="DN293" s="47"/>
      <c r="DO293" s="47"/>
      <c r="DP293" s="47"/>
      <c r="DQ293" s="47"/>
      <c r="DR293" s="47"/>
      <c r="DS293" s="47"/>
      <c r="DT293" s="47"/>
      <c r="DU293" s="47"/>
      <c r="DV293" s="49"/>
      <c r="DW293" s="47"/>
      <c r="DX293" s="47"/>
      <c r="DY293" s="47"/>
      <c r="DZ293" s="47"/>
      <c r="EA293" s="47"/>
      <c r="EB293" s="47"/>
      <c r="EC293" s="47"/>
      <c r="ED293" s="47"/>
      <c r="EE293" s="47"/>
      <c r="EF293" s="47"/>
      <c r="EG293" s="47"/>
      <c r="EH293" s="47"/>
      <c r="EI293" s="47"/>
      <c r="EJ293" s="47"/>
      <c r="EK293" s="47"/>
      <c r="EL293" s="47"/>
      <c r="EM293" s="47"/>
      <c r="EN293" s="47"/>
      <c r="EO293" s="47"/>
      <c r="EP293" s="47"/>
      <c r="EQ293" s="47"/>
      <c r="ER293" s="47"/>
      <c r="ES293" s="47"/>
      <c r="ET293" s="47"/>
      <c r="EU293" s="47"/>
      <c r="EV293" s="47"/>
      <c r="EW293" s="47"/>
      <c r="EX293" s="47"/>
      <c r="EY293" s="47"/>
      <c r="EZ293" s="47"/>
      <c r="FA293" s="47"/>
      <c r="FB293" s="47"/>
      <c r="FC293" s="47"/>
      <c r="FD293" s="47"/>
      <c r="FE293" s="47"/>
      <c r="FF293" s="47"/>
      <c r="FG293" s="47"/>
      <c r="FH293" s="47"/>
      <c r="FI293" s="47"/>
      <c r="FJ293" s="49"/>
      <c r="FK293" s="47"/>
      <c r="FL293" s="47"/>
      <c r="FM293" s="47"/>
      <c r="FN293" s="47"/>
      <c r="FO293" s="47"/>
      <c r="FP293" s="47"/>
      <c r="FQ293" s="47"/>
      <c r="FR293" s="47"/>
      <c r="FS293" s="47"/>
      <c r="FT293" s="47"/>
      <c r="FU293" s="47"/>
      <c r="FV293" s="47"/>
      <c r="FW293" s="47"/>
      <c r="FX293" s="47"/>
      <c r="FY293" s="47"/>
      <c r="FZ293" s="47"/>
      <c r="GA293" s="47"/>
      <c r="GB293" s="47"/>
      <c r="GC293" s="47"/>
      <c r="GD293" s="47"/>
      <c r="GE293" s="47"/>
      <c r="GF293" s="47"/>
      <c r="GG293" s="47"/>
      <c r="GH293" s="47"/>
      <c r="GI293" s="47"/>
      <c r="GJ293" s="47"/>
      <c r="GK293" s="47"/>
      <c r="GL293" s="47"/>
      <c r="GM293" s="47"/>
      <c r="GN293" s="47"/>
      <c r="GO293" s="47"/>
      <c r="GP293" s="47"/>
      <c r="GQ293" s="47"/>
      <c r="GR293" s="47"/>
      <c r="GS293" s="47"/>
      <c r="GT293" s="47"/>
      <c r="GU293" s="47"/>
      <c r="GV293" s="47"/>
      <c r="GW293" s="47"/>
      <c r="GX293" s="47"/>
      <c r="GY293" s="47"/>
      <c r="GZ293" s="47"/>
      <c r="HA293" s="47"/>
      <c r="HB293" s="47"/>
      <c r="HC293" s="47"/>
      <c r="HD293" s="47"/>
      <c r="HE293" s="47"/>
      <c r="HF293" s="47"/>
      <c r="HI293" s="47"/>
      <c r="HJ293" s="47"/>
      <c r="HK293" s="47"/>
      <c r="HL293" s="47"/>
      <c r="HM293" s="47"/>
      <c r="HN293" s="47"/>
      <c r="HO293" s="47"/>
      <c r="HP293" s="47"/>
      <c r="HS293" s="47"/>
      <c r="HT293" s="47"/>
      <c r="HU293" s="47"/>
      <c r="HV293" s="47"/>
      <c r="HW293" s="47"/>
      <c r="HX293" s="47"/>
      <c r="HY293" s="47"/>
      <c r="HZ293" s="47"/>
      <c r="IC293" s="47"/>
      <c r="ID293" s="47"/>
      <c r="IE293" s="47"/>
      <c r="IF293" s="47"/>
      <c r="IG293" s="47"/>
      <c r="IH293" s="47"/>
      <c r="II293" s="47"/>
      <c r="IJ293" s="47"/>
      <c r="IM293" s="47"/>
      <c r="IN293" s="47"/>
      <c r="IO293" s="47"/>
      <c r="IP293" s="47"/>
      <c r="IQ293" s="47"/>
      <c r="IR293" s="47"/>
      <c r="IS293" s="47"/>
      <c r="IT293" s="47"/>
      <c r="IW293" s="47"/>
      <c r="IX293" s="47"/>
      <c r="IY293" s="47"/>
      <c r="IZ293" s="47"/>
      <c r="JA293" s="47"/>
      <c r="JB293" s="47"/>
      <c r="JC293" s="47"/>
      <c r="JD293" s="47"/>
      <c r="JG293" s="47"/>
      <c r="JH293" s="47"/>
      <c r="JI293" s="47"/>
      <c r="JJ293" s="47"/>
      <c r="JK293" s="47"/>
      <c r="JL293" s="47"/>
      <c r="JM293" s="47"/>
      <c r="JN293" s="47"/>
      <c r="JQ293" s="47"/>
      <c r="JR293" s="47"/>
      <c r="JS293" s="47"/>
      <c r="JT293" s="47"/>
      <c r="JU293" s="47"/>
      <c r="JV293" s="47"/>
      <c r="JW293" s="47"/>
      <c r="JX293" s="47"/>
      <c r="KA293" s="47"/>
      <c r="KB293" s="47"/>
      <c r="KC293" s="47"/>
      <c r="KD293" s="47"/>
      <c r="KE293" s="47"/>
      <c r="KF293" s="47"/>
      <c r="KG293" s="47"/>
      <c r="KH293" s="47"/>
      <c r="KK293" s="47"/>
      <c r="KL293" s="47"/>
      <c r="KM293" s="47"/>
      <c r="KN293" s="47"/>
      <c r="KO293" s="47"/>
      <c r="KP293" s="47"/>
      <c r="KQ293" s="47"/>
      <c r="KR293" s="47"/>
      <c r="KU293" s="47"/>
      <c r="KV293" s="47"/>
      <c r="KW293" s="47"/>
      <c r="KX293" s="47"/>
      <c r="KY293" s="47"/>
      <c r="KZ293" s="47"/>
      <c r="LA293" s="47"/>
      <c r="LB293" s="47"/>
    </row>
    <row r="294" spans="29:314" x14ac:dyDescent="0.25">
      <c r="AC294" s="47"/>
      <c r="AD294" s="47"/>
      <c r="AE294" s="47"/>
      <c r="AF294" s="47"/>
      <c r="AG294" s="49"/>
      <c r="AH294" s="47"/>
      <c r="AI294" s="47"/>
      <c r="AJ294" s="47"/>
      <c r="AK294" s="47"/>
      <c r="AL294" s="47"/>
      <c r="AM294" s="47"/>
      <c r="AN294" s="47"/>
      <c r="AO294" s="47"/>
      <c r="AP294" s="47"/>
      <c r="AQ294" s="47"/>
      <c r="AR294" s="47"/>
      <c r="AS294" s="47"/>
      <c r="AT294" s="47"/>
      <c r="AU294" s="47"/>
      <c r="AV294" s="47"/>
      <c r="AW294" s="47"/>
      <c r="AX294" s="47"/>
      <c r="AY294" s="47"/>
      <c r="AZ294" s="47"/>
      <c r="BA294" s="47"/>
      <c r="BB294" s="47"/>
      <c r="BC294" s="47"/>
      <c r="BD294" s="47"/>
      <c r="BE294" s="47"/>
      <c r="BF294" s="47"/>
      <c r="BG294" s="47"/>
      <c r="BH294" s="47"/>
      <c r="BI294" s="47"/>
      <c r="BJ294" s="47"/>
      <c r="BK294" s="47"/>
      <c r="BL294" s="47"/>
      <c r="BM294" s="47"/>
      <c r="BN294" s="49"/>
      <c r="BO294" s="47"/>
      <c r="BP294" s="47"/>
      <c r="BQ294" s="47"/>
      <c r="BR294" s="47"/>
      <c r="BS294" s="47"/>
      <c r="BT294" s="47"/>
      <c r="BU294" s="47"/>
      <c r="BV294" s="47"/>
      <c r="BW294" s="47"/>
      <c r="BX294" s="47"/>
      <c r="BY294" s="47"/>
      <c r="BZ294" s="47"/>
      <c r="CA294" s="47"/>
      <c r="CB294" s="47"/>
      <c r="CC294" s="47"/>
      <c r="CD294" s="47"/>
      <c r="CE294" s="47"/>
      <c r="CF294" s="47"/>
      <c r="CG294" s="49"/>
      <c r="CH294" s="47"/>
      <c r="CI294" s="47"/>
      <c r="CJ294" s="47"/>
      <c r="CK294" s="47"/>
      <c r="CL294" s="47"/>
      <c r="CM294" s="47"/>
      <c r="CN294" s="47"/>
      <c r="CO294" s="47"/>
      <c r="CP294" s="47"/>
      <c r="CQ294" s="47"/>
      <c r="CS294" s="47"/>
      <c r="CT294" s="47"/>
      <c r="CU294" s="47"/>
      <c r="CV294" s="47"/>
      <c r="CW294" s="47"/>
      <c r="CX294" s="47"/>
      <c r="CY294" s="47"/>
      <c r="CZ294" s="47"/>
      <c r="DA294" s="47"/>
      <c r="DB294" s="47"/>
      <c r="DC294" s="47"/>
      <c r="DD294" s="47"/>
      <c r="DE294" s="47"/>
      <c r="DF294" s="47"/>
      <c r="DG294" s="47"/>
      <c r="DH294" s="47"/>
      <c r="DI294" s="47"/>
      <c r="DJ294" s="47"/>
      <c r="DK294" s="47"/>
      <c r="DM294" s="47"/>
      <c r="DN294" s="47"/>
      <c r="DO294" s="47"/>
      <c r="DP294" s="47"/>
      <c r="DQ294" s="47"/>
      <c r="DR294" s="47"/>
      <c r="DS294" s="47"/>
      <c r="DT294" s="47"/>
      <c r="DU294" s="47"/>
      <c r="DV294" s="49"/>
      <c r="DW294" s="47"/>
      <c r="DX294" s="47"/>
      <c r="DY294" s="47"/>
      <c r="DZ294" s="47"/>
      <c r="EA294" s="47"/>
      <c r="EB294" s="47"/>
      <c r="EC294" s="47"/>
      <c r="ED294" s="47"/>
      <c r="EE294" s="47"/>
      <c r="EF294" s="47"/>
      <c r="EG294" s="47"/>
      <c r="EH294" s="47"/>
      <c r="EI294" s="47"/>
      <c r="EJ294" s="47"/>
      <c r="EK294" s="47"/>
      <c r="EL294" s="47"/>
      <c r="EM294" s="47"/>
      <c r="EN294" s="47"/>
      <c r="EO294" s="47"/>
      <c r="EP294" s="47"/>
      <c r="EQ294" s="47"/>
      <c r="ER294" s="47"/>
      <c r="ES294" s="47"/>
      <c r="ET294" s="47"/>
      <c r="EU294" s="47"/>
      <c r="EV294" s="47"/>
      <c r="EW294" s="47"/>
      <c r="EX294" s="47"/>
      <c r="EY294" s="47"/>
      <c r="EZ294" s="47"/>
      <c r="FA294" s="47"/>
      <c r="FB294" s="47"/>
      <c r="FC294" s="47"/>
      <c r="FD294" s="47"/>
      <c r="FE294" s="47"/>
      <c r="FF294" s="47"/>
      <c r="FG294" s="47"/>
      <c r="FH294" s="47"/>
      <c r="FI294" s="47"/>
      <c r="FJ294" s="49"/>
      <c r="FK294" s="47"/>
      <c r="FL294" s="47"/>
      <c r="FM294" s="47"/>
      <c r="FN294" s="47"/>
      <c r="FO294" s="47"/>
      <c r="FP294" s="47"/>
      <c r="FQ294" s="47"/>
      <c r="FR294" s="47"/>
      <c r="FS294" s="47"/>
      <c r="FT294" s="47"/>
      <c r="FU294" s="47"/>
      <c r="FV294" s="47"/>
      <c r="FW294" s="47"/>
      <c r="FX294" s="47"/>
      <c r="FY294" s="47"/>
      <c r="FZ294" s="47"/>
      <c r="GA294" s="47"/>
      <c r="GB294" s="47"/>
      <c r="GC294" s="47"/>
      <c r="GD294" s="47"/>
      <c r="GE294" s="47"/>
      <c r="GF294" s="47"/>
      <c r="GG294" s="47"/>
      <c r="GH294" s="47"/>
      <c r="GI294" s="47"/>
      <c r="GJ294" s="47"/>
      <c r="GK294" s="47"/>
      <c r="GL294" s="47"/>
      <c r="GM294" s="47"/>
      <c r="GN294" s="47"/>
      <c r="GO294" s="47"/>
      <c r="GP294" s="47"/>
      <c r="GQ294" s="47"/>
      <c r="GR294" s="47"/>
      <c r="GS294" s="47"/>
      <c r="GT294" s="47"/>
      <c r="GU294" s="47"/>
      <c r="GV294" s="47"/>
      <c r="GW294" s="47"/>
      <c r="GX294" s="47"/>
      <c r="GY294" s="47"/>
      <c r="GZ294" s="47"/>
      <c r="HA294" s="47"/>
      <c r="HB294" s="47"/>
      <c r="HC294" s="47"/>
      <c r="HD294" s="47"/>
      <c r="HE294" s="47"/>
      <c r="HF294" s="47"/>
      <c r="HI294" s="47"/>
      <c r="HJ294" s="47"/>
      <c r="HK294" s="47"/>
      <c r="HL294" s="47"/>
      <c r="HM294" s="47"/>
      <c r="HN294" s="47"/>
      <c r="HO294" s="47"/>
      <c r="HP294" s="47"/>
      <c r="HS294" s="47"/>
      <c r="HT294" s="47"/>
      <c r="HU294" s="47"/>
      <c r="HV294" s="47"/>
      <c r="HW294" s="47"/>
      <c r="HX294" s="47"/>
      <c r="HY294" s="47"/>
      <c r="HZ294" s="47"/>
      <c r="IC294" s="47"/>
      <c r="ID294" s="47"/>
      <c r="IE294" s="47"/>
      <c r="IF294" s="47"/>
      <c r="IG294" s="47"/>
      <c r="IH294" s="47"/>
      <c r="II294" s="47"/>
      <c r="IJ294" s="47"/>
      <c r="IM294" s="47"/>
      <c r="IN294" s="47"/>
      <c r="IO294" s="47"/>
      <c r="IP294" s="47"/>
      <c r="IQ294" s="47"/>
      <c r="IR294" s="47"/>
      <c r="IS294" s="47"/>
      <c r="IT294" s="47"/>
      <c r="IW294" s="47"/>
      <c r="IX294" s="47"/>
      <c r="IY294" s="47"/>
      <c r="IZ294" s="47"/>
      <c r="JA294" s="47"/>
      <c r="JB294" s="47"/>
      <c r="JC294" s="47"/>
      <c r="JD294" s="47"/>
      <c r="JG294" s="47"/>
      <c r="JH294" s="47"/>
      <c r="JI294" s="47"/>
      <c r="JJ294" s="47"/>
      <c r="JK294" s="47"/>
      <c r="JL294" s="47"/>
      <c r="JM294" s="47"/>
      <c r="JN294" s="47"/>
      <c r="JQ294" s="47"/>
      <c r="JR294" s="47"/>
      <c r="JS294" s="47"/>
      <c r="JT294" s="47"/>
      <c r="JU294" s="47"/>
      <c r="JV294" s="47"/>
      <c r="JW294" s="47"/>
      <c r="JX294" s="47"/>
      <c r="KA294" s="47"/>
      <c r="KB294" s="47"/>
      <c r="KC294" s="47"/>
      <c r="KD294" s="47"/>
      <c r="KE294" s="47"/>
      <c r="KF294" s="47"/>
      <c r="KG294" s="47"/>
      <c r="KH294" s="47"/>
      <c r="KK294" s="47"/>
      <c r="KL294" s="47"/>
      <c r="KM294" s="47"/>
      <c r="KN294" s="47"/>
      <c r="KO294" s="47"/>
      <c r="KP294" s="47"/>
      <c r="KQ294" s="47"/>
      <c r="KR294" s="47"/>
      <c r="KU294" s="47"/>
      <c r="KV294" s="47"/>
      <c r="KW294" s="47"/>
      <c r="KX294" s="47"/>
      <c r="KY294" s="47"/>
      <c r="KZ294" s="47"/>
      <c r="LA294" s="47"/>
      <c r="LB294" s="47"/>
    </row>
    <row r="295" spans="29:314" x14ac:dyDescent="0.25">
      <c r="AC295" s="47"/>
      <c r="AD295" s="47"/>
      <c r="AE295" s="47"/>
      <c r="AF295" s="47"/>
      <c r="AG295" s="49"/>
      <c r="AH295" s="47"/>
      <c r="AI295" s="47"/>
      <c r="AJ295" s="47"/>
      <c r="AK295" s="47"/>
      <c r="AL295" s="47"/>
      <c r="AM295" s="47"/>
      <c r="AN295" s="47"/>
      <c r="AO295" s="47"/>
      <c r="AP295" s="47"/>
      <c r="AQ295" s="47"/>
      <c r="AR295" s="47"/>
      <c r="AS295" s="47"/>
      <c r="AT295" s="47"/>
      <c r="AU295" s="47"/>
      <c r="AV295" s="47"/>
      <c r="AW295" s="47"/>
      <c r="AX295" s="47"/>
      <c r="AY295" s="47"/>
      <c r="AZ295" s="47"/>
      <c r="BA295" s="47"/>
      <c r="BB295" s="47"/>
      <c r="BC295" s="47"/>
      <c r="BD295" s="47"/>
      <c r="BE295" s="47"/>
      <c r="BF295" s="47"/>
      <c r="BG295" s="47"/>
      <c r="BH295" s="47"/>
      <c r="BI295" s="47"/>
      <c r="BJ295" s="47"/>
      <c r="BK295" s="47"/>
      <c r="BL295" s="47"/>
      <c r="BM295" s="47"/>
      <c r="BN295" s="49"/>
      <c r="BO295" s="47"/>
      <c r="BP295" s="47"/>
      <c r="BQ295" s="47"/>
      <c r="BR295" s="47"/>
      <c r="BS295" s="47"/>
      <c r="BT295" s="47"/>
      <c r="BU295" s="47"/>
      <c r="BV295" s="47"/>
      <c r="BW295" s="47"/>
      <c r="BX295" s="47"/>
      <c r="BY295" s="47"/>
      <c r="BZ295" s="47"/>
      <c r="CA295" s="47"/>
      <c r="CB295" s="47"/>
      <c r="CC295" s="47"/>
      <c r="CD295" s="47"/>
      <c r="CE295" s="47"/>
      <c r="CF295" s="47"/>
      <c r="CG295" s="49"/>
      <c r="CH295" s="47"/>
      <c r="CI295" s="47"/>
      <c r="CJ295" s="47"/>
      <c r="CK295" s="47"/>
      <c r="CL295" s="47"/>
      <c r="CM295" s="47"/>
      <c r="CN295" s="47"/>
      <c r="CO295" s="47"/>
      <c r="CP295" s="47"/>
      <c r="CQ295" s="47"/>
      <c r="CS295" s="47"/>
      <c r="CT295" s="47"/>
      <c r="CU295" s="47"/>
      <c r="CV295" s="47"/>
      <c r="CW295" s="47"/>
      <c r="CX295" s="47"/>
      <c r="CY295" s="47"/>
      <c r="CZ295" s="47"/>
      <c r="DA295" s="47"/>
      <c r="DB295" s="47"/>
      <c r="DC295" s="47"/>
      <c r="DD295" s="47"/>
      <c r="DE295" s="47"/>
      <c r="DF295" s="47"/>
      <c r="DG295" s="47"/>
      <c r="DH295" s="47"/>
      <c r="DI295" s="47"/>
      <c r="DJ295" s="47"/>
      <c r="DK295" s="47"/>
      <c r="DM295" s="47"/>
      <c r="DN295" s="47"/>
      <c r="DO295" s="47"/>
      <c r="DP295" s="47"/>
      <c r="DQ295" s="47"/>
      <c r="DR295" s="47"/>
      <c r="DS295" s="47"/>
      <c r="DT295" s="47"/>
      <c r="DU295" s="47"/>
      <c r="DV295" s="49"/>
      <c r="DW295" s="47"/>
      <c r="DX295" s="47"/>
      <c r="DY295" s="47"/>
      <c r="DZ295" s="47"/>
      <c r="EA295" s="47"/>
      <c r="EB295" s="47"/>
      <c r="EC295" s="47"/>
      <c r="ED295" s="47"/>
      <c r="EE295" s="47"/>
      <c r="EF295" s="47"/>
      <c r="EG295" s="47"/>
      <c r="EH295" s="47"/>
      <c r="EI295" s="47"/>
      <c r="EJ295" s="47"/>
      <c r="EK295" s="47"/>
      <c r="EL295" s="47"/>
      <c r="EM295" s="47"/>
      <c r="EN295" s="47"/>
      <c r="EO295" s="47"/>
      <c r="EP295" s="47"/>
      <c r="EQ295" s="47"/>
      <c r="ER295" s="47"/>
      <c r="ES295" s="47"/>
      <c r="ET295" s="47"/>
      <c r="EU295" s="47"/>
      <c r="EV295" s="47"/>
      <c r="EW295" s="47"/>
      <c r="EX295" s="47"/>
      <c r="EY295" s="47"/>
      <c r="EZ295" s="47"/>
      <c r="FA295" s="47"/>
      <c r="FB295" s="47"/>
      <c r="FC295" s="47"/>
      <c r="FD295" s="47"/>
      <c r="FE295" s="47"/>
      <c r="FF295" s="47"/>
      <c r="FG295" s="47"/>
      <c r="FH295" s="47"/>
      <c r="FI295" s="47"/>
      <c r="FJ295" s="49"/>
      <c r="FK295" s="47"/>
      <c r="FL295" s="47"/>
      <c r="FM295" s="47"/>
      <c r="FN295" s="47"/>
      <c r="FO295" s="47"/>
      <c r="FP295" s="47"/>
      <c r="FQ295" s="47"/>
      <c r="FR295" s="47"/>
      <c r="FS295" s="47"/>
      <c r="FT295" s="47"/>
      <c r="FU295" s="47"/>
      <c r="FV295" s="47"/>
      <c r="FW295" s="47"/>
      <c r="FX295" s="47"/>
      <c r="FY295" s="47"/>
      <c r="FZ295" s="47"/>
      <c r="GA295" s="47"/>
      <c r="GB295" s="47"/>
      <c r="GC295" s="47"/>
      <c r="GD295" s="47"/>
      <c r="GE295" s="47"/>
      <c r="GF295" s="47"/>
      <c r="GG295" s="47"/>
      <c r="GH295" s="47"/>
      <c r="GI295" s="47"/>
      <c r="GJ295" s="47"/>
      <c r="GK295" s="47"/>
      <c r="GL295" s="47"/>
      <c r="GM295" s="47"/>
      <c r="GN295" s="47"/>
      <c r="GO295" s="47"/>
      <c r="GP295" s="47"/>
      <c r="GQ295" s="47"/>
      <c r="GR295" s="47"/>
      <c r="GS295" s="47"/>
      <c r="GT295" s="47"/>
      <c r="GU295" s="47"/>
      <c r="GV295" s="47"/>
      <c r="GW295" s="47"/>
      <c r="GX295" s="47"/>
      <c r="GY295" s="47"/>
      <c r="GZ295" s="47"/>
      <c r="HA295" s="47"/>
      <c r="HB295" s="47"/>
      <c r="HC295" s="47"/>
      <c r="HD295" s="47"/>
      <c r="HE295" s="47"/>
      <c r="HF295" s="47"/>
      <c r="HI295" s="47"/>
      <c r="HJ295" s="47"/>
      <c r="HK295" s="47"/>
      <c r="HL295" s="47"/>
      <c r="HM295" s="47"/>
      <c r="HN295" s="47"/>
      <c r="HO295" s="47"/>
      <c r="HP295" s="47"/>
      <c r="HS295" s="47"/>
      <c r="HT295" s="47"/>
      <c r="HU295" s="47"/>
      <c r="HV295" s="47"/>
      <c r="HW295" s="47"/>
      <c r="HX295" s="47"/>
      <c r="HY295" s="47"/>
      <c r="HZ295" s="47"/>
      <c r="IC295" s="47"/>
      <c r="ID295" s="47"/>
      <c r="IE295" s="47"/>
      <c r="IF295" s="47"/>
      <c r="IG295" s="47"/>
      <c r="IH295" s="47"/>
      <c r="II295" s="47"/>
      <c r="IJ295" s="47"/>
      <c r="IM295" s="47"/>
      <c r="IN295" s="47"/>
      <c r="IO295" s="47"/>
      <c r="IP295" s="47"/>
      <c r="IQ295" s="47"/>
      <c r="IR295" s="47"/>
      <c r="IS295" s="47"/>
      <c r="IT295" s="47"/>
      <c r="IW295" s="47"/>
      <c r="IX295" s="47"/>
      <c r="IY295" s="47"/>
      <c r="IZ295" s="47"/>
      <c r="JA295" s="47"/>
      <c r="JB295" s="47"/>
      <c r="JC295" s="47"/>
      <c r="JD295" s="47"/>
      <c r="JG295" s="47"/>
      <c r="JH295" s="47"/>
      <c r="JI295" s="47"/>
      <c r="JJ295" s="47"/>
      <c r="JK295" s="47"/>
      <c r="JL295" s="47"/>
      <c r="JM295" s="47"/>
      <c r="JN295" s="47"/>
      <c r="JQ295" s="47"/>
      <c r="JR295" s="47"/>
      <c r="JS295" s="47"/>
      <c r="JT295" s="47"/>
      <c r="JU295" s="47"/>
      <c r="JV295" s="47"/>
      <c r="JW295" s="47"/>
      <c r="JX295" s="47"/>
      <c r="KA295" s="47"/>
      <c r="KB295" s="47"/>
      <c r="KC295" s="47"/>
      <c r="KD295" s="47"/>
      <c r="KE295" s="47"/>
      <c r="KF295" s="47"/>
      <c r="KG295" s="47"/>
      <c r="KH295" s="47"/>
      <c r="KK295" s="47"/>
      <c r="KL295" s="47"/>
      <c r="KM295" s="47"/>
      <c r="KN295" s="47"/>
      <c r="KO295" s="47"/>
      <c r="KP295" s="47"/>
      <c r="KQ295" s="47"/>
      <c r="KR295" s="47"/>
      <c r="KU295" s="47"/>
      <c r="KV295" s="47"/>
      <c r="KW295" s="47"/>
      <c r="KX295" s="47"/>
      <c r="KY295" s="47"/>
      <c r="KZ295" s="47"/>
      <c r="LA295" s="47"/>
      <c r="LB295" s="47"/>
    </row>
    <row r="296" spans="29:314" x14ac:dyDescent="0.25">
      <c r="AC296" s="47"/>
      <c r="AD296" s="47"/>
      <c r="AE296" s="47"/>
      <c r="AF296" s="47"/>
      <c r="AG296" s="49"/>
      <c r="AH296" s="47"/>
      <c r="AI296" s="47"/>
      <c r="AJ296" s="47"/>
      <c r="AK296" s="47"/>
      <c r="AL296" s="47"/>
      <c r="AM296" s="47"/>
      <c r="AN296" s="47"/>
      <c r="AO296" s="47"/>
      <c r="AP296" s="47"/>
      <c r="AQ296" s="47"/>
      <c r="AR296" s="47"/>
      <c r="AS296" s="47"/>
      <c r="AT296" s="47"/>
      <c r="AU296" s="47"/>
      <c r="AV296" s="47"/>
      <c r="AW296" s="47"/>
      <c r="AX296" s="47"/>
      <c r="AY296" s="47"/>
      <c r="AZ296" s="47"/>
      <c r="BA296" s="47"/>
      <c r="BB296" s="47"/>
      <c r="BC296" s="47"/>
      <c r="BD296" s="47"/>
      <c r="BE296" s="47"/>
      <c r="BF296" s="47"/>
      <c r="BG296" s="47"/>
      <c r="BH296" s="47"/>
      <c r="BI296" s="47"/>
      <c r="BJ296" s="47"/>
      <c r="BK296" s="47"/>
      <c r="BL296" s="47"/>
      <c r="BM296" s="47"/>
      <c r="BN296" s="49"/>
      <c r="BO296" s="47"/>
      <c r="BP296" s="47"/>
      <c r="BQ296" s="47"/>
      <c r="BR296" s="47"/>
      <c r="BS296" s="47"/>
      <c r="BT296" s="47"/>
      <c r="BU296" s="47"/>
      <c r="BV296" s="47"/>
      <c r="BW296" s="47"/>
      <c r="BX296" s="47"/>
      <c r="BY296" s="47"/>
      <c r="BZ296" s="47"/>
      <c r="CA296" s="47"/>
      <c r="CB296" s="47"/>
      <c r="CC296" s="47"/>
      <c r="CD296" s="47"/>
      <c r="CE296" s="47"/>
      <c r="CF296" s="47"/>
      <c r="CG296" s="49"/>
      <c r="CH296" s="47"/>
      <c r="CI296" s="47"/>
      <c r="CJ296" s="47"/>
      <c r="CK296" s="47"/>
      <c r="CL296" s="47"/>
      <c r="CM296" s="47"/>
      <c r="CN296" s="47"/>
      <c r="CO296" s="47"/>
      <c r="CP296" s="47"/>
      <c r="CQ296" s="47"/>
      <c r="CS296" s="47"/>
      <c r="CT296" s="47"/>
      <c r="CU296" s="47"/>
      <c r="CV296" s="47"/>
      <c r="CW296" s="47"/>
      <c r="CX296" s="47"/>
      <c r="CY296" s="47"/>
      <c r="CZ296" s="47"/>
      <c r="DA296" s="47"/>
      <c r="DB296" s="47"/>
      <c r="DC296" s="47"/>
      <c r="DD296" s="47"/>
      <c r="DE296" s="47"/>
      <c r="DF296" s="47"/>
      <c r="DG296" s="47"/>
      <c r="DH296" s="47"/>
      <c r="DI296" s="47"/>
      <c r="DJ296" s="47"/>
      <c r="DK296" s="47"/>
      <c r="DM296" s="47"/>
      <c r="DN296" s="47"/>
      <c r="DO296" s="47"/>
      <c r="DP296" s="47"/>
      <c r="DQ296" s="47"/>
      <c r="DR296" s="47"/>
      <c r="DS296" s="47"/>
      <c r="DT296" s="47"/>
      <c r="DU296" s="47"/>
      <c r="DV296" s="49"/>
      <c r="DW296" s="47"/>
      <c r="DX296" s="47"/>
      <c r="DY296" s="47"/>
      <c r="DZ296" s="47"/>
      <c r="EA296" s="47"/>
      <c r="EB296" s="47"/>
      <c r="EC296" s="47"/>
      <c r="ED296" s="47"/>
      <c r="EE296" s="47"/>
      <c r="EF296" s="47"/>
      <c r="EG296" s="47"/>
      <c r="EH296" s="47"/>
      <c r="EI296" s="47"/>
      <c r="EJ296" s="47"/>
      <c r="EK296" s="47"/>
      <c r="EL296" s="47"/>
      <c r="EM296" s="47"/>
      <c r="EN296" s="47"/>
      <c r="EO296" s="47"/>
      <c r="EP296" s="47"/>
      <c r="EQ296" s="47"/>
      <c r="ER296" s="47"/>
      <c r="ES296" s="47"/>
      <c r="ET296" s="47"/>
      <c r="EU296" s="47"/>
      <c r="EV296" s="47"/>
      <c r="EW296" s="47"/>
      <c r="EX296" s="47"/>
      <c r="EY296" s="47"/>
      <c r="EZ296" s="47"/>
      <c r="FA296" s="47"/>
      <c r="FB296" s="47"/>
      <c r="FC296" s="47"/>
      <c r="FD296" s="47"/>
      <c r="FE296" s="47"/>
      <c r="FF296" s="47"/>
      <c r="FG296" s="47"/>
      <c r="FH296" s="47"/>
      <c r="FI296" s="47"/>
      <c r="FJ296" s="49"/>
      <c r="FK296" s="47"/>
      <c r="FL296" s="47"/>
      <c r="FM296" s="47"/>
      <c r="FN296" s="47"/>
      <c r="FO296" s="47"/>
      <c r="FP296" s="47"/>
      <c r="FQ296" s="47"/>
      <c r="FR296" s="47"/>
      <c r="FS296" s="47"/>
      <c r="FT296" s="47"/>
      <c r="FU296" s="47"/>
      <c r="FV296" s="47"/>
      <c r="FW296" s="47"/>
      <c r="FX296" s="47"/>
      <c r="FY296" s="47"/>
      <c r="FZ296" s="47"/>
      <c r="GA296" s="47"/>
      <c r="GB296" s="47"/>
      <c r="GC296" s="47"/>
      <c r="GD296" s="47"/>
      <c r="GE296" s="47"/>
      <c r="GF296" s="47"/>
      <c r="GG296" s="47"/>
      <c r="GH296" s="47"/>
      <c r="GI296" s="47"/>
      <c r="GJ296" s="47"/>
      <c r="GK296" s="47"/>
      <c r="GL296" s="47"/>
      <c r="GM296" s="47"/>
      <c r="GN296" s="47"/>
      <c r="GO296" s="47"/>
      <c r="GP296" s="47"/>
      <c r="GQ296" s="47"/>
      <c r="GR296" s="47"/>
      <c r="GS296" s="47"/>
      <c r="GT296" s="47"/>
      <c r="GU296" s="47"/>
      <c r="GV296" s="47"/>
      <c r="GW296" s="47"/>
      <c r="GX296" s="47"/>
      <c r="GY296" s="47"/>
      <c r="GZ296" s="47"/>
      <c r="HA296" s="47"/>
      <c r="HB296" s="47"/>
      <c r="HC296" s="47"/>
      <c r="HD296" s="47"/>
      <c r="HE296" s="47"/>
      <c r="HF296" s="47"/>
      <c r="HI296" s="47"/>
      <c r="HJ296" s="47"/>
      <c r="HK296" s="47"/>
      <c r="HL296" s="47"/>
      <c r="HM296" s="47"/>
      <c r="HN296" s="47"/>
      <c r="HO296" s="47"/>
      <c r="HP296" s="47"/>
      <c r="HS296" s="47"/>
      <c r="HT296" s="47"/>
      <c r="HU296" s="47"/>
      <c r="HV296" s="47"/>
      <c r="HW296" s="47"/>
      <c r="HX296" s="47"/>
      <c r="HY296" s="47"/>
      <c r="HZ296" s="47"/>
      <c r="IC296" s="47"/>
      <c r="ID296" s="47"/>
      <c r="IE296" s="47"/>
      <c r="IF296" s="47"/>
      <c r="IG296" s="47"/>
      <c r="IH296" s="47"/>
      <c r="II296" s="47"/>
      <c r="IJ296" s="47"/>
      <c r="IM296" s="47"/>
      <c r="IN296" s="47"/>
      <c r="IO296" s="47"/>
      <c r="IP296" s="47"/>
      <c r="IQ296" s="47"/>
      <c r="IR296" s="47"/>
      <c r="IS296" s="47"/>
      <c r="IT296" s="47"/>
      <c r="IW296" s="47"/>
      <c r="IX296" s="47"/>
      <c r="IY296" s="47"/>
      <c r="IZ296" s="47"/>
      <c r="JA296" s="47"/>
      <c r="JB296" s="47"/>
      <c r="JC296" s="47"/>
      <c r="JD296" s="47"/>
      <c r="JG296" s="47"/>
      <c r="JH296" s="47"/>
      <c r="JI296" s="47"/>
      <c r="JJ296" s="47"/>
      <c r="JK296" s="47"/>
      <c r="JL296" s="47"/>
      <c r="JM296" s="47"/>
      <c r="JN296" s="47"/>
      <c r="JQ296" s="47"/>
      <c r="JR296" s="47"/>
      <c r="JS296" s="47"/>
      <c r="JT296" s="47"/>
      <c r="JU296" s="47"/>
      <c r="JV296" s="47"/>
      <c r="JW296" s="47"/>
      <c r="JX296" s="47"/>
      <c r="KA296" s="47"/>
      <c r="KB296" s="47"/>
      <c r="KC296" s="47"/>
      <c r="KD296" s="47"/>
      <c r="KE296" s="47"/>
      <c r="KF296" s="47"/>
      <c r="KG296" s="47"/>
      <c r="KH296" s="47"/>
      <c r="KK296" s="47"/>
      <c r="KL296" s="47"/>
      <c r="KM296" s="47"/>
      <c r="KN296" s="47"/>
      <c r="KO296" s="47"/>
      <c r="KP296" s="47"/>
      <c r="KQ296" s="47"/>
      <c r="KR296" s="47"/>
      <c r="KU296" s="47"/>
      <c r="KV296" s="47"/>
      <c r="KW296" s="47"/>
      <c r="KX296" s="47"/>
      <c r="KY296" s="47"/>
      <c r="KZ296" s="47"/>
      <c r="LA296" s="47"/>
      <c r="LB296" s="47"/>
    </row>
    <row r="297" spans="29:314" x14ac:dyDescent="0.25">
      <c r="AC297" s="47"/>
      <c r="AD297" s="47"/>
      <c r="AE297" s="47"/>
      <c r="AF297" s="47"/>
      <c r="AG297" s="49"/>
      <c r="AH297" s="47"/>
      <c r="AI297" s="47"/>
      <c r="AJ297" s="47"/>
      <c r="AK297" s="47"/>
      <c r="AL297" s="47"/>
      <c r="AM297" s="47"/>
      <c r="AN297" s="47"/>
      <c r="AO297" s="47"/>
      <c r="AP297" s="47"/>
      <c r="AQ297" s="47"/>
      <c r="AR297" s="47"/>
      <c r="AS297" s="47"/>
      <c r="AT297" s="47"/>
      <c r="AU297" s="47"/>
      <c r="AV297" s="47"/>
      <c r="AW297" s="47"/>
      <c r="AX297" s="47"/>
      <c r="AY297" s="47"/>
      <c r="AZ297" s="47"/>
      <c r="BA297" s="47"/>
      <c r="BB297" s="47"/>
      <c r="BC297" s="47"/>
      <c r="BD297" s="47"/>
      <c r="BE297" s="47"/>
      <c r="BF297" s="47"/>
      <c r="BG297" s="47"/>
      <c r="BH297" s="47"/>
      <c r="BI297" s="47"/>
      <c r="BJ297" s="47"/>
      <c r="BK297" s="47"/>
      <c r="BL297" s="47"/>
      <c r="BM297" s="47"/>
      <c r="BN297" s="49"/>
      <c r="BO297" s="47"/>
      <c r="BP297" s="47"/>
      <c r="BQ297" s="47"/>
      <c r="BR297" s="47"/>
      <c r="BS297" s="47"/>
      <c r="BT297" s="47"/>
      <c r="BU297" s="47"/>
      <c r="BV297" s="47"/>
      <c r="BW297" s="47"/>
      <c r="BX297" s="47"/>
      <c r="BY297" s="47"/>
      <c r="BZ297" s="47"/>
      <c r="CA297" s="47"/>
      <c r="CB297" s="47"/>
      <c r="CC297" s="47"/>
      <c r="CD297" s="47"/>
      <c r="CE297" s="47"/>
      <c r="CF297" s="47"/>
      <c r="CG297" s="49"/>
      <c r="CH297" s="47"/>
      <c r="CI297" s="47"/>
      <c r="CJ297" s="47"/>
      <c r="CK297" s="47"/>
      <c r="CL297" s="47"/>
      <c r="CM297" s="47"/>
      <c r="CN297" s="47"/>
      <c r="CO297" s="47"/>
      <c r="CP297" s="47"/>
      <c r="CQ297" s="47"/>
      <c r="CS297" s="47"/>
      <c r="CT297" s="47"/>
      <c r="CU297" s="47"/>
      <c r="CV297" s="47"/>
      <c r="CW297" s="47"/>
      <c r="CX297" s="47"/>
      <c r="CY297" s="47"/>
      <c r="CZ297" s="47"/>
      <c r="DA297" s="47"/>
      <c r="DB297" s="47"/>
      <c r="DC297" s="47"/>
      <c r="DD297" s="47"/>
      <c r="DE297" s="47"/>
      <c r="DF297" s="47"/>
      <c r="DG297" s="47"/>
      <c r="DH297" s="47"/>
      <c r="DI297" s="47"/>
      <c r="DJ297" s="47"/>
      <c r="DK297" s="47"/>
      <c r="DM297" s="47"/>
      <c r="DN297" s="47"/>
      <c r="DO297" s="47"/>
      <c r="DP297" s="47"/>
      <c r="DQ297" s="47"/>
      <c r="DR297" s="47"/>
      <c r="DS297" s="47"/>
      <c r="DT297" s="47"/>
      <c r="DU297" s="47"/>
      <c r="DV297" s="49"/>
      <c r="DW297" s="47"/>
      <c r="DX297" s="47"/>
      <c r="DY297" s="47"/>
      <c r="DZ297" s="47"/>
      <c r="EA297" s="47"/>
      <c r="EB297" s="47"/>
      <c r="EC297" s="47"/>
      <c r="ED297" s="47"/>
      <c r="EE297" s="47"/>
      <c r="EF297" s="47"/>
      <c r="EG297" s="47"/>
      <c r="EH297" s="47"/>
      <c r="EI297" s="47"/>
      <c r="EJ297" s="47"/>
      <c r="EK297" s="47"/>
      <c r="EL297" s="47"/>
      <c r="EM297" s="47"/>
      <c r="EN297" s="47"/>
      <c r="EO297" s="47"/>
      <c r="EP297" s="47"/>
      <c r="EQ297" s="47"/>
      <c r="ER297" s="47"/>
      <c r="ES297" s="47"/>
      <c r="ET297" s="47"/>
      <c r="EU297" s="47"/>
      <c r="EV297" s="47"/>
      <c r="EW297" s="47"/>
      <c r="EX297" s="47"/>
      <c r="EY297" s="47"/>
      <c r="EZ297" s="47"/>
      <c r="FA297" s="47"/>
      <c r="FB297" s="47"/>
      <c r="FC297" s="47"/>
      <c r="FD297" s="47"/>
      <c r="FE297" s="47"/>
      <c r="FF297" s="47"/>
      <c r="FG297" s="47"/>
      <c r="FH297" s="47"/>
      <c r="FI297" s="47"/>
      <c r="FJ297" s="49"/>
      <c r="FK297" s="47"/>
      <c r="FL297" s="47"/>
      <c r="FM297" s="47"/>
      <c r="FN297" s="47"/>
      <c r="FO297" s="47"/>
      <c r="FP297" s="47"/>
      <c r="FQ297" s="47"/>
      <c r="FR297" s="47"/>
      <c r="FS297" s="47"/>
      <c r="FT297" s="47"/>
      <c r="FU297" s="47"/>
      <c r="FV297" s="47"/>
      <c r="FW297" s="47"/>
      <c r="FX297" s="47"/>
      <c r="FY297" s="47"/>
      <c r="FZ297" s="47"/>
      <c r="GA297" s="47"/>
      <c r="GB297" s="47"/>
      <c r="GC297" s="47"/>
      <c r="GD297" s="47"/>
      <c r="GE297" s="47"/>
      <c r="GF297" s="47"/>
      <c r="GG297" s="47"/>
      <c r="GH297" s="47"/>
      <c r="GI297" s="47"/>
      <c r="GJ297" s="47"/>
      <c r="GK297" s="47"/>
      <c r="GL297" s="47"/>
      <c r="GM297" s="47"/>
      <c r="GN297" s="47"/>
      <c r="GO297" s="47"/>
      <c r="GP297" s="47"/>
      <c r="GQ297" s="47"/>
      <c r="GR297" s="47"/>
      <c r="GS297" s="47"/>
      <c r="GT297" s="47"/>
      <c r="GU297" s="47"/>
      <c r="GV297" s="47"/>
      <c r="GW297" s="47"/>
      <c r="GX297" s="47"/>
      <c r="GY297" s="47"/>
      <c r="GZ297" s="47"/>
      <c r="HA297" s="47"/>
      <c r="HB297" s="47"/>
      <c r="HC297" s="47"/>
      <c r="HD297" s="47"/>
      <c r="HE297" s="47"/>
      <c r="HF297" s="47"/>
      <c r="HI297" s="47"/>
      <c r="HJ297" s="47"/>
      <c r="HK297" s="47"/>
      <c r="HL297" s="47"/>
      <c r="HM297" s="47"/>
      <c r="HN297" s="47"/>
      <c r="HO297" s="47"/>
      <c r="HP297" s="47"/>
      <c r="HS297" s="47"/>
      <c r="HT297" s="47"/>
      <c r="HU297" s="47"/>
      <c r="HV297" s="47"/>
      <c r="HW297" s="47"/>
      <c r="HX297" s="47"/>
      <c r="HY297" s="47"/>
      <c r="HZ297" s="47"/>
      <c r="IC297" s="47"/>
      <c r="ID297" s="47"/>
      <c r="IE297" s="47"/>
      <c r="IF297" s="47"/>
      <c r="IG297" s="47"/>
      <c r="IH297" s="47"/>
      <c r="II297" s="47"/>
      <c r="IJ297" s="47"/>
      <c r="IM297" s="47"/>
      <c r="IN297" s="47"/>
      <c r="IO297" s="47"/>
      <c r="IP297" s="47"/>
      <c r="IQ297" s="47"/>
      <c r="IR297" s="47"/>
      <c r="IS297" s="47"/>
      <c r="IT297" s="47"/>
      <c r="IW297" s="47"/>
      <c r="IX297" s="47"/>
      <c r="IY297" s="47"/>
      <c r="IZ297" s="47"/>
      <c r="JA297" s="47"/>
      <c r="JB297" s="47"/>
      <c r="JC297" s="47"/>
      <c r="JD297" s="47"/>
      <c r="JG297" s="47"/>
      <c r="JH297" s="47"/>
      <c r="JI297" s="47"/>
      <c r="JJ297" s="47"/>
      <c r="JK297" s="47"/>
      <c r="JL297" s="47"/>
      <c r="JM297" s="47"/>
      <c r="JN297" s="47"/>
      <c r="JQ297" s="47"/>
      <c r="JR297" s="47"/>
      <c r="JS297" s="47"/>
      <c r="JT297" s="47"/>
      <c r="JU297" s="47"/>
      <c r="JV297" s="47"/>
      <c r="JW297" s="47"/>
      <c r="JX297" s="47"/>
      <c r="KA297" s="47"/>
      <c r="KB297" s="47"/>
      <c r="KC297" s="47"/>
      <c r="KD297" s="47"/>
      <c r="KE297" s="47"/>
      <c r="KF297" s="47"/>
      <c r="KG297" s="47"/>
      <c r="KH297" s="47"/>
      <c r="KK297" s="47"/>
      <c r="KL297" s="47"/>
      <c r="KM297" s="47"/>
      <c r="KN297" s="47"/>
      <c r="KO297" s="47"/>
      <c r="KP297" s="47"/>
      <c r="KQ297" s="47"/>
      <c r="KR297" s="47"/>
      <c r="KU297" s="47"/>
      <c r="KV297" s="47"/>
      <c r="KW297" s="47"/>
      <c r="KX297" s="47"/>
      <c r="KY297" s="47"/>
      <c r="KZ297" s="47"/>
      <c r="LA297" s="47"/>
      <c r="LB297" s="47"/>
    </row>
    <row r="298" spans="29:314" x14ac:dyDescent="0.25">
      <c r="AC298" s="47"/>
      <c r="AD298" s="47"/>
      <c r="AE298" s="47"/>
      <c r="AF298" s="47"/>
      <c r="AG298" s="49"/>
      <c r="AH298" s="47"/>
      <c r="AI298" s="47"/>
      <c r="AJ298" s="47"/>
      <c r="AK298" s="47"/>
      <c r="AL298" s="47"/>
      <c r="AM298" s="47"/>
      <c r="AN298" s="47"/>
      <c r="AO298" s="47"/>
      <c r="AP298" s="47"/>
      <c r="AQ298" s="47"/>
      <c r="AR298" s="47"/>
      <c r="AS298" s="47"/>
      <c r="AT298" s="47"/>
      <c r="AU298" s="47"/>
      <c r="AV298" s="47"/>
      <c r="AW298" s="47"/>
      <c r="AX298" s="47"/>
      <c r="AY298" s="47"/>
      <c r="AZ298" s="47"/>
      <c r="BA298" s="47"/>
      <c r="BB298" s="47"/>
      <c r="BC298" s="47"/>
      <c r="BD298" s="47"/>
      <c r="BE298" s="47"/>
      <c r="BF298" s="47"/>
      <c r="BG298" s="47"/>
      <c r="BH298" s="47"/>
      <c r="BI298" s="47"/>
      <c r="BJ298" s="47"/>
      <c r="BK298" s="47"/>
      <c r="BL298" s="47"/>
      <c r="BM298" s="47"/>
      <c r="BN298" s="49"/>
      <c r="BO298" s="47"/>
      <c r="BP298" s="47"/>
      <c r="BQ298" s="47"/>
      <c r="BR298" s="47"/>
      <c r="BS298" s="47"/>
      <c r="BT298" s="47"/>
      <c r="BU298" s="47"/>
      <c r="BV298" s="47"/>
      <c r="BW298" s="47"/>
      <c r="BX298" s="47"/>
      <c r="BY298" s="47"/>
      <c r="BZ298" s="47"/>
      <c r="CA298" s="47"/>
      <c r="CB298" s="47"/>
      <c r="CC298" s="47"/>
      <c r="CD298" s="47"/>
      <c r="CE298" s="47"/>
      <c r="CF298" s="47"/>
      <c r="CG298" s="49"/>
      <c r="CH298" s="47"/>
      <c r="CI298" s="47"/>
      <c r="CJ298" s="47"/>
      <c r="CK298" s="47"/>
      <c r="CL298" s="47"/>
      <c r="CM298" s="47"/>
      <c r="CN298" s="47"/>
      <c r="CO298" s="47"/>
      <c r="CP298" s="47"/>
      <c r="CQ298" s="47"/>
      <c r="CS298" s="47"/>
      <c r="CT298" s="47"/>
      <c r="CU298" s="47"/>
      <c r="CV298" s="47"/>
      <c r="CW298" s="47"/>
      <c r="CX298" s="47"/>
      <c r="CY298" s="47"/>
      <c r="CZ298" s="47"/>
      <c r="DA298" s="47"/>
      <c r="DB298" s="47"/>
      <c r="DC298" s="47"/>
      <c r="DD298" s="47"/>
      <c r="DE298" s="47"/>
      <c r="DF298" s="47"/>
      <c r="DG298" s="47"/>
      <c r="DH298" s="47"/>
      <c r="DI298" s="47"/>
      <c r="DJ298" s="47"/>
      <c r="DK298" s="47"/>
      <c r="DM298" s="47"/>
      <c r="DN298" s="47"/>
      <c r="DO298" s="47"/>
      <c r="DP298" s="47"/>
      <c r="DQ298" s="47"/>
      <c r="DR298" s="47"/>
      <c r="DS298" s="47"/>
      <c r="DT298" s="47"/>
      <c r="DU298" s="47"/>
      <c r="DV298" s="49"/>
      <c r="DW298" s="47"/>
      <c r="DX298" s="47"/>
      <c r="DY298" s="47"/>
      <c r="DZ298" s="47"/>
      <c r="EA298" s="47"/>
      <c r="EB298" s="47"/>
      <c r="EC298" s="47"/>
      <c r="ED298" s="47"/>
      <c r="EE298" s="47"/>
      <c r="EF298" s="47"/>
      <c r="EG298" s="47"/>
      <c r="EH298" s="47"/>
      <c r="EI298" s="47"/>
      <c r="EJ298" s="47"/>
      <c r="EK298" s="47"/>
      <c r="EL298" s="47"/>
      <c r="EM298" s="47"/>
      <c r="EN298" s="47"/>
      <c r="EO298" s="47"/>
      <c r="EP298" s="47"/>
      <c r="EQ298" s="47"/>
      <c r="ER298" s="47"/>
      <c r="ES298" s="47"/>
      <c r="ET298" s="47"/>
      <c r="EU298" s="47"/>
      <c r="EV298" s="47"/>
      <c r="EW298" s="47"/>
      <c r="EX298" s="47"/>
      <c r="EY298" s="47"/>
      <c r="EZ298" s="47"/>
      <c r="FA298" s="47"/>
      <c r="FB298" s="47"/>
      <c r="FC298" s="47"/>
      <c r="FD298" s="47"/>
      <c r="FE298" s="47"/>
      <c r="FF298" s="47"/>
      <c r="FG298" s="47"/>
      <c r="FH298" s="47"/>
      <c r="FI298" s="47"/>
      <c r="FJ298" s="49"/>
      <c r="FK298" s="47"/>
      <c r="FL298" s="47"/>
      <c r="FM298" s="47"/>
      <c r="FN298" s="47"/>
      <c r="FO298" s="47"/>
      <c r="FP298" s="47"/>
      <c r="FQ298" s="47"/>
      <c r="FR298" s="47"/>
      <c r="FS298" s="47"/>
      <c r="FT298" s="47"/>
      <c r="FU298" s="47"/>
      <c r="FV298" s="47"/>
      <c r="FW298" s="47"/>
      <c r="FX298" s="47"/>
      <c r="FY298" s="47"/>
      <c r="FZ298" s="47"/>
      <c r="GA298" s="47"/>
      <c r="GB298" s="47"/>
      <c r="GC298" s="47"/>
      <c r="GD298" s="47"/>
      <c r="GE298" s="47"/>
      <c r="GF298" s="47"/>
      <c r="GG298" s="47"/>
      <c r="GH298" s="47"/>
      <c r="GI298" s="47"/>
      <c r="GJ298" s="47"/>
      <c r="GK298" s="47"/>
      <c r="GL298" s="47"/>
      <c r="GM298" s="47"/>
      <c r="GN298" s="47"/>
      <c r="GO298" s="47"/>
      <c r="GP298" s="47"/>
      <c r="GQ298" s="47"/>
      <c r="GR298" s="47"/>
      <c r="GS298" s="47"/>
      <c r="GT298" s="47"/>
      <c r="GU298" s="47"/>
      <c r="GV298" s="47"/>
      <c r="GW298" s="47"/>
      <c r="GX298" s="47"/>
      <c r="GY298" s="47"/>
      <c r="GZ298" s="47"/>
      <c r="HA298" s="47"/>
      <c r="HB298" s="47"/>
      <c r="HC298" s="47"/>
      <c r="HD298" s="47"/>
      <c r="HE298" s="47"/>
      <c r="HF298" s="47"/>
      <c r="HI298" s="47"/>
      <c r="HJ298" s="47"/>
      <c r="HK298" s="47"/>
      <c r="HL298" s="47"/>
      <c r="HM298" s="47"/>
      <c r="HN298" s="47"/>
      <c r="HO298" s="47"/>
      <c r="HP298" s="47"/>
      <c r="HS298" s="47"/>
      <c r="HT298" s="47"/>
      <c r="HU298" s="47"/>
      <c r="HV298" s="47"/>
      <c r="HW298" s="47"/>
      <c r="HX298" s="47"/>
      <c r="HY298" s="47"/>
      <c r="HZ298" s="47"/>
      <c r="IC298" s="47"/>
      <c r="ID298" s="47"/>
      <c r="IE298" s="47"/>
      <c r="IF298" s="47"/>
      <c r="IG298" s="47"/>
      <c r="IH298" s="47"/>
      <c r="II298" s="47"/>
      <c r="IJ298" s="47"/>
      <c r="IM298" s="47"/>
      <c r="IN298" s="47"/>
      <c r="IO298" s="47"/>
      <c r="IP298" s="47"/>
      <c r="IQ298" s="47"/>
      <c r="IR298" s="47"/>
      <c r="IS298" s="47"/>
      <c r="IT298" s="47"/>
      <c r="IW298" s="47"/>
      <c r="IX298" s="47"/>
      <c r="IY298" s="47"/>
      <c r="IZ298" s="47"/>
      <c r="JA298" s="47"/>
      <c r="JB298" s="47"/>
      <c r="JC298" s="47"/>
      <c r="JD298" s="47"/>
      <c r="JG298" s="47"/>
      <c r="JH298" s="47"/>
      <c r="JI298" s="47"/>
      <c r="JJ298" s="47"/>
      <c r="JK298" s="47"/>
      <c r="JL298" s="47"/>
      <c r="JM298" s="47"/>
      <c r="JN298" s="47"/>
      <c r="JQ298" s="47"/>
      <c r="JR298" s="47"/>
      <c r="JS298" s="47"/>
      <c r="JT298" s="47"/>
      <c r="JU298" s="47"/>
      <c r="JV298" s="47"/>
      <c r="JW298" s="47"/>
      <c r="JX298" s="47"/>
      <c r="KA298" s="47"/>
      <c r="KB298" s="47"/>
      <c r="KC298" s="47"/>
      <c r="KD298" s="47"/>
      <c r="KE298" s="47"/>
      <c r="KF298" s="47"/>
      <c r="KG298" s="47"/>
      <c r="KH298" s="47"/>
      <c r="KK298" s="47"/>
      <c r="KL298" s="47"/>
      <c r="KM298" s="47"/>
      <c r="KN298" s="47"/>
      <c r="KO298" s="47"/>
      <c r="KP298" s="47"/>
      <c r="KQ298" s="47"/>
      <c r="KR298" s="47"/>
      <c r="KU298" s="47"/>
      <c r="KV298" s="47"/>
      <c r="KW298" s="47"/>
      <c r="KX298" s="47"/>
      <c r="KY298" s="47"/>
      <c r="KZ298" s="47"/>
      <c r="LA298" s="47"/>
      <c r="LB298" s="47"/>
    </row>
    <row r="299" spans="29:314" x14ac:dyDescent="0.25">
      <c r="AC299" s="47"/>
      <c r="AD299" s="47"/>
      <c r="AE299" s="47"/>
      <c r="AF299" s="47"/>
      <c r="AG299" s="49"/>
      <c r="AH299" s="47"/>
      <c r="AI299" s="47"/>
      <c r="AJ299" s="47"/>
      <c r="AK299" s="47"/>
      <c r="AL299" s="47"/>
      <c r="AM299" s="47"/>
      <c r="AN299" s="47"/>
      <c r="AO299" s="47"/>
      <c r="AP299" s="47"/>
      <c r="AQ299" s="47"/>
      <c r="AR299" s="47"/>
      <c r="AS299" s="47"/>
      <c r="AT299" s="47"/>
      <c r="AU299" s="47"/>
      <c r="AV299" s="47"/>
      <c r="AW299" s="47"/>
      <c r="AX299" s="47"/>
      <c r="AY299" s="47"/>
      <c r="AZ299" s="47"/>
      <c r="BA299" s="47"/>
      <c r="BB299" s="47"/>
      <c r="BC299" s="47"/>
      <c r="BD299" s="47"/>
      <c r="BE299" s="47"/>
      <c r="BF299" s="47"/>
      <c r="BG299" s="47"/>
      <c r="BH299" s="47"/>
      <c r="BI299" s="47"/>
      <c r="BJ299" s="47"/>
      <c r="BK299" s="47"/>
      <c r="BL299" s="47"/>
      <c r="BM299" s="47"/>
      <c r="BN299" s="49"/>
      <c r="BO299" s="47"/>
      <c r="BP299" s="47"/>
      <c r="BQ299" s="47"/>
      <c r="BR299" s="47"/>
      <c r="BS299" s="47"/>
      <c r="BT299" s="47"/>
      <c r="BU299" s="47"/>
      <c r="BV299" s="47"/>
      <c r="BW299" s="47"/>
      <c r="BX299" s="47"/>
      <c r="BY299" s="47"/>
      <c r="BZ299" s="47"/>
      <c r="CA299" s="47"/>
      <c r="CB299" s="47"/>
      <c r="CC299" s="47"/>
      <c r="CD299" s="47"/>
      <c r="CE299" s="47"/>
      <c r="CF299" s="47"/>
      <c r="CG299" s="49"/>
      <c r="CH299" s="47"/>
      <c r="CI299" s="47"/>
      <c r="CJ299" s="47"/>
      <c r="CK299" s="47"/>
      <c r="CL299" s="47"/>
      <c r="CM299" s="47"/>
      <c r="CN299" s="47"/>
      <c r="CO299" s="47"/>
      <c r="CP299" s="47"/>
      <c r="CQ299" s="47"/>
      <c r="CS299" s="47"/>
      <c r="CT299" s="47"/>
      <c r="CU299" s="47"/>
      <c r="CV299" s="47"/>
      <c r="CW299" s="47"/>
      <c r="CX299" s="47"/>
      <c r="CY299" s="47"/>
      <c r="CZ299" s="47"/>
      <c r="DA299" s="47"/>
      <c r="DB299" s="47"/>
      <c r="DC299" s="47"/>
      <c r="DD299" s="47"/>
      <c r="DE299" s="47"/>
      <c r="DF299" s="47"/>
      <c r="DG299" s="47"/>
      <c r="DH299" s="47"/>
      <c r="DI299" s="47"/>
      <c r="DJ299" s="47"/>
      <c r="DK299" s="47"/>
      <c r="DM299" s="47"/>
      <c r="DN299" s="47"/>
      <c r="DO299" s="47"/>
      <c r="DP299" s="47"/>
      <c r="DQ299" s="47"/>
      <c r="DR299" s="47"/>
      <c r="DS299" s="47"/>
      <c r="DT299" s="47"/>
      <c r="DU299" s="47"/>
      <c r="DV299" s="49"/>
      <c r="DW299" s="47"/>
      <c r="DX299" s="47"/>
      <c r="DY299" s="47"/>
      <c r="DZ299" s="47"/>
      <c r="EA299" s="47"/>
      <c r="EB299" s="47"/>
      <c r="EC299" s="47"/>
      <c r="ED299" s="47"/>
      <c r="EE299" s="47"/>
      <c r="EF299" s="47"/>
      <c r="EG299" s="47"/>
      <c r="EH299" s="47"/>
      <c r="EI299" s="47"/>
      <c r="EJ299" s="47"/>
      <c r="EK299" s="47"/>
      <c r="EL299" s="47"/>
      <c r="EM299" s="47"/>
      <c r="EN299" s="47"/>
      <c r="EO299" s="47"/>
      <c r="EP299" s="47"/>
      <c r="EQ299" s="47"/>
      <c r="ER299" s="47"/>
      <c r="ES299" s="47"/>
      <c r="ET299" s="47"/>
      <c r="EU299" s="47"/>
      <c r="EV299" s="47"/>
      <c r="EW299" s="47"/>
      <c r="EX299" s="47"/>
      <c r="EY299" s="47"/>
      <c r="EZ299" s="47"/>
      <c r="FA299" s="47"/>
      <c r="FB299" s="47"/>
      <c r="FC299" s="47"/>
      <c r="FD299" s="47"/>
      <c r="FE299" s="47"/>
      <c r="FF299" s="47"/>
      <c r="FG299" s="47"/>
      <c r="FH299" s="47"/>
      <c r="FI299" s="47"/>
      <c r="FJ299" s="49"/>
      <c r="FK299" s="47"/>
      <c r="FL299" s="47"/>
      <c r="FM299" s="47"/>
      <c r="FN299" s="47"/>
      <c r="FO299" s="47"/>
      <c r="FP299" s="47"/>
      <c r="FQ299" s="47"/>
      <c r="FR299" s="47"/>
      <c r="FS299" s="47"/>
      <c r="FT299" s="47"/>
      <c r="FU299" s="47"/>
      <c r="FV299" s="47"/>
      <c r="FW299" s="47"/>
      <c r="FX299" s="47"/>
      <c r="FY299" s="47"/>
      <c r="FZ299" s="47"/>
      <c r="GA299" s="47"/>
      <c r="GB299" s="47"/>
      <c r="GC299" s="47"/>
      <c r="GD299" s="47"/>
      <c r="GE299" s="47"/>
      <c r="GF299" s="47"/>
      <c r="GG299" s="47"/>
      <c r="GH299" s="47"/>
      <c r="GI299" s="47"/>
      <c r="GJ299" s="47"/>
      <c r="GK299" s="47"/>
      <c r="GL299" s="47"/>
      <c r="GM299" s="47"/>
      <c r="GN299" s="47"/>
      <c r="GO299" s="47"/>
      <c r="GP299" s="47"/>
      <c r="GQ299" s="47"/>
      <c r="GR299" s="47"/>
      <c r="GS299" s="47"/>
      <c r="GT299" s="47"/>
      <c r="GU299" s="47"/>
      <c r="GV299" s="47"/>
      <c r="GW299" s="47"/>
      <c r="GX299" s="47"/>
      <c r="GY299" s="47"/>
      <c r="GZ299" s="47"/>
      <c r="HA299" s="47"/>
      <c r="HB299" s="47"/>
      <c r="HC299" s="47"/>
      <c r="HD299" s="47"/>
      <c r="HE299" s="47"/>
      <c r="HF299" s="47"/>
      <c r="HI299" s="47"/>
      <c r="HJ299" s="47"/>
      <c r="HK299" s="47"/>
      <c r="HL299" s="47"/>
      <c r="HM299" s="47"/>
      <c r="HN299" s="47"/>
      <c r="HO299" s="47"/>
      <c r="HP299" s="47"/>
      <c r="HS299" s="47"/>
      <c r="HT299" s="47"/>
      <c r="HU299" s="47"/>
      <c r="HV299" s="47"/>
      <c r="HW299" s="47"/>
      <c r="HX299" s="47"/>
      <c r="HY299" s="47"/>
      <c r="HZ299" s="47"/>
      <c r="IC299" s="47"/>
      <c r="ID299" s="47"/>
      <c r="IE299" s="47"/>
      <c r="IF299" s="47"/>
      <c r="IG299" s="47"/>
      <c r="IH299" s="47"/>
      <c r="II299" s="47"/>
      <c r="IJ299" s="47"/>
      <c r="IM299" s="47"/>
      <c r="IN299" s="47"/>
      <c r="IO299" s="47"/>
      <c r="IP299" s="47"/>
      <c r="IQ299" s="47"/>
      <c r="IR299" s="47"/>
      <c r="IS299" s="47"/>
      <c r="IT299" s="47"/>
      <c r="IW299" s="47"/>
      <c r="IX299" s="47"/>
      <c r="IY299" s="47"/>
      <c r="IZ299" s="47"/>
      <c r="JA299" s="47"/>
      <c r="JB299" s="47"/>
      <c r="JC299" s="47"/>
      <c r="JD299" s="47"/>
      <c r="JG299" s="47"/>
      <c r="JH299" s="47"/>
      <c r="JI299" s="47"/>
      <c r="JJ299" s="47"/>
      <c r="JK299" s="47"/>
      <c r="JL299" s="47"/>
      <c r="JM299" s="47"/>
      <c r="JN299" s="47"/>
      <c r="JQ299" s="47"/>
      <c r="JR299" s="47"/>
      <c r="JS299" s="47"/>
      <c r="JT299" s="47"/>
      <c r="JU299" s="47"/>
      <c r="JV299" s="47"/>
      <c r="JW299" s="47"/>
      <c r="JX299" s="47"/>
      <c r="KA299" s="47"/>
      <c r="KB299" s="47"/>
      <c r="KC299" s="47"/>
      <c r="KD299" s="47"/>
      <c r="KE299" s="47"/>
      <c r="KF299" s="47"/>
      <c r="KG299" s="47"/>
      <c r="KH299" s="47"/>
      <c r="KK299" s="47"/>
      <c r="KL299" s="47"/>
      <c r="KM299" s="47"/>
      <c r="KN299" s="47"/>
      <c r="KO299" s="47"/>
      <c r="KP299" s="47"/>
      <c r="KQ299" s="47"/>
      <c r="KR299" s="47"/>
      <c r="KU299" s="47"/>
      <c r="KV299" s="47"/>
      <c r="KW299" s="47"/>
      <c r="KX299" s="47"/>
      <c r="KY299" s="47"/>
      <c r="KZ299" s="47"/>
      <c r="LA299" s="47"/>
      <c r="LB299" s="47"/>
    </row>
    <row r="300" spans="29:314" x14ac:dyDescent="0.25">
      <c r="AC300" s="47"/>
      <c r="AD300" s="47"/>
      <c r="AE300" s="47"/>
      <c r="AF300" s="47"/>
      <c r="AG300" s="49"/>
      <c r="AH300" s="47"/>
      <c r="AI300" s="47"/>
      <c r="AJ300" s="47"/>
      <c r="AK300" s="47"/>
      <c r="AL300" s="47"/>
      <c r="AM300" s="47"/>
      <c r="AN300" s="47"/>
      <c r="AO300" s="47"/>
      <c r="AP300" s="47"/>
      <c r="AQ300" s="47"/>
      <c r="AR300" s="47"/>
      <c r="AS300" s="47"/>
      <c r="AT300" s="47"/>
      <c r="AU300" s="47"/>
      <c r="AV300" s="47"/>
      <c r="AW300" s="47"/>
      <c r="AX300" s="47"/>
      <c r="AY300" s="47"/>
      <c r="AZ300" s="47"/>
      <c r="BA300" s="47"/>
      <c r="BB300" s="47"/>
      <c r="BC300" s="47"/>
      <c r="BD300" s="47"/>
      <c r="BE300" s="47"/>
      <c r="BF300" s="47"/>
      <c r="BG300" s="47"/>
      <c r="BH300" s="47"/>
      <c r="BI300" s="47"/>
      <c r="BJ300" s="47"/>
      <c r="BK300" s="47"/>
      <c r="BL300" s="47"/>
      <c r="BM300" s="47"/>
      <c r="BN300" s="49"/>
      <c r="BO300" s="47"/>
      <c r="BP300" s="47"/>
      <c r="BQ300" s="47"/>
      <c r="BR300" s="47"/>
      <c r="BS300" s="47"/>
      <c r="BT300" s="47"/>
      <c r="BU300" s="47"/>
      <c r="BV300" s="47"/>
      <c r="BW300" s="47"/>
      <c r="BX300" s="47"/>
      <c r="BY300" s="47"/>
      <c r="BZ300" s="47"/>
      <c r="CA300" s="47"/>
      <c r="CB300" s="47"/>
      <c r="CC300" s="47"/>
      <c r="CD300" s="47"/>
      <c r="CE300" s="47"/>
      <c r="CF300" s="47"/>
      <c r="CG300" s="49"/>
      <c r="CH300" s="47"/>
      <c r="CI300" s="47"/>
      <c r="CJ300" s="47"/>
      <c r="CK300" s="47"/>
      <c r="CL300" s="47"/>
      <c r="CM300" s="47"/>
      <c r="CN300" s="47"/>
      <c r="CO300" s="47"/>
      <c r="CP300" s="47"/>
      <c r="CQ300" s="47"/>
      <c r="CS300" s="47"/>
      <c r="CT300" s="47"/>
      <c r="CU300" s="47"/>
      <c r="CV300" s="47"/>
      <c r="CW300" s="47"/>
      <c r="CX300" s="47"/>
      <c r="CY300" s="47"/>
      <c r="CZ300" s="47"/>
      <c r="DA300" s="47"/>
      <c r="DB300" s="47"/>
      <c r="DC300" s="47"/>
      <c r="DD300" s="47"/>
      <c r="DE300" s="47"/>
      <c r="DF300" s="47"/>
      <c r="DG300" s="47"/>
      <c r="DH300" s="47"/>
      <c r="DI300" s="47"/>
      <c r="DJ300" s="47"/>
      <c r="DK300" s="47"/>
      <c r="DM300" s="47"/>
      <c r="DN300" s="47"/>
      <c r="DO300" s="47"/>
      <c r="DP300" s="47"/>
      <c r="DQ300" s="47"/>
      <c r="DR300" s="47"/>
      <c r="DS300" s="47"/>
      <c r="DT300" s="47"/>
      <c r="DU300" s="47"/>
      <c r="DV300" s="49"/>
      <c r="DW300" s="47"/>
      <c r="DX300" s="47"/>
      <c r="DY300" s="47"/>
      <c r="DZ300" s="47"/>
      <c r="EA300" s="47"/>
      <c r="EB300" s="47"/>
      <c r="EC300" s="47"/>
      <c r="ED300" s="47"/>
      <c r="EE300" s="47"/>
      <c r="EF300" s="47"/>
      <c r="EG300" s="47"/>
      <c r="EH300" s="47"/>
      <c r="EI300" s="47"/>
      <c r="EJ300" s="47"/>
      <c r="EK300" s="47"/>
      <c r="EL300" s="47"/>
      <c r="EM300" s="47"/>
      <c r="EN300" s="47"/>
      <c r="EO300" s="47"/>
      <c r="EP300" s="47"/>
      <c r="EQ300" s="47"/>
      <c r="ER300" s="47"/>
      <c r="ES300" s="47"/>
      <c r="ET300" s="47"/>
      <c r="EU300" s="47"/>
      <c r="EV300" s="47"/>
      <c r="EW300" s="47"/>
      <c r="EX300" s="47"/>
      <c r="EY300" s="47"/>
      <c r="EZ300" s="47"/>
      <c r="FA300" s="47"/>
      <c r="FB300" s="47"/>
      <c r="FC300" s="47"/>
      <c r="FD300" s="47"/>
      <c r="FE300" s="47"/>
      <c r="FF300" s="47"/>
      <c r="FG300" s="47"/>
      <c r="FH300" s="47"/>
      <c r="FI300" s="47"/>
      <c r="FJ300" s="49"/>
      <c r="FK300" s="47"/>
      <c r="FL300" s="47"/>
      <c r="FM300" s="47"/>
      <c r="FN300" s="47"/>
      <c r="FO300" s="47"/>
      <c r="FP300" s="47"/>
      <c r="FQ300" s="47"/>
      <c r="FR300" s="47"/>
      <c r="FS300" s="47"/>
      <c r="FT300" s="47"/>
      <c r="FU300" s="47"/>
      <c r="FV300" s="47"/>
      <c r="FW300" s="47"/>
      <c r="FX300" s="47"/>
      <c r="FY300" s="47"/>
      <c r="FZ300" s="47"/>
      <c r="GA300" s="47"/>
      <c r="GB300" s="47"/>
      <c r="GC300" s="47"/>
      <c r="GD300" s="47"/>
      <c r="GE300" s="47"/>
      <c r="GF300" s="47"/>
      <c r="GG300" s="47"/>
      <c r="GH300" s="47"/>
      <c r="GI300" s="47"/>
      <c r="GJ300" s="47"/>
      <c r="GK300" s="47"/>
      <c r="GL300" s="47"/>
      <c r="GM300" s="47"/>
      <c r="GN300" s="47"/>
      <c r="GO300" s="47"/>
      <c r="GP300" s="47"/>
      <c r="GQ300" s="47"/>
      <c r="GR300" s="47"/>
      <c r="GS300" s="47"/>
      <c r="GT300" s="47"/>
      <c r="GU300" s="47"/>
      <c r="GV300" s="47"/>
      <c r="GW300" s="47"/>
      <c r="GX300" s="47"/>
      <c r="GY300" s="47"/>
      <c r="GZ300" s="47"/>
      <c r="HA300" s="47"/>
      <c r="HB300" s="47"/>
      <c r="HC300" s="47"/>
      <c r="HD300" s="47"/>
      <c r="HE300" s="47"/>
      <c r="HF300" s="47"/>
      <c r="HI300" s="47"/>
      <c r="HJ300" s="47"/>
      <c r="HK300" s="47"/>
      <c r="HL300" s="47"/>
      <c r="HM300" s="47"/>
      <c r="HN300" s="47"/>
      <c r="HO300" s="47"/>
      <c r="HP300" s="47"/>
      <c r="HS300" s="47"/>
      <c r="HT300" s="47"/>
      <c r="HU300" s="47"/>
      <c r="HV300" s="47"/>
      <c r="HW300" s="47"/>
      <c r="HX300" s="47"/>
      <c r="HY300" s="47"/>
      <c r="HZ300" s="47"/>
      <c r="IC300" s="47"/>
      <c r="ID300" s="47"/>
      <c r="IE300" s="47"/>
      <c r="IF300" s="47"/>
      <c r="IG300" s="47"/>
      <c r="IH300" s="47"/>
      <c r="II300" s="47"/>
      <c r="IJ300" s="47"/>
      <c r="IM300" s="47"/>
      <c r="IN300" s="47"/>
      <c r="IO300" s="47"/>
      <c r="IP300" s="47"/>
      <c r="IQ300" s="47"/>
      <c r="IR300" s="47"/>
      <c r="IS300" s="47"/>
      <c r="IT300" s="47"/>
      <c r="IW300" s="47"/>
      <c r="IX300" s="47"/>
      <c r="IY300" s="47"/>
      <c r="IZ300" s="47"/>
      <c r="JA300" s="47"/>
      <c r="JB300" s="47"/>
      <c r="JC300" s="47"/>
      <c r="JD300" s="47"/>
      <c r="JG300" s="47"/>
      <c r="JH300" s="47"/>
      <c r="JI300" s="47"/>
      <c r="JJ300" s="47"/>
      <c r="JK300" s="47"/>
      <c r="JL300" s="47"/>
      <c r="JM300" s="47"/>
      <c r="JN300" s="47"/>
      <c r="JQ300" s="47"/>
      <c r="JR300" s="47"/>
      <c r="JS300" s="47"/>
      <c r="JT300" s="47"/>
      <c r="JU300" s="47"/>
      <c r="JV300" s="47"/>
      <c r="JW300" s="47"/>
      <c r="JX300" s="47"/>
      <c r="KA300" s="47"/>
      <c r="KB300" s="47"/>
      <c r="KC300" s="47"/>
      <c r="KD300" s="47"/>
      <c r="KE300" s="47"/>
      <c r="KF300" s="47"/>
      <c r="KG300" s="47"/>
      <c r="KH300" s="47"/>
      <c r="KK300" s="47"/>
      <c r="KL300" s="47"/>
      <c r="KM300" s="47"/>
      <c r="KN300" s="47"/>
      <c r="KO300" s="47"/>
      <c r="KP300" s="47"/>
      <c r="KQ300" s="47"/>
      <c r="KR300" s="47"/>
      <c r="KU300" s="47"/>
      <c r="KV300" s="47"/>
      <c r="KW300" s="47"/>
      <c r="KX300" s="47"/>
      <c r="KY300" s="47"/>
      <c r="KZ300" s="47"/>
      <c r="LA300" s="47"/>
      <c r="LB300" s="47"/>
    </row>
    <row r="301" spans="29:314" x14ac:dyDescent="0.25">
      <c r="AC301" s="47"/>
      <c r="AD301" s="47"/>
      <c r="AE301" s="47"/>
      <c r="AF301" s="47"/>
      <c r="AG301" s="49"/>
      <c r="AH301" s="47"/>
      <c r="AI301" s="47"/>
      <c r="AJ301" s="47"/>
      <c r="AK301" s="47"/>
      <c r="AL301" s="47"/>
      <c r="AM301" s="47"/>
      <c r="AN301" s="47"/>
      <c r="AO301" s="47"/>
      <c r="AP301" s="47"/>
      <c r="AQ301" s="47"/>
      <c r="AR301" s="47"/>
      <c r="AS301" s="47"/>
      <c r="AT301" s="47"/>
      <c r="AU301" s="47"/>
      <c r="AV301" s="47"/>
      <c r="AW301" s="47"/>
      <c r="AX301" s="47"/>
      <c r="AY301" s="47"/>
      <c r="AZ301" s="47"/>
      <c r="BA301" s="47"/>
      <c r="BB301" s="47"/>
      <c r="BC301" s="47"/>
      <c r="BD301" s="47"/>
      <c r="BE301" s="47"/>
      <c r="BF301" s="47"/>
      <c r="BG301" s="47"/>
      <c r="BH301" s="47"/>
      <c r="BI301" s="47"/>
      <c r="BJ301" s="47"/>
      <c r="BK301" s="47"/>
      <c r="BL301" s="47"/>
      <c r="BM301" s="47"/>
      <c r="BN301" s="49"/>
      <c r="BO301" s="47"/>
      <c r="BP301" s="47"/>
      <c r="BQ301" s="47"/>
      <c r="BR301" s="47"/>
      <c r="BS301" s="47"/>
      <c r="BT301" s="47"/>
      <c r="BU301" s="47"/>
      <c r="BV301" s="47"/>
      <c r="BW301" s="47"/>
      <c r="BX301" s="47"/>
      <c r="BY301" s="47"/>
      <c r="BZ301" s="47"/>
      <c r="CA301" s="47"/>
      <c r="CB301" s="47"/>
      <c r="CC301" s="47"/>
      <c r="CD301" s="47"/>
      <c r="CE301" s="47"/>
      <c r="CF301" s="47"/>
      <c r="CG301" s="49"/>
      <c r="CH301" s="47"/>
      <c r="CI301" s="47"/>
      <c r="CJ301" s="47"/>
      <c r="CK301" s="47"/>
      <c r="CL301" s="47"/>
      <c r="CM301" s="47"/>
      <c r="CN301" s="47"/>
      <c r="CO301" s="47"/>
      <c r="CP301" s="47"/>
      <c r="CQ301" s="47"/>
      <c r="CS301" s="47"/>
      <c r="CT301" s="47"/>
      <c r="CU301" s="47"/>
      <c r="CV301" s="47"/>
      <c r="CW301" s="47"/>
      <c r="CX301" s="47"/>
      <c r="CY301" s="47"/>
      <c r="CZ301" s="47"/>
      <c r="DA301" s="47"/>
      <c r="DB301" s="47"/>
      <c r="DC301" s="47"/>
      <c r="DD301" s="47"/>
      <c r="DE301" s="47"/>
      <c r="DF301" s="47"/>
      <c r="DG301" s="47"/>
      <c r="DH301" s="47"/>
      <c r="DI301" s="47"/>
      <c r="DJ301" s="47"/>
      <c r="DK301" s="47"/>
      <c r="DM301" s="47"/>
      <c r="DN301" s="47"/>
      <c r="DO301" s="47"/>
      <c r="DP301" s="47"/>
      <c r="DQ301" s="47"/>
      <c r="DR301" s="47"/>
      <c r="DS301" s="47"/>
      <c r="DT301" s="47"/>
      <c r="DU301" s="47"/>
      <c r="DV301" s="49"/>
      <c r="DW301" s="47"/>
      <c r="DX301" s="47"/>
      <c r="DY301" s="47"/>
      <c r="DZ301" s="47"/>
      <c r="EA301" s="47"/>
      <c r="EB301" s="47"/>
      <c r="EC301" s="47"/>
      <c r="ED301" s="47"/>
      <c r="EE301" s="47"/>
      <c r="EF301" s="47"/>
      <c r="EG301" s="47"/>
      <c r="EH301" s="47"/>
      <c r="EI301" s="47"/>
      <c r="EJ301" s="47"/>
      <c r="EK301" s="47"/>
      <c r="EL301" s="47"/>
      <c r="EM301" s="47"/>
      <c r="EN301" s="47"/>
      <c r="EO301" s="47"/>
      <c r="EP301" s="47"/>
      <c r="EQ301" s="47"/>
      <c r="ER301" s="47"/>
      <c r="ES301" s="47"/>
      <c r="ET301" s="47"/>
      <c r="EU301" s="47"/>
      <c r="EV301" s="47"/>
      <c r="EW301" s="47"/>
      <c r="EX301" s="47"/>
      <c r="EY301" s="47"/>
      <c r="EZ301" s="47"/>
      <c r="FA301" s="47"/>
      <c r="FB301" s="47"/>
      <c r="FC301" s="47"/>
      <c r="FD301" s="47"/>
      <c r="FE301" s="47"/>
      <c r="FF301" s="47"/>
      <c r="FG301" s="47"/>
      <c r="FH301" s="47"/>
      <c r="FI301" s="47"/>
      <c r="FJ301" s="49"/>
      <c r="FK301" s="47"/>
      <c r="FL301" s="47"/>
      <c r="FM301" s="47"/>
      <c r="FN301" s="47"/>
      <c r="FO301" s="47"/>
      <c r="FP301" s="47"/>
      <c r="FQ301" s="47"/>
      <c r="FR301" s="47"/>
      <c r="FS301" s="47"/>
      <c r="FT301" s="47"/>
      <c r="FU301" s="47"/>
      <c r="FV301" s="47"/>
      <c r="FW301" s="47"/>
      <c r="FX301" s="47"/>
      <c r="FY301" s="47"/>
      <c r="FZ301" s="47"/>
      <c r="GA301" s="47"/>
      <c r="GB301" s="47"/>
      <c r="GC301" s="47"/>
      <c r="GD301" s="47"/>
      <c r="GE301" s="47"/>
      <c r="GF301" s="47"/>
      <c r="GG301" s="47"/>
      <c r="GH301" s="47"/>
      <c r="GI301" s="47"/>
      <c r="GJ301" s="47"/>
      <c r="GK301" s="47"/>
      <c r="GL301" s="47"/>
      <c r="GM301" s="47"/>
      <c r="GN301" s="47"/>
      <c r="GO301" s="47"/>
      <c r="GP301" s="47"/>
      <c r="GQ301" s="47"/>
      <c r="GR301" s="47"/>
      <c r="GS301" s="47"/>
      <c r="GT301" s="47"/>
      <c r="GU301" s="47"/>
      <c r="GV301" s="47"/>
      <c r="GW301" s="47"/>
      <c r="GX301" s="47"/>
      <c r="GY301" s="47"/>
      <c r="GZ301" s="47"/>
      <c r="HA301" s="47"/>
      <c r="HB301" s="47"/>
      <c r="HC301" s="47"/>
      <c r="HD301" s="47"/>
      <c r="HE301" s="47"/>
      <c r="HF301" s="47"/>
      <c r="HI301" s="47"/>
      <c r="HJ301" s="47"/>
      <c r="HK301" s="47"/>
      <c r="HL301" s="47"/>
      <c r="HM301" s="47"/>
      <c r="HN301" s="47"/>
      <c r="HO301" s="47"/>
      <c r="HP301" s="47"/>
      <c r="HS301" s="47"/>
      <c r="HT301" s="47"/>
      <c r="HU301" s="47"/>
      <c r="HV301" s="47"/>
      <c r="HW301" s="47"/>
      <c r="HX301" s="47"/>
      <c r="HY301" s="47"/>
      <c r="HZ301" s="47"/>
      <c r="IC301" s="47"/>
      <c r="ID301" s="47"/>
      <c r="IE301" s="47"/>
      <c r="IF301" s="47"/>
      <c r="IG301" s="47"/>
      <c r="IH301" s="47"/>
      <c r="II301" s="47"/>
      <c r="IJ301" s="47"/>
      <c r="IM301" s="47"/>
      <c r="IN301" s="47"/>
      <c r="IO301" s="47"/>
      <c r="IP301" s="47"/>
      <c r="IQ301" s="47"/>
      <c r="IR301" s="47"/>
      <c r="IS301" s="47"/>
      <c r="IT301" s="47"/>
      <c r="IW301" s="47"/>
      <c r="IX301" s="47"/>
      <c r="IY301" s="47"/>
      <c r="IZ301" s="47"/>
      <c r="JA301" s="47"/>
      <c r="JB301" s="47"/>
      <c r="JC301" s="47"/>
      <c r="JD301" s="47"/>
      <c r="JG301" s="47"/>
      <c r="JH301" s="47"/>
      <c r="JI301" s="47"/>
      <c r="JJ301" s="47"/>
      <c r="JK301" s="47"/>
      <c r="JL301" s="47"/>
      <c r="JM301" s="47"/>
      <c r="JN301" s="47"/>
      <c r="JQ301" s="47"/>
      <c r="JR301" s="47"/>
      <c r="JS301" s="47"/>
      <c r="JT301" s="47"/>
      <c r="JU301" s="47"/>
      <c r="JV301" s="47"/>
      <c r="JW301" s="47"/>
      <c r="JX301" s="47"/>
      <c r="KA301" s="47"/>
      <c r="KB301" s="47"/>
      <c r="KC301" s="47"/>
      <c r="KD301" s="47"/>
      <c r="KE301" s="47"/>
      <c r="KF301" s="47"/>
      <c r="KG301" s="47"/>
      <c r="KH301" s="47"/>
      <c r="KK301" s="47"/>
      <c r="KL301" s="47"/>
      <c r="KM301" s="47"/>
      <c r="KN301" s="47"/>
      <c r="KO301" s="47"/>
      <c r="KP301" s="47"/>
      <c r="KQ301" s="47"/>
      <c r="KR301" s="47"/>
      <c r="KU301" s="47"/>
      <c r="KV301" s="47"/>
      <c r="KW301" s="47"/>
      <c r="KX301" s="47"/>
      <c r="KY301" s="47"/>
      <c r="KZ301" s="47"/>
      <c r="LA301" s="47"/>
      <c r="LB301" s="47"/>
    </row>
    <row r="302" spans="29:314" x14ac:dyDescent="0.25">
      <c r="AC302" s="47"/>
      <c r="AD302" s="47"/>
      <c r="AE302" s="47"/>
      <c r="AF302" s="47"/>
      <c r="AG302" s="49"/>
      <c r="AH302" s="47"/>
      <c r="AI302" s="47"/>
      <c r="AJ302" s="47"/>
      <c r="AK302" s="47"/>
      <c r="AL302" s="47"/>
      <c r="AM302" s="47"/>
      <c r="AN302" s="47"/>
      <c r="AO302" s="47"/>
      <c r="AP302" s="47"/>
      <c r="AQ302" s="47"/>
      <c r="AR302" s="47"/>
      <c r="AS302" s="47"/>
      <c r="AT302" s="47"/>
      <c r="AU302" s="47"/>
      <c r="AV302" s="47"/>
      <c r="AW302" s="47"/>
      <c r="AX302" s="47"/>
      <c r="AY302" s="47"/>
      <c r="AZ302" s="47"/>
      <c r="BA302" s="47"/>
      <c r="BB302" s="47"/>
      <c r="BC302" s="47"/>
      <c r="BD302" s="47"/>
      <c r="BE302" s="47"/>
      <c r="BF302" s="47"/>
      <c r="BG302" s="47"/>
      <c r="BH302" s="47"/>
      <c r="BI302" s="47"/>
      <c r="BJ302" s="47"/>
      <c r="BK302" s="47"/>
      <c r="BL302" s="47"/>
      <c r="BM302" s="47"/>
      <c r="BN302" s="49"/>
      <c r="BO302" s="47"/>
      <c r="BP302" s="47"/>
      <c r="BQ302" s="47"/>
      <c r="BR302" s="47"/>
      <c r="BS302" s="47"/>
      <c r="BT302" s="47"/>
      <c r="BU302" s="47"/>
      <c r="BV302" s="47"/>
      <c r="BW302" s="47"/>
      <c r="BX302" s="47"/>
      <c r="BY302" s="47"/>
      <c r="BZ302" s="47"/>
      <c r="CA302" s="47"/>
      <c r="CB302" s="47"/>
      <c r="CC302" s="47"/>
      <c r="CD302" s="47"/>
      <c r="CE302" s="47"/>
      <c r="CF302" s="47"/>
      <c r="CG302" s="49"/>
      <c r="CH302" s="47"/>
      <c r="CI302" s="47"/>
      <c r="CJ302" s="47"/>
      <c r="CK302" s="47"/>
      <c r="CL302" s="47"/>
      <c r="CM302" s="47"/>
      <c r="CN302" s="47"/>
      <c r="CO302" s="47"/>
      <c r="CP302" s="47"/>
      <c r="CQ302" s="47"/>
      <c r="CS302" s="47"/>
      <c r="CT302" s="47"/>
      <c r="CU302" s="47"/>
      <c r="CV302" s="47"/>
      <c r="CW302" s="47"/>
      <c r="CX302" s="47"/>
      <c r="CY302" s="47"/>
      <c r="CZ302" s="47"/>
      <c r="DA302" s="47"/>
      <c r="DB302" s="47"/>
      <c r="DC302" s="47"/>
      <c r="DD302" s="47"/>
      <c r="DE302" s="47"/>
      <c r="DF302" s="47"/>
      <c r="DG302" s="47"/>
      <c r="DH302" s="47"/>
      <c r="DI302" s="47"/>
      <c r="DJ302" s="47"/>
      <c r="DK302" s="47"/>
      <c r="DM302" s="47"/>
      <c r="DN302" s="47"/>
      <c r="DO302" s="47"/>
      <c r="DP302" s="47"/>
      <c r="DQ302" s="47"/>
      <c r="DR302" s="47"/>
      <c r="DS302" s="47"/>
      <c r="DT302" s="47"/>
      <c r="DU302" s="47"/>
      <c r="DV302" s="49"/>
      <c r="DW302" s="47"/>
      <c r="DX302" s="47"/>
      <c r="DY302" s="47"/>
      <c r="DZ302" s="47"/>
      <c r="EA302" s="47"/>
      <c r="EB302" s="47"/>
      <c r="EC302" s="47"/>
      <c r="ED302" s="47"/>
      <c r="EE302" s="47"/>
      <c r="EF302" s="47"/>
      <c r="EG302" s="47"/>
      <c r="EH302" s="47"/>
      <c r="EI302" s="47"/>
      <c r="EJ302" s="47"/>
      <c r="EK302" s="47"/>
      <c r="EL302" s="47"/>
      <c r="EM302" s="47"/>
      <c r="EN302" s="47"/>
      <c r="EO302" s="47"/>
      <c r="EP302" s="47"/>
      <c r="EQ302" s="47"/>
      <c r="ER302" s="47"/>
      <c r="ES302" s="47"/>
      <c r="ET302" s="47"/>
      <c r="EU302" s="47"/>
      <c r="EV302" s="47"/>
      <c r="EW302" s="47"/>
      <c r="EX302" s="47"/>
      <c r="EY302" s="47"/>
      <c r="EZ302" s="47"/>
      <c r="FA302" s="47"/>
      <c r="FB302" s="47"/>
      <c r="FC302" s="47"/>
      <c r="FD302" s="47"/>
      <c r="FE302" s="47"/>
      <c r="FF302" s="47"/>
      <c r="FG302" s="47"/>
      <c r="FH302" s="47"/>
      <c r="FI302" s="47"/>
      <c r="FJ302" s="49"/>
      <c r="FK302" s="47"/>
      <c r="FL302" s="47"/>
      <c r="FM302" s="47"/>
      <c r="FN302" s="47"/>
      <c r="FO302" s="47"/>
      <c r="FP302" s="47"/>
      <c r="FQ302" s="47"/>
      <c r="FR302" s="47"/>
      <c r="FS302" s="47"/>
      <c r="FT302" s="47"/>
      <c r="FU302" s="47"/>
      <c r="FV302" s="47"/>
      <c r="FW302" s="47"/>
      <c r="FX302" s="47"/>
      <c r="FY302" s="47"/>
      <c r="FZ302" s="47"/>
      <c r="GA302" s="47"/>
      <c r="GB302" s="47"/>
      <c r="GC302" s="47"/>
      <c r="GD302" s="47"/>
      <c r="GE302" s="47"/>
      <c r="GF302" s="47"/>
      <c r="GG302" s="47"/>
      <c r="GH302" s="47"/>
      <c r="GI302" s="47"/>
      <c r="GJ302" s="47"/>
      <c r="GK302" s="47"/>
      <c r="GL302" s="47"/>
      <c r="GM302" s="47"/>
      <c r="GN302" s="47"/>
      <c r="GO302" s="47"/>
      <c r="GP302" s="47"/>
      <c r="GQ302" s="47"/>
      <c r="GR302" s="47"/>
      <c r="GS302" s="47"/>
      <c r="GT302" s="47"/>
      <c r="GU302" s="47"/>
      <c r="GV302" s="47"/>
      <c r="GW302" s="47"/>
      <c r="GX302" s="47"/>
      <c r="GY302" s="47"/>
      <c r="GZ302" s="47"/>
      <c r="HA302" s="47"/>
      <c r="HB302" s="47"/>
      <c r="HC302" s="47"/>
      <c r="HD302" s="47"/>
      <c r="HE302" s="47"/>
      <c r="HF302" s="47"/>
      <c r="HI302" s="47"/>
      <c r="HJ302" s="47"/>
      <c r="HK302" s="47"/>
      <c r="HL302" s="47"/>
      <c r="HM302" s="47"/>
      <c r="HN302" s="47"/>
      <c r="HO302" s="47"/>
      <c r="HP302" s="47"/>
      <c r="HS302" s="47"/>
      <c r="HT302" s="47"/>
      <c r="HU302" s="47"/>
      <c r="HV302" s="47"/>
      <c r="HW302" s="47"/>
      <c r="HX302" s="47"/>
      <c r="HY302" s="47"/>
      <c r="HZ302" s="47"/>
      <c r="IC302" s="47"/>
      <c r="ID302" s="47"/>
      <c r="IE302" s="47"/>
      <c r="IF302" s="47"/>
      <c r="IG302" s="47"/>
      <c r="IH302" s="47"/>
      <c r="II302" s="47"/>
      <c r="IJ302" s="47"/>
      <c r="IM302" s="47"/>
      <c r="IN302" s="47"/>
      <c r="IO302" s="47"/>
      <c r="IP302" s="47"/>
      <c r="IQ302" s="47"/>
      <c r="IR302" s="47"/>
      <c r="IS302" s="47"/>
      <c r="IT302" s="47"/>
      <c r="IW302" s="47"/>
      <c r="IX302" s="47"/>
      <c r="IY302" s="47"/>
      <c r="IZ302" s="47"/>
      <c r="JA302" s="47"/>
      <c r="JB302" s="47"/>
      <c r="JC302" s="47"/>
      <c r="JD302" s="47"/>
      <c r="JG302" s="47"/>
      <c r="JH302" s="47"/>
      <c r="JI302" s="47"/>
      <c r="JJ302" s="47"/>
      <c r="JK302" s="47"/>
      <c r="JL302" s="47"/>
      <c r="JM302" s="47"/>
      <c r="JN302" s="47"/>
      <c r="JQ302" s="47"/>
      <c r="JR302" s="47"/>
      <c r="JS302" s="47"/>
      <c r="JT302" s="47"/>
      <c r="JU302" s="47"/>
      <c r="JV302" s="47"/>
      <c r="JW302" s="47"/>
      <c r="JX302" s="47"/>
      <c r="KA302" s="47"/>
      <c r="KB302" s="47"/>
      <c r="KC302" s="47"/>
      <c r="KD302" s="47"/>
      <c r="KE302" s="47"/>
      <c r="KF302" s="47"/>
      <c r="KG302" s="47"/>
      <c r="KH302" s="47"/>
      <c r="KK302" s="47"/>
      <c r="KL302" s="47"/>
      <c r="KM302" s="47"/>
      <c r="KN302" s="47"/>
      <c r="KO302" s="47"/>
      <c r="KP302" s="47"/>
      <c r="KQ302" s="47"/>
      <c r="KR302" s="47"/>
      <c r="KU302" s="47"/>
      <c r="KV302" s="47"/>
      <c r="KW302" s="47"/>
      <c r="KX302" s="47"/>
      <c r="KY302" s="47"/>
      <c r="KZ302" s="47"/>
      <c r="LA302" s="47"/>
      <c r="LB302" s="47"/>
    </row>
    <row r="303" spans="29:314" x14ac:dyDescent="0.25">
      <c r="AC303" s="47"/>
      <c r="AD303" s="47"/>
      <c r="AE303" s="47"/>
      <c r="AF303" s="47"/>
      <c r="AG303" s="49"/>
      <c r="AH303" s="47"/>
      <c r="AI303" s="47"/>
      <c r="AJ303" s="47"/>
      <c r="AK303" s="47"/>
      <c r="AL303" s="47"/>
      <c r="AM303" s="47"/>
      <c r="AN303" s="47"/>
      <c r="AO303" s="47"/>
      <c r="AP303" s="47"/>
      <c r="AQ303" s="47"/>
      <c r="AR303" s="47"/>
      <c r="AS303" s="47"/>
      <c r="AT303" s="47"/>
      <c r="AU303" s="47"/>
      <c r="AV303" s="47"/>
      <c r="AW303" s="47"/>
      <c r="AX303" s="47"/>
      <c r="AY303" s="47"/>
      <c r="AZ303" s="47"/>
      <c r="BA303" s="47"/>
      <c r="BB303" s="47"/>
      <c r="BC303" s="47"/>
      <c r="BD303" s="47"/>
      <c r="BE303" s="47"/>
      <c r="BF303" s="47"/>
      <c r="BG303" s="47"/>
      <c r="BH303" s="47"/>
      <c r="BI303" s="47"/>
      <c r="BJ303" s="47"/>
      <c r="BK303" s="47"/>
      <c r="BL303" s="47"/>
      <c r="BM303" s="47"/>
      <c r="BN303" s="49"/>
      <c r="BO303" s="47"/>
      <c r="BP303" s="47"/>
      <c r="BQ303" s="47"/>
      <c r="BR303" s="47"/>
      <c r="BS303" s="47"/>
      <c r="BT303" s="47"/>
      <c r="BU303" s="47"/>
      <c r="BV303" s="47"/>
      <c r="BW303" s="47"/>
      <c r="BX303" s="47"/>
      <c r="BY303" s="47"/>
      <c r="BZ303" s="47"/>
      <c r="CA303" s="47"/>
      <c r="CB303" s="47"/>
      <c r="CC303" s="47"/>
      <c r="CD303" s="47"/>
      <c r="CE303" s="47"/>
      <c r="CF303" s="47"/>
      <c r="CG303" s="49"/>
      <c r="CH303" s="47"/>
      <c r="CI303" s="47"/>
      <c r="CJ303" s="47"/>
      <c r="CK303" s="47"/>
      <c r="CL303" s="47"/>
      <c r="CM303" s="47"/>
      <c r="CN303" s="47"/>
      <c r="CO303" s="47"/>
      <c r="CP303" s="47"/>
      <c r="CQ303" s="47"/>
      <c r="CS303" s="47"/>
      <c r="CT303" s="47"/>
      <c r="CU303" s="47"/>
      <c r="CV303" s="47"/>
      <c r="CW303" s="47"/>
      <c r="CX303" s="47"/>
      <c r="CY303" s="47"/>
      <c r="CZ303" s="47"/>
      <c r="DA303" s="47"/>
      <c r="DB303" s="47"/>
      <c r="DC303" s="47"/>
      <c r="DD303" s="47"/>
      <c r="DE303" s="47"/>
      <c r="DF303" s="47"/>
      <c r="DG303" s="47"/>
      <c r="DH303" s="47"/>
      <c r="DI303" s="47"/>
      <c r="DJ303" s="47"/>
      <c r="DK303" s="47"/>
      <c r="DM303" s="47"/>
      <c r="DN303" s="47"/>
      <c r="DO303" s="47"/>
      <c r="DP303" s="47"/>
      <c r="DQ303" s="47"/>
      <c r="DR303" s="47"/>
      <c r="DS303" s="47"/>
      <c r="DT303" s="47"/>
      <c r="DU303" s="47"/>
      <c r="DV303" s="49"/>
      <c r="DW303" s="47"/>
      <c r="DX303" s="47"/>
      <c r="DY303" s="47"/>
      <c r="DZ303" s="47"/>
      <c r="EA303" s="47"/>
      <c r="EB303" s="47"/>
      <c r="EC303" s="47"/>
      <c r="ED303" s="47"/>
      <c r="EE303" s="47"/>
      <c r="EF303" s="47"/>
      <c r="EG303" s="47"/>
      <c r="EH303" s="47"/>
      <c r="EI303" s="47"/>
      <c r="EJ303" s="47"/>
      <c r="EK303" s="47"/>
      <c r="EL303" s="47"/>
      <c r="EM303" s="47"/>
      <c r="EN303" s="47"/>
      <c r="EO303" s="47"/>
      <c r="EP303" s="47"/>
      <c r="EQ303" s="47"/>
      <c r="ER303" s="47"/>
      <c r="ES303" s="47"/>
      <c r="ET303" s="47"/>
      <c r="EU303" s="47"/>
      <c r="EV303" s="47"/>
      <c r="EW303" s="47"/>
      <c r="EX303" s="47"/>
      <c r="EY303" s="47"/>
      <c r="EZ303" s="47"/>
      <c r="FA303" s="47"/>
      <c r="FB303" s="47"/>
      <c r="FC303" s="47"/>
      <c r="FD303" s="47"/>
      <c r="FE303" s="47"/>
      <c r="FF303" s="47"/>
      <c r="FG303" s="47"/>
      <c r="FH303" s="47"/>
      <c r="FI303" s="47"/>
      <c r="FJ303" s="49"/>
      <c r="FK303" s="47"/>
      <c r="FL303" s="47"/>
      <c r="FM303" s="47"/>
      <c r="FN303" s="47"/>
      <c r="FO303" s="47"/>
      <c r="FP303" s="47"/>
      <c r="FQ303" s="47"/>
      <c r="FR303" s="47"/>
      <c r="FS303" s="47"/>
      <c r="FT303" s="47"/>
      <c r="FU303" s="47"/>
      <c r="FV303" s="47"/>
      <c r="FW303" s="47"/>
      <c r="FX303" s="47"/>
      <c r="FY303" s="47"/>
      <c r="FZ303" s="47"/>
      <c r="GA303" s="47"/>
      <c r="GB303" s="47"/>
      <c r="GC303" s="47"/>
      <c r="GD303" s="47"/>
      <c r="GE303" s="47"/>
      <c r="GF303" s="47"/>
      <c r="GG303" s="47"/>
      <c r="GH303" s="47"/>
      <c r="GI303" s="47"/>
      <c r="GJ303" s="47"/>
      <c r="GK303" s="47"/>
      <c r="GL303" s="47"/>
      <c r="GM303" s="47"/>
      <c r="GN303" s="47"/>
      <c r="GO303" s="47"/>
      <c r="GP303" s="47"/>
      <c r="GQ303" s="47"/>
      <c r="GR303" s="47"/>
      <c r="GS303" s="47"/>
      <c r="GT303" s="47"/>
      <c r="GU303" s="47"/>
      <c r="GV303" s="47"/>
      <c r="GW303" s="47"/>
      <c r="GX303" s="47"/>
      <c r="GY303" s="47"/>
      <c r="GZ303" s="47"/>
      <c r="HA303" s="47"/>
      <c r="HB303" s="47"/>
      <c r="HC303" s="47"/>
      <c r="HD303" s="47"/>
      <c r="HE303" s="47"/>
      <c r="HF303" s="47"/>
      <c r="HI303" s="47"/>
      <c r="HJ303" s="47"/>
      <c r="HK303" s="47"/>
      <c r="HL303" s="47"/>
      <c r="HM303" s="47"/>
      <c r="HN303" s="47"/>
      <c r="HO303" s="47"/>
      <c r="HP303" s="47"/>
      <c r="HS303" s="47"/>
      <c r="HT303" s="47"/>
      <c r="HU303" s="47"/>
      <c r="HV303" s="47"/>
      <c r="HW303" s="47"/>
      <c r="HX303" s="47"/>
      <c r="HY303" s="47"/>
      <c r="HZ303" s="47"/>
      <c r="IC303" s="47"/>
      <c r="ID303" s="47"/>
      <c r="IE303" s="47"/>
      <c r="IF303" s="47"/>
      <c r="IG303" s="47"/>
      <c r="IH303" s="47"/>
      <c r="II303" s="47"/>
      <c r="IJ303" s="47"/>
      <c r="IM303" s="47"/>
      <c r="IN303" s="47"/>
      <c r="IO303" s="47"/>
      <c r="IP303" s="47"/>
      <c r="IQ303" s="47"/>
      <c r="IR303" s="47"/>
      <c r="IS303" s="47"/>
      <c r="IT303" s="47"/>
      <c r="IW303" s="47"/>
      <c r="IX303" s="47"/>
      <c r="IY303" s="47"/>
      <c r="IZ303" s="47"/>
      <c r="JA303" s="47"/>
      <c r="JB303" s="47"/>
      <c r="JC303" s="47"/>
      <c r="JD303" s="47"/>
      <c r="JG303" s="47"/>
      <c r="JH303" s="47"/>
      <c r="JI303" s="47"/>
      <c r="JJ303" s="47"/>
      <c r="JK303" s="47"/>
      <c r="JL303" s="47"/>
      <c r="JM303" s="47"/>
      <c r="JN303" s="47"/>
      <c r="JQ303" s="47"/>
      <c r="JR303" s="47"/>
      <c r="JS303" s="47"/>
      <c r="JT303" s="47"/>
      <c r="JU303" s="47"/>
      <c r="JV303" s="47"/>
      <c r="JW303" s="47"/>
      <c r="JX303" s="47"/>
      <c r="KA303" s="47"/>
      <c r="KB303" s="47"/>
      <c r="KC303" s="47"/>
      <c r="KD303" s="47"/>
      <c r="KE303" s="47"/>
      <c r="KF303" s="47"/>
      <c r="KG303" s="47"/>
      <c r="KH303" s="47"/>
      <c r="KK303" s="47"/>
      <c r="KL303" s="47"/>
      <c r="KM303" s="47"/>
      <c r="KN303" s="47"/>
      <c r="KO303" s="47"/>
      <c r="KP303" s="47"/>
      <c r="KQ303" s="47"/>
      <c r="KR303" s="47"/>
      <c r="KU303" s="47"/>
      <c r="KV303" s="47"/>
      <c r="KW303" s="47"/>
      <c r="KX303" s="47"/>
      <c r="KY303" s="47"/>
      <c r="KZ303" s="47"/>
      <c r="LA303" s="47"/>
      <c r="LB303" s="47"/>
    </row>
    <row r="304" spans="29:314" x14ac:dyDescent="0.25">
      <c r="AC304" s="47"/>
      <c r="AD304" s="47"/>
      <c r="AE304" s="47"/>
      <c r="AF304" s="47"/>
      <c r="AG304" s="49"/>
      <c r="AH304" s="47"/>
      <c r="AI304" s="47"/>
      <c r="AJ304" s="47"/>
      <c r="AK304" s="47"/>
      <c r="AL304" s="47"/>
      <c r="AM304" s="47"/>
      <c r="AN304" s="47"/>
      <c r="AO304" s="47"/>
      <c r="AP304" s="47"/>
      <c r="AQ304" s="47"/>
      <c r="AR304" s="47"/>
      <c r="AS304" s="47"/>
      <c r="AT304" s="47"/>
      <c r="AU304" s="47"/>
      <c r="AV304" s="47"/>
      <c r="AW304" s="47"/>
      <c r="AX304" s="47"/>
      <c r="AY304" s="47"/>
      <c r="AZ304" s="47"/>
      <c r="BA304" s="47"/>
      <c r="BB304" s="47"/>
      <c r="BC304" s="47"/>
      <c r="BD304" s="47"/>
      <c r="BE304" s="47"/>
      <c r="BF304" s="47"/>
      <c r="BG304" s="47"/>
      <c r="BH304" s="47"/>
      <c r="BI304" s="47"/>
      <c r="BJ304" s="47"/>
      <c r="BK304" s="47"/>
      <c r="BL304" s="47"/>
      <c r="BM304" s="47"/>
      <c r="BN304" s="49"/>
      <c r="BO304" s="47"/>
      <c r="BP304" s="47"/>
      <c r="BQ304" s="47"/>
      <c r="BR304" s="47"/>
      <c r="BS304" s="47"/>
      <c r="BT304" s="47"/>
      <c r="BU304" s="47"/>
      <c r="BV304" s="47"/>
      <c r="BW304" s="47"/>
      <c r="BX304" s="47"/>
      <c r="BY304" s="47"/>
      <c r="BZ304" s="47"/>
      <c r="CA304" s="47"/>
      <c r="CB304" s="47"/>
      <c r="CC304" s="47"/>
      <c r="CD304" s="47"/>
      <c r="CE304" s="47"/>
      <c r="CF304" s="47"/>
      <c r="CG304" s="49"/>
      <c r="CH304" s="47"/>
      <c r="CI304" s="47"/>
      <c r="CJ304" s="47"/>
      <c r="CK304" s="47"/>
      <c r="CL304" s="47"/>
      <c r="CM304" s="47"/>
      <c r="CN304" s="47"/>
      <c r="CO304" s="47"/>
      <c r="CP304" s="47"/>
      <c r="CQ304" s="47"/>
      <c r="CS304" s="47"/>
      <c r="CT304" s="47"/>
      <c r="CU304" s="47"/>
      <c r="CV304" s="47"/>
      <c r="CW304" s="47"/>
      <c r="CX304" s="47"/>
      <c r="CY304" s="47"/>
      <c r="CZ304" s="47"/>
      <c r="DA304" s="47"/>
      <c r="DB304" s="47"/>
      <c r="DC304" s="47"/>
      <c r="DD304" s="47"/>
      <c r="DE304" s="47"/>
      <c r="DF304" s="47"/>
      <c r="DG304" s="47"/>
      <c r="DH304" s="47"/>
      <c r="DI304" s="47"/>
      <c r="DJ304" s="47"/>
      <c r="DK304" s="47"/>
      <c r="DM304" s="47"/>
      <c r="DN304" s="47"/>
      <c r="DO304" s="47"/>
      <c r="DP304" s="47"/>
      <c r="DQ304" s="47"/>
      <c r="DR304" s="47"/>
      <c r="DS304" s="47"/>
      <c r="DT304" s="47"/>
      <c r="DU304" s="47"/>
      <c r="DV304" s="49"/>
      <c r="DW304" s="47"/>
      <c r="DX304" s="47"/>
      <c r="DY304" s="47"/>
      <c r="DZ304" s="47"/>
      <c r="EA304" s="47"/>
      <c r="EB304" s="47"/>
      <c r="EC304" s="47"/>
      <c r="ED304" s="47"/>
      <c r="EE304" s="47"/>
      <c r="EF304" s="47"/>
      <c r="EG304" s="47"/>
      <c r="EH304" s="47"/>
      <c r="EI304" s="47"/>
      <c r="EJ304" s="47"/>
      <c r="EK304" s="47"/>
      <c r="EL304" s="47"/>
      <c r="EM304" s="47"/>
      <c r="EN304" s="47"/>
      <c r="EO304" s="47"/>
      <c r="EP304" s="47"/>
      <c r="EQ304" s="47"/>
      <c r="ER304" s="47"/>
      <c r="ES304" s="47"/>
      <c r="ET304" s="47"/>
      <c r="EU304" s="47"/>
      <c r="EV304" s="47"/>
      <c r="EW304" s="47"/>
      <c r="EX304" s="47"/>
      <c r="EY304" s="47"/>
      <c r="EZ304" s="47"/>
      <c r="FA304" s="47"/>
      <c r="FB304" s="47"/>
      <c r="FC304" s="47"/>
      <c r="FD304" s="47"/>
      <c r="FE304" s="47"/>
      <c r="FF304" s="47"/>
      <c r="FG304" s="47"/>
      <c r="FH304" s="47"/>
      <c r="FI304" s="47"/>
      <c r="FJ304" s="49"/>
      <c r="FK304" s="47"/>
      <c r="FL304" s="47"/>
      <c r="FM304" s="47"/>
      <c r="FN304" s="47"/>
      <c r="FO304" s="47"/>
      <c r="FP304" s="47"/>
      <c r="FQ304" s="47"/>
      <c r="FR304" s="47"/>
      <c r="FS304" s="47"/>
      <c r="FT304" s="47"/>
      <c r="FU304" s="47"/>
      <c r="FV304" s="47"/>
      <c r="FW304" s="47"/>
      <c r="FX304" s="47"/>
      <c r="FY304" s="47"/>
      <c r="FZ304" s="47"/>
      <c r="GA304" s="47"/>
      <c r="GB304" s="47"/>
      <c r="GC304" s="47"/>
      <c r="GD304" s="47"/>
      <c r="GE304" s="47"/>
      <c r="GF304" s="47"/>
      <c r="GG304" s="47"/>
      <c r="GH304" s="47"/>
      <c r="GI304" s="47"/>
      <c r="GJ304" s="47"/>
      <c r="GK304" s="47"/>
      <c r="GL304" s="47"/>
      <c r="GM304" s="47"/>
      <c r="GN304" s="47"/>
      <c r="GO304" s="47"/>
      <c r="GP304" s="47"/>
      <c r="GQ304" s="47"/>
      <c r="GR304" s="47"/>
      <c r="GS304" s="47"/>
      <c r="GT304" s="47"/>
      <c r="GU304" s="47"/>
      <c r="GV304" s="47"/>
      <c r="GW304" s="47"/>
      <c r="GX304" s="47"/>
      <c r="GY304" s="47"/>
      <c r="GZ304" s="47"/>
      <c r="HA304" s="47"/>
      <c r="HB304" s="47"/>
      <c r="HC304" s="47"/>
      <c r="HD304" s="47"/>
      <c r="HE304" s="47"/>
      <c r="HF304" s="47"/>
      <c r="HI304" s="47"/>
      <c r="HJ304" s="47"/>
      <c r="HK304" s="47"/>
      <c r="HL304" s="47"/>
      <c r="HM304" s="47"/>
      <c r="HN304" s="47"/>
      <c r="HO304" s="47"/>
      <c r="HP304" s="47"/>
      <c r="HS304" s="47"/>
      <c r="HT304" s="47"/>
      <c r="HU304" s="47"/>
      <c r="HV304" s="47"/>
      <c r="HW304" s="47"/>
      <c r="HX304" s="47"/>
      <c r="HY304" s="47"/>
      <c r="HZ304" s="47"/>
      <c r="IC304" s="47"/>
      <c r="ID304" s="47"/>
      <c r="IE304" s="47"/>
      <c r="IF304" s="47"/>
      <c r="IG304" s="47"/>
      <c r="IH304" s="47"/>
      <c r="II304" s="47"/>
      <c r="IJ304" s="47"/>
      <c r="IM304" s="47"/>
      <c r="IN304" s="47"/>
      <c r="IO304" s="47"/>
      <c r="IP304" s="47"/>
      <c r="IQ304" s="47"/>
      <c r="IR304" s="47"/>
      <c r="IS304" s="47"/>
      <c r="IT304" s="47"/>
      <c r="IW304" s="47"/>
      <c r="IX304" s="47"/>
      <c r="IY304" s="47"/>
      <c r="IZ304" s="47"/>
      <c r="JA304" s="47"/>
      <c r="JB304" s="47"/>
      <c r="JC304" s="47"/>
      <c r="JD304" s="47"/>
      <c r="JG304" s="47"/>
      <c r="JH304" s="47"/>
      <c r="JI304" s="47"/>
      <c r="JJ304" s="47"/>
      <c r="JK304" s="47"/>
      <c r="JL304" s="47"/>
      <c r="JM304" s="47"/>
      <c r="JN304" s="47"/>
      <c r="JQ304" s="47"/>
      <c r="JR304" s="47"/>
      <c r="JS304" s="47"/>
      <c r="JT304" s="47"/>
      <c r="JU304" s="47"/>
      <c r="JV304" s="47"/>
      <c r="JW304" s="47"/>
      <c r="JX304" s="47"/>
      <c r="KA304" s="47"/>
      <c r="KB304" s="47"/>
      <c r="KC304" s="47"/>
      <c r="KD304" s="47"/>
      <c r="KE304" s="47"/>
      <c r="KF304" s="47"/>
      <c r="KG304" s="47"/>
      <c r="KH304" s="47"/>
      <c r="KK304" s="47"/>
      <c r="KL304" s="47"/>
      <c r="KM304" s="47"/>
      <c r="KN304" s="47"/>
      <c r="KO304" s="47"/>
      <c r="KP304" s="47"/>
      <c r="KQ304" s="47"/>
      <c r="KR304" s="47"/>
      <c r="KU304" s="47"/>
      <c r="KV304" s="47"/>
      <c r="KW304" s="47"/>
      <c r="KX304" s="47"/>
      <c r="KY304" s="47"/>
      <c r="KZ304" s="47"/>
      <c r="LA304" s="47"/>
      <c r="LB304" s="47"/>
    </row>
    <row r="305" spans="29:314" x14ac:dyDescent="0.25">
      <c r="AC305" s="47"/>
      <c r="AD305" s="47"/>
      <c r="AE305" s="47"/>
      <c r="AF305" s="47"/>
      <c r="AG305" s="49"/>
      <c r="AH305" s="47"/>
      <c r="AI305" s="47"/>
      <c r="AJ305" s="47"/>
      <c r="AK305" s="47"/>
      <c r="AL305" s="47"/>
      <c r="AM305" s="47"/>
      <c r="AN305" s="47"/>
      <c r="AO305" s="47"/>
      <c r="AP305" s="47"/>
      <c r="AQ305" s="47"/>
      <c r="AR305" s="47"/>
      <c r="AS305" s="47"/>
      <c r="AT305" s="47"/>
      <c r="AU305" s="47"/>
      <c r="AV305" s="47"/>
      <c r="AW305" s="47"/>
      <c r="AX305" s="47"/>
      <c r="AY305" s="47"/>
      <c r="AZ305" s="47"/>
      <c r="BA305" s="47"/>
      <c r="BB305" s="47"/>
      <c r="BC305" s="47"/>
      <c r="BD305" s="47"/>
      <c r="BE305" s="47"/>
      <c r="BF305" s="47"/>
      <c r="BG305" s="47"/>
      <c r="BH305" s="47"/>
      <c r="BI305" s="47"/>
      <c r="BJ305" s="47"/>
      <c r="BK305" s="47"/>
      <c r="BL305" s="47"/>
      <c r="BM305" s="47"/>
      <c r="BN305" s="49"/>
      <c r="BO305" s="47"/>
      <c r="BP305" s="47"/>
      <c r="BQ305" s="47"/>
      <c r="BR305" s="47"/>
      <c r="BS305" s="47"/>
      <c r="BT305" s="47"/>
      <c r="BU305" s="47"/>
      <c r="BV305" s="47"/>
      <c r="BW305" s="47"/>
      <c r="BX305" s="47"/>
      <c r="BY305" s="47"/>
      <c r="BZ305" s="47"/>
      <c r="CA305" s="47"/>
      <c r="CB305" s="47"/>
      <c r="CC305" s="47"/>
      <c r="CD305" s="47"/>
      <c r="CE305" s="47"/>
      <c r="CF305" s="47"/>
      <c r="CG305" s="49"/>
      <c r="CH305" s="47"/>
      <c r="CI305" s="47"/>
      <c r="CJ305" s="47"/>
      <c r="CK305" s="47"/>
      <c r="CL305" s="47"/>
      <c r="CM305" s="47"/>
      <c r="CN305" s="47"/>
      <c r="CO305" s="47"/>
      <c r="CP305" s="47"/>
      <c r="CQ305" s="47"/>
      <c r="CS305" s="47"/>
      <c r="CT305" s="47"/>
      <c r="CU305" s="47"/>
      <c r="CV305" s="47"/>
      <c r="CW305" s="47"/>
      <c r="CX305" s="47"/>
      <c r="CY305" s="47"/>
      <c r="CZ305" s="47"/>
      <c r="DA305" s="47"/>
      <c r="DB305" s="47"/>
      <c r="DC305" s="47"/>
      <c r="DD305" s="47"/>
      <c r="DE305" s="47"/>
      <c r="DF305" s="47"/>
      <c r="DG305" s="47"/>
      <c r="DH305" s="47"/>
      <c r="DI305" s="47"/>
      <c r="DJ305" s="47"/>
      <c r="DK305" s="47"/>
      <c r="DM305" s="47"/>
      <c r="DN305" s="47"/>
      <c r="DO305" s="47"/>
      <c r="DP305" s="47"/>
      <c r="DQ305" s="47"/>
      <c r="DR305" s="47"/>
      <c r="DS305" s="47"/>
      <c r="DT305" s="47"/>
      <c r="DU305" s="47"/>
      <c r="DV305" s="49"/>
      <c r="DW305" s="47"/>
      <c r="DX305" s="47"/>
      <c r="DY305" s="47"/>
      <c r="DZ305" s="47"/>
      <c r="EA305" s="47"/>
      <c r="EB305" s="47"/>
      <c r="EC305" s="47"/>
      <c r="ED305" s="47"/>
      <c r="EE305" s="47"/>
      <c r="EF305" s="47"/>
      <c r="EG305" s="47"/>
      <c r="EH305" s="47"/>
      <c r="EI305" s="47"/>
      <c r="EJ305" s="47"/>
      <c r="EK305" s="47"/>
      <c r="EL305" s="47"/>
      <c r="EM305" s="47"/>
      <c r="EN305" s="47"/>
      <c r="EO305" s="47"/>
      <c r="EP305" s="47"/>
      <c r="EQ305" s="47"/>
      <c r="ER305" s="47"/>
      <c r="ES305" s="47"/>
      <c r="ET305" s="47"/>
      <c r="EU305" s="47"/>
      <c r="EV305" s="47"/>
      <c r="EW305" s="47"/>
      <c r="EX305" s="47"/>
      <c r="EY305" s="47"/>
      <c r="EZ305" s="47"/>
      <c r="FA305" s="47"/>
      <c r="FB305" s="47"/>
      <c r="FC305" s="47"/>
      <c r="FD305" s="47"/>
      <c r="FE305" s="47"/>
      <c r="FF305" s="47"/>
      <c r="FG305" s="47"/>
      <c r="FH305" s="47"/>
      <c r="FI305" s="47"/>
      <c r="FJ305" s="49"/>
      <c r="FK305" s="47"/>
      <c r="FL305" s="47"/>
      <c r="FM305" s="47"/>
      <c r="FN305" s="47"/>
      <c r="FO305" s="47"/>
      <c r="FP305" s="47"/>
      <c r="FQ305" s="47"/>
      <c r="FR305" s="47"/>
      <c r="FS305" s="47"/>
      <c r="FT305" s="47"/>
      <c r="FU305" s="47"/>
      <c r="FV305" s="47"/>
      <c r="FW305" s="47"/>
      <c r="FX305" s="47"/>
      <c r="FY305" s="47"/>
      <c r="FZ305" s="47"/>
      <c r="GA305" s="47"/>
      <c r="GB305" s="47"/>
      <c r="GC305" s="47"/>
      <c r="GD305" s="47"/>
      <c r="GE305" s="47"/>
      <c r="GF305" s="47"/>
      <c r="GG305" s="47"/>
      <c r="GH305" s="47"/>
      <c r="GI305" s="47"/>
      <c r="GJ305" s="47"/>
      <c r="GK305" s="47"/>
      <c r="GL305" s="47"/>
      <c r="GM305" s="47"/>
      <c r="GN305" s="47"/>
      <c r="GO305" s="47"/>
      <c r="GP305" s="47"/>
      <c r="GQ305" s="47"/>
      <c r="GR305" s="47"/>
      <c r="GS305" s="47"/>
      <c r="GT305" s="47"/>
      <c r="GU305" s="47"/>
      <c r="GV305" s="47"/>
      <c r="GW305" s="47"/>
      <c r="GX305" s="47"/>
      <c r="GY305" s="47"/>
      <c r="GZ305" s="47"/>
      <c r="HA305" s="47"/>
      <c r="HB305" s="47"/>
      <c r="HC305" s="47"/>
      <c r="HD305" s="47"/>
      <c r="HE305" s="47"/>
      <c r="HF305" s="47"/>
      <c r="HI305" s="47"/>
      <c r="HJ305" s="47"/>
      <c r="HK305" s="47"/>
      <c r="HL305" s="47"/>
      <c r="HM305" s="47"/>
      <c r="HN305" s="47"/>
      <c r="HO305" s="47"/>
      <c r="HP305" s="47"/>
      <c r="HS305" s="47"/>
      <c r="HT305" s="47"/>
      <c r="HU305" s="47"/>
      <c r="HV305" s="47"/>
      <c r="HW305" s="47"/>
      <c r="HX305" s="47"/>
      <c r="HY305" s="47"/>
      <c r="HZ305" s="47"/>
      <c r="IC305" s="47"/>
      <c r="ID305" s="47"/>
      <c r="IE305" s="47"/>
      <c r="IF305" s="47"/>
      <c r="IG305" s="47"/>
      <c r="IH305" s="47"/>
      <c r="II305" s="47"/>
      <c r="IJ305" s="47"/>
      <c r="IM305" s="47"/>
      <c r="IN305" s="47"/>
      <c r="IO305" s="47"/>
      <c r="IP305" s="47"/>
      <c r="IQ305" s="47"/>
      <c r="IR305" s="47"/>
      <c r="IS305" s="47"/>
      <c r="IT305" s="47"/>
      <c r="IW305" s="47"/>
      <c r="IX305" s="47"/>
      <c r="IY305" s="47"/>
      <c r="IZ305" s="47"/>
      <c r="JA305" s="47"/>
      <c r="JB305" s="47"/>
      <c r="JC305" s="47"/>
      <c r="JD305" s="47"/>
      <c r="JG305" s="47"/>
      <c r="JH305" s="47"/>
      <c r="JI305" s="47"/>
      <c r="JJ305" s="47"/>
      <c r="JK305" s="47"/>
      <c r="JL305" s="47"/>
      <c r="JM305" s="47"/>
      <c r="JN305" s="47"/>
      <c r="JQ305" s="47"/>
      <c r="JR305" s="47"/>
      <c r="JS305" s="47"/>
      <c r="JT305" s="47"/>
      <c r="JU305" s="47"/>
      <c r="JV305" s="47"/>
      <c r="JW305" s="47"/>
      <c r="JX305" s="47"/>
      <c r="KA305" s="47"/>
      <c r="KB305" s="47"/>
      <c r="KC305" s="47"/>
      <c r="KD305" s="47"/>
      <c r="KE305" s="47"/>
      <c r="KF305" s="47"/>
      <c r="KG305" s="47"/>
      <c r="KH305" s="47"/>
      <c r="KK305" s="47"/>
      <c r="KL305" s="47"/>
      <c r="KM305" s="47"/>
      <c r="KN305" s="47"/>
      <c r="KO305" s="47"/>
      <c r="KP305" s="47"/>
      <c r="KQ305" s="47"/>
      <c r="KR305" s="47"/>
      <c r="KU305" s="47"/>
      <c r="KV305" s="47"/>
      <c r="KW305" s="47"/>
      <c r="KX305" s="47"/>
      <c r="KY305" s="47"/>
      <c r="KZ305" s="47"/>
      <c r="LA305" s="47"/>
      <c r="LB305" s="47"/>
    </row>
    <row r="306" spans="29:314" x14ac:dyDescent="0.25">
      <c r="AC306" s="47"/>
      <c r="AD306" s="47"/>
      <c r="AE306" s="47"/>
      <c r="AF306" s="47"/>
      <c r="AG306" s="49"/>
      <c r="AH306" s="47"/>
      <c r="AI306" s="47"/>
      <c r="AJ306" s="47"/>
      <c r="AK306" s="47"/>
      <c r="AL306" s="47"/>
      <c r="AM306" s="47"/>
      <c r="AN306" s="47"/>
      <c r="AO306" s="47"/>
      <c r="AP306" s="47"/>
      <c r="AQ306" s="47"/>
      <c r="AR306" s="47"/>
      <c r="AS306" s="47"/>
      <c r="AT306" s="47"/>
      <c r="AU306" s="47"/>
      <c r="AV306" s="47"/>
      <c r="AW306" s="47"/>
      <c r="AX306" s="47"/>
      <c r="AY306" s="47"/>
      <c r="AZ306" s="47"/>
      <c r="BA306" s="47"/>
      <c r="BB306" s="47"/>
      <c r="BC306" s="47"/>
      <c r="BD306" s="47"/>
      <c r="BE306" s="47"/>
      <c r="BF306" s="47"/>
      <c r="BG306" s="47"/>
      <c r="BH306" s="47"/>
      <c r="BI306" s="47"/>
      <c r="BJ306" s="47"/>
      <c r="BK306" s="47"/>
      <c r="BL306" s="47"/>
      <c r="BM306" s="47"/>
      <c r="BN306" s="49"/>
      <c r="BO306" s="47"/>
      <c r="BP306" s="47"/>
      <c r="BQ306" s="47"/>
      <c r="BR306" s="47"/>
      <c r="BS306" s="47"/>
      <c r="BT306" s="47"/>
      <c r="BU306" s="47"/>
      <c r="BV306" s="47"/>
      <c r="BW306" s="47"/>
      <c r="BX306" s="47"/>
      <c r="BY306" s="47"/>
      <c r="BZ306" s="47"/>
      <c r="CA306" s="47"/>
      <c r="CB306" s="47"/>
      <c r="CC306" s="47"/>
      <c r="CD306" s="47"/>
      <c r="CE306" s="47"/>
      <c r="CF306" s="47"/>
      <c r="CG306" s="49"/>
      <c r="CH306" s="47"/>
      <c r="CI306" s="47"/>
      <c r="CJ306" s="47"/>
      <c r="CK306" s="47"/>
      <c r="CL306" s="47"/>
      <c r="CM306" s="47"/>
      <c r="CN306" s="47"/>
      <c r="CO306" s="47"/>
      <c r="CP306" s="47"/>
      <c r="CQ306" s="47"/>
      <c r="CS306" s="47"/>
      <c r="CT306" s="47"/>
      <c r="CU306" s="47"/>
      <c r="CV306" s="47"/>
      <c r="CW306" s="47"/>
      <c r="CX306" s="47"/>
      <c r="CY306" s="47"/>
      <c r="CZ306" s="47"/>
      <c r="DA306" s="47"/>
      <c r="DB306" s="47"/>
      <c r="DC306" s="47"/>
      <c r="DD306" s="47"/>
      <c r="DE306" s="47"/>
      <c r="DF306" s="47"/>
      <c r="DG306" s="47"/>
      <c r="DH306" s="47"/>
      <c r="DI306" s="47"/>
      <c r="DJ306" s="47"/>
      <c r="DK306" s="47"/>
      <c r="DM306" s="47"/>
      <c r="DN306" s="47"/>
      <c r="DO306" s="47"/>
      <c r="DP306" s="47"/>
      <c r="DQ306" s="47"/>
      <c r="DR306" s="47"/>
      <c r="DS306" s="47"/>
      <c r="DT306" s="47"/>
      <c r="DU306" s="47"/>
      <c r="DV306" s="49"/>
      <c r="DW306" s="47"/>
      <c r="DX306" s="47"/>
      <c r="DY306" s="47"/>
      <c r="DZ306" s="47"/>
      <c r="EA306" s="47"/>
      <c r="EB306" s="47"/>
      <c r="EC306" s="47"/>
      <c r="ED306" s="47"/>
      <c r="EE306" s="47"/>
      <c r="EF306" s="47"/>
      <c r="EG306" s="47"/>
      <c r="EH306" s="47"/>
      <c r="EI306" s="47"/>
      <c r="EJ306" s="47"/>
      <c r="EK306" s="47"/>
      <c r="EL306" s="47"/>
      <c r="EM306" s="47"/>
      <c r="EN306" s="47"/>
      <c r="EO306" s="47"/>
      <c r="EP306" s="47"/>
      <c r="EQ306" s="47"/>
      <c r="ER306" s="47"/>
      <c r="ES306" s="47"/>
      <c r="ET306" s="47"/>
      <c r="EU306" s="47"/>
      <c r="EV306" s="47"/>
      <c r="EW306" s="47"/>
      <c r="EX306" s="47"/>
      <c r="EY306" s="47"/>
      <c r="EZ306" s="47"/>
      <c r="FA306" s="47"/>
      <c r="FB306" s="47"/>
      <c r="FC306" s="47"/>
      <c r="FD306" s="47"/>
      <c r="FE306" s="47"/>
      <c r="FF306" s="47"/>
      <c r="FG306" s="47"/>
      <c r="FH306" s="47"/>
      <c r="FI306" s="47"/>
      <c r="FJ306" s="49"/>
      <c r="FK306" s="47"/>
      <c r="FL306" s="47"/>
      <c r="FM306" s="47"/>
      <c r="FN306" s="47"/>
      <c r="FO306" s="47"/>
      <c r="FP306" s="47"/>
      <c r="FQ306" s="47"/>
      <c r="FR306" s="47"/>
      <c r="FS306" s="47"/>
      <c r="FT306" s="47"/>
      <c r="FU306" s="47"/>
      <c r="FV306" s="47"/>
      <c r="FW306" s="47"/>
      <c r="FX306" s="47"/>
      <c r="FY306" s="47"/>
      <c r="FZ306" s="47"/>
      <c r="GA306" s="47"/>
      <c r="GB306" s="47"/>
      <c r="GC306" s="47"/>
      <c r="GD306" s="47"/>
      <c r="GE306" s="47"/>
      <c r="GF306" s="47"/>
      <c r="GG306" s="47"/>
      <c r="GH306" s="47"/>
      <c r="GI306" s="47"/>
      <c r="GJ306" s="47"/>
      <c r="GK306" s="47"/>
      <c r="GL306" s="47"/>
      <c r="GM306" s="47"/>
      <c r="GN306" s="47"/>
      <c r="GO306" s="47"/>
      <c r="GP306" s="47"/>
      <c r="GQ306" s="47"/>
      <c r="GR306" s="47"/>
      <c r="GS306" s="47"/>
      <c r="GT306" s="47"/>
      <c r="GU306" s="47"/>
      <c r="GV306" s="47"/>
      <c r="GW306" s="47"/>
      <c r="GX306" s="47"/>
      <c r="GY306" s="47"/>
      <c r="GZ306" s="47"/>
      <c r="HA306" s="47"/>
      <c r="HB306" s="47"/>
      <c r="HC306" s="47"/>
      <c r="HD306" s="47"/>
      <c r="HE306" s="47"/>
      <c r="HF306" s="47"/>
      <c r="HI306" s="47"/>
      <c r="HJ306" s="47"/>
      <c r="HK306" s="47"/>
      <c r="HL306" s="47"/>
      <c r="HM306" s="47"/>
      <c r="HN306" s="47"/>
      <c r="HO306" s="47"/>
      <c r="HP306" s="47"/>
      <c r="HS306" s="47"/>
      <c r="HT306" s="47"/>
      <c r="HU306" s="47"/>
      <c r="HV306" s="47"/>
      <c r="HW306" s="47"/>
      <c r="HX306" s="47"/>
      <c r="HY306" s="47"/>
      <c r="HZ306" s="47"/>
      <c r="IC306" s="47"/>
      <c r="ID306" s="47"/>
      <c r="IE306" s="47"/>
      <c r="IF306" s="47"/>
      <c r="IG306" s="47"/>
      <c r="IH306" s="47"/>
      <c r="II306" s="47"/>
      <c r="IJ306" s="47"/>
      <c r="IM306" s="47"/>
      <c r="IN306" s="47"/>
      <c r="IO306" s="47"/>
      <c r="IP306" s="47"/>
      <c r="IQ306" s="47"/>
      <c r="IR306" s="47"/>
      <c r="IS306" s="47"/>
      <c r="IT306" s="47"/>
      <c r="IW306" s="47"/>
      <c r="IX306" s="47"/>
      <c r="IY306" s="47"/>
      <c r="IZ306" s="47"/>
      <c r="JA306" s="47"/>
      <c r="JB306" s="47"/>
      <c r="JC306" s="47"/>
      <c r="JD306" s="47"/>
      <c r="JG306" s="47"/>
      <c r="JH306" s="47"/>
      <c r="JI306" s="47"/>
      <c r="JJ306" s="47"/>
      <c r="JK306" s="47"/>
      <c r="JL306" s="47"/>
      <c r="JM306" s="47"/>
      <c r="JN306" s="47"/>
      <c r="JQ306" s="47"/>
      <c r="JR306" s="47"/>
      <c r="JS306" s="47"/>
      <c r="JT306" s="47"/>
      <c r="JU306" s="47"/>
      <c r="JV306" s="47"/>
      <c r="JW306" s="47"/>
      <c r="JX306" s="47"/>
      <c r="KA306" s="47"/>
      <c r="KB306" s="47"/>
      <c r="KC306" s="47"/>
      <c r="KD306" s="47"/>
      <c r="KE306" s="47"/>
      <c r="KF306" s="47"/>
      <c r="KG306" s="47"/>
      <c r="KH306" s="47"/>
      <c r="KK306" s="47"/>
      <c r="KL306" s="47"/>
      <c r="KM306" s="47"/>
      <c r="KN306" s="47"/>
      <c r="KO306" s="47"/>
      <c r="KP306" s="47"/>
      <c r="KQ306" s="47"/>
      <c r="KR306" s="47"/>
      <c r="KU306" s="47"/>
      <c r="KV306" s="47"/>
      <c r="KW306" s="47"/>
      <c r="KX306" s="47"/>
      <c r="KY306" s="47"/>
      <c r="KZ306" s="47"/>
      <c r="LA306" s="47"/>
      <c r="LB306" s="47"/>
    </row>
    <row r="307" spans="29:314" x14ac:dyDescent="0.25">
      <c r="AC307" s="47"/>
      <c r="AD307" s="47"/>
      <c r="AE307" s="47"/>
      <c r="AF307" s="47"/>
      <c r="AG307" s="49"/>
      <c r="AH307" s="47"/>
      <c r="AI307" s="47"/>
      <c r="AJ307" s="47"/>
      <c r="AK307" s="47"/>
      <c r="AL307" s="47"/>
      <c r="AM307" s="47"/>
      <c r="AN307" s="47"/>
      <c r="AO307" s="47"/>
      <c r="AP307" s="47"/>
      <c r="AQ307" s="47"/>
      <c r="AR307" s="47"/>
      <c r="AS307" s="47"/>
      <c r="AT307" s="47"/>
      <c r="AU307" s="47"/>
      <c r="AV307" s="47"/>
      <c r="AW307" s="47"/>
      <c r="AX307" s="47"/>
      <c r="AY307" s="47"/>
      <c r="AZ307" s="47"/>
      <c r="BA307" s="47"/>
      <c r="BB307" s="47"/>
      <c r="BC307" s="47"/>
      <c r="BD307" s="47"/>
      <c r="BE307" s="47"/>
      <c r="BF307" s="47"/>
      <c r="BG307" s="47"/>
      <c r="BH307" s="47"/>
      <c r="BI307" s="47"/>
      <c r="BJ307" s="47"/>
      <c r="BK307" s="47"/>
      <c r="BL307" s="47"/>
      <c r="BM307" s="47"/>
      <c r="BN307" s="49"/>
      <c r="BO307" s="47"/>
      <c r="BP307" s="47"/>
      <c r="BQ307" s="47"/>
      <c r="BR307" s="47"/>
      <c r="BS307" s="47"/>
      <c r="BT307" s="47"/>
      <c r="BU307" s="47"/>
      <c r="BV307" s="47"/>
      <c r="BW307" s="47"/>
      <c r="BX307" s="47"/>
      <c r="BY307" s="47"/>
      <c r="BZ307" s="47"/>
      <c r="CA307" s="47"/>
      <c r="CB307" s="47"/>
      <c r="CC307" s="47"/>
      <c r="CD307" s="47"/>
      <c r="CE307" s="47"/>
      <c r="CF307" s="47"/>
      <c r="CG307" s="49"/>
      <c r="CH307" s="47"/>
      <c r="CI307" s="47"/>
      <c r="CJ307" s="47"/>
      <c r="CK307" s="47"/>
      <c r="CL307" s="47"/>
      <c r="CM307" s="47"/>
      <c r="CN307" s="47"/>
      <c r="CO307" s="47"/>
      <c r="CP307" s="47"/>
      <c r="CQ307" s="47"/>
      <c r="CS307" s="47"/>
      <c r="CT307" s="47"/>
      <c r="CU307" s="47"/>
      <c r="CV307" s="47"/>
      <c r="CW307" s="47"/>
      <c r="CX307" s="47"/>
      <c r="CY307" s="47"/>
      <c r="CZ307" s="47"/>
      <c r="DA307" s="47"/>
      <c r="DB307" s="47"/>
      <c r="DC307" s="47"/>
      <c r="DD307" s="47"/>
      <c r="DE307" s="47"/>
      <c r="DF307" s="47"/>
      <c r="DG307" s="47"/>
      <c r="DH307" s="47"/>
      <c r="DI307" s="47"/>
      <c r="DJ307" s="47"/>
      <c r="DK307" s="47"/>
      <c r="DM307" s="47"/>
      <c r="DN307" s="47"/>
      <c r="DO307" s="47"/>
      <c r="DP307" s="47"/>
      <c r="DQ307" s="47"/>
      <c r="DR307" s="47"/>
      <c r="DS307" s="47"/>
      <c r="DT307" s="47"/>
      <c r="DU307" s="47"/>
      <c r="DV307" s="49"/>
      <c r="DW307" s="47"/>
      <c r="DX307" s="47"/>
      <c r="DY307" s="47"/>
      <c r="DZ307" s="47"/>
      <c r="EA307" s="47"/>
      <c r="EB307" s="47"/>
      <c r="EC307" s="47"/>
      <c r="ED307" s="47"/>
      <c r="EE307" s="47"/>
      <c r="EF307" s="47"/>
      <c r="EG307" s="47"/>
      <c r="EH307" s="47"/>
      <c r="EI307" s="47"/>
      <c r="EJ307" s="47"/>
      <c r="EK307" s="47"/>
      <c r="EL307" s="47"/>
      <c r="EM307" s="47"/>
      <c r="EN307" s="47"/>
      <c r="EO307" s="47"/>
      <c r="EP307" s="47"/>
      <c r="EQ307" s="47"/>
      <c r="ER307" s="47"/>
      <c r="ES307" s="47"/>
      <c r="ET307" s="47"/>
      <c r="EU307" s="47"/>
      <c r="EV307" s="47"/>
      <c r="EW307" s="47"/>
      <c r="EX307" s="47"/>
      <c r="EY307" s="47"/>
      <c r="EZ307" s="47"/>
      <c r="FA307" s="47"/>
      <c r="FB307" s="47"/>
      <c r="FC307" s="47"/>
      <c r="FD307" s="47"/>
      <c r="FE307" s="47"/>
      <c r="FF307" s="47"/>
      <c r="FG307" s="47"/>
      <c r="FH307" s="47"/>
      <c r="FI307" s="47"/>
      <c r="FJ307" s="49"/>
      <c r="FK307" s="47"/>
      <c r="FL307" s="47"/>
      <c r="FM307" s="47"/>
      <c r="FN307" s="47"/>
      <c r="FO307" s="47"/>
      <c r="FP307" s="47"/>
      <c r="FQ307" s="47"/>
      <c r="FR307" s="47"/>
      <c r="FS307" s="47"/>
      <c r="FT307" s="47"/>
      <c r="FU307" s="47"/>
      <c r="FV307" s="47"/>
      <c r="FW307" s="47"/>
      <c r="FX307" s="47"/>
      <c r="FY307" s="47"/>
      <c r="FZ307" s="47"/>
      <c r="GA307" s="47"/>
      <c r="GB307" s="47"/>
      <c r="GC307" s="47"/>
      <c r="GD307" s="47"/>
      <c r="GE307" s="47"/>
      <c r="GF307" s="47"/>
      <c r="GG307" s="47"/>
      <c r="GH307" s="47"/>
      <c r="GI307" s="47"/>
      <c r="GJ307" s="47"/>
      <c r="GK307" s="47"/>
      <c r="GL307" s="47"/>
      <c r="GM307" s="47"/>
      <c r="GN307" s="47"/>
      <c r="GO307" s="47"/>
      <c r="GP307" s="47"/>
      <c r="GQ307" s="47"/>
      <c r="GR307" s="47"/>
      <c r="GS307" s="47"/>
      <c r="GT307" s="47"/>
      <c r="GU307" s="47"/>
      <c r="GV307" s="47"/>
      <c r="GW307" s="47"/>
      <c r="GX307" s="47"/>
      <c r="GY307" s="47"/>
      <c r="GZ307" s="47"/>
      <c r="HA307" s="47"/>
      <c r="HB307" s="47"/>
      <c r="HC307" s="47"/>
      <c r="HD307" s="47"/>
      <c r="HE307" s="47"/>
      <c r="HF307" s="47"/>
      <c r="HI307" s="47"/>
      <c r="HJ307" s="47"/>
      <c r="HK307" s="47"/>
      <c r="HL307" s="47"/>
      <c r="HM307" s="47"/>
      <c r="HN307" s="47"/>
      <c r="HO307" s="47"/>
      <c r="HP307" s="47"/>
      <c r="HS307" s="47"/>
      <c r="HT307" s="47"/>
      <c r="HU307" s="47"/>
      <c r="HV307" s="47"/>
      <c r="HW307" s="47"/>
      <c r="HX307" s="47"/>
      <c r="HY307" s="47"/>
      <c r="HZ307" s="47"/>
      <c r="IC307" s="47"/>
      <c r="ID307" s="47"/>
      <c r="IE307" s="47"/>
      <c r="IF307" s="47"/>
      <c r="IG307" s="47"/>
      <c r="IH307" s="47"/>
      <c r="II307" s="47"/>
      <c r="IJ307" s="47"/>
      <c r="IM307" s="47"/>
      <c r="IN307" s="47"/>
      <c r="IO307" s="47"/>
      <c r="IP307" s="47"/>
      <c r="IQ307" s="47"/>
      <c r="IR307" s="47"/>
      <c r="IS307" s="47"/>
      <c r="IT307" s="47"/>
      <c r="IW307" s="47"/>
      <c r="IX307" s="47"/>
      <c r="IY307" s="47"/>
      <c r="IZ307" s="47"/>
      <c r="JA307" s="47"/>
      <c r="JB307" s="47"/>
      <c r="JC307" s="47"/>
      <c r="JD307" s="47"/>
      <c r="JG307" s="47"/>
      <c r="JH307" s="47"/>
      <c r="JI307" s="47"/>
      <c r="JJ307" s="47"/>
      <c r="JK307" s="47"/>
      <c r="JL307" s="47"/>
      <c r="JM307" s="47"/>
      <c r="JN307" s="47"/>
      <c r="JQ307" s="47"/>
      <c r="JR307" s="47"/>
      <c r="JS307" s="47"/>
      <c r="JT307" s="47"/>
      <c r="JU307" s="47"/>
      <c r="JV307" s="47"/>
      <c r="JW307" s="47"/>
      <c r="JX307" s="47"/>
      <c r="KA307" s="47"/>
      <c r="KB307" s="47"/>
      <c r="KC307" s="47"/>
      <c r="KD307" s="47"/>
      <c r="KE307" s="47"/>
      <c r="KF307" s="47"/>
      <c r="KG307" s="47"/>
      <c r="KH307" s="47"/>
      <c r="KK307" s="47"/>
      <c r="KL307" s="47"/>
      <c r="KM307" s="47"/>
      <c r="KN307" s="47"/>
      <c r="KO307" s="47"/>
      <c r="KP307" s="47"/>
      <c r="KQ307" s="47"/>
      <c r="KR307" s="47"/>
      <c r="KU307" s="47"/>
      <c r="KV307" s="47"/>
      <c r="KW307" s="47"/>
      <c r="KX307" s="47"/>
      <c r="KY307" s="47"/>
      <c r="KZ307" s="47"/>
      <c r="LA307" s="47"/>
      <c r="LB307" s="47"/>
    </row>
    <row r="308" spans="29:314" x14ac:dyDescent="0.25">
      <c r="AC308" s="47"/>
      <c r="AD308" s="47"/>
      <c r="AE308" s="47"/>
      <c r="AF308" s="47"/>
      <c r="AG308" s="49"/>
      <c r="AH308" s="47"/>
      <c r="AI308" s="47"/>
      <c r="AJ308" s="47"/>
      <c r="AK308" s="47"/>
      <c r="AL308" s="47"/>
      <c r="AM308" s="47"/>
      <c r="AN308" s="47"/>
      <c r="AO308" s="47"/>
      <c r="AP308" s="47"/>
      <c r="AQ308" s="47"/>
      <c r="AR308" s="47"/>
      <c r="AS308" s="47"/>
      <c r="AT308" s="47"/>
      <c r="AU308" s="47"/>
      <c r="AV308" s="47"/>
      <c r="AW308" s="47"/>
      <c r="AX308" s="47"/>
      <c r="AY308" s="47"/>
      <c r="AZ308" s="47"/>
      <c r="BA308" s="47"/>
      <c r="BB308" s="47"/>
      <c r="BC308" s="47"/>
      <c r="BD308" s="47"/>
      <c r="BE308" s="47"/>
      <c r="BF308" s="47"/>
      <c r="BG308" s="47"/>
      <c r="BH308" s="47"/>
      <c r="BI308" s="47"/>
      <c r="BJ308" s="47"/>
      <c r="BK308" s="47"/>
      <c r="BL308" s="47"/>
      <c r="BM308" s="47"/>
      <c r="BN308" s="49"/>
      <c r="BO308" s="47"/>
      <c r="BP308" s="47"/>
      <c r="BQ308" s="47"/>
      <c r="BR308" s="47"/>
      <c r="BS308" s="47"/>
      <c r="BT308" s="47"/>
      <c r="BU308" s="47"/>
      <c r="BV308" s="47"/>
      <c r="BW308" s="47"/>
      <c r="BX308" s="47"/>
      <c r="BY308" s="47"/>
      <c r="BZ308" s="47"/>
      <c r="CA308" s="47"/>
      <c r="CB308" s="47"/>
      <c r="CC308" s="47"/>
      <c r="CD308" s="47"/>
      <c r="CE308" s="47"/>
      <c r="CF308" s="47"/>
      <c r="CG308" s="49"/>
      <c r="CH308" s="47"/>
      <c r="CI308" s="47"/>
      <c r="CJ308" s="47"/>
      <c r="CK308" s="47"/>
      <c r="CL308" s="47"/>
      <c r="CM308" s="47"/>
      <c r="CN308" s="47"/>
      <c r="CO308" s="47"/>
      <c r="CP308" s="47"/>
      <c r="CQ308" s="47"/>
      <c r="CS308" s="47"/>
      <c r="CT308" s="47"/>
      <c r="CU308" s="47"/>
      <c r="CV308" s="47"/>
      <c r="CW308" s="47"/>
      <c r="CX308" s="47"/>
      <c r="CY308" s="47"/>
      <c r="CZ308" s="47"/>
      <c r="DA308" s="47"/>
      <c r="DB308" s="47"/>
      <c r="DC308" s="47"/>
      <c r="DD308" s="47"/>
      <c r="DE308" s="47"/>
      <c r="DF308" s="47"/>
      <c r="DG308" s="47"/>
      <c r="DH308" s="47"/>
      <c r="DI308" s="47"/>
      <c r="DJ308" s="47"/>
      <c r="DK308" s="47"/>
      <c r="DM308" s="47"/>
      <c r="DN308" s="47"/>
      <c r="DO308" s="47"/>
      <c r="DP308" s="47"/>
      <c r="DQ308" s="47"/>
      <c r="DR308" s="47"/>
      <c r="DS308" s="47"/>
      <c r="DT308" s="47"/>
      <c r="DU308" s="47"/>
      <c r="DV308" s="49"/>
      <c r="DW308" s="47"/>
      <c r="DX308" s="47"/>
      <c r="DY308" s="47"/>
      <c r="DZ308" s="47"/>
      <c r="EA308" s="47"/>
      <c r="EB308" s="47"/>
      <c r="EC308" s="47"/>
      <c r="ED308" s="47"/>
      <c r="EE308" s="47"/>
      <c r="EF308" s="47"/>
      <c r="EG308" s="47"/>
      <c r="EH308" s="47"/>
      <c r="EI308" s="47"/>
      <c r="EJ308" s="47"/>
      <c r="EK308" s="47"/>
      <c r="EL308" s="47"/>
      <c r="EM308" s="47"/>
      <c r="EN308" s="47"/>
      <c r="EO308" s="47"/>
      <c r="EP308" s="47"/>
      <c r="EQ308" s="47"/>
      <c r="ER308" s="47"/>
      <c r="ES308" s="47"/>
      <c r="ET308" s="47"/>
      <c r="EU308" s="47"/>
      <c r="EV308" s="47"/>
      <c r="EW308" s="47"/>
      <c r="EX308" s="47"/>
      <c r="EY308" s="47"/>
      <c r="EZ308" s="47"/>
      <c r="FA308" s="47"/>
      <c r="FB308" s="47"/>
      <c r="FC308" s="47"/>
      <c r="FD308" s="47"/>
      <c r="FE308" s="47"/>
      <c r="FF308" s="47"/>
      <c r="FG308" s="47"/>
      <c r="FH308" s="47"/>
      <c r="FI308" s="47"/>
      <c r="FJ308" s="49"/>
      <c r="FK308" s="47"/>
      <c r="FL308" s="47"/>
      <c r="FM308" s="47"/>
      <c r="FN308" s="47"/>
      <c r="FO308" s="47"/>
      <c r="FP308" s="47"/>
      <c r="FQ308" s="47"/>
      <c r="FR308" s="47"/>
      <c r="FS308" s="47"/>
      <c r="FT308" s="47"/>
      <c r="FU308" s="47"/>
      <c r="FV308" s="47"/>
      <c r="FW308" s="47"/>
      <c r="FX308" s="47"/>
      <c r="FY308" s="47"/>
      <c r="FZ308" s="47"/>
      <c r="GA308" s="47"/>
      <c r="GB308" s="47"/>
      <c r="GC308" s="47"/>
      <c r="GD308" s="47"/>
      <c r="GE308" s="47"/>
      <c r="GF308" s="47"/>
      <c r="GG308" s="47"/>
      <c r="GH308" s="47"/>
      <c r="GI308" s="47"/>
      <c r="GJ308" s="47"/>
      <c r="GK308" s="47"/>
      <c r="GL308" s="47"/>
      <c r="GM308" s="47"/>
      <c r="GN308" s="47"/>
      <c r="GO308" s="47"/>
      <c r="GP308" s="47"/>
      <c r="GQ308" s="47"/>
      <c r="GR308" s="47"/>
      <c r="GS308" s="47"/>
      <c r="GT308" s="47"/>
      <c r="GU308" s="47"/>
      <c r="GV308" s="47"/>
      <c r="GW308" s="47"/>
      <c r="GX308" s="47"/>
      <c r="GY308" s="47"/>
      <c r="GZ308" s="47"/>
      <c r="HA308" s="47"/>
      <c r="HB308" s="47"/>
      <c r="HC308" s="47"/>
      <c r="HD308" s="47"/>
      <c r="HE308" s="47"/>
      <c r="HF308" s="47"/>
      <c r="HI308" s="47"/>
      <c r="HJ308" s="47"/>
      <c r="HK308" s="47"/>
      <c r="HL308" s="47"/>
      <c r="HM308" s="47"/>
      <c r="HN308" s="47"/>
      <c r="HO308" s="47"/>
      <c r="HP308" s="47"/>
      <c r="HS308" s="47"/>
      <c r="HT308" s="47"/>
      <c r="HU308" s="47"/>
      <c r="HV308" s="47"/>
      <c r="HW308" s="47"/>
      <c r="HX308" s="47"/>
      <c r="HY308" s="47"/>
      <c r="HZ308" s="47"/>
      <c r="IC308" s="47"/>
      <c r="ID308" s="47"/>
      <c r="IE308" s="47"/>
      <c r="IF308" s="47"/>
      <c r="IG308" s="47"/>
      <c r="IH308" s="47"/>
      <c r="II308" s="47"/>
      <c r="IJ308" s="47"/>
      <c r="IM308" s="47"/>
      <c r="IN308" s="47"/>
      <c r="IO308" s="47"/>
      <c r="IP308" s="47"/>
      <c r="IQ308" s="47"/>
      <c r="IR308" s="47"/>
      <c r="IS308" s="47"/>
      <c r="IT308" s="47"/>
      <c r="IW308" s="47"/>
      <c r="IX308" s="47"/>
      <c r="IY308" s="47"/>
      <c r="IZ308" s="47"/>
      <c r="JA308" s="47"/>
      <c r="JB308" s="47"/>
      <c r="JC308" s="47"/>
      <c r="JD308" s="47"/>
      <c r="JG308" s="47"/>
      <c r="JH308" s="47"/>
      <c r="JI308" s="47"/>
      <c r="JJ308" s="47"/>
      <c r="JK308" s="47"/>
      <c r="JL308" s="47"/>
      <c r="JM308" s="47"/>
      <c r="JN308" s="47"/>
      <c r="JQ308" s="47"/>
      <c r="JR308" s="47"/>
      <c r="JS308" s="47"/>
      <c r="JT308" s="47"/>
      <c r="JU308" s="47"/>
      <c r="JV308" s="47"/>
      <c r="JW308" s="47"/>
      <c r="JX308" s="47"/>
      <c r="KA308" s="47"/>
      <c r="KB308" s="47"/>
      <c r="KC308" s="47"/>
      <c r="KD308" s="47"/>
      <c r="KE308" s="47"/>
      <c r="KF308" s="47"/>
      <c r="KG308" s="47"/>
      <c r="KH308" s="47"/>
      <c r="KK308" s="47"/>
      <c r="KL308" s="47"/>
      <c r="KM308" s="47"/>
      <c r="KN308" s="47"/>
      <c r="KO308" s="47"/>
      <c r="KP308" s="47"/>
      <c r="KQ308" s="47"/>
      <c r="KR308" s="47"/>
      <c r="KU308" s="47"/>
      <c r="KV308" s="47"/>
      <c r="KW308" s="47"/>
      <c r="KX308" s="47"/>
      <c r="KY308" s="47"/>
      <c r="KZ308" s="47"/>
      <c r="LA308" s="47"/>
      <c r="LB308" s="47"/>
    </row>
    <row r="309" spans="29:314" x14ac:dyDescent="0.25">
      <c r="AC309" s="47"/>
      <c r="AD309" s="47"/>
      <c r="AE309" s="47"/>
      <c r="AF309" s="47"/>
      <c r="AG309" s="49"/>
      <c r="AH309" s="47"/>
      <c r="AI309" s="47"/>
      <c r="AJ309" s="47"/>
      <c r="AK309" s="47"/>
      <c r="AL309" s="47"/>
      <c r="AM309" s="47"/>
      <c r="AN309" s="47"/>
      <c r="AO309" s="47"/>
      <c r="AP309" s="47"/>
      <c r="AQ309" s="47"/>
      <c r="AR309" s="47"/>
      <c r="AS309" s="47"/>
      <c r="AT309" s="47"/>
      <c r="AU309" s="47"/>
      <c r="AV309" s="47"/>
      <c r="AW309" s="47"/>
      <c r="AX309" s="47"/>
      <c r="AY309" s="47"/>
      <c r="AZ309" s="47"/>
      <c r="BA309" s="47"/>
      <c r="BB309" s="47"/>
      <c r="BC309" s="47"/>
      <c r="BD309" s="47"/>
      <c r="BE309" s="47"/>
      <c r="BF309" s="47"/>
      <c r="BG309" s="47"/>
      <c r="BH309" s="47"/>
      <c r="BI309" s="47"/>
      <c r="BJ309" s="47"/>
      <c r="BK309" s="47"/>
      <c r="BL309" s="47"/>
      <c r="BM309" s="47"/>
      <c r="BN309" s="49"/>
      <c r="BO309" s="47"/>
      <c r="BP309" s="47"/>
      <c r="BQ309" s="47"/>
      <c r="BR309" s="47"/>
      <c r="BS309" s="47"/>
      <c r="BT309" s="47"/>
      <c r="BU309" s="47"/>
      <c r="BV309" s="47"/>
      <c r="BW309" s="47"/>
      <c r="BX309" s="47"/>
      <c r="BY309" s="47"/>
      <c r="BZ309" s="47"/>
      <c r="CA309" s="47"/>
      <c r="CB309" s="47"/>
      <c r="CC309" s="47"/>
      <c r="CD309" s="47"/>
      <c r="CE309" s="47"/>
      <c r="CF309" s="47"/>
      <c r="CG309" s="49"/>
      <c r="CH309" s="47"/>
      <c r="CI309" s="47"/>
      <c r="CJ309" s="47"/>
      <c r="CK309" s="47"/>
      <c r="CL309" s="47"/>
      <c r="CM309" s="47"/>
      <c r="CN309" s="47"/>
      <c r="CO309" s="47"/>
      <c r="CP309" s="47"/>
      <c r="CQ309" s="47"/>
      <c r="CS309" s="47"/>
      <c r="CT309" s="47"/>
      <c r="CU309" s="47"/>
      <c r="CV309" s="47"/>
      <c r="CW309" s="47"/>
      <c r="CX309" s="47"/>
      <c r="CY309" s="47"/>
      <c r="CZ309" s="47"/>
      <c r="DA309" s="47"/>
      <c r="DB309" s="47"/>
      <c r="DC309" s="47"/>
      <c r="DD309" s="47"/>
      <c r="DE309" s="47"/>
      <c r="DF309" s="47"/>
      <c r="DG309" s="47"/>
      <c r="DH309" s="47"/>
      <c r="DI309" s="47"/>
      <c r="DJ309" s="47"/>
      <c r="DK309" s="47"/>
      <c r="DM309" s="47"/>
      <c r="DN309" s="47"/>
      <c r="DO309" s="47"/>
      <c r="DP309" s="47"/>
      <c r="DQ309" s="47"/>
      <c r="DR309" s="47"/>
      <c r="DS309" s="47"/>
      <c r="DT309" s="47"/>
      <c r="DU309" s="47"/>
      <c r="DV309" s="49"/>
      <c r="DW309" s="47"/>
      <c r="DX309" s="47"/>
      <c r="DY309" s="47"/>
      <c r="DZ309" s="47"/>
      <c r="EA309" s="47"/>
      <c r="EB309" s="47"/>
      <c r="EC309" s="47"/>
      <c r="ED309" s="47"/>
      <c r="EE309" s="47"/>
      <c r="EF309" s="47"/>
      <c r="EG309" s="47"/>
      <c r="EH309" s="47"/>
      <c r="EI309" s="47"/>
      <c r="EJ309" s="47"/>
      <c r="EK309" s="47"/>
      <c r="EL309" s="47"/>
      <c r="EM309" s="47"/>
      <c r="EN309" s="47"/>
      <c r="EO309" s="47"/>
      <c r="EP309" s="47"/>
      <c r="EQ309" s="47"/>
      <c r="ER309" s="47"/>
      <c r="ES309" s="47"/>
      <c r="ET309" s="47"/>
      <c r="EU309" s="47"/>
      <c r="EV309" s="47"/>
      <c r="EW309" s="47"/>
      <c r="EX309" s="47"/>
      <c r="EY309" s="47"/>
      <c r="EZ309" s="47"/>
      <c r="FA309" s="47"/>
      <c r="FB309" s="47"/>
      <c r="FC309" s="47"/>
      <c r="FD309" s="47"/>
      <c r="FE309" s="47"/>
      <c r="FF309" s="47"/>
      <c r="FG309" s="47"/>
      <c r="FH309" s="47"/>
      <c r="FI309" s="47"/>
      <c r="FJ309" s="49"/>
      <c r="FK309" s="47"/>
      <c r="FL309" s="47"/>
      <c r="FM309" s="47"/>
      <c r="FN309" s="47"/>
      <c r="FO309" s="47"/>
      <c r="FP309" s="47"/>
      <c r="FQ309" s="47"/>
      <c r="FR309" s="47"/>
      <c r="FS309" s="47"/>
      <c r="FT309" s="47"/>
      <c r="FU309" s="47"/>
      <c r="FV309" s="47"/>
      <c r="FW309" s="47"/>
      <c r="FX309" s="47"/>
      <c r="FY309" s="47"/>
      <c r="FZ309" s="47"/>
      <c r="GA309" s="47"/>
      <c r="GB309" s="47"/>
      <c r="GC309" s="47"/>
      <c r="GD309" s="47"/>
      <c r="GE309" s="47"/>
      <c r="GF309" s="47"/>
      <c r="GG309" s="47"/>
      <c r="GH309" s="47"/>
      <c r="GI309" s="47"/>
      <c r="GJ309" s="47"/>
      <c r="GK309" s="47"/>
      <c r="GL309" s="47"/>
      <c r="GM309" s="47"/>
      <c r="GN309" s="47"/>
      <c r="GO309" s="47"/>
      <c r="GP309" s="47"/>
      <c r="GQ309" s="47"/>
      <c r="GR309" s="47"/>
      <c r="GS309" s="47"/>
      <c r="GT309" s="47"/>
      <c r="GU309" s="47"/>
      <c r="GV309" s="47"/>
      <c r="GW309" s="47"/>
      <c r="GX309" s="47"/>
      <c r="GY309" s="47"/>
      <c r="GZ309" s="47"/>
      <c r="HA309" s="47"/>
      <c r="HB309" s="47"/>
      <c r="HC309" s="47"/>
      <c r="HD309" s="47"/>
      <c r="HE309" s="47"/>
      <c r="HF309" s="47"/>
      <c r="HI309" s="47"/>
      <c r="HJ309" s="47"/>
      <c r="HK309" s="47"/>
      <c r="HL309" s="47"/>
      <c r="HM309" s="47"/>
      <c r="HN309" s="47"/>
      <c r="HO309" s="47"/>
      <c r="HP309" s="47"/>
      <c r="HS309" s="47"/>
      <c r="HT309" s="47"/>
      <c r="HU309" s="47"/>
      <c r="HV309" s="47"/>
      <c r="HW309" s="47"/>
      <c r="HX309" s="47"/>
      <c r="HY309" s="47"/>
      <c r="HZ309" s="47"/>
      <c r="IC309" s="47"/>
      <c r="ID309" s="47"/>
      <c r="IE309" s="47"/>
      <c r="IF309" s="47"/>
      <c r="IG309" s="47"/>
      <c r="IH309" s="47"/>
      <c r="II309" s="47"/>
      <c r="IJ309" s="47"/>
      <c r="IM309" s="47"/>
      <c r="IN309" s="47"/>
      <c r="IO309" s="47"/>
      <c r="IP309" s="47"/>
      <c r="IQ309" s="47"/>
      <c r="IR309" s="47"/>
      <c r="IS309" s="47"/>
      <c r="IT309" s="47"/>
      <c r="IW309" s="47"/>
      <c r="IX309" s="47"/>
      <c r="IY309" s="47"/>
      <c r="IZ309" s="47"/>
      <c r="JA309" s="47"/>
      <c r="JB309" s="47"/>
      <c r="JC309" s="47"/>
      <c r="JD309" s="47"/>
      <c r="JG309" s="47"/>
      <c r="JH309" s="47"/>
      <c r="JI309" s="47"/>
      <c r="JJ309" s="47"/>
      <c r="JK309" s="47"/>
      <c r="JL309" s="47"/>
      <c r="JM309" s="47"/>
      <c r="JN309" s="47"/>
      <c r="JQ309" s="47"/>
      <c r="JR309" s="47"/>
      <c r="JS309" s="47"/>
      <c r="JT309" s="47"/>
      <c r="JU309" s="47"/>
      <c r="JV309" s="47"/>
      <c r="JW309" s="47"/>
      <c r="JX309" s="47"/>
      <c r="KA309" s="47"/>
      <c r="KB309" s="47"/>
      <c r="KC309" s="47"/>
      <c r="KD309" s="47"/>
      <c r="KE309" s="47"/>
      <c r="KF309" s="47"/>
      <c r="KG309" s="47"/>
      <c r="KH309" s="47"/>
      <c r="KK309" s="47"/>
      <c r="KL309" s="47"/>
      <c r="KM309" s="47"/>
      <c r="KN309" s="47"/>
      <c r="KO309" s="47"/>
      <c r="KP309" s="47"/>
      <c r="KQ309" s="47"/>
      <c r="KR309" s="47"/>
      <c r="KU309" s="47"/>
      <c r="KV309" s="47"/>
      <c r="KW309" s="47"/>
      <c r="KX309" s="47"/>
      <c r="KY309" s="47"/>
      <c r="KZ309" s="47"/>
      <c r="LA309" s="47"/>
      <c r="LB309" s="47"/>
    </row>
    <row r="310" spans="29:314" x14ac:dyDescent="0.25">
      <c r="AC310" s="47"/>
      <c r="AD310" s="47"/>
      <c r="AE310" s="47"/>
      <c r="AF310" s="47"/>
      <c r="AG310" s="49"/>
      <c r="AH310" s="47"/>
      <c r="AI310" s="47"/>
      <c r="AJ310" s="47"/>
      <c r="AK310" s="47"/>
      <c r="AL310" s="47"/>
      <c r="AM310" s="47"/>
      <c r="AN310" s="47"/>
      <c r="AO310" s="47"/>
      <c r="AP310" s="47"/>
      <c r="AQ310" s="47"/>
      <c r="AR310" s="47"/>
      <c r="AS310" s="47"/>
      <c r="AT310" s="47"/>
      <c r="AU310" s="47"/>
      <c r="AV310" s="47"/>
      <c r="AW310" s="47"/>
      <c r="AX310" s="47"/>
      <c r="AY310" s="47"/>
      <c r="AZ310" s="47"/>
      <c r="BA310" s="47"/>
      <c r="BB310" s="47"/>
      <c r="BC310" s="47"/>
      <c r="BD310" s="47"/>
      <c r="BE310" s="47"/>
      <c r="BF310" s="47"/>
      <c r="BG310" s="47"/>
      <c r="BH310" s="47"/>
      <c r="BI310" s="47"/>
      <c r="BJ310" s="47"/>
      <c r="BK310" s="47"/>
      <c r="BL310" s="47"/>
      <c r="BM310" s="47"/>
      <c r="BN310" s="49"/>
      <c r="BO310" s="47"/>
      <c r="BP310" s="47"/>
      <c r="BQ310" s="47"/>
      <c r="BR310" s="47"/>
      <c r="BS310" s="47"/>
      <c r="BT310" s="47"/>
      <c r="BU310" s="47"/>
      <c r="BV310" s="47"/>
      <c r="BW310" s="47"/>
      <c r="BX310" s="47"/>
      <c r="BY310" s="47"/>
      <c r="BZ310" s="47"/>
      <c r="CA310" s="47"/>
      <c r="CB310" s="47"/>
      <c r="CC310" s="47"/>
      <c r="CD310" s="47"/>
      <c r="CE310" s="47"/>
      <c r="CF310" s="47"/>
      <c r="CG310" s="49"/>
      <c r="CH310" s="47"/>
      <c r="CI310" s="47"/>
      <c r="CJ310" s="47"/>
      <c r="CK310" s="47"/>
      <c r="CL310" s="47"/>
      <c r="CM310" s="47"/>
      <c r="CN310" s="47"/>
      <c r="CO310" s="47"/>
      <c r="CP310" s="47"/>
      <c r="CQ310" s="47"/>
      <c r="CS310" s="47"/>
      <c r="CT310" s="47"/>
      <c r="CU310" s="47"/>
      <c r="CV310" s="47"/>
      <c r="CW310" s="47"/>
      <c r="CX310" s="47"/>
      <c r="CY310" s="47"/>
      <c r="CZ310" s="47"/>
      <c r="DA310" s="47"/>
      <c r="DB310" s="47"/>
      <c r="DC310" s="47"/>
      <c r="DD310" s="47"/>
      <c r="DE310" s="47"/>
      <c r="DF310" s="47"/>
      <c r="DG310" s="47"/>
      <c r="DH310" s="47"/>
      <c r="DI310" s="47"/>
      <c r="DJ310" s="47"/>
      <c r="DK310" s="47"/>
      <c r="DM310" s="47"/>
      <c r="DN310" s="47"/>
      <c r="DO310" s="47"/>
      <c r="DP310" s="47"/>
      <c r="DQ310" s="47"/>
      <c r="DR310" s="47"/>
      <c r="DS310" s="47"/>
      <c r="DT310" s="47"/>
      <c r="DU310" s="47"/>
      <c r="DV310" s="49"/>
      <c r="DW310" s="47"/>
      <c r="DX310" s="47"/>
      <c r="DY310" s="47"/>
      <c r="DZ310" s="47"/>
      <c r="EA310" s="47"/>
      <c r="EB310" s="47"/>
      <c r="EC310" s="47"/>
      <c r="ED310" s="47"/>
      <c r="EE310" s="47"/>
      <c r="EF310" s="47"/>
      <c r="EG310" s="47"/>
      <c r="EH310" s="47"/>
      <c r="EI310" s="47"/>
      <c r="EJ310" s="47"/>
      <c r="EK310" s="47"/>
      <c r="EL310" s="47"/>
      <c r="EM310" s="47"/>
      <c r="EN310" s="47"/>
      <c r="EO310" s="47"/>
      <c r="EP310" s="47"/>
      <c r="EQ310" s="47"/>
      <c r="ER310" s="47"/>
      <c r="ES310" s="47"/>
      <c r="ET310" s="47"/>
      <c r="EU310" s="47"/>
      <c r="EV310" s="47"/>
      <c r="EW310" s="47"/>
      <c r="EX310" s="47"/>
      <c r="EY310" s="47"/>
      <c r="EZ310" s="47"/>
      <c r="FA310" s="47"/>
      <c r="FB310" s="47"/>
      <c r="FC310" s="47"/>
      <c r="FD310" s="47"/>
      <c r="FE310" s="47"/>
      <c r="FF310" s="47"/>
      <c r="FG310" s="47"/>
      <c r="FH310" s="47"/>
      <c r="FI310" s="47"/>
      <c r="FJ310" s="49"/>
      <c r="FK310" s="47"/>
      <c r="FL310" s="47"/>
      <c r="FM310" s="47"/>
      <c r="FN310" s="47"/>
      <c r="FO310" s="47"/>
      <c r="FP310" s="47"/>
      <c r="FQ310" s="47"/>
      <c r="FR310" s="47"/>
      <c r="FS310" s="47"/>
      <c r="FT310" s="47"/>
      <c r="FU310" s="47"/>
      <c r="FV310" s="47"/>
      <c r="FW310" s="47"/>
      <c r="FX310" s="47"/>
      <c r="FY310" s="47"/>
      <c r="FZ310" s="47"/>
      <c r="GA310" s="47"/>
      <c r="GB310" s="47"/>
      <c r="GC310" s="47"/>
      <c r="GD310" s="47"/>
      <c r="GE310" s="47"/>
      <c r="GF310" s="47"/>
      <c r="GG310" s="47"/>
      <c r="GH310" s="47"/>
      <c r="GI310" s="47"/>
      <c r="GJ310" s="47"/>
      <c r="GK310" s="47"/>
      <c r="GL310" s="47"/>
      <c r="GM310" s="47"/>
      <c r="GN310" s="47"/>
      <c r="GO310" s="47"/>
      <c r="GP310" s="47"/>
      <c r="GQ310" s="47"/>
      <c r="GR310" s="47"/>
      <c r="GS310" s="47"/>
      <c r="GT310" s="47"/>
      <c r="GU310" s="47"/>
      <c r="GV310" s="47"/>
      <c r="GW310" s="47"/>
      <c r="GX310" s="47"/>
      <c r="GY310" s="47"/>
      <c r="GZ310" s="47"/>
      <c r="HA310" s="47"/>
      <c r="HB310" s="47"/>
      <c r="HC310" s="47"/>
      <c r="HD310" s="47"/>
      <c r="HE310" s="47"/>
      <c r="HF310" s="47"/>
      <c r="HI310" s="47"/>
      <c r="HJ310" s="47"/>
      <c r="HK310" s="47"/>
      <c r="HL310" s="47"/>
      <c r="HM310" s="47"/>
      <c r="HN310" s="47"/>
      <c r="HO310" s="47"/>
      <c r="HP310" s="47"/>
      <c r="HS310" s="47"/>
      <c r="HT310" s="47"/>
      <c r="HU310" s="47"/>
      <c r="HV310" s="47"/>
      <c r="HW310" s="47"/>
      <c r="HX310" s="47"/>
      <c r="HY310" s="47"/>
      <c r="HZ310" s="47"/>
      <c r="IC310" s="47"/>
      <c r="ID310" s="47"/>
      <c r="IE310" s="47"/>
      <c r="IF310" s="47"/>
      <c r="IG310" s="47"/>
      <c r="IH310" s="47"/>
      <c r="II310" s="47"/>
      <c r="IJ310" s="47"/>
      <c r="IM310" s="47"/>
      <c r="IN310" s="47"/>
      <c r="IO310" s="47"/>
      <c r="IP310" s="47"/>
      <c r="IQ310" s="47"/>
      <c r="IR310" s="47"/>
      <c r="IS310" s="47"/>
      <c r="IT310" s="47"/>
      <c r="IW310" s="47"/>
      <c r="IX310" s="47"/>
      <c r="IY310" s="47"/>
      <c r="IZ310" s="47"/>
      <c r="JA310" s="47"/>
      <c r="JB310" s="47"/>
      <c r="JC310" s="47"/>
      <c r="JD310" s="47"/>
      <c r="JG310" s="47"/>
      <c r="JH310" s="47"/>
      <c r="JI310" s="47"/>
      <c r="JJ310" s="47"/>
      <c r="JK310" s="47"/>
      <c r="JL310" s="47"/>
      <c r="JM310" s="47"/>
      <c r="JN310" s="47"/>
      <c r="JQ310" s="47"/>
      <c r="JR310" s="47"/>
      <c r="JS310" s="47"/>
      <c r="JT310" s="47"/>
      <c r="JU310" s="47"/>
      <c r="JV310" s="47"/>
      <c r="JW310" s="47"/>
      <c r="JX310" s="47"/>
      <c r="KA310" s="47"/>
      <c r="KB310" s="47"/>
      <c r="KC310" s="47"/>
      <c r="KD310" s="47"/>
      <c r="KE310" s="47"/>
      <c r="KF310" s="47"/>
      <c r="KG310" s="47"/>
      <c r="KH310" s="47"/>
      <c r="KK310" s="47"/>
      <c r="KL310" s="47"/>
      <c r="KM310" s="47"/>
      <c r="KN310" s="47"/>
      <c r="KO310" s="47"/>
      <c r="KP310" s="47"/>
      <c r="KQ310" s="47"/>
      <c r="KR310" s="47"/>
      <c r="KU310" s="47"/>
      <c r="KV310" s="47"/>
      <c r="KW310" s="47"/>
      <c r="KX310" s="47"/>
      <c r="KY310" s="47"/>
      <c r="KZ310" s="47"/>
      <c r="LA310" s="47"/>
      <c r="LB310" s="47"/>
    </row>
    <row r="311" spans="29:314" x14ac:dyDescent="0.25">
      <c r="AC311" s="47"/>
      <c r="AD311" s="47"/>
      <c r="AE311" s="47"/>
      <c r="AF311" s="47"/>
      <c r="AG311" s="49"/>
      <c r="AH311" s="47"/>
      <c r="AI311" s="47"/>
      <c r="AJ311" s="47"/>
      <c r="AK311" s="47"/>
      <c r="AL311" s="47"/>
      <c r="AM311" s="47"/>
      <c r="AN311" s="47"/>
      <c r="AO311" s="47"/>
      <c r="AP311" s="47"/>
      <c r="AQ311" s="47"/>
      <c r="AR311" s="47"/>
      <c r="AS311" s="47"/>
      <c r="AT311" s="47"/>
      <c r="AU311" s="47"/>
      <c r="AV311" s="47"/>
      <c r="AW311" s="47"/>
      <c r="AX311" s="47"/>
      <c r="AY311" s="47"/>
      <c r="AZ311" s="47"/>
      <c r="BA311" s="47"/>
      <c r="BB311" s="47"/>
      <c r="BC311" s="47"/>
      <c r="BD311" s="47"/>
      <c r="BE311" s="47"/>
      <c r="BF311" s="47"/>
      <c r="BG311" s="47"/>
      <c r="BH311" s="47"/>
      <c r="BI311" s="47"/>
      <c r="BJ311" s="47"/>
      <c r="BK311" s="47"/>
      <c r="BL311" s="47"/>
      <c r="BM311" s="47"/>
      <c r="BN311" s="49"/>
      <c r="BO311" s="47"/>
      <c r="BP311" s="47"/>
      <c r="BQ311" s="47"/>
      <c r="BR311" s="47"/>
      <c r="BS311" s="47"/>
      <c r="BT311" s="47"/>
      <c r="BU311" s="47"/>
      <c r="BV311" s="47"/>
      <c r="BW311" s="47"/>
      <c r="BX311" s="47"/>
      <c r="BY311" s="47"/>
      <c r="BZ311" s="47"/>
      <c r="CA311" s="47"/>
      <c r="CB311" s="47"/>
      <c r="CC311" s="47"/>
      <c r="CD311" s="47"/>
      <c r="CE311" s="47"/>
      <c r="CF311" s="47"/>
      <c r="CG311" s="49"/>
      <c r="CH311" s="47"/>
      <c r="CI311" s="47"/>
      <c r="CJ311" s="47"/>
      <c r="CK311" s="47"/>
      <c r="CL311" s="47"/>
      <c r="CM311" s="47"/>
      <c r="CN311" s="47"/>
      <c r="CO311" s="47"/>
      <c r="CP311" s="47"/>
      <c r="CQ311" s="47"/>
      <c r="CS311" s="47"/>
      <c r="CT311" s="47"/>
      <c r="CU311" s="47"/>
      <c r="CV311" s="47"/>
      <c r="CW311" s="47"/>
      <c r="CX311" s="47"/>
      <c r="CY311" s="47"/>
      <c r="CZ311" s="47"/>
      <c r="DA311" s="47"/>
      <c r="DB311" s="47"/>
      <c r="DC311" s="47"/>
      <c r="DD311" s="47"/>
      <c r="DE311" s="47"/>
      <c r="DF311" s="47"/>
      <c r="DG311" s="47"/>
      <c r="DH311" s="47"/>
      <c r="DI311" s="47"/>
      <c r="DJ311" s="47"/>
      <c r="DK311" s="47"/>
      <c r="DM311" s="47"/>
      <c r="DN311" s="47"/>
      <c r="DO311" s="47"/>
      <c r="DP311" s="47"/>
      <c r="DQ311" s="47"/>
      <c r="DR311" s="47"/>
      <c r="DS311" s="47"/>
      <c r="DT311" s="47"/>
      <c r="DU311" s="47"/>
      <c r="DV311" s="49"/>
      <c r="DW311" s="47"/>
      <c r="DX311" s="47"/>
      <c r="DY311" s="47"/>
      <c r="DZ311" s="47"/>
      <c r="EA311" s="47"/>
      <c r="EB311" s="47"/>
      <c r="EC311" s="47"/>
      <c r="ED311" s="47"/>
      <c r="EE311" s="47"/>
      <c r="EF311" s="47"/>
      <c r="EG311" s="47"/>
      <c r="EH311" s="47"/>
      <c r="EI311" s="47"/>
      <c r="EJ311" s="47"/>
      <c r="EK311" s="47"/>
      <c r="EL311" s="47"/>
      <c r="EM311" s="47"/>
      <c r="EN311" s="47"/>
      <c r="EO311" s="47"/>
      <c r="EP311" s="47"/>
      <c r="EQ311" s="47"/>
      <c r="ER311" s="47"/>
      <c r="ES311" s="47"/>
      <c r="ET311" s="47"/>
      <c r="EU311" s="47"/>
      <c r="EV311" s="47"/>
      <c r="EW311" s="47"/>
      <c r="EX311" s="47"/>
      <c r="EY311" s="47"/>
      <c r="EZ311" s="47"/>
      <c r="FA311" s="47"/>
      <c r="FB311" s="47"/>
      <c r="FC311" s="47"/>
      <c r="FD311" s="47"/>
      <c r="FE311" s="47"/>
      <c r="FF311" s="47"/>
      <c r="FG311" s="47"/>
      <c r="FH311" s="47"/>
      <c r="FI311" s="47"/>
      <c r="FJ311" s="49"/>
      <c r="FK311" s="47"/>
      <c r="FL311" s="47"/>
      <c r="FM311" s="47"/>
      <c r="FN311" s="47"/>
      <c r="FO311" s="47"/>
      <c r="FP311" s="47"/>
      <c r="FQ311" s="47"/>
      <c r="FR311" s="47"/>
      <c r="FS311" s="47"/>
      <c r="FT311" s="47"/>
      <c r="FU311" s="47"/>
      <c r="FV311" s="47"/>
      <c r="FW311" s="47"/>
      <c r="FX311" s="47"/>
      <c r="FY311" s="47"/>
      <c r="FZ311" s="47"/>
      <c r="GA311" s="47"/>
      <c r="GB311" s="47"/>
      <c r="GC311" s="47"/>
      <c r="GD311" s="47"/>
      <c r="GE311" s="47"/>
      <c r="GF311" s="47"/>
      <c r="GG311" s="47"/>
      <c r="GH311" s="47"/>
      <c r="GI311" s="47"/>
      <c r="GJ311" s="47"/>
      <c r="GK311" s="47"/>
      <c r="GL311" s="47"/>
      <c r="GM311" s="47"/>
      <c r="GN311" s="47"/>
      <c r="GO311" s="47"/>
      <c r="GP311" s="47"/>
      <c r="GQ311" s="47"/>
      <c r="GR311" s="47"/>
      <c r="GS311" s="47"/>
      <c r="GT311" s="47"/>
      <c r="GU311" s="47"/>
      <c r="GV311" s="47"/>
      <c r="GW311" s="47"/>
      <c r="GX311" s="47"/>
      <c r="GY311" s="47"/>
      <c r="GZ311" s="47"/>
      <c r="HA311" s="47"/>
      <c r="HB311" s="47"/>
      <c r="HC311" s="47"/>
      <c r="HD311" s="47"/>
      <c r="HE311" s="47"/>
      <c r="HF311" s="47"/>
      <c r="HI311" s="47"/>
      <c r="HJ311" s="47"/>
      <c r="HK311" s="47"/>
      <c r="HL311" s="47"/>
      <c r="HM311" s="47"/>
      <c r="HN311" s="47"/>
      <c r="HO311" s="47"/>
      <c r="HP311" s="47"/>
      <c r="HS311" s="47"/>
      <c r="HT311" s="47"/>
      <c r="HU311" s="47"/>
      <c r="HV311" s="47"/>
      <c r="HW311" s="47"/>
      <c r="HX311" s="47"/>
      <c r="HY311" s="47"/>
      <c r="HZ311" s="47"/>
      <c r="IC311" s="47"/>
      <c r="ID311" s="47"/>
      <c r="IE311" s="47"/>
      <c r="IF311" s="47"/>
      <c r="IG311" s="47"/>
      <c r="IH311" s="47"/>
      <c r="II311" s="47"/>
      <c r="IJ311" s="47"/>
      <c r="IM311" s="47"/>
      <c r="IN311" s="47"/>
      <c r="IO311" s="47"/>
      <c r="IP311" s="47"/>
      <c r="IQ311" s="47"/>
      <c r="IR311" s="47"/>
      <c r="IS311" s="47"/>
      <c r="IT311" s="47"/>
      <c r="IW311" s="47"/>
      <c r="IX311" s="47"/>
      <c r="IY311" s="47"/>
      <c r="IZ311" s="47"/>
      <c r="JA311" s="47"/>
      <c r="JB311" s="47"/>
      <c r="JC311" s="47"/>
      <c r="JD311" s="47"/>
      <c r="JG311" s="47"/>
      <c r="JH311" s="47"/>
      <c r="JI311" s="47"/>
      <c r="JJ311" s="47"/>
      <c r="JK311" s="47"/>
      <c r="JL311" s="47"/>
      <c r="JM311" s="47"/>
      <c r="JN311" s="47"/>
      <c r="JQ311" s="47"/>
      <c r="JR311" s="47"/>
      <c r="JS311" s="47"/>
      <c r="JT311" s="47"/>
      <c r="JU311" s="47"/>
      <c r="JV311" s="47"/>
      <c r="JW311" s="47"/>
      <c r="JX311" s="47"/>
      <c r="KA311" s="47"/>
      <c r="KB311" s="47"/>
      <c r="KC311" s="47"/>
      <c r="KD311" s="47"/>
      <c r="KE311" s="47"/>
      <c r="KF311" s="47"/>
      <c r="KG311" s="47"/>
      <c r="KH311" s="47"/>
      <c r="KK311" s="47"/>
      <c r="KL311" s="47"/>
      <c r="KM311" s="47"/>
      <c r="KN311" s="47"/>
      <c r="KO311" s="47"/>
      <c r="KP311" s="47"/>
      <c r="KQ311" s="47"/>
      <c r="KR311" s="47"/>
      <c r="KU311" s="47"/>
      <c r="KV311" s="47"/>
      <c r="KW311" s="47"/>
      <c r="KX311" s="47"/>
      <c r="KY311" s="47"/>
      <c r="KZ311" s="47"/>
      <c r="LA311" s="47"/>
      <c r="LB311" s="47"/>
    </row>
    <row r="312" spans="29:314" x14ac:dyDescent="0.25">
      <c r="AC312" s="47"/>
      <c r="AD312" s="47"/>
      <c r="AE312" s="47"/>
      <c r="AF312" s="47"/>
      <c r="AG312" s="49"/>
      <c r="AH312" s="47"/>
      <c r="AI312" s="47"/>
      <c r="AJ312" s="47"/>
      <c r="AK312" s="47"/>
      <c r="AL312" s="47"/>
      <c r="AM312" s="47"/>
      <c r="AN312" s="47"/>
      <c r="AO312" s="47"/>
      <c r="AP312" s="47"/>
      <c r="AQ312" s="47"/>
      <c r="AR312" s="47"/>
      <c r="AS312" s="47"/>
      <c r="AT312" s="47"/>
      <c r="AU312" s="47"/>
      <c r="AV312" s="47"/>
      <c r="AW312" s="47"/>
      <c r="AX312" s="47"/>
      <c r="AY312" s="47"/>
      <c r="AZ312" s="47"/>
      <c r="BA312" s="47"/>
      <c r="BB312" s="47"/>
      <c r="BC312" s="47"/>
      <c r="BD312" s="47"/>
      <c r="BE312" s="47"/>
      <c r="BF312" s="47"/>
      <c r="BG312" s="47"/>
      <c r="BH312" s="47"/>
      <c r="BI312" s="47"/>
      <c r="BJ312" s="47"/>
      <c r="BK312" s="47"/>
      <c r="BL312" s="47"/>
      <c r="BM312" s="47"/>
      <c r="BN312" s="49"/>
      <c r="BO312" s="47"/>
      <c r="BP312" s="47"/>
      <c r="BQ312" s="47"/>
      <c r="BR312" s="47"/>
      <c r="BS312" s="47"/>
      <c r="BT312" s="47"/>
      <c r="BU312" s="47"/>
      <c r="BV312" s="47"/>
      <c r="BW312" s="47"/>
      <c r="BX312" s="47"/>
      <c r="BY312" s="47"/>
      <c r="BZ312" s="47"/>
      <c r="CA312" s="47"/>
      <c r="CB312" s="47"/>
      <c r="CC312" s="47"/>
      <c r="CD312" s="47"/>
      <c r="CE312" s="47"/>
      <c r="CF312" s="47"/>
      <c r="CG312" s="49"/>
      <c r="CH312" s="47"/>
      <c r="CI312" s="47"/>
      <c r="CJ312" s="47"/>
      <c r="CK312" s="47"/>
      <c r="CL312" s="47"/>
      <c r="CM312" s="47"/>
      <c r="CN312" s="47"/>
      <c r="CO312" s="47"/>
      <c r="CP312" s="47"/>
      <c r="CQ312" s="47"/>
      <c r="CS312" s="47"/>
      <c r="CT312" s="47"/>
      <c r="CU312" s="47"/>
      <c r="CV312" s="47"/>
      <c r="CW312" s="47"/>
      <c r="CX312" s="47"/>
      <c r="CY312" s="47"/>
      <c r="CZ312" s="47"/>
      <c r="DA312" s="47"/>
      <c r="DB312" s="47"/>
      <c r="DC312" s="47"/>
      <c r="DD312" s="47"/>
      <c r="DE312" s="47"/>
      <c r="DF312" s="47"/>
      <c r="DG312" s="47"/>
      <c r="DH312" s="47"/>
      <c r="DI312" s="47"/>
      <c r="DJ312" s="47"/>
      <c r="DK312" s="47"/>
      <c r="DM312" s="47"/>
      <c r="DN312" s="47"/>
      <c r="DO312" s="47"/>
      <c r="DP312" s="47"/>
      <c r="DQ312" s="47"/>
      <c r="DR312" s="47"/>
      <c r="DS312" s="47"/>
      <c r="DT312" s="47"/>
      <c r="DU312" s="47"/>
      <c r="DV312" s="49"/>
      <c r="DW312" s="47"/>
      <c r="DX312" s="47"/>
      <c r="DY312" s="47"/>
      <c r="DZ312" s="47"/>
      <c r="EA312" s="47"/>
      <c r="EB312" s="47"/>
      <c r="EC312" s="47"/>
      <c r="ED312" s="47"/>
      <c r="EE312" s="47"/>
      <c r="EF312" s="47"/>
      <c r="EG312" s="47"/>
      <c r="EH312" s="47"/>
      <c r="EI312" s="47"/>
      <c r="EJ312" s="47"/>
      <c r="EK312" s="47"/>
      <c r="EL312" s="47"/>
      <c r="EM312" s="47"/>
      <c r="EN312" s="47"/>
      <c r="EO312" s="47"/>
      <c r="EP312" s="47"/>
      <c r="EQ312" s="47"/>
      <c r="ER312" s="47"/>
      <c r="ES312" s="47"/>
      <c r="ET312" s="47"/>
      <c r="EU312" s="47"/>
      <c r="EV312" s="47"/>
      <c r="EW312" s="47"/>
      <c r="EX312" s="47"/>
      <c r="EY312" s="47"/>
      <c r="EZ312" s="47"/>
      <c r="FA312" s="47"/>
      <c r="FB312" s="47"/>
      <c r="FC312" s="47"/>
      <c r="FD312" s="47"/>
      <c r="FE312" s="47"/>
      <c r="FF312" s="47"/>
      <c r="FG312" s="47"/>
      <c r="FH312" s="47"/>
      <c r="FI312" s="47"/>
      <c r="FJ312" s="49"/>
      <c r="FK312" s="47"/>
      <c r="FL312" s="47"/>
      <c r="FM312" s="47"/>
      <c r="FN312" s="47"/>
      <c r="FO312" s="47"/>
      <c r="FP312" s="47"/>
      <c r="FQ312" s="47"/>
      <c r="FR312" s="47"/>
      <c r="FS312" s="47"/>
      <c r="FT312" s="47"/>
      <c r="FU312" s="47"/>
      <c r="FV312" s="47"/>
      <c r="FW312" s="47"/>
      <c r="FX312" s="47"/>
      <c r="FY312" s="47"/>
      <c r="FZ312" s="47"/>
      <c r="GA312" s="47"/>
      <c r="GB312" s="47"/>
      <c r="GC312" s="47"/>
      <c r="GD312" s="47"/>
      <c r="GE312" s="47"/>
      <c r="GF312" s="47"/>
      <c r="GG312" s="47"/>
      <c r="GH312" s="47"/>
      <c r="GI312" s="47"/>
      <c r="GJ312" s="47"/>
      <c r="GK312" s="47"/>
      <c r="GL312" s="47"/>
      <c r="GM312" s="47"/>
      <c r="GN312" s="47"/>
      <c r="GO312" s="47"/>
      <c r="GP312" s="47"/>
      <c r="GQ312" s="47"/>
      <c r="GR312" s="47"/>
      <c r="GS312" s="47"/>
      <c r="GT312" s="47"/>
      <c r="GU312" s="47"/>
      <c r="GV312" s="47"/>
      <c r="GW312" s="47"/>
      <c r="GX312" s="47"/>
      <c r="GY312" s="47"/>
      <c r="GZ312" s="47"/>
      <c r="HA312" s="47"/>
      <c r="HB312" s="47"/>
      <c r="HC312" s="47"/>
      <c r="HD312" s="47"/>
      <c r="HE312" s="47"/>
      <c r="HF312" s="47"/>
      <c r="HI312" s="47"/>
      <c r="HJ312" s="47"/>
      <c r="HK312" s="47"/>
      <c r="HL312" s="47"/>
      <c r="HM312" s="47"/>
      <c r="HN312" s="47"/>
      <c r="HO312" s="47"/>
      <c r="HP312" s="47"/>
      <c r="HS312" s="47"/>
      <c r="HT312" s="47"/>
      <c r="HU312" s="47"/>
      <c r="HV312" s="47"/>
      <c r="HW312" s="47"/>
      <c r="HX312" s="47"/>
      <c r="HY312" s="47"/>
      <c r="HZ312" s="47"/>
      <c r="IC312" s="47"/>
      <c r="ID312" s="47"/>
      <c r="IE312" s="47"/>
      <c r="IF312" s="47"/>
      <c r="IG312" s="47"/>
      <c r="IH312" s="47"/>
      <c r="II312" s="47"/>
      <c r="IJ312" s="47"/>
      <c r="IM312" s="47"/>
      <c r="IN312" s="47"/>
      <c r="IO312" s="47"/>
      <c r="IP312" s="47"/>
      <c r="IQ312" s="47"/>
      <c r="IR312" s="47"/>
      <c r="IS312" s="47"/>
      <c r="IT312" s="47"/>
      <c r="IW312" s="47"/>
      <c r="IX312" s="47"/>
      <c r="IY312" s="47"/>
      <c r="IZ312" s="47"/>
      <c r="JA312" s="47"/>
      <c r="JB312" s="47"/>
      <c r="JC312" s="47"/>
      <c r="JD312" s="47"/>
      <c r="JG312" s="47"/>
      <c r="JH312" s="47"/>
      <c r="JI312" s="47"/>
      <c r="JJ312" s="47"/>
      <c r="JK312" s="47"/>
      <c r="JL312" s="47"/>
      <c r="JM312" s="47"/>
      <c r="JN312" s="47"/>
      <c r="JQ312" s="47"/>
      <c r="JR312" s="47"/>
      <c r="JS312" s="47"/>
      <c r="JT312" s="47"/>
      <c r="JU312" s="47"/>
      <c r="JV312" s="47"/>
      <c r="JW312" s="47"/>
      <c r="JX312" s="47"/>
      <c r="KA312" s="47"/>
      <c r="KB312" s="47"/>
      <c r="KC312" s="47"/>
      <c r="KD312" s="47"/>
      <c r="KE312" s="47"/>
      <c r="KF312" s="47"/>
      <c r="KG312" s="47"/>
      <c r="KH312" s="47"/>
      <c r="KK312" s="47"/>
      <c r="KL312" s="47"/>
      <c r="KM312" s="47"/>
      <c r="KN312" s="47"/>
      <c r="KO312" s="47"/>
      <c r="KP312" s="47"/>
      <c r="KQ312" s="47"/>
      <c r="KR312" s="47"/>
      <c r="KU312" s="47"/>
      <c r="KV312" s="47"/>
      <c r="KW312" s="47"/>
      <c r="KX312" s="47"/>
      <c r="KY312" s="47"/>
      <c r="KZ312" s="47"/>
      <c r="LA312" s="47"/>
      <c r="LB312" s="47"/>
    </row>
    <row r="313" spans="29:314" x14ac:dyDescent="0.25">
      <c r="AC313" s="47"/>
      <c r="AD313" s="47"/>
      <c r="AE313" s="47"/>
      <c r="AF313" s="47"/>
      <c r="AG313" s="49"/>
      <c r="AH313" s="47"/>
      <c r="AI313" s="47"/>
      <c r="AJ313" s="47"/>
      <c r="AK313" s="47"/>
      <c r="AL313" s="47"/>
      <c r="AM313" s="47"/>
      <c r="AN313" s="47"/>
      <c r="AO313" s="47"/>
      <c r="AP313" s="47"/>
      <c r="AQ313" s="47"/>
      <c r="AR313" s="47"/>
      <c r="AS313" s="47"/>
      <c r="AT313" s="47"/>
      <c r="AU313" s="47"/>
      <c r="AV313" s="47"/>
      <c r="AW313" s="47"/>
      <c r="AX313" s="47"/>
      <c r="AY313" s="47"/>
      <c r="AZ313" s="47"/>
      <c r="BA313" s="47"/>
      <c r="BB313" s="47"/>
      <c r="BC313" s="47"/>
      <c r="BD313" s="47"/>
      <c r="BE313" s="47"/>
      <c r="BF313" s="47"/>
      <c r="BG313" s="47"/>
      <c r="BH313" s="47"/>
      <c r="BI313" s="47"/>
      <c r="BJ313" s="47"/>
      <c r="BK313" s="47"/>
      <c r="BL313" s="47"/>
      <c r="BM313" s="47"/>
      <c r="BN313" s="49"/>
      <c r="BO313" s="47"/>
      <c r="BP313" s="47"/>
      <c r="BQ313" s="47"/>
      <c r="BR313" s="47"/>
      <c r="BS313" s="47"/>
      <c r="BT313" s="47"/>
      <c r="BU313" s="47"/>
      <c r="BV313" s="47"/>
      <c r="BW313" s="47"/>
      <c r="BX313" s="47"/>
      <c r="BY313" s="47"/>
      <c r="BZ313" s="47"/>
      <c r="CA313" s="47"/>
      <c r="CB313" s="47"/>
      <c r="CC313" s="47"/>
      <c r="CD313" s="47"/>
      <c r="CE313" s="47"/>
      <c r="CF313" s="47"/>
      <c r="CG313" s="49"/>
      <c r="CH313" s="47"/>
      <c r="CI313" s="47"/>
      <c r="CJ313" s="47"/>
      <c r="CK313" s="47"/>
      <c r="CL313" s="47"/>
      <c r="CM313" s="47"/>
      <c r="CN313" s="47"/>
      <c r="CO313" s="47"/>
      <c r="CP313" s="47"/>
      <c r="CQ313" s="47"/>
      <c r="CS313" s="47"/>
      <c r="CT313" s="47"/>
      <c r="CU313" s="47"/>
      <c r="CV313" s="47"/>
      <c r="CW313" s="47"/>
      <c r="CX313" s="47"/>
      <c r="CY313" s="47"/>
      <c r="CZ313" s="47"/>
      <c r="DA313" s="47"/>
      <c r="DB313" s="47"/>
      <c r="DC313" s="47"/>
      <c r="DD313" s="47"/>
      <c r="DE313" s="47"/>
      <c r="DF313" s="47"/>
      <c r="DG313" s="47"/>
      <c r="DH313" s="47"/>
      <c r="DI313" s="47"/>
      <c r="DJ313" s="47"/>
      <c r="DK313" s="47"/>
      <c r="DM313" s="47"/>
      <c r="DN313" s="47"/>
      <c r="DO313" s="47"/>
      <c r="DP313" s="47"/>
      <c r="DQ313" s="47"/>
      <c r="DR313" s="47"/>
      <c r="DS313" s="47"/>
      <c r="DT313" s="47"/>
      <c r="DU313" s="47"/>
      <c r="DV313" s="49"/>
      <c r="DW313" s="47"/>
      <c r="DX313" s="47"/>
      <c r="DY313" s="47"/>
      <c r="DZ313" s="47"/>
      <c r="EA313" s="47"/>
      <c r="EB313" s="47"/>
      <c r="EC313" s="47"/>
      <c r="ED313" s="47"/>
      <c r="EE313" s="47"/>
      <c r="EF313" s="47"/>
      <c r="EG313" s="47"/>
      <c r="EH313" s="47"/>
      <c r="EI313" s="47"/>
      <c r="EJ313" s="47"/>
      <c r="EK313" s="47"/>
      <c r="EL313" s="47"/>
      <c r="EM313" s="47"/>
      <c r="EN313" s="47"/>
      <c r="EO313" s="47"/>
      <c r="EP313" s="47"/>
      <c r="EQ313" s="47"/>
      <c r="ER313" s="47"/>
      <c r="ES313" s="47"/>
      <c r="ET313" s="47"/>
      <c r="EU313" s="47"/>
      <c r="EV313" s="47"/>
      <c r="EW313" s="47"/>
      <c r="EX313" s="47"/>
      <c r="EY313" s="47"/>
      <c r="EZ313" s="47"/>
      <c r="FA313" s="47"/>
      <c r="FB313" s="47"/>
      <c r="FC313" s="47"/>
      <c r="FD313" s="47"/>
      <c r="FE313" s="47"/>
      <c r="FF313" s="47"/>
      <c r="FG313" s="47"/>
      <c r="FH313" s="47"/>
      <c r="FI313" s="47"/>
      <c r="FJ313" s="49"/>
      <c r="FK313" s="47"/>
      <c r="FL313" s="47"/>
      <c r="FM313" s="47"/>
      <c r="FN313" s="47"/>
      <c r="FO313" s="47"/>
      <c r="FP313" s="47"/>
      <c r="FQ313" s="47"/>
      <c r="FR313" s="47"/>
      <c r="FS313" s="47"/>
      <c r="FT313" s="47"/>
      <c r="FU313" s="47"/>
      <c r="FV313" s="47"/>
      <c r="FW313" s="47"/>
      <c r="FX313" s="47"/>
      <c r="FY313" s="47"/>
      <c r="FZ313" s="47"/>
      <c r="GA313" s="47"/>
      <c r="GB313" s="47"/>
      <c r="GC313" s="47"/>
      <c r="GD313" s="47"/>
      <c r="GE313" s="47"/>
      <c r="GF313" s="47"/>
      <c r="GG313" s="47"/>
      <c r="GH313" s="47"/>
      <c r="GI313" s="47"/>
      <c r="GJ313" s="47"/>
      <c r="GK313" s="47"/>
      <c r="GL313" s="47"/>
      <c r="GM313" s="47"/>
      <c r="GN313" s="47"/>
      <c r="GO313" s="47"/>
      <c r="GP313" s="47"/>
      <c r="GQ313" s="47"/>
      <c r="GR313" s="47"/>
      <c r="GS313" s="47"/>
      <c r="GT313" s="47"/>
      <c r="GU313" s="47"/>
      <c r="GV313" s="47"/>
      <c r="GW313" s="47"/>
      <c r="GX313" s="47"/>
      <c r="GY313" s="47"/>
      <c r="GZ313" s="47"/>
      <c r="HA313" s="47"/>
      <c r="HB313" s="47"/>
      <c r="HC313" s="47"/>
      <c r="HD313" s="47"/>
      <c r="HE313" s="47"/>
      <c r="HF313" s="47"/>
      <c r="HI313" s="47"/>
      <c r="HJ313" s="47"/>
      <c r="HK313" s="47"/>
      <c r="HL313" s="47"/>
      <c r="HM313" s="47"/>
      <c r="HN313" s="47"/>
      <c r="HO313" s="47"/>
      <c r="HP313" s="47"/>
      <c r="HS313" s="47"/>
      <c r="HT313" s="47"/>
      <c r="HU313" s="47"/>
      <c r="HV313" s="47"/>
      <c r="HW313" s="47"/>
      <c r="HX313" s="47"/>
      <c r="HY313" s="47"/>
      <c r="HZ313" s="47"/>
      <c r="IC313" s="47"/>
      <c r="ID313" s="47"/>
      <c r="IE313" s="47"/>
      <c r="IF313" s="47"/>
      <c r="IG313" s="47"/>
      <c r="IH313" s="47"/>
      <c r="II313" s="47"/>
      <c r="IJ313" s="47"/>
      <c r="IM313" s="47"/>
      <c r="IN313" s="47"/>
      <c r="IO313" s="47"/>
      <c r="IP313" s="47"/>
      <c r="IQ313" s="47"/>
      <c r="IR313" s="47"/>
      <c r="IS313" s="47"/>
      <c r="IT313" s="47"/>
      <c r="IW313" s="47"/>
      <c r="IX313" s="47"/>
      <c r="IY313" s="47"/>
      <c r="IZ313" s="47"/>
      <c r="JA313" s="47"/>
      <c r="JB313" s="47"/>
      <c r="JC313" s="47"/>
      <c r="JD313" s="47"/>
      <c r="JG313" s="47"/>
      <c r="JH313" s="47"/>
      <c r="JI313" s="47"/>
      <c r="JJ313" s="47"/>
      <c r="JK313" s="47"/>
      <c r="JL313" s="47"/>
      <c r="JM313" s="47"/>
      <c r="JN313" s="47"/>
      <c r="JQ313" s="47"/>
      <c r="JR313" s="47"/>
      <c r="JS313" s="47"/>
      <c r="JT313" s="47"/>
      <c r="JU313" s="47"/>
      <c r="JV313" s="47"/>
      <c r="JW313" s="47"/>
      <c r="JX313" s="47"/>
      <c r="KA313" s="47"/>
      <c r="KB313" s="47"/>
      <c r="KC313" s="47"/>
      <c r="KD313" s="47"/>
      <c r="KE313" s="47"/>
      <c r="KF313" s="47"/>
      <c r="KG313" s="47"/>
      <c r="KH313" s="47"/>
      <c r="KK313" s="47"/>
      <c r="KL313" s="47"/>
      <c r="KM313" s="47"/>
      <c r="KN313" s="47"/>
      <c r="KO313" s="47"/>
      <c r="KP313" s="47"/>
      <c r="KQ313" s="47"/>
      <c r="KR313" s="47"/>
      <c r="KU313" s="47"/>
      <c r="KV313" s="47"/>
      <c r="KW313" s="47"/>
      <c r="KX313" s="47"/>
      <c r="KY313" s="47"/>
      <c r="KZ313" s="47"/>
      <c r="LA313" s="47"/>
      <c r="LB313" s="47"/>
    </row>
    <row r="314" spans="29:314" x14ac:dyDescent="0.25">
      <c r="AC314" s="47"/>
      <c r="AD314" s="47"/>
      <c r="AE314" s="47"/>
      <c r="AF314" s="47"/>
      <c r="AG314" s="49"/>
      <c r="AH314" s="47"/>
      <c r="AI314" s="47"/>
      <c r="AJ314" s="47"/>
      <c r="AK314" s="47"/>
      <c r="AL314" s="47"/>
      <c r="AM314" s="47"/>
      <c r="AN314" s="47"/>
      <c r="AO314" s="47"/>
      <c r="AP314" s="47"/>
      <c r="AQ314" s="47"/>
      <c r="AR314" s="47"/>
      <c r="AS314" s="47"/>
      <c r="AT314" s="47"/>
      <c r="AU314" s="47"/>
      <c r="AV314" s="47"/>
      <c r="AW314" s="47"/>
      <c r="AX314" s="47"/>
      <c r="AY314" s="47"/>
      <c r="AZ314" s="47"/>
      <c r="BA314" s="47"/>
      <c r="BB314" s="47"/>
      <c r="BC314" s="47"/>
      <c r="BD314" s="47"/>
      <c r="BE314" s="47"/>
      <c r="BF314" s="47"/>
      <c r="BG314" s="47"/>
      <c r="BH314" s="47"/>
      <c r="BI314" s="47"/>
      <c r="BJ314" s="47"/>
      <c r="BK314" s="47"/>
      <c r="BL314" s="47"/>
      <c r="BM314" s="47"/>
      <c r="BN314" s="49"/>
      <c r="BO314" s="47"/>
      <c r="BP314" s="47"/>
      <c r="BQ314" s="47"/>
      <c r="BR314" s="47"/>
      <c r="BS314" s="47"/>
      <c r="BT314" s="47"/>
      <c r="BU314" s="47"/>
      <c r="BV314" s="47"/>
      <c r="BW314" s="47"/>
      <c r="BX314" s="47"/>
      <c r="BY314" s="47"/>
      <c r="BZ314" s="47"/>
      <c r="CA314" s="47"/>
      <c r="CB314" s="47"/>
      <c r="CC314" s="47"/>
      <c r="CD314" s="47"/>
      <c r="CE314" s="47"/>
      <c r="CF314" s="47"/>
      <c r="CG314" s="49"/>
      <c r="CH314" s="47"/>
      <c r="CI314" s="47"/>
      <c r="CJ314" s="47"/>
      <c r="CK314" s="47"/>
      <c r="CL314" s="47"/>
      <c r="CM314" s="47"/>
      <c r="CN314" s="47"/>
      <c r="CO314" s="47"/>
      <c r="CP314" s="47"/>
      <c r="CQ314" s="47"/>
      <c r="CS314" s="47"/>
      <c r="CT314" s="47"/>
      <c r="CU314" s="47"/>
      <c r="CV314" s="47"/>
      <c r="CW314" s="47"/>
      <c r="CX314" s="47"/>
      <c r="CY314" s="47"/>
      <c r="CZ314" s="47"/>
      <c r="DA314" s="47"/>
      <c r="DB314" s="47"/>
      <c r="DC314" s="47"/>
      <c r="DD314" s="47"/>
      <c r="DE314" s="47"/>
      <c r="DF314" s="47"/>
      <c r="DG314" s="47"/>
      <c r="DH314" s="47"/>
      <c r="DI314" s="47"/>
      <c r="DJ314" s="47"/>
      <c r="DK314" s="47"/>
      <c r="DM314" s="47"/>
      <c r="DN314" s="47"/>
      <c r="DO314" s="47"/>
      <c r="DP314" s="47"/>
      <c r="DQ314" s="47"/>
      <c r="DR314" s="47"/>
      <c r="DS314" s="47"/>
      <c r="DT314" s="47"/>
      <c r="DU314" s="47"/>
      <c r="DV314" s="49"/>
      <c r="DW314" s="47"/>
      <c r="DX314" s="47"/>
      <c r="DY314" s="47"/>
      <c r="DZ314" s="47"/>
      <c r="EA314" s="47"/>
      <c r="EB314" s="47"/>
      <c r="EC314" s="47"/>
      <c r="ED314" s="47"/>
      <c r="EE314" s="47"/>
      <c r="EF314" s="47"/>
      <c r="EG314" s="47"/>
      <c r="EH314" s="47"/>
      <c r="EI314" s="47"/>
      <c r="EJ314" s="47"/>
      <c r="EK314" s="47"/>
      <c r="EL314" s="47"/>
      <c r="EM314" s="47"/>
      <c r="EN314" s="47"/>
      <c r="EO314" s="47"/>
      <c r="EP314" s="47"/>
      <c r="EQ314" s="47"/>
      <c r="ER314" s="47"/>
      <c r="ES314" s="47"/>
      <c r="ET314" s="47"/>
      <c r="EU314" s="47"/>
      <c r="EV314" s="47"/>
      <c r="EW314" s="47"/>
      <c r="EX314" s="47"/>
      <c r="EY314" s="47"/>
      <c r="EZ314" s="47"/>
      <c r="FA314" s="47"/>
      <c r="FB314" s="47"/>
      <c r="FC314" s="47"/>
      <c r="FD314" s="47"/>
      <c r="FE314" s="47"/>
      <c r="FF314" s="47"/>
      <c r="FG314" s="47"/>
      <c r="FH314" s="47"/>
      <c r="FI314" s="47"/>
      <c r="FJ314" s="49"/>
      <c r="FK314" s="47"/>
      <c r="FL314" s="47"/>
      <c r="FM314" s="47"/>
      <c r="FN314" s="47"/>
      <c r="FO314" s="47"/>
      <c r="FP314" s="47"/>
      <c r="FQ314" s="47"/>
      <c r="FR314" s="47"/>
      <c r="FS314" s="47"/>
      <c r="FT314" s="47"/>
      <c r="FU314" s="47"/>
      <c r="FV314" s="47"/>
      <c r="FW314" s="47"/>
      <c r="FX314" s="47"/>
      <c r="FY314" s="47"/>
      <c r="FZ314" s="47"/>
      <c r="GA314" s="47"/>
      <c r="GB314" s="47"/>
      <c r="GC314" s="47"/>
      <c r="GD314" s="47"/>
      <c r="GE314" s="47"/>
      <c r="GF314" s="47"/>
      <c r="GG314" s="47"/>
      <c r="GH314" s="47"/>
      <c r="GI314" s="47"/>
      <c r="GJ314" s="47"/>
      <c r="GK314" s="47"/>
      <c r="GL314" s="47"/>
      <c r="GM314" s="47"/>
      <c r="GN314" s="47"/>
      <c r="GO314" s="47"/>
      <c r="GP314" s="47"/>
      <c r="GQ314" s="47"/>
      <c r="GR314" s="47"/>
      <c r="GS314" s="47"/>
      <c r="GT314" s="47"/>
      <c r="GU314" s="47"/>
      <c r="GV314" s="47"/>
      <c r="GW314" s="47"/>
      <c r="GX314" s="47"/>
      <c r="GY314" s="47"/>
      <c r="GZ314" s="47"/>
      <c r="HA314" s="47"/>
      <c r="HB314" s="47"/>
      <c r="HC314" s="47"/>
      <c r="HD314" s="47"/>
      <c r="HE314" s="47"/>
      <c r="HF314" s="47"/>
      <c r="HI314" s="47"/>
      <c r="HJ314" s="47"/>
      <c r="HK314" s="47"/>
      <c r="HL314" s="47"/>
      <c r="HM314" s="47"/>
      <c r="HN314" s="47"/>
      <c r="HO314" s="47"/>
      <c r="HP314" s="47"/>
      <c r="HS314" s="47"/>
      <c r="HT314" s="47"/>
      <c r="HU314" s="47"/>
      <c r="HV314" s="47"/>
      <c r="HW314" s="47"/>
      <c r="HX314" s="47"/>
      <c r="HY314" s="47"/>
      <c r="HZ314" s="47"/>
      <c r="IC314" s="47"/>
      <c r="ID314" s="47"/>
      <c r="IE314" s="47"/>
      <c r="IF314" s="47"/>
      <c r="IG314" s="47"/>
      <c r="IH314" s="47"/>
      <c r="II314" s="47"/>
      <c r="IJ314" s="47"/>
      <c r="IM314" s="47"/>
      <c r="IN314" s="47"/>
      <c r="IO314" s="47"/>
      <c r="IP314" s="47"/>
      <c r="IQ314" s="47"/>
      <c r="IR314" s="47"/>
      <c r="IS314" s="47"/>
      <c r="IT314" s="47"/>
      <c r="IW314" s="47"/>
      <c r="IX314" s="47"/>
      <c r="IY314" s="47"/>
      <c r="IZ314" s="47"/>
      <c r="JA314" s="47"/>
      <c r="JB314" s="47"/>
      <c r="JC314" s="47"/>
      <c r="JD314" s="47"/>
      <c r="JG314" s="47"/>
      <c r="JH314" s="47"/>
      <c r="JI314" s="47"/>
      <c r="JJ314" s="47"/>
      <c r="JK314" s="47"/>
      <c r="JL314" s="47"/>
      <c r="JM314" s="47"/>
      <c r="JN314" s="47"/>
      <c r="JQ314" s="47"/>
      <c r="JR314" s="47"/>
      <c r="JS314" s="47"/>
      <c r="JT314" s="47"/>
      <c r="JU314" s="47"/>
      <c r="JV314" s="47"/>
      <c r="JW314" s="47"/>
      <c r="JX314" s="47"/>
      <c r="KA314" s="47"/>
      <c r="KB314" s="47"/>
      <c r="KC314" s="47"/>
      <c r="KD314" s="47"/>
      <c r="KE314" s="47"/>
      <c r="KF314" s="47"/>
      <c r="KG314" s="47"/>
      <c r="KH314" s="47"/>
      <c r="KK314" s="47"/>
      <c r="KL314" s="47"/>
      <c r="KM314" s="47"/>
      <c r="KN314" s="47"/>
      <c r="KO314" s="47"/>
      <c r="KP314" s="47"/>
      <c r="KQ314" s="47"/>
      <c r="KR314" s="47"/>
      <c r="KU314" s="47"/>
      <c r="KV314" s="47"/>
      <c r="KW314" s="47"/>
      <c r="KX314" s="47"/>
      <c r="KY314" s="47"/>
      <c r="KZ314" s="47"/>
      <c r="LA314" s="47"/>
      <c r="LB314" s="47"/>
    </row>
    <row r="315" spans="29:314" x14ac:dyDescent="0.25">
      <c r="AC315" s="47"/>
      <c r="AD315" s="47"/>
      <c r="AE315" s="47"/>
      <c r="AF315" s="47"/>
      <c r="AG315" s="49"/>
      <c r="AH315" s="47"/>
      <c r="AI315" s="47"/>
      <c r="AJ315" s="47"/>
      <c r="AK315" s="47"/>
      <c r="AL315" s="47"/>
      <c r="AM315" s="47"/>
      <c r="AN315" s="47"/>
      <c r="AO315" s="47"/>
      <c r="AP315" s="47"/>
      <c r="AQ315" s="47"/>
      <c r="AR315" s="47"/>
      <c r="AS315" s="47"/>
      <c r="AT315" s="47"/>
      <c r="AU315" s="47"/>
      <c r="AV315" s="47"/>
      <c r="AW315" s="47"/>
      <c r="AX315" s="47"/>
      <c r="AY315" s="47"/>
      <c r="AZ315" s="47"/>
      <c r="BA315" s="47"/>
      <c r="BB315" s="47"/>
      <c r="BC315" s="47"/>
      <c r="BD315" s="47"/>
      <c r="BE315" s="47"/>
      <c r="BF315" s="47"/>
      <c r="BG315" s="47"/>
      <c r="BH315" s="47"/>
      <c r="BI315" s="47"/>
      <c r="BJ315" s="47"/>
      <c r="BK315" s="47"/>
      <c r="BL315" s="47"/>
      <c r="BM315" s="47"/>
      <c r="BN315" s="49"/>
      <c r="BO315" s="47"/>
      <c r="BP315" s="47"/>
      <c r="BQ315" s="47"/>
      <c r="BR315" s="47"/>
      <c r="BS315" s="47"/>
      <c r="BT315" s="47"/>
      <c r="BU315" s="47"/>
      <c r="BV315" s="47"/>
      <c r="BW315" s="47"/>
      <c r="BX315" s="47"/>
      <c r="BY315" s="47"/>
      <c r="BZ315" s="47"/>
      <c r="CA315" s="47"/>
      <c r="CB315" s="47"/>
      <c r="CC315" s="47"/>
      <c r="CD315" s="47"/>
      <c r="CE315" s="47"/>
      <c r="CF315" s="47"/>
      <c r="CG315" s="49"/>
      <c r="CH315" s="47"/>
      <c r="CI315" s="47"/>
      <c r="CJ315" s="47"/>
      <c r="CK315" s="47"/>
      <c r="CL315" s="47"/>
      <c r="CM315" s="47"/>
      <c r="CN315" s="47"/>
      <c r="CO315" s="47"/>
      <c r="CP315" s="47"/>
      <c r="CQ315" s="47"/>
      <c r="CS315" s="47"/>
      <c r="CT315" s="47"/>
      <c r="CU315" s="47"/>
      <c r="CV315" s="47"/>
      <c r="CW315" s="47"/>
      <c r="CX315" s="47"/>
      <c r="CY315" s="47"/>
      <c r="CZ315" s="47"/>
      <c r="DA315" s="47"/>
      <c r="DB315" s="47"/>
      <c r="DC315" s="47"/>
      <c r="DD315" s="47"/>
      <c r="DE315" s="47"/>
      <c r="DF315" s="47"/>
      <c r="DG315" s="47"/>
      <c r="DH315" s="47"/>
      <c r="DI315" s="47"/>
      <c r="DJ315" s="47"/>
      <c r="DK315" s="47"/>
      <c r="DM315" s="47"/>
      <c r="DN315" s="47"/>
      <c r="DO315" s="47"/>
      <c r="DP315" s="47"/>
      <c r="DQ315" s="47"/>
      <c r="DR315" s="47"/>
      <c r="DS315" s="47"/>
      <c r="DT315" s="47"/>
      <c r="DU315" s="47"/>
      <c r="DV315" s="49"/>
      <c r="DW315" s="47"/>
      <c r="DX315" s="47"/>
      <c r="DY315" s="47"/>
      <c r="DZ315" s="47"/>
      <c r="EA315" s="47"/>
      <c r="EB315" s="47"/>
      <c r="EC315" s="47"/>
      <c r="ED315" s="47"/>
      <c r="EE315" s="47"/>
      <c r="EF315" s="47"/>
      <c r="EG315" s="47"/>
      <c r="EH315" s="47"/>
      <c r="EI315" s="47"/>
      <c r="EJ315" s="47"/>
      <c r="EK315" s="47"/>
      <c r="EL315" s="47"/>
      <c r="EM315" s="47"/>
      <c r="EN315" s="47"/>
      <c r="EO315" s="47"/>
      <c r="EP315" s="47"/>
      <c r="EQ315" s="47"/>
      <c r="ER315" s="47"/>
      <c r="ES315" s="47"/>
      <c r="ET315" s="47"/>
      <c r="EU315" s="47"/>
      <c r="EV315" s="47"/>
      <c r="EW315" s="47"/>
      <c r="EX315" s="47"/>
      <c r="EY315" s="47"/>
      <c r="EZ315" s="47"/>
      <c r="FA315" s="47"/>
      <c r="FB315" s="47"/>
      <c r="FC315" s="47"/>
      <c r="FD315" s="47"/>
      <c r="FE315" s="47"/>
      <c r="FF315" s="47"/>
      <c r="FG315" s="47"/>
      <c r="FH315" s="47"/>
      <c r="FI315" s="47"/>
      <c r="FJ315" s="49"/>
      <c r="FK315" s="47"/>
      <c r="FL315" s="47"/>
      <c r="FM315" s="47"/>
      <c r="FN315" s="47"/>
      <c r="FO315" s="47"/>
      <c r="FP315" s="47"/>
      <c r="FQ315" s="47"/>
      <c r="FR315" s="47"/>
      <c r="FS315" s="47"/>
      <c r="FT315" s="47"/>
      <c r="FU315" s="47"/>
      <c r="FV315" s="47"/>
      <c r="FW315" s="47"/>
      <c r="FX315" s="47"/>
      <c r="FY315" s="47"/>
      <c r="FZ315" s="47"/>
      <c r="GA315" s="47"/>
      <c r="GB315" s="47"/>
      <c r="GC315" s="47"/>
      <c r="GD315" s="47"/>
      <c r="GE315" s="47"/>
      <c r="GF315" s="47"/>
      <c r="GG315" s="47"/>
      <c r="GH315" s="47"/>
      <c r="GI315" s="47"/>
      <c r="GJ315" s="47"/>
      <c r="GK315" s="47"/>
      <c r="GL315" s="47"/>
      <c r="GM315" s="47"/>
      <c r="GN315" s="47"/>
      <c r="GO315" s="47"/>
      <c r="GP315" s="47"/>
      <c r="GQ315" s="47"/>
      <c r="GR315" s="47"/>
      <c r="GS315" s="47"/>
      <c r="GT315" s="47"/>
      <c r="GU315" s="47"/>
      <c r="GV315" s="47"/>
      <c r="GW315" s="47"/>
      <c r="GX315" s="47"/>
      <c r="GY315" s="47"/>
      <c r="GZ315" s="47"/>
      <c r="HA315" s="47"/>
      <c r="HB315" s="47"/>
      <c r="HC315" s="47"/>
      <c r="HD315" s="47"/>
      <c r="HE315" s="47"/>
      <c r="HF315" s="47"/>
      <c r="HI315" s="47"/>
      <c r="HJ315" s="47"/>
      <c r="HK315" s="47"/>
      <c r="HL315" s="47"/>
      <c r="HM315" s="47"/>
      <c r="HN315" s="47"/>
      <c r="HO315" s="47"/>
      <c r="HP315" s="47"/>
      <c r="HS315" s="47"/>
      <c r="HT315" s="47"/>
      <c r="HU315" s="47"/>
      <c r="HV315" s="47"/>
      <c r="HW315" s="47"/>
      <c r="HX315" s="47"/>
      <c r="HY315" s="47"/>
      <c r="HZ315" s="47"/>
      <c r="IC315" s="47"/>
      <c r="ID315" s="47"/>
      <c r="IE315" s="47"/>
      <c r="IF315" s="47"/>
      <c r="IG315" s="47"/>
      <c r="IH315" s="47"/>
      <c r="II315" s="47"/>
      <c r="IJ315" s="47"/>
      <c r="IM315" s="47"/>
      <c r="IN315" s="47"/>
      <c r="IO315" s="47"/>
      <c r="IP315" s="47"/>
      <c r="IQ315" s="47"/>
      <c r="IR315" s="47"/>
      <c r="IS315" s="47"/>
      <c r="IT315" s="47"/>
      <c r="IW315" s="47"/>
      <c r="IX315" s="47"/>
      <c r="IY315" s="47"/>
      <c r="IZ315" s="47"/>
      <c r="JA315" s="47"/>
      <c r="JB315" s="47"/>
      <c r="JC315" s="47"/>
      <c r="JD315" s="47"/>
      <c r="JG315" s="47"/>
      <c r="JH315" s="47"/>
      <c r="JI315" s="47"/>
      <c r="JJ315" s="47"/>
      <c r="JK315" s="47"/>
      <c r="JL315" s="47"/>
      <c r="JM315" s="47"/>
      <c r="JN315" s="47"/>
      <c r="JQ315" s="47"/>
      <c r="JR315" s="47"/>
      <c r="JS315" s="47"/>
      <c r="JT315" s="47"/>
      <c r="JU315" s="47"/>
      <c r="JV315" s="47"/>
      <c r="JW315" s="47"/>
      <c r="JX315" s="47"/>
      <c r="KA315" s="47"/>
      <c r="KB315" s="47"/>
      <c r="KC315" s="47"/>
      <c r="KD315" s="47"/>
      <c r="KE315" s="47"/>
      <c r="KF315" s="47"/>
      <c r="KG315" s="47"/>
      <c r="KH315" s="47"/>
      <c r="KK315" s="47"/>
      <c r="KL315" s="47"/>
      <c r="KM315" s="47"/>
      <c r="KN315" s="47"/>
      <c r="KO315" s="47"/>
      <c r="KP315" s="47"/>
      <c r="KQ315" s="47"/>
      <c r="KR315" s="47"/>
      <c r="KU315" s="47"/>
      <c r="KV315" s="47"/>
      <c r="KW315" s="47"/>
      <c r="KX315" s="47"/>
      <c r="KY315" s="47"/>
      <c r="KZ315" s="47"/>
      <c r="LA315" s="47"/>
      <c r="LB315" s="47"/>
    </row>
    <row r="316" spans="29:314" x14ac:dyDescent="0.25">
      <c r="AC316" s="47"/>
      <c r="AD316" s="47"/>
      <c r="AE316" s="47"/>
      <c r="AF316" s="47"/>
      <c r="AG316" s="49"/>
      <c r="AH316" s="47"/>
      <c r="AI316" s="47"/>
      <c r="AJ316" s="47"/>
      <c r="AK316" s="47"/>
      <c r="AL316" s="47"/>
      <c r="AM316" s="47"/>
      <c r="AN316" s="47"/>
      <c r="AO316" s="47"/>
      <c r="AP316" s="47"/>
      <c r="AQ316" s="47"/>
      <c r="AR316" s="47"/>
      <c r="AS316" s="47"/>
      <c r="AT316" s="47"/>
      <c r="AU316" s="47"/>
      <c r="AV316" s="47"/>
      <c r="AW316" s="47"/>
      <c r="AX316" s="47"/>
      <c r="AY316" s="47"/>
      <c r="AZ316" s="47"/>
      <c r="BA316" s="47"/>
      <c r="BB316" s="47"/>
      <c r="BC316" s="47"/>
      <c r="BD316" s="47"/>
      <c r="BE316" s="47"/>
      <c r="BF316" s="47"/>
      <c r="BG316" s="47"/>
      <c r="BH316" s="47"/>
      <c r="BI316" s="47"/>
      <c r="BJ316" s="47"/>
      <c r="BK316" s="47"/>
      <c r="BL316" s="47"/>
      <c r="BM316" s="47"/>
      <c r="BN316" s="49"/>
      <c r="BO316" s="47"/>
      <c r="BP316" s="47"/>
      <c r="BQ316" s="47"/>
      <c r="BR316" s="47"/>
      <c r="BS316" s="47"/>
      <c r="BT316" s="47"/>
      <c r="BU316" s="47"/>
      <c r="BV316" s="47"/>
      <c r="BW316" s="47"/>
      <c r="BX316" s="47"/>
      <c r="BY316" s="47"/>
      <c r="BZ316" s="47"/>
      <c r="CA316" s="47"/>
      <c r="CB316" s="47"/>
      <c r="CC316" s="47"/>
      <c r="CD316" s="47"/>
      <c r="CE316" s="47"/>
      <c r="CF316" s="47"/>
      <c r="CG316" s="49"/>
      <c r="CH316" s="47"/>
      <c r="CI316" s="47"/>
      <c r="CJ316" s="47"/>
      <c r="CK316" s="47"/>
      <c r="CL316" s="47"/>
      <c r="CM316" s="47"/>
      <c r="CN316" s="47"/>
      <c r="CO316" s="47"/>
      <c r="CP316" s="47"/>
      <c r="CQ316" s="47"/>
      <c r="CS316" s="47"/>
      <c r="CT316" s="47"/>
      <c r="CU316" s="47"/>
      <c r="CV316" s="47"/>
      <c r="CW316" s="47"/>
      <c r="CX316" s="47"/>
      <c r="CY316" s="47"/>
      <c r="CZ316" s="47"/>
      <c r="DA316" s="47"/>
      <c r="DB316" s="47"/>
      <c r="DC316" s="47"/>
      <c r="DD316" s="47"/>
      <c r="DE316" s="47"/>
      <c r="DF316" s="47"/>
      <c r="DG316" s="47"/>
      <c r="DH316" s="47"/>
      <c r="DI316" s="47"/>
      <c r="DJ316" s="47"/>
      <c r="DK316" s="47"/>
      <c r="DM316" s="47"/>
      <c r="DN316" s="47"/>
      <c r="DO316" s="47"/>
      <c r="DP316" s="47"/>
      <c r="DQ316" s="47"/>
      <c r="DR316" s="47"/>
      <c r="DS316" s="47"/>
      <c r="DT316" s="47"/>
      <c r="DU316" s="47"/>
      <c r="DV316" s="49"/>
      <c r="DW316" s="47"/>
      <c r="DX316" s="47"/>
      <c r="DY316" s="47"/>
      <c r="DZ316" s="47"/>
      <c r="EA316" s="47"/>
      <c r="EB316" s="47"/>
      <c r="EC316" s="47"/>
      <c r="ED316" s="47"/>
      <c r="EE316" s="47"/>
      <c r="EF316" s="47"/>
      <c r="EG316" s="47"/>
      <c r="EH316" s="47"/>
      <c r="EI316" s="47"/>
      <c r="EJ316" s="47"/>
      <c r="EK316" s="47"/>
      <c r="EL316" s="47"/>
      <c r="EM316" s="47"/>
      <c r="EN316" s="47"/>
      <c r="EO316" s="47"/>
      <c r="EP316" s="47"/>
      <c r="EQ316" s="47"/>
      <c r="ER316" s="47"/>
      <c r="ES316" s="47"/>
      <c r="ET316" s="47"/>
      <c r="EU316" s="47"/>
      <c r="EV316" s="47"/>
      <c r="EW316" s="47"/>
      <c r="EX316" s="47"/>
      <c r="EY316" s="47"/>
      <c r="EZ316" s="47"/>
      <c r="FA316" s="47"/>
      <c r="FB316" s="47"/>
      <c r="FC316" s="47"/>
      <c r="FD316" s="47"/>
      <c r="FE316" s="47"/>
      <c r="FF316" s="47"/>
      <c r="FG316" s="47"/>
      <c r="FH316" s="47"/>
      <c r="FI316" s="47"/>
      <c r="FJ316" s="49"/>
      <c r="FK316" s="47"/>
      <c r="FL316" s="47"/>
      <c r="FM316" s="47"/>
      <c r="FN316" s="47"/>
      <c r="FO316" s="47"/>
      <c r="FP316" s="47"/>
      <c r="FQ316" s="47"/>
      <c r="FR316" s="47"/>
      <c r="FS316" s="47"/>
      <c r="FT316" s="47"/>
      <c r="FU316" s="47"/>
      <c r="FV316" s="47"/>
      <c r="FW316" s="47"/>
      <c r="FX316" s="47"/>
      <c r="FY316" s="47"/>
      <c r="FZ316" s="47"/>
      <c r="GA316" s="47"/>
      <c r="GB316" s="47"/>
      <c r="GC316" s="47"/>
      <c r="GD316" s="47"/>
      <c r="GE316" s="47"/>
      <c r="GF316" s="47"/>
      <c r="GG316" s="47"/>
      <c r="GH316" s="47"/>
      <c r="GI316" s="47"/>
      <c r="GJ316" s="47"/>
      <c r="GK316" s="47"/>
      <c r="GL316" s="47"/>
      <c r="GM316" s="47"/>
      <c r="GN316" s="47"/>
      <c r="GO316" s="47"/>
      <c r="GP316" s="47"/>
      <c r="GQ316" s="47"/>
      <c r="GR316" s="47"/>
      <c r="GS316" s="47"/>
      <c r="GT316" s="47"/>
      <c r="GU316" s="47"/>
      <c r="GV316" s="47"/>
      <c r="GW316" s="47"/>
      <c r="GX316" s="47"/>
      <c r="GY316" s="47"/>
      <c r="GZ316" s="47"/>
      <c r="HA316" s="47"/>
      <c r="HB316" s="47"/>
      <c r="HC316" s="47"/>
      <c r="HD316" s="47"/>
      <c r="HE316" s="47"/>
      <c r="HF316" s="47"/>
      <c r="HI316" s="47"/>
      <c r="HJ316" s="47"/>
      <c r="HK316" s="47"/>
      <c r="HL316" s="47"/>
      <c r="HM316" s="47"/>
      <c r="HN316" s="47"/>
      <c r="HO316" s="47"/>
      <c r="HP316" s="47"/>
      <c r="HS316" s="47"/>
      <c r="HT316" s="47"/>
      <c r="HU316" s="47"/>
      <c r="HV316" s="47"/>
      <c r="HW316" s="47"/>
      <c r="HX316" s="47"/>
      <c r="HY316" s="47"/>
      <c r="HZ316" s="47"/>
      <c r="IC316" s="47"/>
      <c r="ID316" s="47"/>
      <c r="IE316" s="47"/>
      <c r="IF316" s="47"/>
      <c r="IG316" s="47"/>
      <c r="IH316" s="47"/>
      <c r="II316" s="47"/>
      <c r="IJ316" s="47"/>
      <c r="IM316" s="47"/>
      <c r="IN316" s="47"/>
      <c r="IO316" s="47"/>
      <c r="IP316" s="47"/>
      <c r="IQ316" s="47"/>
      <c r="IR316" s="47"/>
      <c r="IS316" s="47"/>
      <c r="IT316" s="47"/>
      <c r="IW316" s="47"/>
      <c r="IX316" s="47"/>
      <c r="IY316" s="47"/>
      <c r="IZ316" s="47"/>
      <c r="JA316" s="47"/>
      <c r="JB316" s="47"/>
      <c r="JC316" s="47"/>
      <c r="JD316" s="47"/>
      <c r="JG316" s="47"/>
      <c r="JH316" s="47"/>
      <c r="JI316" s="47"/>
      <c r="JJ316" s="47"/>
      <c r="JK316" s="47"/>
      <c r="JL316" s="47"/>
      <c r="JM316" s="47"/>
      <c r="JN316" s="47"/>
      <c r="JQ316" s="47"/>
      <c r="JR316" s="47"/>
      <c r="JS316" s="47"/>
      <c r="JT316" s="47"/>
      <c r="JU316" s="47"/>
      <c r="JV316" s="47"/>
      <c r="JW316" s="47"/>
      <c r="JX316" s="47"/>
      <c r="KA316" s="47"/>
      <c r="KB316" s="47"/>
      <c r="KC316" s="47"/>
      <c r="KD316" s="47"/>
      <c r="KE316" s="47"/>
      <c r="KF316" s="47"/>
      <c r="KG316" s="47"/>
      <c r="KH316" s="47"/>
      <c r="KK316" s="47"/>
      <c r="KL316" s="47"/>
      <c r="KM316" s="47"/>
      <c r="KN316" s="47"/>
      <c r="KO316" s="47"/>
      <c r="KP316" s="47"/>
      <c r="KQ316" s="47"/>
      <c r="KR316" s="47"/>
      <c r="KU316" s="47"/>
      <c r="KV316" s="47"/>
      <c r="KW316" s="47"/>
      <c r="KX316" s="47"/>
      <c r="KY316" s="47"/>
      <c r="KZ316" s="47"/>
      <c r="LA316" s="47"/>
      <c r="LB316" s="47"/>
    </row>
    <row r="317" spans="29:314" x14ac:dyDescent="0.25">
      <c r="AC317" s="47"/>
      <c r="AD317" s="47"/>
      <c r="AE317" s="47"/>
      <c r="AF317" s="47"/>
      <c r="AG317" s="49"/>
      <c r="AH317" s="47"/>
      <c r="AI317" s="47"/>
      <c r="AJ317" s="47"/>
      <c r="AK317" s="47"/>
      <c r="AL317" s="47"/>
      <c r="AM317" s="47"/>
      <c r="AN317" s="47"/>
      <c r="AO317" s="47"/>
      <c r="AP317" s="47"/>
      <c r="AQ317" s="47"/>
      <c r="AR317" s="47"/>
      <c r="AS317" s="47"/>
      <c r="AT317" s="47"/>
      <c r="AU317" s="47"/>
      <c r="AV317" s="47"/>
      <c r="AW317" s="47"/>
      <c r="AX317" s="47"/>
      <c r="AY317" s="47"/>
      <c r="AZ317" s="47"/>
      <c r="BA317" s="47"/>
      <c r="BB317" s="47"/>
      <c r="BC317" s="47"/>
      <c r="BD317" s="47"/>
      <c r="BE317" s="47"/>
      <c r="BF317" s="47"/>
      <c r="BG317" s="47"/>
      <c r="BH317" s="47"/>
      <c r="BI317" s="47"/>
      <c r="BJ317" s="47"/>
      <c r="BK317" s="47"/>
      <c r="BL317" s="47"/>
      <c r="BM317" s="47"/>
      <c r="BN317" s="49"/>
      <c r="BO317" s="47"/>
      <c r="BP317" s="47"/>
      <c r="BQ317" s="47"/>
      <c r="BR317" s="47"/>
      <c r="BS317" s="47"/>
      <c r="BT317" s="47"/>
      <c r="BU317" s="47"/>
      <c r="BV317" s="47"/>
      <c r="BW317" s="47"/>
      <c r="BX317" s="47"/>
      <c r="BY317" s="47"/>
      <c r="BZ317" s="47"/>
      <c r="CA317" s="47"/>
      <c r="CB317" s="47"/>
      <c r="CC317" s="47"/>
      <c r="CD317" s="47"/>
      <c r="CE317" s="47"/>
      <c r="CF317" s="47"/>
      <c r="CG317" s="49"/>
      <c r="CH317" s="47"/>
      <c r="CI317" s="47"/>
      <c r="CJ317" s="47"/>
      <c r="CK317" s="47"/>
      <c r="CL317" s="47"/>
      <c r="CM317" s="47"/>
      <c r="CN317" s="47"/>
      <c r="CO317" s="47"/>
      <c r="CP317" s="47"/>
      <c r="CQ317" s="47"/>
      <c r="CS317" s="47"/>
      <c r="CT317" s="47"/>
      <c r="CU317" s="47"/>
      <c r="CV317" s="47"/>
      <c r="CW317" s="47"/>
      <c r="CX317" s="47"/>
      <c r="CY317" s="47"/>
      <c r="CZ317" s="47"/>
      <c r="DA317" s="47"/>
      <c r="DB317" s="47"/>
      <c r="DC317" s="47"/>
      <c r="DD317" s="47"/>
      <c r="DE317" s="47"/>
      <c r="DF317" s="47"/>
      <c r="DG317" s="47"/>
      <c r="DH317" s="47"/>
      <c r="DI317" s="47"/>
      <c r="DJ317" s="47"/>
      <c r="DK317" s="47"/>
      <c r="DM317" s="47"/>
      <c r="DN317" s="47"/>
      <c r="DO317" s="47"/>
      <c r="DP317" s="47"/>
      <c r="DQ317" s="47"/>
      <c r="DR317" s="47"/>
      <c r="DS317" s="47"/>
      <c r="DT317" s="47"/>
      <c r="DU317" s="47"/>
      <c r="DV317" s="49"/>
      <c r="DW317" s="47"/>
      <c r="DX317" s="47"/>
      <c r="DY317" s="47"/>
      <c r="DZ317" s="47"/>
      <c r="EA317" s="47"/>
      <c r="EB317" s="47"/>
      <c r="EC317" s="47"/>
      <c r="ED317" s="47"/>
      <c r="EE317" s="47"/>
      <c r="EF317" s="47"/>
      <c r="EG317" s="47"/>
      <c r="EH317" s="47"/>
      <c r="EI317" s="47"/>
      <c r="EJ317" s="47"/>
      <c r="EK317" s="47"/>
      <c r="EL317" s="47"/>
      <c r="EM317" s="47"/>
      <c r="EN317" s="47"/>
      <c r="EO317" s="47"/>
      <c r="EP317" s="47"/>
      <c r="EQ317" s="47"/>
      <c r="ER317" s="47"/>
      <c r="ES317" s="47"/>
      <c r="ET317" s="47"/>
      <c r="EU317" s="47"/>
      <c r="EV317" s="47"/>
      <c r="EW317" s="47"/>
      <c r="EX317" s="47"/>
      <c r="EY317" s="47"/>
      <c r="EZ317" s="47"/>
      <c r="FA317" s="47"/>
      <c r="FB317" s="47"/>
      <c r="FC317" s="47"/>
      <c r="FD317" s="47"/>
      <c r="FE317" s="47"/>
      <c r="FF317" s="47"/>
      <c r="FG317" s="47"/>
      <c r="FH317" s="47"/>
      <c r="FI317" s="47"/>
      <c r="FJ317" s="49"/>
      <c r="FK317" s="47"/>
      <c r="FL317" s="47"/>
      <c r="FM317" s="47"/>
      <c r="FN317" s="47"/>
      <c r="FO317" s="47"/>
      <c r="FP317" s="47"/>
      <c r="FQ317" s="47"/>
      <c r="FR317" s="47"/>
      <c r="FS317" s="47"/>
      <c r="FT317" s="47"/>
      <c r="FU317" s="47"/>
      <c r="FV317" s="47"/>
      <c r="FW317" s="47"/>
      <c r="FX317" s="47"/>
      <c r="FY317" s="47"/>
      <c r="FZ317" s="47"/>
      <c r="GA317" s="47"/>
      <c r="GB317" s="47"/>
      <c r="GC317" s="47"/>
      <c r="GD317" s="47"/>
      <c r="GE317" s="47"/>
      <c r="GF317" s="47"/>
      <c r="GG317" s="47"/>
      <c r="GH317" s="47"/>
      <c r="GI317" s="47"/>
      <c r="GJ317" s="47"/>
      <c r="GK317" s="47"/>
      <c r="GL317" s="47"/>
      <c r="GM317" s="47"/>
      <c r="GN317" s="47"/>
      <c r="GO317" s="47"/>
      <c r="GP317" s="47"/>
      <c r="GQ317" s="47"/>
      <c r="GR317" s="47"/>
      <c r="GS317" s="47"/>
      <c r="GT317" s="47"/>
      <c r="GU317" s="47"/>
      <c r="GV317" s="47"/>
      <c r="GW317" s="47"/>
      <c r="GX317" s="47"/>
      <c r="GY317" s="47"/>
      <c r="GZ317" s="47"/>
      <c r="HA317" s="47"/>
      <c r="HB317" s="47"/>
      <c r="HC317" s="47"/>
      <c r="HD317" s="47"/>
      <c r="HE317" s="47"/>
      <c r="HF317" s="47"/>
      <c r="HI317" s="47"/>
      <c r="HJ317" s="47"/>
      <c r="HK317" s="47"/>
      <c r="HL317" s="47"/>
      <c r="HM317" s="47"/>
      <c r="HN317" s="47"/>
      <c r="HO317" s="47"/>
      <c r="HP317" s="47"/>
      <c r="HS317" s="47"/>
      <c r="HT317" s="47"/>
      <c r="HU317" s="47"/>
      <c r="HV317" s="47"/>
      <c r="HW317" s="47"/>
      <c r="HX317" s="47"/>
      <c r="HY317" s="47"/>
      <c r="HZ317" s="47"/>
      <c r="IC317" s="47"/>
      <c r="ID317" s="47"/>
      <c r="IE317" s="47"/>
      <c r="IF317" s="47"/>
      <c r="IG317" s="47"/>
      <c r="IH317" s="47"/>
      <c r="II317" s="47"/>
      <c r="IJ317" s="47"/>
      <c r="IM317" s="47"/>
      <c r="IN317" s="47"/>
      <c r="IO317" s="47"/>
      <c r="IP317" s="47"/>
      <c r="IQ317" s="47"/>
      <c r="IR317" s="47"/>
      <c r="IS317" s="47"/>
      <c r="IT317" s="47"/>
      <c r="IW317" s="47"/>
      <c r="IX317" s="47"/>
      <c r="IY317" s="47"/>
      <c r="IZ317" s="47"/>
      <c r="JA317" s="47"/>
      <c r="JB317" s="47"/>
      <c r="JC317" s="47"/>
      <c r="JD317" s="47"/>
      <c r="JG317" s="47"/>
      <c r="JH317" s="47"/>
      <c r="JI317" s="47"/>
      <c r="JJ317" s="47"/>
      <c r="JK317" s="47"/>
      <c r="JL317" s="47"/>
      <c r="JM317" s="47"/>
      <c r="JN317" s="47"/>
      <c r="JQ317" s="47"/>
      <c r="JR317" s="47"/>
      <c r="JS317" s="47"/>
      <c r="JT317" s="47"/>
      <c r="JU317" s="47"/>
      <c r="JV317" s="47"/>
      <c r="JW317" s="47"/>
      <c r="JX317" s="47"/>
      <c r="KA317" s="47"/>
      <c r="KB317" s="47"/>
      <c r="KC317" s="47"/>
      <c r="KD317" s="47"/>
      <c r="KE317" s="47"/>
      <c r="KF317" s="47"/>
      <c r="KG317" s="47"/>
      <c r="KH317" s="47"/>
      <c r="KK317" s="47"/>
      <c r="KL317" s="47"/>
      <c r="KM317" s="47"/>
      <c r="KN317" s="47"/>
      <c r="KO317" s="47"/>
      <c r="KP317" s="47"/>
      <c r="KQ317" s="47"/>
      <c r="KR317" s="47"/>
      <c r="KU317" s="47"/>
      <c r="KV317" s="47"/>
      <c r="KW317" s="47"/>
      <c r="KX317" s="47"/>
      <c r="KY317" s="47"/>
      <c r="KZ317" s="47"/>
      <c r="LA317" s="47"/>
      <c r="LB317" s="47"/>
    </row>
    <row r="318" spans="29:314" x14ac:dyDescent="0.25">
      <c r="AC318" s="47"/>
      <c r="AD318" s="47"/>
      <c r="AE318" s="47"/>
      <c r="AF318" s="47"/>
      <c r="AG318" s="49"/>
      <c r="AH318" s="47"/>
      <c r="AI318" s="47"/>
      <c r="AJ318" s="47"/>
      <c r="AK318" s="47"/>
      <c r="AL318" s="47"/>
      <c r="AM318" s="47"/>
      <c r="AN318" s="47"/>
      <c r="AO318" s="47"/>
      <c r="AP318" s="47"/>
      <c r="AQ318" s="47"/>
      <c r="AR318" s="47"/>
      <c r="AS318" s="47"/>
      <c r="AT318" s="47"/>
      <c r="AU318" s="47"/>
      <c r="AV318" s="47"/>
      <c r="AW318" s="47"/>
      <c r="AX318" s="47"/>
      <c r="AY318" s="47"/>
      <c r="AZ318" s="47"/>
      <c r="BA318" s="47"/>
      <c r="BB318" s="47"/>
      <c r="BC318" s="47"/>
      <c r="BD318" s="47"/>
      <c r="BE318" s="47"/>
      <c r="BF318" s="47"/>
      <c r="BG318" s="47"/>
      <c r="BH318" s="47"/>
      <c r="BI318" s="47"/>
      <c r="BJ318" s="47"/>
      <c r="BK318" s="47"/>
      <c r="BL318" s="47"/>
      <c r="BM318" s="47"/>
      <c r="BN318" s="49"/>
      <c r="BO318" s="47"/>
      <c r="BP318" s="47"/>
      <c r="BQ318" s="47"/>
      <c r="BR318" s="47"/>
      <c r="BS318" s="47"/>
      <c r="BT318" s="47"/>
      <c r="BU318" s="47"/>
      <c r="BV318" s="47"/>
      <c r="BW318" s="47"/>
      <c r="BX318" s="47"/>
      <c r="BY318" s="47"/>
      <c r="BZ318" s="47"/>
      <c r="CA318" s="47"/>
      <c r="CB318" s="47"/>
      <c r="CC318" s="47"/>
      <c r="CD318" s="47"/>
      <c r="CE318" s="47"/>
      <c r="CF318" s="47"/>
      <c r="CG318" s="49"/>
      <c r="CH318" s="47"/>
      <c r="CI318" s="47"/>
      <c r="CJ318" s="47"/>
      <c r="CK318" s="47"/>
      <c r="CL318" s="47"/>
      <c r="CM318" s="47"/>
      <c r="CN318" s="47"/>
      <c r="CO318" s="47"/>
      <c r="CP318" s="47"/>
      <c r="CQ318" s="47"/>
      <c r="CS318" s="47"/>
      <c r="CT318" s="47"/>
      <c r="CU318" s="47"/>
      <c r="CV318" s="47"/>
      <c r="CW318" s="47"/>
      <c r="CX318" s="47"/>
      <c r="CY318" s="47"/>
      <c r="CZ318" s="47"/>
      <c r="DA318" s="47"/>
      <c r="DB318" s="47"/>
      <c r="DC318" s="47"/>
      <c r="DD318" s="47"/>
      <c r="DE318" s="47"/>
      <c r="DF318" s="47"/>
      <c r="DG318" s="47"/>
      <c r="DH318" s="47"/>
      <c r="DI318" s="47"/>
      <c r="DJ318" s="47"/>
      <c r="DK318" s="47"/>
      <c r="DM318" s="47"/>
      <c r="DN318" s="47"/>
      <c r="DO318" s="47"/>
      <c r="DP318" s="47"/>
      <c r="DQ318" s="47"/>
      <c r="DR318" s="47"/>
      <c r="DS318" s="47"/>
      <c r="DT318" s="47"/>
      <c r="DU318" s="47"/>
      <c r="DV318" s="49"/>
      <c r="DW318" s="47"/>
      <c r="DX318" s="47"/>
      <c r="DY318" s="47"/>
      <c r="DZ318" s="47"/>
      <c r="EA318" s="47"/>
      <c r="EB318" s="47"/>
      <c r="EC318" s="47"/>
      <c r="ED318" s="47"/>
      <c r="EE318" s="47"/>
      <c r="EF318" s="47"/>
      <c r="EG318" s="47"/>
      <c r="EH318" s="47"/>
      <c r="EI318" s="47"/>
      <c r="EJ318" s="47"/>
      <c r="EK318" s="47"/>
      <c r="EL318" s="47"/>
      <c r="EM318" s="47"/>
      <c r="EN318" s="47"/>
      <c r="EO318" s="47"/>
      <c r="EP318" s="47"/>
      <c r="EQ318" s="47"/>
      <c r="ER318" s="47"/>
      <c r="ES318" s="47"/>
      <c r="ET318" s="47"/>
      <c r="EU318" s="47"/>
      <c r="EV318" s="47"/>
      <c r="EW318" s="47"/>
      <c r="EX318" s="47"/>
      <c r="EY318" s="47"/>
      <c r="EZ318" s="47"/>
      <c r="FA318" s="47"/>
      <c r="FB318" s="47"/>
      <c r="FC318" s="47"/>
      <c r="FD318" s="47"/>
      <c r="FE318" s="47"/>
      <c r="FF318" s="47"/>
      <c r="FG318" s="47"/>
      <c r="FH318" s="47"/>
      <c r="FI318" s="47"/>
      <c r="FJ318" s="49"/>
      <c r="FK318" s="47"/>
      <c r="FL318" s="47"/>
      <c r="FM318" s="47"/>
      <c r="FN318" s="47"/>
      <c r="FO318" s="47"/>
      <c r="FP318" s="47"/>
      <c r="FQ318" s="47"/>
      <c r="FR318" s="47"/>
      <c r="FS318" s="47"/>
      <c r="FT318" s="47"/>
      <c r="FU318" s="47"/>
      <c r="FV318" s="47"/>
      <c r="FW318" s="47"/>
      <c r="FX318" s="47"/>
      <c r="FY318" s="47"/>
      <c r="FZ318" s="47"/>
      <c r="GA318" s="47"/>
      <c r="GB318" s="47"/>
      <c r="GC318" s="47"/>
      <c r="GD318" s="47"/>
      <c r="GE318" s="47"/>
      <c r="GF318" s="47"/>
      <c r="GG318" s="47"/>
      <c r="GH318" s="47"/>
      <c r="GI318" s="47"/>
      <c r="GJ318" s="47"/>
      <c r="GK318" s="47"/>
      <c r="GL318" s="47"/>
      <c r="GM318" s="47"/>
      <c r="GN318" s="47"/>
      <c r="GO318" s="47"/>
      <c r="GP318" s="47"/>
      <c r="GQ318" s="47"/>
      <c r="GR318" s="47"/>
      <c r="GS318" s="47"/>
      <c r="GT318" s="47"/>
      <c r="GU318" s="47"/>
      <c r="GV318" s="47"/>
      <c r="GW318" s="47"/>
      <c r="GX318" s="47"/>
      <c r="GY318" s="47"/>
      <c r="GZ318" s="47"/>
      <c r="HA318" s="47"/>
      <c r="HB318" s="47"/>
      <c r="HC318" s="47"/>
      <c r="HD318" s="47"/>
      <c r="HE318" s="47"/>
      <c r="HF318" s="47"/>
      <c r="HI318" s="47"/>
      <c r="HJ318" s="47"/>
      <c r="HK318" s="47"/>
      <c r="HL318" s="47"/>
      <c r="HM318" s="47"/>
      <c r="HN318" s="47"/>
      <c r="HO318" s="47"/>
      <c r="HP318" s="47"/>
      <c r="HS318" s="47"/>
      <c r="HT318" s="47"/>
      <c r="HU318" s="47"/>
      <c r="HV318" s="47"/>
      <c r="HW318" s="47"/>
      <c r="HX318" s="47"/>
      <c r="HY318" s="47"/>
      <c r="HZ318" s="47"/>
      <c r="IC318" s="47"/>
      <c r="ID318" s="47"/>
      <c r="IE318" s="47"/>
      <c r="IF318" s="47"/>
      <c r="IG318" s="47"/>
      <c r="IH318" s="47"/>
      <c r="II318" s="47"/>
      <c r="IJ318" s="47"/>
      <c r="IM318" s="47"/>
      <c r="IN318" s="47"/>
      <c r="IO318" s="47"/>
      <c r="IP318" s="47"/>
      <c r="IQ318" s="47"/>
      <c r="IR318" s="47"/>
      <c r="IS318" s="47"/>
      <c r="IT318" s="47"/>
      <c r="IW318" s="47"/>
      <c r="IX318" s="47"/>
      <c r="IY318" s="47"/>
      <c r="IZ318" s="47"/>
      <c r="JA318" s="47"/>
      <c r="JB318" s="47"/>
      <c r="JC318" s="47"/>
      <c r="JD318" s="47"/>
      <c r="JG318" s="47"/>
      <c r="JH318" s="47"/>
      <c r="JI318" s="47"/>
      <c r="JJ318" s="47"/>
      <c r="JK318" s="47"/>
      <c r="JL318" s="47"/>
      <c r="JM318" s="47"/>
      <c r="JN318" s="47"/>
      <c r="JQ318" s="47"/>
      <c r="JR318" s="47"/>
      <c r="JS318" s="47"/>
      <c r="JT318" s="47"/>
      <c r="JU318" s="47"/>
      <c r="JV318" s="47"/>
      <c r="JW318" s="47"/>
      <c r="JX318" s="47"/>
      <c r="KA318" s="47"/>
      <c r="KB318" s="47"/>
      <c r="KC318" s="47"/>
      <c r="KD318" s="47"/>
      <c r="KE318" s="47"/>
      <c r="KF318" s="47"/>
      <c r="KG318" s="47"/>
      <c r="KH318" s="47"/>
      <c r="KK318" s="47"/>
      <c r="KL318" s="47"/>
      <c r="KM318" s="47"/>
      <c r="KN318" s="47"/>
      <c r="KO318" s="47"/>
      <c r="KP318" s="47"/>
      <c r="KQ318" s="47"/>
      <c r="KR318" s="47"/>
      <c r="KU318" s="47"/>
      <c r="KV318" s="47"/>
      <c r="KW318" s="47"/>
      <c r="KX318" s="47"/>
      <c r="KY318" s="47"/>
      <c r="KZ318" s="47"/>
      <c r="LA318" s="47"/>
      <c r="LB318" s="47"/>
    </row>
    <row r="319" spans="29:314" x14ac:dyDescent="0.25">
      <c r="AC319" s="47"/>
      <c r="AD319" s="47"/>
      <c r="AE319" s="47"/>
      <c r="AF319" s="47"/>
      <c r="AG319" s="49"/>
      <c r="AH319" s="47"/>
      <c r="AI319" s="47"/>
      <c r="AJ319" s="47"/>
      <c r="AK319" s="47"/>
      <c r="AL319" s="47"/>
      <c r="AM319" s="47"/>
      <c r="AN319" s="47"/>
      <c r="AO319" s="47"/>
      <c r="AP319" s="47"/>
      <c r="AQ319" s="47"/>
      <c r="AR319" s="47"/>
      <c r="AS319" s="47"/>
      <c r="AT319" s="47"/>
      <c r="AU319" s="47"/>
      <c r="AV319" s="47"/>
      <c r="AW319" s="47"/>
      <c r="AX319" s="47"/>
      <c r="AY319" s="47"/>
      <c r="AZ319" s="47"/>
      <c r="BA319" s="47"/>
      <c r="BB319" s="47"/>
      <c r="BC319" s="47"/>
      <c r="BD319" s="47"/>
      <c r="BE319" s="47"/>
      <c r="BF319" s="47"/>
      <c r="BG319" s="47"/>
      <c r="BH319" s="47"/>
      <c r="BI319" s="47"/>
      <c r="BJ319" s="47"/>
      <c r="BK319" s="47"/>
      <c r="BL319" s="47"/>
      <c r="BM319" s="47"/>
      <c r="BN319" s="49"/>
      <c r="BO319" s="47"/>
      <c r="BP319" s="47"/>
      <c r="BQ319" s="47"/>
      <c r="BR319" s="47"/>
      <c r="BS319" s="47"/>
      <c r="BT319" s="47"/>
      <c r="BU319" s="47"/>
      <c r="BV319" s="47"/>
      <c r="BW319" s="47"/>
      <c r="BX319" s="47"/>
      <c r="BY319" s="47"/>
      <c r="BZ319" s="47"/>
      <c r="CA319" s="47"/>
      <c r="CB319" s="47"/>
      <c r="CC319" s="47"/>
      <c r="CD319" s="47"/>
      <c r="CE319" s="47"/>
      <c r="CF319" s="47"/>
      <c r="CG319" s="49"/>
      <c r="CH319" s="47"/>
      <c r="CI319" s="47"/>
      <c r="CJ319" s="47"/>
      <c r="CK319" s="47"/>
      <c r="CL319" s="47"/>
      <c r="CM319" s="47"/>
      <c r="CN319" s="47"/>
      <c r="CO319" s="47"/>
      <c r="CP319" s="47"/>
      <c r="CQ319" s="47"/>
      <c r="CS319" s="47"/>
      <c r="CT319" s="47"/>
      <c r="CU319" s="47"/>
      <c r="CV319" s="47"/>
      <c r="CW319" s="47"/>
      <c r="CX319" s="47"/>
      <c r="CY319" s="47"/>
      <c r="CZ319" s="47"/>
      <c r="DA319" s="47"/>
      <c r="DB319" s="47"/>
      <c r="DC319" s="47"/>
      <c r="DD319" s="47"/>
      <c r="DE319" s="47"/>
      <c r="DF319" s="47"/>
      <c r="DG319" s="47"/>
      <c r="DH319" s="47"/>
      <c r="DI319" s="47"/>
      <c r="DJ319" s="47"/>
      <c r="DK319" s="47"/>
      <c r="DM319" s="47"/>
      <c r="DN319" s="47"/>
      <c r="DO319" s="47"/>
      <c r="DP319" s="47"/>
      <c r="DQ319" s="47"/>
      <c r="DR319" s="47"/>
      <c r="DS319" s="47"/>
      <c r="DT319" s="47"/>
      <c r="DU319" s="47"/>
      <c r="DV319" s="49"/>
      <c r="DW319" s="47"/>
      <c r="DX319" s="47"/>
      <c r="DY319" s="47"/>
      <c r="DZ319" s="47"/>
      <c r="EA319" s="47"/>
      <c r="EB319" s="47"/>
      <c r="EC319" s="47"/>
      <c r="ED319" s="47"/>
      <c r="EE319" s="47"/>
      <c r="EF319" s="47"/>
      <c r="EG319" s="47"/>
      <c r="EH319" s="47"/>
      <c r="EI319" s="47"/>
      <c r="EJ319" s="47"/>
      <c r="EK319" s="47"/>
      <c r="EL319" s="47"/>
      <c r="EM319" s="47"/>
      <c r="EN319" s="47"/>
      <c r="EO319" s="47"/>
      <c r="EP319" s="47"/>
      <c r="EQ319" s="47"/>
      <c r="ER319" s="47"/>
      <c r="ES319" s="47"/>
      <c r="ET319" s="47"/>
      <c r="EU319" s="47"/>
      <c r="EV319" s="47"/>
      <c r="EW319" s="47"/>
      <c r="EX319" s="47"/>
      <c r="EY319" s="47"/>
      <c r="EZ319" s="47"/>
      <c r="FA319" s="47"/>
      <c r="FB319" s="47"/>
      <c r="FC319" s="47"/>
      <c r="FD319" s="47"/>
      <c r="FE319" s="47"/>
      <c r="FF319" s="47"/>
      <c r="FG319" s="47"/>
      <c r="FH319" s="47"/>
      <c r="FI319" s="47"/>
      <c r="FJ319" s="49"/>
      <c r="FK319" s="47"/>
      <c r="FL319" s="47"/>
      <c r="FM319" s="47"/>
      <c r="FN319" s="47"/>
      <c r="FO319" s="47"/>
      <c r="FP319" s="47"/>
      <c r="FQ319" s="47"/>
      <c r="FR319" s="47"/>
      <c r="FS319" s="47"/>
      <c r="FT319" s="47"/>
      <c r="FU319" s="47"/>
      <c r="FV319" s="47"/>
      <c r="FW319" s="47"/>
      <c r="FX319" s="47"/>
      <c r="FY319" s="47"/>
      <c r="FZ319" s="47"/>
      <c r="GA319" s="47"/>
      <c r="GB319" s="47"/>
      <c r="GC319" s="47"/>
      <c r="GD319" s="47"/>
      <c r="GE319" s="47"/>
      <c r="GF319" s="47"/>
      <c r="GG319" s="47"/>
      <c r="GH319" s="47"/>
      <c r="GI319" s="47"/>
      <c r="GJ319" s="47"/>
      <c r="GK319" s="47"/>
      <c r="GL319" s="47"/>
      <c r="GM319" s="47"/>
      <c r="GN319" s="47"/>
      <c r="GO319" s="47"/>
      <c r="GP319" s="47"/>
      <c r="GQ319" s="47"/>
      <c r="GR319" s="47"/>
      <c r="GS319" s="47"/>
      <c r="GT319" s="47"/>
      <c r="GU319" s="47"/>
      <c r="GV319" s="47"/>
      <c r="GW319" s="47"/>
      <c r="GX319" s="47"/>
      <c r="GY319" s="47"/>
      <c r="GZ319" s="47"/>
      <c r="HA319" s="47"/>
      <c r="HB319" s="47"/>
      <c r="HC319" s="47"/>
      <c r="HD319" s="47"/>
      <c r="HE319" s="47"/>
      <c r="HF319" s="47"/>
      <c r="HI319" s="47"/>
      <c r="HJ319" s="47"/>
      <c r="HK319" s="47"/>
      <c r="HL319" s="47"/>
      <c r="HM319" s="47"/>
      <c r="HN319" s="47"/>
      <c r="HO319" s="47"/>
      <c r="HP319" s="47"/>
      <c r="HS319" s="47"/>
      <c r="HT319" s="47"/>
      <c r="HU319" s="47"/>
      <c r="HV319" s="47"/>
      <c r="HW319" s="47"/>
      <c r="HX319" s="47"/>
      <c r="HY319" s="47"/>
      <c r="HZ319" s="47"/>
      <c r="IC319" s="47"/>
      <c r="ID319" s="47"/>
      <c r="IE319" s="47"/>
      <c r="IF319" s="47"/>
      <c r="IG319" s="47"/>
      <c r="IH319" s="47"/>
      <c r="II319" s="47"/>
      <c r="IJ319" s="47"/>
      <c r="IM319" s="47"/>
      <c r="IN319" s="47"/>
      <c r="IO319" s="47"/>
      <c r="IP319" s="47"/>
      <c r="IQ319" s="47"/>
      <c r="IR319" s="47"/>
      <c r="IS319" s="47"/>
      <c r="IT319" s="47"/>
      <c r="IW319" s="47"/>
      <c r="IX319" s="47"/>
      <c r="IY319" s="47"/>
      <c r="IZ319" s="47"/>
      <c r="JA319" s="47"/>
      <c r="JB319" s="47"/>
      <c r="JC319" s="47"/>
      <c r="JD319" s="47"/>
      <c r="JG319" s="47"/>
      <c r="JH319" s="47"/>
      <c r="JI319" s="47"/>
      <c r="JJ319" s="47"/>
      <c r="JK319" s="47"/>
      <c r="JL319" s="47"/>
      <c r="JM319" s="47"/>
      <c r="JN319" s="47"/>
      <c r="JQ319" s="47"/>
      <c r="JR319" s="47"/>
      <c r="JS319" s="47"/>
      <c r="JT319" s="47"/>
      <c r="JU319" s="47"/>
      <c r="JV319" s="47"/>
      <c r="JW319" s="47"/>
      <c r="JX319" s="47"/>
      <c r="KA319" s="47"/>
      <c r="KB319" s="47"/>
      <c r="KC319" s="47"/>
      <c r="KD319" s="47"/>
      <c r="KE319" s="47"/>
      <c r="KF319" s="47"/>
      <c r="KG319" s="47"/>
      <c r="KH319" s="47"/>
      <c r="KK319" s="47"/>
      <c r="KL319" s="47"/>
      <c r="KM319" s="47"/>
      <c r="KN319" s="47"/>
      <c r="KO319" s="47"/>
      <c r="KP319" s="47"/>
      <c r="KQ319" s="47"/>
      <c r="KR319" s="47"/>
      <c r="KU319" s="47"/>
      <c r="KV319" s="47"/>
      <c r="KW319" s="47"/>
      <c r="KX319" s="47"/>
      <c r="KY319" s="47"/>
      <c r="KZ319" s="47"/>
      <c r="LA319" s="47"/>
      <c r="LB319" s="47"/>
    </row>
    <row r="320" spans="29:314" x14ac:dyDescent="0.25">
      <c r="AC320" s="47"/>
      <c r="AD320" s="47"/>
      <c r="AE320" s="47"/>
      <c r="AF320" s="47"/>
      <c r="AG320" s="49"/>
      <c r="AH320" s="47"/>
      <c r="AI320" s="47"/>
      <c r="AJ320" s="47"/>
      <c r="AK320" s="47"/>
      <c r="AL320" s="47"/>
      <c r="AM320" s="47"/>
      <c r="AN320" s="47"/>
      <c r="AO320" s="47"/>
      <c r="AP320" s="47"/>
      <c r="AQ320" s="47"/>
      <c r="AR320" s="47"/>
      <c r="AS320" s="47"/>
      <c r="AT320" s="47"/>
      <c r="AU320" s="47"/>
      <c r="AV320" s="47"/>
      <c r="AW320" s="47"/>
      <c r="AX320" s="47"/>
      <c r="AY320" s="47"/>
      <c r="AZ320" s="47"/>
      <c r="BA320" s="47"/>
      <c r="BB320" s="47"/>
      <c r="BC320" s="47"/>
      <c r="BD320" s="47"/>
      <c r="BE320" s="47"/>
      <c r="BF320" s="47"/>
      <c r="BG320" s="47"/>
      <c r="BH320" s="47"/>
      <c r="BI320" s="47"/>
      <c r="BJ320" s="47"/>
      <c r="BK320" s="47"/>
      <c r="BL320" s="47"/>
      <c r="BM320" s="47"/>
      <c r="BN320" s="49"/>
      <c r="BO320" s="47"/>
      <c r="BP320" s="47"/>
      <c r="BQ320" s="47"/>
      <c r="BR320" s="47"/>
      <c r="BS320" s="47"/>
      <c r="BT320" s="47"/>
      <c r="BU320" s="47"/>
      <c r="BV320" s="47"/>
      <c r="BW320" s="47"/>
      <c r="BX320" s="47"/>
      <c r="BY320" s="47"/>
      <c r="BZ320" s="47"/>
      <c r="CA320" s="47"/>
      <c r="CB320" s="47"/>
      <c r="CC320" s="47"/>
      <c r="CD320" s="47"/>
      <c r="CE320" s="47"/>
      <c r="CF320" s="47"/>
      <c r="CG320" s="49"/>
      <c r="CH320" s="47"/>
      <c r="CI320" s="47"/>
      <c r="CJ320" s="47"/>
      <c r="CK320" s="47"/>
      <c r="CL320" s="47"/>
      <c r="CM320" s="47"/>
      <c r="CN320" s="47"/>
      <c r="CO320" s="47"/>
      <c r="CP320" s="47"/>
      <c r="CQ320" s="47"/>
      <c r="CS320" s="47"/>
      <c r="CT320" s="47"/>
      <c r="CU320" s="47"/>
      <c r="CV320" s="47"/>
      <c r="CW320" s="47"/>
      <c r="CX320" s="47"/>
      <c r="CY320" s="47"/>
      <c r="CZ320" s="47"/>
      <c r="DA320" s="47"/>
      <c r="DB320" s="47"/>
      <c r="DC320" s="47"/>
      <c r="DD320" s="47"/>
      <c r="DE320" s="47"/>
      <c r="DF320" s="47"/>
      <c r="DG320" s="47"/>
      <c r="DH320" s="47"/>
      <c r="DI320" s="47"/>
      <c r="DJ320" s="47"/>
      <c r="DK320" s="47"/>
      <c r="DM320" s="47"/>
      <c r="DN320" s="47"/>
      <c r="DO320" s="47"/>
      <c r="DP320" s="47"/>
      <c r="DQ320" s="47"/>
      <c r="DR320" s="47"/>
      <c r="DS320" s="47"/>
      <c r="DT320" s="47"/>
      <c r="DU320" s="47"/>
      <c r="DV320" s="49"/>
      <c r="DW320" s="47"/>
      <c r="DX320" s="47"/>
      <c r="DY320" s="47"/>
      <c r="DZ320" s="47"/>
      <c r="EA320" s="47"/>
      <c r="EB320" s="47"/>
      <c r="EC320" s="47"/>
      <c r="ED320" s="47"/>
      <c r="EE320" s="47"/>
      <c r="EF320" s="47"/>
      <c r="EG320" s="47"/>
      <c r="EH320" s="47"/>
      <c r="EI320" s="47"/>
      <c r="EJ320" s="47"/>
      <c r="EK320" s="47"/>
      <c r="EL320" s="47"/>
      <c r="EM320" s="47"/>
      <c r="EN320" s="47"/>
      <c r="EO320" s="47"/>
      <c r="EP320" s="47"/>
      <c r="EQ320" s="47"/>
      <c r="ER320" s="47"/>
      <c r="ES320" s="47"/>
      <c r="ET320" s="47"/>
      <c r="EU320" s="47"/>
      <c r="EV320" s="47"/>
      <c r="EW320" s="47"/>
      <c r="EX320" s="47"/>
      <c r="EY320" s="47"/>
      <c r="EZ320" s="47"/>
      <c r="FA320" s="47"/>
      <c r="FB320" s="47"/>
      <c r="FC320" s="47"/>
      <c r="FD320" s="47"/>
      <c r="FE320" s="47"/>
      <c r="FF320" s="47"/>
      <c r="FG320" s="47"/>
      <c r="FH320" s="47"/>
      <c r="FI320" s="47"/>
      <c r="FJ320" s="49"/>
      <c r="FK320" s="47"/>
      <c r="FL320" s="47"/>
      <c r="FM320" s="47"/>
      <c r="FN320" s="47"/>
      <c r="FO320" s="47"/>
      <c r="FP320" s="47"/>
      <c r="FQ320" s="47"/>
      <c r="FR320" s="47"/>
      <c r="FS320" s="47"/>
      <c r="FT320" s="47"/>
      <c r="FU320" s="47"/>
      <c r="FV320" s="47"/>
      <c r="FW320" s="47"/>
      <c r="FX320" s="47"/>
      <c r="FY320" s="47"/>
      <c r="FZ320" s="47"/>
      <c r="GA320" s="47"/>
      <c r="GB320" s="47"/>
      <c r="GC320" s="47"/>
      <c r="GD320" s="47"/>
      <c r="GE320" s="47"/>
      <c r="GF320" s="47"/>
      <c r="GG320" s="47"/>
      <c r="GH320" s="47"/>
      <c r="GI320" s="47"/>
      <c r="GJ320" s="47"/>
      <c r="GK320" s="47"/>
      <c r="GL320" s="47"/>
      <c r="GM320" s="47"/>
      <c r="GN320" s="47"/>
      <c r="GO320" s="47"/>
      <c r="GP320" s="47"/>
      <c r="GQ320" s="47"/>
      <c r="GR320" s="47"/>
      <c r="GS320" s="47"/>
      <c r="GT320" s="47"/>
      <c r="GU320" s="47"/>
      <c r="GV320" s="47"/>
      <c r="GW320" s="47"/>
      <c r="GX320" s="47"/>
      <c r="GY320" s="47"/>
      <c r="GZ320" s="47"/>
      <c r="HA320" s="47"/>
      <c r="HB320" s="47"/>
      <c r="HC320" s="47"/>
      <c r="HD320" s="47"/>
      <c r="HE320" s="47"/>
      <c r="HF320" s="47"/>
      <c r="HI320" s="47"/>
      <c r="HJ320" s="47"/>
      <c r="HK320" s="47"/>
      <c r="HL320" s="47"/>
      <c r="HM320" s="47"/>
      <c r="HN320" s="47"/>
      <c r="HO320" s="47"/>
      <c r="HP320" s="47"/>
      <c r="HS320" s="47"/>
      <c r="HT320" s="47"/>
      <c r="HU320" s="47"/>
      <c r="HV320" s="47"/>
      <c r="HW320" s="47"/>
      <c r="HX320" s="47"/>
      <c r="HY320" s="47"/>
      <c r="HZ320" s="47"/>
      <c r="IC320" s="47"/>
      <c r="ID320" s="47"/>
      <c r="IE320" s="47"/>
      <c r="IF320" s="47"/>
      <c r="IG320" s="47"/>
      <c r="IH320" s="47"/>
      <c r="II320" s="47"/>
      <c r="IJ320" s="47"/>
      <c r="IM320" s="47"/>
      <c r="IN320" s="47"/>
      <c r="IO320" s="47"/>
      <c r="IP320" s="47"/>
      <c r="IQ320" s="47"/>
      <c r="IR320" s="47"/>
      <c r="IS320" s="47"/>
      <c r="IT320" s="47"/>
      <c r="IW320" s="47"/>
      <c r="IX320" s="47"/>
      <c r="IY320" s="47"/>
      <c r="IZ320" s="47"/>
      <c r="JA320" s="47"/>
      <c r="JB320" s="47"/>
      <c r="JC320" s="47"/>
      <c r="JD320" s="47"/>
      <c r="JG320" s="47"/>
      <c r="JH320" s="47"/>
      <c r="JI320" s="47"/>
      <c r="JJ320" s="47"/>
      <c r="JK320" s="47"/>
      <c r="JL320" s="47"/>
      <c r="JM320" s="47"/>
      <c r="JN320" s="47"/>
      <c r="JQ320" s="47"/>
      <c r="JR320" s="47"/>
      <c r="JS320" s="47"/>
      <c r="JT320" s="47"/>
      <c r="JU320" s="47"/>
      <c r="JV320" s="47"/>
      <c r="JW320" s="47"/>
      <c r="JX320" s="47"/>
      <c r="KA320" s="47"/>
      <c r="KB320" s="47"/>
      <c r="KC320" s="47"/>
      <c r="KD320" s="47"/>
      <c r="KE320" s="47"/>
      <c r="KF320" s="47"/>
      <c r="KG320" s="47"/>
      <c r="KH320" s="47"/>
      <c r="KK320" s="47"/>
      <c r="KL320" s="47"/>
      <c r="KM320" s="47"/>
      <c r="KN320" s="47"/>
      <c r="KO320" s="47"/>
      <c r="KP320" s="47"/>
      <c r="KQ320" s="47"/>
      <c r="KR320" s="47"/>
      <c r="KU320" s="47"/>
      <c r="KV320" s="47"/>
      <c r="KW320" s="47"/>
      <c r="KX320" s="47"/>
      <c r="KY320" s="47"/>
      <c r="KZ320" s="47"/>
      <c r="LA320" s="47"/>
      <c r="LB320" s="47"/>
    </row>
    <row r="321" spans="29:314" x14ac:dyDescent="0.25">
      <c r="AC321" s="47"/>
      <c r="AD321" s="47"/>
      <c r="AE321" s="47"/>
      <c r="AF321" s="47"/>
      <c r="AG321" s="49"/>
      <c r="AH321" s="47"/>
      <c r="AI321" s="47"/>
      <c r="AJ321" s="47"/>
      <c r="AK321" s="47"/>
      <c r="AL321" s="47"/>
      <c r="AM321" s="47"/>
      <c r="AN321" s="47"/>
      <c r="AO321" s="47"/>
      <c r="AP321" s="47"/>
      <c r="AQ321" s="47"/>
      <c r="AR321" s="47"/>
      <c r="AS321" s="47"/>
      <c r="AT321" s="47"/>
      <c r="AU321" s="47"/>
      <c r="AV321" s="47"/>
      <c r="AW321" s="47"/>
      <c r="AX321" s="47"/>
      <c r="AY321" s="47"/>
      <c r="AZ321" s="47"/>
      <c r="BA321" s="47"/>
      <c r="BB321" s="47"/>
      <c r="BC321" s="47"/>
      <c r="BD321" s="47"/>
      <c r="BE321" s="47"/>
      <c r="BF321" s="47"/>
      <c r="BG321" s="47"/>
      <c r="BH321" s="47"/>
      <c r="BI321" s="47"/>
      <c r="BJ321" s="47"/>
      <c r="BK321" s="47"/>
      <c r="BL321" s="47"/>
      <c r="BM321" s="47"/>
      <c r="BN321" s="49"/>
      <c r="BO321" s="47"/>
      <c r="BP321" s="47"/>
      <c r="BQ321" s="47"/>
      <c r="BR321" s="47"/>
      <c r="BS321" s="47"/>
      <c r="BT321" s="47"/>
      <c r="BU321" s="47"/>
      <c r="BV321" s="47"/>
      <c r="BW321" s="47"/>
      <c r="BX321" s="47"/>
      <c r="BY321" s="47"/>
      <c r="BZ321" s="47"/>
      <c r="CA321" s="47"/>
      <c r="CB321" s="47"/>
      <c r="CC321" s="47"/>
      <c r="CD321" s="47"/>
      <c r="CE321" s="47"/>
      <c r="CF321" s="47"/>
      <c r="CG321" s="49"/>
      <c r="CH321" s="47"/>
      <c r="CI321" s="47"/>
      <c r="CJ321" s="47"/>
      <c r="CK321" s="47"/>
      <c r="CL321" s="47"/>
      <c r="CM321" s="47"/>
      <c r="CN321" s="47"/>
      <c r="CO321" s="47"/>
      <c r="CP321" s="47"/>
      <c r="CQ321" s="47"/>
      <c r="CS321" s="47"/>
      <c r="CT321" s="47"/>
      <c r="CU321" s="47"/>
      <c r="CV321" s="47"/>
      <c r="CW321" s="47"/>
      <c r="CX321" s="47"/>
      <c r="CY321" s="47"/>
      <c r="CZ321" s="47"/>
      <c r="DA321" s="47"/>
      <c r="DB321" s="47"/>
      <c r="DC321" s="47"/>
      <c r="DD321" s="47"/>
      <c r="DE321" s="47"/>
      <c r="DF321" s="47"/>
      <c r="DG321" s="47"/>
      <c r="DH321" s="47"/>
      <c r="DI321" s="47"/>
      <c r="DJ321" s="47"/>
      <c r="DK321" s="47"/>
      <c r="DM321" s="47"/>
      <c r="DN321" s="47"/>
      <c r="DO321" s="47"/>
      <c r="DP321" s="47"/>
      <c r="DQ321" s="47"/>
      <c r="DR321" s="47"/>
      <c r="DS321" s="47"/>
      <c r="DT321" s="47"/>
      <c r="DU321" s="47"/>
      <c r="DV321" s="49"/>
      <c r="DW321" s="47"/>
      <c r="DX321" s="47"/>
      <c r="DY321" s="47"/>
      <c r="DZ321" s="47"/>
      <c r="EA321" s="47"/>
      <c r="EB321" s="47"/>
      <c r="EC321" s="47"/>
      <c r="ED321" s="47"/>
      <c r="EE321" s="47"/>
      <c r="EF321" s="47"/>
      <c r="EG321" s="47"/>
      <c r="EH321" s="47"/>
      <c r="EI321" s="47"/>
      <c r="EJ321" s="47"/>
      <c r="EK321" s="47"/>
      <c r="EL321" s="47"/>
      <c r="EM321" s="47"/>
      <c r="EN321" s="47"/>
      <c r="EO321" s="47"/>
      <c r="EP321" s="47"/>
      <c r="EQ321" s="47"/>
      <c r="ER321" s="47"/>
      <c r="ES321" s="47"/>
      <c r="ET321" s="47"/>
      <c r="EU321" s="47"/>
      <c r="EV321" s="47"/>
      <c r="EW321" s="47"/>
      <c r="EX321" s="47"/>
      <c r="EY321" s="47"/>
      <c r="EZ321" s="47"/>
      <c r="FA321" s="47"/>
      <c r="FB321" s="47"/>
      <c r="FC321" s="47"/>
      <c r="FD321" s="47"/>
      <c r="FE321" s="47"/>
      <c r="FF321" s="47"/>
      <c r="FG321" s="47"/>
      <c r="FH321" s="47"/>
      <c r="FI321" s="47"/>
      <c r="FJ321" s="49"/>
      <c r="FK321" s="47"/>
      <c r="FL321" s="47"/>
      <c r="FM321" s="47"/>
      <c r="FN321" s="47"/>
      <c r="FO321" s="47"/>
      <c r="FP321" s="47"/>
      <c r="FQ321" s="47"/>
      <c r="FR321" s="47"/>
      <c r="FS321" s="47"/>
      <c r="FT321" s="47"/>
      <c r="FU321" s="47"/>
      <c r="FV321" s="47"/>
      <c r="FW321" s="47"/>
      <c r="FX321" s="47"/>
      <c r="FY321" s="47"/>
      <c r="FZ321" s="47"/>
      <c r="GA321" s="47"/>
      <c r="GB321" s="47"/>
      <c r="GC321" s="47"/>
      <c r="GD321" s="47"/>
      <c r="GE321" s="47"/>
      <c r="GF321" s="47"/>
      <c r="GG321" s="47"/>
      <c r="GH321" s="47"/>
      <c r="GI321" s="47"/>
      <c r="GJ321" s="47"/>
      <c r="GK321" s="47"/>
      <c r="GL321" s="47"/>
      <c r="GM321" s="47"/>
      <c r="GN321" s="47"/>
      <c r="GO321" s="47"/>
      <c r="GP321" s="47"/>
      <c r="GQ321" s="47"/>
      <c r="GR321" s="47"/>
      <c r="GS321" s="47"/>
      <c r="GT321" s="47"/>
      <c r="GU321" s="47"/>
      <c r="GV321" s="47"/>
      <c r="GW321" s="47"/>
      <c r="GX321" s="47"/>
      <c r="GY321" s="47"/>
      <c r="GZ321" s="47"/>
      <c r="HA321" s="47"/>
      <c r="HB321" s="47"/>
      <c r="HC321" s="47"/>
      <c r="HD321" s="47"/>
      <c r="HE321" s="47"/>
      <c r="HF321" s="47"/>
      <c r="HI321" s="47"/>
      <c r="HJ321" s="47"/>
      <c r="HK321" s="47"/>
      <c r="HL321" s="47"/>
      <c r="HM321" s="47"/>
      <c r="HN321" s="47"/>
      <c r="HO321" s="47"/>
      <c r="HP321" s="47"/>
      <c r="HS321" s="47"/>
      <c r="HT321" s="47"/>
      <c r="HU321" s="47"/>
      <c r="HV321" s="47"/>
      <c r="HW321" s="47"/>
      <c r="HX321" s="47"/>
      <c r="HY321" s="47"/>
      <c r="HZ321" s="47"/>
      <c r="IC321" s="47"/>
      <c r="ID321" s="47"/>
      <c r="IE321" s="47"/>
      <c r="IF321" s="47"/>
      <c r="IG321" s="47"/>
      <c r="IH321" s="47"/>
      <c r="II321" s="47"/>
      <c r="IJ321" s="47"/>
      <c r="IM321" s="47"/>
      <c r="IN321" s="47"/>
      <c r="IO321" s="47"/>
      <c r="IP321" s="47"/>
      <c r="IQ321" s="47"/>
      <c r="IR321" s="47"/>
      <c r="IS321" s="47"/>
      <c r="IT321" s="47"/>
      <c r="IW321" s="47"/>
      <c r="IX321" s="47"/>
      <c r="IY321" s="47"/>
      <c r="IZ321" s="47"/>
      <c r="JA321" s="47"/>
      <c r="JB321" s="47"/>
      <c r="JC321" s="47"/>
      <c r="JD321" s="47"/>
      <c r="JG321" s="47"/>
      <c r="JH321" s="47"/>
      <c r="JI321" s="47"/>
      <c r="JJ321" s="47"/>
      <c r="JK321" s="47"/>
      <c r="JL321" s="47"/>
      <c r="JM321" s="47"/>
      <c r="JN321" s="47"/>
      <c r="JQ321" s="47"/>
      <c r="JR321" s="47"/>
      <c r="JS321" s="47"/>
      <c r="JT321" s="47"/>
      <c r="JU321" s="47"/>
      <c r="JV321" s="47"/>
      <c r="JW321" s="47"/>
      <c r="JX321" s="47"/>
      <c r="KA321" s="47"/>
      <c r="KB321" s="47"/>
      <c r="KC321" s="47"/>
      <c r="KD321" s="47"/>
      <c r="KE321" s="47"/>
      <c r="KF321" s="47"/>
      <c r="KG321" s="47"/>
      <c r="KH321" s="47"/>
      <c r="KK321" s="47"/>
      <c r="KL321" s="47"/>
      <c r="KM321" s="47"/>
      <c r="KN321" s="47"/>
      <c r="KO321" s="47"/>
      <c r="KP321" s="47"/>
      <c r="KQ321" s="47"/>
      <c r="KR321" s="47"/>
      <c r="KU321" s="47"/>
      <c r="KV321" s="47"/>
      <c r="KW321" s="47"/>
      <c r="KX321" s="47"/>
      <c r="KY321" s="47"/>
      <c r="KZ321" s="47"/>
      <c r="LA321" s="47"/>
      <c r="LB321" s="47"/>
    </row>
    <row r="322" spans="29:314" x14ac:dyDescent="0.25">
      <c r="AC322" s="47"/>
      <c r="AD322" s="47"/>
      <c r="AE322" s="47"/>
      <c r="AF322" s="47"/>
      <c r="AG322" s="49"/>
      <c r="AH322" s="47"/>
      <c r="AI322" s="47"/>
      <c r="AJ322" s="47"/>
      <c r="AK322" s="47"/>
      <c r="AL322" s="47"/>
      <c r="AM322" s="47"/>
      <c r="AN322" s="47"/>
      <c r="AO322" s="47"/>
      <c r="AP322" s="47"/>
      <c r="AQ322" s="47"/>
      <c r="AR322" s="47"/>
      <c r="AS322" s="47"/>
      <c r="AT322" s="47"/>
      <c r="AU322" s="47"/>
      <c r="AV322" s="47"/>
      <c r="AW322" s="47"/>
      <c r="AX322" s="47"/>
      <c r="AY322" s="47"/>
      <c r="AZ322" s="47"/>
      <c r="BA322" s="47"/>
      <c r="BB322" s="47"/>
      <c r="BC322" s="47"/>
      <c r="BD322" s="47"/>
      <c r="BE322" s="47"/>
      <c r="BF322" s="47"/>
      <c r="BG322" s="47"/>
      <c r="BH322" s="47"/>
      <c r="BI322" s="47"/>
      <c r="BJ322" s="47"/>
      <c r="BK322" s="47"/>
      <c r="BL322" s="47"/>
      <c r="BM322" s="47"/>
      <c r="BN322" s="49"/>
      <c r="BO322" s="47"/>
      <c r="BP322" s="47"/>
      <c r="BQ322" s="47"/>
      <c r="BR322" s="47"/>
      <c r="BS322" s="47"/>
      <c r="BT322" s="47"/>
      <c r="BU322" s="47"/>
      <c r="BV322" s="47"/>
      <c r="BW322" s="47"/>
      <c r="BX322" s="47"/>
      <c r="BY322" s="47"/>
      <c r="BZ322" s="47"/>
      <c r="CA322" s="47"/>
      <c r="CB322" s="47"/>
      <c r="CC322" s="47"/>
      <c r="CD322" s="47"/>
      <c r="CE322" s="47"/>
      <c r="CF322" s="47"/>
      <c r="CG322" s="49"/>
      <c r="CH322" s="47"/>
      <c r="CI322" s="47"/>
      <c r="CJ322" s="47"/>
      <c r="CK322" s="47"/>
      <c r="CL322" s="47"/>
      <c r="CM322" s="47"/>
      <c r="CN322" s="47"/>
      <c r="CO322" s="47"/>
      <c r="CP322" s="47"/>
      <c r="CQ322" s="47"/>
      <c r="CS322" s="47"/>
      <c r="CT322" s="47"/>
      <c r="CU322" s="47"/>
      <c r="CV322" s="47"/>
      <c r="CW322" s="47"/>
      <c r="CX322" s="47"/>
      <c r="CY322" s="47"/>
      <c r="CZ322" s="47"/>
      <c r="DA322" s="47"/>
      <c r="DB322" s="47"/>
      <c r="DC322" s="47"/>
      <c r="DD322" s="47"/>
      <c r="DE322" s="47"/>
      <c r="DF322" s="47"/>
      <c r="DG322" s="47"/>
      <c r="DH322" s="47"/>
      <c r="DI322" s="47"/>
      <c r="DJ322" s="47"/>
      <c r="DK322" s="47"/>
      <c r="DM322" s="47"/>
      <c r="DN322" s="47"/>
      <c r="DO322" s="47"/>
      <c r="DP322" s="47"/>
      <c r="DQ322" s="47"/>
      <c r="DR322" s="47"/>
      <c r="DS322" s="47"/>
      <c r="DT322" s="47"/>
      <c r="DU322" s="47"/>
      <c r="DV322" s="49"/>
      <c r="DW322" s="47"/>
      <c r="DX322" s="47"/>
      <c r="DY322" s="47"/>
      <c r="DZ322" s="47"/>
      <c r="EA322" s="47"/>
      <c r="EB322" s="47"/>
      <c r="EC322" s="47"/>
      <c r="ED322" s="47"/>
      <c r="EE322" s="47"/>
      <c r="EF322" s="47"/>
      <c r="EG322" s="47"/>
      <c r="EH322" s="47"/>
      <c r="EI322" s="47"/>
      <c r="EJ322" s="47"/>
      <c r="EK322" s="47"/>
      <c r="EL322" s="47"/>
      <c r="EM322" s="47"/>
      <c r="EN322" s="47"/>
      <c r="EO322" s="47"/>
      <c r="EP322" s="47"/>
      <c r="EQ322" s="47"/>
      <c r="ER322" s="47"/>
      <c r="ES322" s="47"/>
      <c r="ET322" s="47"/>
      <c r="EU322" s="47"/>
      <c r="EV322" s="47"/>
      <c r="EW322" s="47"/>
      <c r="EX322" s="47"/>
      <c r="EY322" s="47"/>
      <c r="EZ322" s="47"/>
      <c r="FA322" s="47"/>
      <c r="FB322" s="47"/>
      <c r="FC322" s="47"/>
      <c r="FD322" s="47"/>
      <c r="FE322" s="47"/>
      <c r="FF322" s="47"/>
      <c r="FG322" s="47"/>
      <c r="FH322" s="47"/>
      <c r="FI322" s="47"/>
      <c r="FJ322" s="49"/>
      <c r="FK322" s="47"/>
      <c r="FL322" s="47"/>
      <c r="FM322" s="47"/>
      <c r="FN322" s="47"/>
      <c r="FO322" s="47"/>
      <c r="FP322" s="47"/>
      <c r="FQ322" s="47"/>
      <c r="FR322" s="47"/>
      <c r="FS322" s="47"/>
      <c r="FT322" s="47"/>
      <c r="FU322" s="47"/>
      <c r="FV322" s="47"/>
      <c r="FW322" s="47"/>
      <c r="FX322" s="47"/>
      <c r="FY322" s="47"/>
      <c r="FZ322" s="47"/>
      <c r="GA322" s="47"/>
      <c r="GB322" s="47"/>
      <c r="GC322" s="47"/>
      <c r="GD322" s="47"/>
      <c r="GE322" s="47"/>
      <c r="GF322" s="47"/>
      <c r="GG322" s="47"/>
      <c r="GH322" s="47"/>
      <c r="GI322" s="47"/>
      <c r="GJ322" s="47"/>
      <c r="GK322" s="47"/>
      <c r="GL322" s="47"/>
      <c r="GM322" s="47"/>
      <c r="GN322" s="47"/>
      <c r="GO322" s="47"/>
      <c r="GP322" s="47"/>
      <c r="GQ322" s="47"/>
      <c r="GR322" s="47"/>
      <c r="GS322" s="47"/>
      <c r="GT322" s="47"/>
      <c r="GU322" s="47"/>
      <c r="GV322" s="47"/>
      <c r="GW322" s="47"/>
      <c r="GX322" s="47"/>
      <c r="GY322" s="47"/>
      <c r="GZ322" s="47"/>
      <c r="HA322" s="47"/>
      <c r="HB322" s="47"/>
      <c r="HC322" s="47"/>
      <c r="HD322" s="47"/>
      <c r="HE322" s="47"/>
      <c r="HF322" s="47"/>
      <c r="HI322" s="47"/>
      <c r="HJ322" s="47"/>
      <c r="HK322" s="47"/>
      <c r="HL322" s="47"/>
      <c r="HM322" s="47"/>
      <c r="HN322" s="47"/>
      <c r="HO322" s="47"/>
      <c r="HP322" s="47"/>
      <c r="HS322" s="47"/>
      <c r="HT322" s="47"/>
      <c r="HU322" s="47"/>
      <c r="HV322" s="47"/>
      <c r="HW322" s="47"/>
      <c r="HX322" s="47"/>
      <c r="HY322" s="47"/>
      <c r="HZ322" s="47"/>
      <c r="IC322" s="47"/>
      <c r="ID322" s="47"/>
      <c r="IE322" s="47"/>
      <c r="IF322" s="47"/>
      <c r="IG322" s="47"/>
      <c r="IH322" s="47"/>
      <c r="II322" s="47"/>
      <c r="IJ322" s="47"/>
      <c r="IM322" s="47"/>
      <c r="IN322" s="47"/>
      <c r="IO322" s="47"/>
      <c r="IP322" s="47"/>
      <c r="IQ322" s="47"/>
      <c r="IR322" s="47"/>
      <c r="IS322" s="47"/>
      <c r="IT322" s="47"/>
      <c r="IW322" s="47"/>
      <c r="IX322" s="47"/>
      <c r="IY322" s="47"/>
      <c r="IZ322" s="47"/>
      <c r="JA322" s="47"/>
      <c r="JB322" s="47"/>
      <c r="JC322" s="47"/>
      <c r="JD322" s="47"/>
      <c r="JG322" s="47"/>
      <c r="JH322" s="47"/>
      <c r="JI322" s="47"/>
      <c r="JJ322" s="47"/>
      <c r="JK322" s="47"/>
      <c r="JL322" s="47"/>
      <c r="JM322" s="47"/>
      <c r="JN322" s="47"/>
      <c r="JQ322" s="47"/>
      <c r="JR322" s="47"/>
      <c r="JS322" s="47"/>
      <c r="JT322" s="47"/>
      <c r="JU322" s="47"/>
      <c r="JV322" s="47"/>
      <c r="JW322" s="47"/>
      <c r="JX322" s="47"/>
      <c r="KA322" s="47"/>
      <c r="KB322" s="47"/>
      <c r="KC322" s="47"/>
      <c r="KD322" s="47"/>
      <c r="KE322" s="47"/>
      <c r="KF322" s="47"/>
      <c r="KG322" s="47"/>
      <c r="KH322" s="47"/>
      <c r="KK322" s="47"/>
      <c r="KL322" s="47"/>
      <c r="KM322" s="47"/>
      <c r="KN322" s="47"/>
      <c r="KO322" s="47"/>
      <c r="KP322" s="47"/>
      <c r="KQ322" s="47"/>
      <c r="KR322" s="47"/>
      <c r="KU322" s="47"/>
      <c r="KV322" s="47"/>
      <c r="KW322" s="47"/>
      <c r="KX322" s="47"/>
      <c r="KY322" s="47"/>
      <c r="KZ322" s="47"/>
      <c r="LA322" s="47"/>
      <c r="LB322" s="47"/>
    </row>
    <row r="323" spans="29:314" x14ac:dyDescent="0.25">
      <c r="AC323" s="47"/>
      <c r="AD323" s="47"/>
      <c r="AE323" s="47"/>
      <c r="AF323" s="47"/>
      <c r="AG323" s="49"/>
      <c r="AH323" s="47"/>
      <c r="AI323" s="47"/>
      <c r="AJ323" s="47"/>
      <c r="AK323" s="47"/>
      <c r="AL323" s="47"/>
      <c r="AM323" s="47"/>
      <c r="AN323" s="47"/>
      <c r="AO323" s="47"/>
      <c r="AP323" s="47"/>
      <c r="AQ323" s="47"/>
      <c r="AR323" s="47"/>
      <c r="AS323" s="47"/>
      <c r="AT323" s="47"/>
      <c r="AU323" s="47"/>
      <c r="AV323" s="47"/>
      <c r="AW323" s="47"/>
      <c r="AX323" s="47"/>
      <c r="AY323" s="47"/>
      <c r="AZ323" s="47"/>
      <c r="BA323" s="47"/>
      <c r="BB323" s="47"/>
      <c r="BC323" s="47"/>
      <c r="BD323" s="47"/>
      <c r="BE323" s="47"/>
      <c r="BF323" s="47"/>
      <c r="BG323" s="47"/>
      <c r="BH323" s="47"/>
      <c r="BI323" s="47"/>
      <c r="BJ323" s="47"/>
      <c r="BK323" s="47"/>
      <c r="BL323" s="47"/>
      <c r="BM323" s="47"/>
      <c r="BN323" s="49"/>
      <c r="BO323" s="47"/>
      <c r="BP323" s="47"/>
      <c r="BQ323" s="47"/>
      <c r="BR323" s="47"/>
      <c r="BS323" s="47"/>
      <c r="BT323" s="47"/>
      <c r="BU323" s="47"/>
      <c r="BV323" s="47"/>
      <c r="BW323" s="47"/>
      <c r="BX323" s="47"/>
      <c r="BY323" s="47"/>
      <c r="BZ323" s="47"/>
      <c r="CA323" s="47"/>
      <c r="CB323" s="47"/>
      <c r="CC323" s="47"/>
      <c r="CD323" s="47"/>
      <c r="CE323" s="47"/>
      <c r="CF323" s="47"/>
      <c r="CG323" s="49"/>
      <c r="CH323" s="47"/>
      <c r="CI323" s="47"/>
      <c r="CJ323" s="47"/>
      <c r="CK323" s="47"/>
      <c r="CL323" s="47"/>
      <c r="CM323" s="47"/>
      <c r="CN323" s="47"/>
      <c r="CO323" s="47"/>
      <c r="CP323" s="47"/>
      <c r="CQ323" s="47"/>
      <c r="CS323" s="47"/>
      <c r="CT323" s="47"/>
      <c r="CU323" s="47"/>
      <c r="CV323" s="47"/>
      <c r="CW323" s="47"/>
      <c r="CX323" s="47"/>
      <c r="CY323" s="47"/>
      <c r="CZ323" s="47"/>
      <c r="DA323" s="47"/>
      <c r="DB323" s="47"/>
      <c r="DC323" s="47"/>
      <c r="DD323" s="47"/>
      <c r="DE323" s="47"/>
      <c r="DF323" s="47"/>
      <c r="DG323" s="47"/>
      <c r="DH323" s="47"/>
      <c r="DI323" s="47"/>
      <c r="DJ323" s="47"/>
      <c r="DK323" s="47"/>
      <c r="DM323" s="47"/>
      <c r="DN323" s="47"/>
      <c r="DO323" s="47"/>
      <c r="DP323" s="47"/>
      <c r="DQ323" s="47"/>
      <c r="DR323" s="47"/>
      <c r="DS323" s="47"/>
      <c r="DT323" s="47"/>
      <c r="DU323" s="47"/>
      <c r="DV323" s="49"/>
      <c r="DW323" s="47"/>
      <c r="DX323" s="47"/>
      <c r="DY323" s="47"/>
      <c r="DZ323" s="47"/>
      <c r="EA323" s="47"/>
      <c r="EB323" s="47"/>
      <c r="EC323" s="47"/>
      <c r="ED323" s="47"/>
      <c r="EE323" s="47"/>
      <c r="EF323" s="47"/>
      <c r="EG323" s="47"/>
      <c r="EH323" s="47"/>
      <c r="EI323" s="47"/>
      <c r="EJ323" s="47"/>
      <c r="EK323" s="47"/>
      <c r="EL323" s="47"/>
      <c r="EM323" s="47"/>
      <c r="EN323" s="47"/>
      <c r="EO323" s="47"/>
      <c r="EP323" s="47"/>
      <c r="EQ323" s="47"/>
      <c r="ER323" s="47"/>
      <c r="ES323" s="47"/>
      <c r="ET323" s="47"/>
      <c r="EU323" s="47"/>
      <c r="EV323" s="47"/>
      <c r="EW323" s="47"/>
      <c r="EX323" s="47"/>
      <c r="EY323" s="47"/>
      <c r="EZ323" s="47"/>
      <c r="FA323" s="47"/>
      <c r="FB323" s="47"/>
      <c r="FC323" s="47"/>
      <c r="FD323" s="47"/>
      <c r="FE323" s="47"/>
      <c r="FF323" s="47"/>
      <c r="FG323" s="47"/>
      <c r="FH323" s="47"/>
      <c r="FI323" s="47"/>
      <c r="FJ323" s="49"/>
      <c r="FK323" s="47"/>
      <c r="FL323" s="47"/>
      <c r="FM323" s="47"/>
      <c r="FN323" s="47"/>
      <c r="FO323" s="47"/>
      <c r="FP323" s="47"/>
      <c r="FQ323" s="47"/>
      <c r="FR323" s="47"/>
      <c r="FS323" s="47"/>
      <c r="FT323" s="47"/>
      <c r="FU323" s="47"/>
      <c r="FV323" s="47"/>
      <c r="FW323" s="47"/>
      <c r="FX323" s="47"/>
      <c r="FY323" s="47"/>
      <c r="FZ323" s="47"/>
      <c r="GA323" s="47"/>
      <c r="GB323" s="47"/>
      <c r="GC323" s="47"/>
      <c r="GD323" s="47"/>
      <c r="GE323" s="47"/>
      <c r="GF323" s="47"/>
      <c r="GG323" s="47"/>
      <c r="GH323" s="47"/>
      <c r="GI323" s="47"/>
      <c r="GJ323" s="47"/>
      <c r="GK323" s="47"/>
      <c r="GL323" s="47"/>
      <c r="GM323" s="47"/>
      <c r="GN323" s="47"/>
      <c r="GO323" s="47"/>
      <c r="GP323" s="47"/>
      <c r="GQ323" s="47"/>
      <c r="GR323" s="47"/>
      <c r="GS323" s="47"/>
      <c r="GT323" s="47"/>
      <c r="GU323" s="47"/>
      <c r="GV323" s="47"/>
      <c r="GW323" s="47"/>
      <c r="GX323" s="47"/>
      <c r="GY323" s="47"/>
      <c r="GZ323" s="47"/>
      <c r="HA323" s="47"/>
      <c r="HB323" s="47"/>
      <c r="HC323" s="47"/>
      <c r="HD323" s="47"/>
      <c r="HE323" s="47"/>
      <c r="HF323" s="47"/>
      <c r="HI323" s="47"/>
      <c r="HJ323" s="47"/>
      <c r="HK323" s="47"/>
      <c r="HL323" s="47"/>
      <c r="HM323" s="47"/>
      <c r="HN323" s="47"/>
      <c r="HO323" s="47"/>
      <c r="HP323" s="47"/>
      <c r="HS323" s="47"/>
      <c r="HT323" s="47"/>
      <c r="HU323" s="47"/>
      <c r="HV323" s="47"/>
      <c r="HW323" s="47"/>
      <c r="HX323" s="47"/>
      <c r="HY323" s="47"/>
      <c r="HZ323" s="47"/>
      <c r="IC323" s="47"/>
      <c r="ID323" s="47"/>
      <c r="IE323" s="47"/>
      <c r="IF323" s="47"/>
      <c r="IG323" s="47"/>
      <c r="IH323" s="47"/>
      <c r="II323" s="47"/>
      <c r="IJ323" s="47"/>
      <c r="IM323" s="47"/>
      <c r="IN323" s="47"/>
      <c r="IO323" s="47"/>
      <c r="IP323" s="47"/>
      <c r="IQ323" s="47"/>
      <c r="IR323" s="47"/>
      <c r="IS323" s="47"/>
      <c r="IT323" s="47"/>
      <c r="IW323" s="47"/>
      <c r="IX323" s="47"/>
      <c r="IY323" s="47"/>
      <c r="IZ323" s="47"/>
      <c r="JA323" s="47"/>
      <c r="JB323" s="47"/>
      <c r="JC323" s="47"/>
      <c r="JD323" s="47"/>
      <c r="JG323" s="47"/>
      <c r="JH323" s="47"/>
      <c r="JI323" s="47"/>
      <c r="JJ323" s="47"/>
      <c r="JK323" s="47"/>
      <c r="JL323" s="47"/>
      <c r="JM323" s="47"/>
      <c r="JN323" s="47"/>
      <c r="JQ323" s="47"/>
      <c r="JR323" s="47"/>
      <c r="JS323" s="47"/>
      <c r="JT323" s="47"/>
      <c r="JU323" s="47"/>
      <c r="JV323" s="47"/>
      <c r="JW323" s="47"/>
      <c r="JX323" s="47"/>
      <c r="KA323" s="47"/>
      <c r="KB323" s="47"/>
      <c r="KC323" s="47"/>
      <c r="KD323" s="47"/>
      <c r="KE323" s="47"/>
      <c r="KF323" s="47"/>
      <c r="KG323" s="47"/>
      <c r="KH323" s="47"/>
      <c r="KK323" s="47"/>
      <c r="KL323" s="47"/>
      <c r="KM323" s="47"/>
      <c r="KN323" s="47"/>
      <c r="KO323" s="47"/>
      <c r="KP323" s="47"/>
      <c r="KQ323" s="47"/>
      <c r="KR323" s="47"/>
      <c r="KU323" s="47"/>
      <c r="KV323" s="47"/>
      <c r="KW323" s="47"/>
      <c r="KX323" s="47"/>
      <c r="KY323" s="47"/>
      <c r="KZ323" s="47"/>
      <c r="LA323" s="47"/>
      <c r="LB323" s="47"/>
    </row>
    <row r="324" spans="29:314" x14ac:dyDescent="0.25">
      <c r="AC324" s="47"/>
      <c r="AD324" s="47"/>
      <c r="AE324" s="47"/>
      <c r="AF324" s="47"/>
      <c r="AG324" s="49"/>
      <c r="AH324" s="47"/>
      <c r="AI324" s="47"/>
      <c r="AJ324" s="47"/>
      <c r="AK324" s="47"/>
      <c r="AL324" s="47"/>
      <c r="AM324" s="47"/>
      <c r="AN324" s="47"/>
      <c r="AO324" s="47"/>
      <c r="AP324" s="47"/>
      <c r="AQ324" s="47"/>
      <c r="AR324" s="47"/>
      <c r="AS324" s="47"/>
      <c r="AT324" s="47"/>
      <c r="AU324" s="47"/>
      <c r="AV324" s="47"/>
      <c r="AW324" s="47"/>
      <c r="AX324" s="47"/>
      <c r="AY324" s="47"/>
      <c r="AZ324" s="47"/>
      <c r="BA324" s="47"/>
      <c r="BB324" s="47"/>
      <c r="BC324" s="47"/>
      <c r="BD324" s="47"/>
      <c r="BE324" s="47"/>
      <c r="BF324" s="47"/>
      <c r="BG324" s="47"/>
      <c r="BH324" s="47"/>
      <c r="BI324" s="47"/>
      <c r="BJ324" s="47"/>
      <c r="BK324" s="47"/>
      <c r="BL324" s="47"/>
      <c r="BM324" s="47"/>
      <c r="BN324" s="49"/>
      <c r="BO324" s="47"/>
      <c r="BP324" s="47"/>
      <c r="BQ324" s="47"/>
      <c r="BR324" s="47"/>
      <c r="BS324" s="47"/>
      <c r="BT324" s="47"/>
      <c r="BU324" s="47"/>
      <c r="BV324" s="47"/>
      <c r="BW324" s="47"/>
      <c r="BX324" s="47"/>
      <c r="BY324" s="47"/>
      <c r="BZ324" s="47"/>
      <c r="CA324" s="47"/>
      <c r="CB324" s="47"/>
      <c r="CC324" s="47"/>
      <c r="CD324" s="47"/>
      <c r="CE324" s="47"/>
      <c r="CF324" s="47"/>
      <c r="CG324" s="49"/>
      <c r="CH324" s="47"/>
      <c r="CI324" s="47"/>
      <c r="CJ324" s="47"/>
      <c r="CK324" s="47"/>
      <c r="CL324" s="47"/>
      <c r="CM324" s="47"/>
      <c r="CN324" s="47"/>
      <c r="CO324" s="47"/>
      <c r="CP324" s="47"/>
      <c r="CQ324" s="47"/>
      <c r="CS324" s="47"/>
      <c r="CT324" s="47"/>
      <c r="CU324" s="47"/>
      <c r="CV324" s="47"/>
      <c r="CW324" s="47"/>
      <c r="CX324" s="47"/>
      <c r="CY324" s="47"/>
      <c r="CZ324" s="47"/>
      <c r="DA324" s="47"/>
      <c r="DB324" s="47"/>
      <c r="DC324" s="47"/>
      <c r="DD324" s="47"/>
      <c r="DE324" s="47"/>
      <c r="DF324" s="47"/>
      <c r="DG324" s="47"/>
      <c r="DH324" s="47"/>
      <c r="DI324" s="47"/>
      <c r="DJ324" s="47"/>
      <c r="DK324" s="47"/>
      <c r="DM324" s="47"/>
      <c r="DN324" s="47"/>
      <c r="DO324" s="47"/>
      <c r="DP324" s="47"/>
      <c r="DQ324" s="47"/>
      <c r="DR324" s="47"/>
      <c r="DS324" s="47"/>
      <c r="DT324" s="47"/>
      <c r="DU324" s="47"/>
      <c r="DV324" s="49"/>
      <c r="DW324" s="47"/>
      <c r="DX324" s="47"/>
      <c r="DY324" s="47"/>
      <c r="DZ324" s="47"/>
      <c r="EA324" s="47"/>
      <c r="EB324" s="47"/>
      <c r="EC324" s="47"/>
      <c r="ED324" s="47"/>
      <c r="EE324" s="47"/>
      <c r="EF324" s="47"/>
      <c r="EG324" s="47"/>
      <c r="EH324" s="47"/>
      <c r="EI324" s="47"/>
      <c r="EJ324" s="47"/>
      <c r="EK324" s="47"/>
      <c r="EL324" s="47"/>
      <c r="EM324" s="47"/>
      <c r="EN324" s="47"/>
      <c r="EO324" s="47"/>
      <c r="EP324" s="47"/>
      <c r="EQ324" s="47"/>
      <c r="ER324" s="47"/>
      <c r="ES324" s="47"/>
      <c r="ET324" s="47"/>
      <c r="EU324" s="47"/>
      <c r="EV324" s="47"/>
      <c r="EW324" s="47"/>
      <c r="EX324" s="47"/>
      <c r="EY324" s="47"/>
      <c r="EZ324" s="47"/>
      <c r="FA324" s="47"/>
      <c r="FB324" s="47"/>
      <c r="FC324" s="47"/>
      <c r="FD324" s="47"/>
      <c r="FE324" s="47"/>
      <c r="FF324" s="47"/>
      <c r="FG324" s="47"/>
      <c r="FH324" s="47"/>
      <c r="FI324" s="47"/>
      <c r="FJ324" s="49"/>
      <c r="FK324" s="47"/>
      <c r="FL324" s="47"/>
      <c r="FM324" s="47"/>
      <c r="FN324" s="47"/>
      <c r="FO324" s="47"/>
      <c r="FP324" s="47"/>
      <c r="FQ324" s="47"/>
      <c r="FR324" s="47"/>
      <c r="FS324" s="47"/>
      <c r="FT324" s="47"/>
      <c r="FU324" s="47"/>
      <c r="FV324" s="47"/>
      <c r="FW324" s="47"/>
      <c r="FX324" s="47"/>
      <c r="FY324" s="47"/>
      <c r="FZ324" s="47"/>
      <c r="GA324" s="47"/>
      <c r="GB324" s="47"/>
      <c r="GC324" s="47"/>
      <c r="GD324" s="47"/>
      <c r="GE324" s="47"/>
      <c r="GF324" s="47"/>
      <c r="GG324" s="47"/>
      <c r="GH324" s="47"/>
      <c r="GI324" s="47"/>
      <c r="GJ324" s="47"/>
      <c r="GK324" s="47"/>
      <c r="GL324" s="47"/>
      <c r="GM324" s="47"/>
      <c r="GN324" s="47"/>
      <c r="GO324" s="47"/>
      <c r="GP324" s="47"/>
      <c r="GQ324" s="47"/>
      <c r="GR324" s="47"/>
      <c r="GS324" s="47"/>
      <c r="GT324" s="47"/>
      <c r="GU324" s="47"/>
      <c r="GV324" s="47"/>
      <c r="GW324" s="47"/>
      <c r="GX324" s="47"/>
      <c r="GY324" s="47"/>
      <c r="GZ324" s="47"/>
      <c r="HA324" s="47"/>
      <c r="HB324" s="47"/>
      <c r="HC324" s="47"/>
      <c r="HD324" s="47"/>
      <c r="HE324" s="47"/>
      <c r="HF324" s="47"/>
      <c r="HI324" s="47"/>
      <c r="HJ324" s="47"/>
      <c r="HK324" s="47"/>
      <c r="HL324" s="47"/>
      <c r="HM324" s="47"/>
      <c r="HN324" s="47"/>
      <c r="HO324" s="47"/>
      <c r="HP324" s="47"/>
      <c r="HS324" s="47"/>
      <c r="HT324" s="47"/>
      <c r="HU324" s="47"/>
      <c r="HV324" s="47"/>
      <c r="HW324" s="47"/>
      <c r="HX324" s="47"/>
      <c r="HY324" s="47"/>
      <c r="HZ324" s="47"/>
      <c r="IC324" s="47"/>
      <c r="ID324" s="47"/>
      <c r="IE324" s="47"/>
      <c r="IF324" s="47"/>
      <c r="IG324" s="47"/>
      <c r="IH324" s="47"/>
      <c r="II324" s="47"/>
      <c r="IJ324" s="47"/>
      <c r="IM324" s="47"/>
      <c r="IN324" s="47"/>
      <c r="IO324" s="47"/>
      <c r="IP324" s="47"/>
      <c r="IQ324" s="47"/>
      <c r="IR324" s="47"/>
      <c r="IS324" s="47"/>
      <c r="IT324" s="47"/>
      <c r="IW324" s="47"/>
      <c r="IX324" s="47"/>
      <c r="IY324" s="47"/>
      <c r="IZ324" s="47"/>
      <c r="JA324" s="47"/>
      <c r="JB324" s="47"/>
      <c r="JC324" s="47"/>
      <c r="JD324" s="47"/>
      <c r="JG324" s="47"/>
      <c r="JH324" s="47"/>
      <c r="JI324" s="47"/>
      <c r="JJ324" s="47"/>
      <c r="JK324" s="47"/>
      <c r="JL324" s="47"/>
      <c r="JM324" s="47"/>
      <c r="JN324" s="47"/>
      <c r="JQ324" s="47"/>
      <c r="JR324" s="47"/>
      <c r="JS324" s="47"/>
      <c r="JT324" s="47"/>
      <c r="JU324" s="47"/>
      <c r="JV324" s="47"/>
      <c r="JW324" s="47"/>
      <c r="JX324" s="47"/>
      <c r="KA324" s="47"/>
      <c r="KB324" s="47"/>
      <c r="KC324" s="47"/>
      <c r="KD324" s="47"/>
      <c r="KE324" s="47"/>
      <c r="KF324" s="47"/>
      <c r="KG324" s="47"/>
      <c r="KH324" s="47"/>
      <c r="KK324" s="47"/>
      <c r="KL324" s="47"/>
      <c r="KM324" s="47"/>
      <c r="KN324" s="47"/>
      <c r="KO324" s="47"/>
      <c r="KP324" s="47"/>
      <c r="KQ324" s="47"/>
      <c r="KR324" s="47"/>
      <c r="KU324" s="47"/>
      <c r="KV324" s="47"/>
      <c r="KW324" s="47"/>
      <c r="KX324" s="47"/>
      <c r="KY324" s="47"/>
      <c r="KZ324" s="47"/>
      <c r="LA324" s="47"/>
      <c r="LB324" s="47"/>
    </row>
    <row r="325" spans="29:314" x14ac:dyDescent="0.25">
      <c r="AC325" s="47"/>
      <c r="AD325" s="47"/>
      <c r="AE325" s="47"/>
      <c r="AF325" s="47"/>
      <c r="AG325" s="49"/>
      <c r="AH325" s="47"/>
      <c r="AI325" s="47"/>
      <c r="AJ325" s="47"/>
      <c r="AK325" s="47"/>
      <c r="AL325" s="47"/>
      <c r="AM325" s="47"/>
      <c r="AN325" s="47"/>
      <c r="AO325" s="47"/>
      <c r="AP325" s="47"/>
      <c r="AQ325" s="47"/>
      <c r="AR325" s="47"/>
      <c r="AS325" s="47"/>
      <c r="AT325" s="47"/>
      <c r="AU325" s="47"/>
      <c r="AV325" s="47"/>
      <c r="AW325" s="47"/>
      <c r="AX325" s="47"/>
      <c r="AY325" s="47"/>
      <c r="AZ325" s="47"/>
      <c r="BA325" s="47"/>
      <c r="BB325" s="47"/>
      <c r="BC325" s="47"/>
      <c r="BD325" s="47"/>
      <c r="BE325" s="47"/>
      <c r="BF325" s="47"/>
      <c r="BG325" s="47"/>
      <c r="BH325" s="47"/>
      <c r="BI325" s="47"/>
      <c r="BJ325" s="47"/>
      <c r="BK325" s="47"/>
      <c r="BL325" s="47"/>
      <c r="BM325" s="47"/>
      <c r="BN325" s="49"/>
      <c r="BO325" s="47"/>
      <c r="BP325" s="47"/>
      <c r="BQ325" s="47"/>
      <c r="BR325" s="47"/>
      <c r="BS325" s="47"/>
      <c r="BT325" s="47"/>
      <c r="BU325" s="47"/>
      <c r="BV325" s="47"/>
      <c r="BW325" s="47"/>
      <c r="BX325" s="47"/>
      <c r="BY325" s="47"/>
      <c r="BZ325" s="47"/>
      <c r="CA325" s="47"/>
      <c r="CB325" s="47"/>
      <c r="CC325" s="47"/>
      <c r="CD325" s="47"/>
      <c r="CE325" s="47"/>
      <c r="CF325" s="47"/>
      <c r="CG325" s="49"/>
      <c r="CH325" s="47"/>
      <c r="CI325" s="47"/>
      <c r="CJ325" s="47"/>
      <c r="CK325" s="47"/>
      <c r="CL325" s="47"/>
      <c r="CM325" s="47"/>
      <c r="CN325" s="47"/>
      <c r="CO325" s="47"/>
      <c r="CP325" s="47"/>
      <c r="CQ325" s="47"/>
      <c r="CS325" s="47"/>
      <c r="CT325" s="47"/>
      <c r="CU325" s="47"/>
      <c r="CV325" s="47"/>
      <c r="CW325" s="47"/>
      <c r="CX325" s="47"/>
      <c r="CY325" s="47"/>
      <c r="CZ325" s="47"/>
      <c r="DA325" s="47"/>
      <c r="DB325" s="47"/>
      <c r="DC325" s="47"/>
      <c r="DD325" s="47"/>
      <c r="DE325" s="47"/>
      <c r="DF325" s="47"/>
      <c r="DG325" s="47"/>
      <c r="DH325" s="47"/>
      <c r="DI325" s="47"/>
      <c r="DJ325" s="47"/>
      <c r="DK325" s="47"/>
      <c r="DM325" s="47"/>
      <c r="DN325" s="47"/>
      <c r="DO325" s="47"/>
      <c r="DP325" s="47"/>
      <c r="DQ325" s="47"/>
      <c r="DR325" s="47"/>
      <c r="DS325" s="47"/>
      <c r="DT325" s="47"/>
      <c r="DU325" s="47"/>
      <c r="DV325" s="49"/>
      <c r="DW325" s="47"/>
      <c r="DX325" s="47"/>
      <c r="DY325" s="47"/>
      <c r="DZ325" s="47"/>
      <c r="EA325" s="47"/>
      <c r="EB325" s="47"/>
      <c r="EC325" s="47"/>
      <c r="ED325" s="47"/>
      <c r="EE325" s="47"/>
      <c r="EF325" s="47"/>
      <c r="EG325" s="47"/>
      <c r="EH325" s="47"/>
      <c r="EI325" s="47"/>
      <c r="EJ325" s="47"/>
      <c r="EK325" s="47"/>
      <c r="EL325" s="47"/>
      <c r="EM325" s="47"/>
      <c r="EN325" s="47"/>
      <c r="EO325" s="47"/>
      <c r="EP325" s="47"/>
      <c r="EQ325" s="47"/>
      <c r="ER325" s="47"/>
      <c r="ES325" s="47"/>
      <c r="ET325" s="47"/>
      <c r="EU325" s="47"/>
      <c r="EV325" s="47"/>
      <c r="EW325" s="47"/>
      <c r="EX325" s="47"/>
      <c r="EY325" s="47"/>
      <c r="EZ325" s="47"/>
      <c r="FA325" s="47"/>
      <c r="FB325" s="47"/>
      <c r="FC325" s="47"/>
      <c r="FD325" s="47"/>
      <c r="FE325" s="47"/>
      <c r="FF325" s="47"/>
      <c r="FG325" s="47"/>
      <c r="FH325" s="47"/>
      <c r="FI325" s="47"/>
      <c r="FJ325" s="49"/>
      <c r="FK325" s="47"/>
      <c r="FL325" s="47"/>
      <c r="FM325" s="47"/>
      <c r="FN325" s="47"/>
      <c r="FO325" s="47"/>
      <c r="FP325" s="47"/>
      <c r="FQ325" s="47"/>
      <c r="FR325" s="47"/>
      <c r="FS325" s="47"/>
      <c r="FT325" s="47"/>
      <c r="FU325" s="47"/>
      <c r="FV325" s="47"/>
      <c r="FW325" s="47"/>
      <c r="FX325" s="47"/>
      <c r="FY325" s="47"/>
      <c r="FZ325" s="47"/>
      <c r="GA325" s="47"/>
      <c r="GB325" s="47"/>
      <c r="GC325" s="47"/>
      <c r="GD325" s="47"/>
      <c r="GE325" s="47"/>
      <c r="GF325" s="47"/>
      <c r="GG325" s="47"/>
      <c r="GH325" s="47"/>
      <c r="GI325" s="47"/>
      <c r="GJ325" s="47"/>
      <c r="GK325" s="47"/>
      <c r="GL325" s="47"/>
      <c r="GM325" s="47"/>
      <c r="GN325" s="47"/>
      <c r="GO325" s="47"/>
      <c r="GP325" s="47"/>
      <c r="GQ325" s="47"/>
      <c r="GR325" s="47"/>
      <c r="GS325" s="47"/>
      <c r="GT325" s="47"/>
      <c r="GU325" s="47"/>
      <c r="GV325" s="47"/>
      <c r="GW325" s="47"/>
      <c r="GX325" s="47"/>
      <c r="GY325" s="47"/>
      <c r="GZ325" s="47"/>
      <c r="HA325" s="47"/>
      <c r="HB325" s="47"/>
      <c r="HC325" s="47"/>
      <c r="HD325" s="47"/>
      <c r="HE325" s="47"/>
      <c r="HF325" s="47"/>
      <c r="HI325" s="47"/>
      <c r="HJ325" s="47"/>
      <c r="HK325" s="47"/>
      <c r="HL325" s="47"/>
      <c r="HM325" s="47"/>
      <c r="HN325" s="47"/>
      <c r="HO325" s="47"/>
      <c r="HP325" s="47"/>
      <c r="HS325" s="47"/>
      <c r="HT325" s="47"/>
      <c r="HU325" s="47"/>
      <c r="HV325" s="47"/>
      <c r="HW325" s="47"/>
      <c r="HX325" s="47"/>
      <c r="HY325" s="47"/>
      <c r="HZ325" s="47"/>
      <c r="IC325" s="47"/>
      <c r="ID325" s="47"/>
      <c r="IE325" s="47"/>
      <c r="IF325" s="47"/>
      <c r="IG325" s="47"/>
      <c r="IH325" s="47"/>
      <c r="II325" s="47"/>
      <c r="IJ325" s="47"/>
      <c r="IM325" s="47"/>
      <c r="IN325" s="47"/>
      <c r="IO325" s="47"/>
      <c r="IP325" s="47"/>
      <c r="IQ325" s="47"/>
      <c r="IR325" s="47"/>
      <c r="IS325" s="47"/>
      <c r="IT325" s="47"/>
      <c r="IW325" s="47"/>
      <c r="IX325" s="47"/>
      <c r="IY325" s="47"/>
      <c r="IZ325" s="47"/>
      <c r="JA325" s="47"/>
      <c r="JB325" s="47"/>
      <c r="JC325" s="47"/>
      <c r="JD325" s="47"/>
      <c r="JG325" s="47"/>
      <c r="JH325" s="47"/>
      <c r="JI325" s="47"/>
      <c r="JJ325" s="47"/>
      <c r="JK325" s="47"/>
      <c r="JL325" s="47"/>
      <c r="JM325" s="47"/>
      <c r="JN325" s="47"/>
      <c r="JQ325" s="47"/>
      <c r="JR325" s="47"/>
      <c r="JS325" s="47"/>
      <c r="JT325" s="47"/>
      <c r="JU325" s="47"/>
      <c r="JV325" s="47"/>
      <c r="JW325" s="47"/>
      <c r="JX325" s="47"/>
      <c r="KA325" s="47"/>
      <c r="KB325" s="47"/>
      <c r="KC325" s="47"/>
      <c r="KD325" s="47"/>
      <c r="KE325" s="47"/>
      <c r="KF325" s="47"/>
      <c r="KG325" s="47"/>
      <c r="KH325" s="47"/>
      <c r="KK325" s="47"/>
      <c r="KL325" s="47"/>
      <c r="KM325" s="47"/>
      <c r="KN325" s="47"/>
      <c r="KO325" s="47"/>
      <c r="KP325" s="47"/>
      <c r="KQ325" s="47"/>
      <c r="KR325" s="47"/>
      <c r="KU325" s="47"/>
      <c r="KV325" s="47"/>
      <c r="KW325" s="47"/>
      <c r="KX325" s="47"/>
      <c r="KY325" s="47"/>
      <c r="KZ325" s="47"/>
      <c r="LA325" s="47"/>
      <c r="LB325" s="47"/>
    </row>
    <row r="326" spans="29:314" x14ac:dyDescent="0.25">
      <c r="AC326" s="47"/>
      <c r="AD326" s="47"/>
      <c r="AE326" s="47"/>
      <c r="AF326" s="47"/>
      <c r="AG326" s="49"/>
      <c r="AH326" s="47"/>
      <c r="AI326" s="47"/>
      <c r="AJ326" s="47"/>
      <c r="AK326" s="47"/>
      <c r="AL326" s="47"/>
      <c r="AM326" s="47"/>
      <c r="AN326" s="47"/>
      <c r="AO326" s="47"/>
      <c r="AP326" s="47"/>
      <c r="AQ326" s="47"/>
      <c r="AR326" s="47"/>
      <c r="AS326" s="47"/>
      <c r="AT326" s="47"/>
      <c r="AU326" s="47"/>
      <c r="AV326" s="47"/>
      <c r="AW326" s="47"/>
      <c r="AX326" s="47"/>
      <c r="AY326" s="47"/>
      <c r="AZ326" s="47"/>
      <c r="BA326" s="47"/>
      <c r="BB326" s="47"/>
      <c r="BC326" s="47"/>
      <c r="BD326" s="47"/>
      <c r="BE326" s="47"/>
      <c r="BF326" s="47"/>
      <c r="BG326" s="47"/>
      <c r="BH326" s="47"/>
      <c r="BI326" s="47"/>
      <c r="BJ326" s="47"/>
      <c r="BK326" s="47"/>
      <c r="BL326" s="47"/>
      <c r="BM326" s="47"/>
      <c r="BN326" s="49"/>
      <c r="BO326" s="47"/>
      <c r="BP326" s="47"/>
      <c r="BQ326" s="47"/>
      <c r="BR326" s="47"/>
      <c r="BS326" s="47"/>
      <c r="BT326" s="47"/>
      <c r="BU326" s="47"/>
      <c r="BV326" s="47"/>
      <c r="BW326" s="47"/>
      <c r="BX326" s="47"/>
      <c r="BY326" s="47"/>
      <c r="BZ326" s="47"/>
      <c r="CA326" s="47"/>
      <c r="CB326" s="47"/>
      <c r="CC326" s="47"/>
      <c r="CD326" s="47"/>
      <c r="CE326" s="47"/>
      <c r="CF326" s="47"/>
      <c r="CG326" s="49"/>
      <c r="CH326" s="47"/>
      <c r="CI326" s="47"/>
      <c r="CJ326" s="47"/>
      <c r="CK326" s="47"/>
      <c r="CL326" s="47"/>
      <c r="CM326" s="47"/>
      <c r="CN326" s="47"/>
      <c r="CO326" s="47"/>
      <c r="CP326" s="47"/>
      <c r="CQ326" s="47"/>
      <c r="CS326" s="47"/>
      <c r="CT326" s="47"/>
      <c r="CU326" s="47"/>
      <c r="CV326" s="47"/>
      <c r="CW326" s="47"/>
      <c r="CX326" s="47"/>
      <c r="CY326" s="47"/>
      <c r="CZ326" s="47"/>
      <c r="DA326" s="47"/>
      <c r="DB326" s="47"/>
      <c r="DC326" s="47"/>
      <c r="DD326" s="47"/>
      <c r="DE326" s="47"/>
      <c r="DF326" s="47"/>
      <c r="DG326" s="47"/>
      <c r="DH326" s="47"/>
      <c r="DI326" s="47"/>
      <c r="DJ326" s="47"/>
      <c r="DK326" s="47"/>
      <c r="DM326" s="47"/>
      <c r="DN326" s="47"/>
      <c r="DO326" s="47"/>
      <c r="DP326" s="47"/>
      <c r="DQ326" s="47"/>
      <c r="DR326" s="47"/>
      <c r="DS326" s="47"/>
      <c r="DT326" s="47"/>
      <c r="DU326" s="47"/>
      <c r="DV326" s="49"/>
      <c r="DW326" s="47"/>
      <c r="DX326" s="47"/>
      <c r="DY326" s="47"/>
      <c r="DZ326" s="47"/>
      <c r="EA326" s="47"/>
      <c r="EB326" s="47"/>
      <c r="EC326" s="47"/>
      <c r="ED326" s="47"/>
      <c r="EE326" s="47"/>
      <c r="EF326" s="47"/>
      <c r="EG326" s="47"/>
      <c r="EH326" s="47"/>
      <c r="EI326" s="47"/>
      <c r="EJ326" s="47"/>
      <c r="EK326" s="47"/>
      <c r="EL326" s="47"/>
      <c r="EM326" s="47"/>
      <c r="EN326" s="47"/>
      <c r="EO326" s="47"/>
      <c r="EP326" s="47"/>
      <c r="EQ326" s="47"/>
      <c r="ER326" s="47"/>
      <c r="ES326" s="47"/>
      <c r="ET326" s="47"/>
      <c r="EU326" s="47"/>
      <c r="EV326" s="47"/>
      <c r="EW326" s="47"/>
      <c r="EX326" s="47"/>
      <c r="EY326" s="47"/>
      <c r="EZ326" s="47"/>
      <c r="FA326" s="47"/>
      <c r="FB326" s="47"/>
      <c r="FC326" s="47"/>
      <c r="FD326" s="47"/>
      <c r="FE326" s="47"/>
      <c r="FF326" s="47"/>
      <c r="FG326" s="47"/>
      <c r="FH326" s="47"/>
      <c r="FI326" s="47"/>
      <c r="FJ326" s="49"/>
      <c r="FK326" s="47"/>
      <c r="FL326" s="47"/>
      <c r="FM326" s="47"/>
      <c r="FN326" s="47"/>
      <c r="FO326" s="47"/>
      <c r="FP326" s="47"/>
      <c r="FQ326" s="47"/>
      <c r="FR326" s="47"/>
      <c r="FS326" s="47"/>
      <c r="FT326" s="47"/>
      <c r="FU326" s="47"/>
      <c r="FV326" s="47"/>
      <c r="FW326" s="47"/>
      <c r="FX326" s="47"/>
      <c r="FY326" s="47"/>
      <c r="FZ326" s="47"/>
      <c r="GA326" s="47"/>
      <c r="GB326" s="47"/>
      <c r="GC326" s="47"/>
      <c r="GD326" s="47"/>
      <c r="GE326" s="47"/>
      <c r="GF326" s="47"/>
      <c r="GG326" s="47"/>
      <c r="GH326" s="47"/>
      <c r="GI326" s="47"/>
      <c r="GJ326" s="47"/>
      <c r="GK326" s="47"/>
      <c r="GL326" s="47"/>
      <c r="GM326" s="47"/>
      <c r="GN326" s="47"/>
      <c r="GO326" s="47"/>
      <c r="GP326" s="47"/>
      <c r="GQ326" s="47"/>
      <c r="GR326" s="47"/>
      <c r="GS326" s="47"/>
      <c r="GT326" s="47"/>
      <c r="GU326" s="47"/>
      <c r="GV326" s="47"/>
      <c r="GW326" s="47"/>
      <c r="GX326" s="47"/>
      <c r="GY326" s="47"/>
      <c r="GZ326" s="47"/>
      <c r="HA326" s="47"/>
      <c r="HB326" s="47"/>
      <c r="HC326" s="47"/>
      <c r="HD326" s="47"/>
      <c r="HE326" s="47"/>
      <c r="HF326" s="47"/>
      <c r="HI326" s="47"/>
      <c r="HJ326" s="47"/>
      <c r="HK326" s="47"/>
      <c r="HL326" s="47"/>
      <c r="HM326" s="47"/>
      <c r="HN326" s="47"/>
      <c r="HO326" s="47"/>
      <c r="HP326" s="47"/>
      <c r="HS326" s="47"/>
      <c r="HT326" s="47"/>
      <c r="HU326" s="47"/>
      <c r="HV326" s="47"/>
      <c r="HW326" s="47"/>
      <c r="HX326" s="47"/>
      <c r="HY326" s="47"/>
      <c r="HZ326" s="47"/>
      <c r="IC326" s="47"/>
      <c r="ID326" s="47"/>
      <c r="IE326" s="47"/>
      <c r="IF326" s="47"/>
      <c r="IG326" s="47"/>
      <c r="IH326" s="47"/>
      <c r="II326" s="47"/>
      <c r="IJ326" s="47"/>
      <c r="IM326" s="47"/>
      <c r="IN326" s="47"/>
      <c r="IO326" s="47"/>
      <c r="IP326" s="47"/>
      <c r="IQ326" s="47"/>
      <c r="IR326" s="47"/>
      <c r="IS326" s="47"/>
      <c r="IT326" s="47"/>
      <c r="IW326" s="47"/>
      <c r="IX326" s="47"/>
      <c r="IY326" s="47"/>
      <c r="IZ326" s="47"/>
      <c r="JA326" s="47"/>
      <c r="JB326" s="47"/>
      <c r="JC326" s="47"/>
      <c r="JD326" s="47"/>
      <c r="JG326" s="47"/>
      <c r="JH326" s="47"/>
      <c r="JI326" s="47"/>
      <c r="JJ326" s="47"/>
      <c r="JK326" s="47"/>
      <c r="JL326" s="47"/>
      <c r="JM326" s="47"/>
      <c r="JN326" s="47"/>
      <c r="JQ326" s="47"/>
      <c r="JR326" s="47"/>
      <c r="JS326" s="47"/>
      <c r="JT326" s="47"/>
      <c r="JU326" s="47"/>
      <c r="JV326" s="47"/>
      <c r="JW326" s="47"/>
      <c r="JX326" s="47"/>
      <c r="KA326" s="47"/>
      <c r="KB326" s="47"/>
      <c r="KC326" s="47"/>
      <c r="KD326" s="47"/>
      <c r="KE326" s="47"/>
      <c r="KF326" s="47"/>
      <c r="KG326" s="47"/>
      <c r="KH326" s="47"/>
      <c r="KK326" s="47"/>
      <c r="KL326" s="47"/>
      <c r="KM326" s="47"/>
      <c r="KN326" s="47"/>
      <c r="KO326" s="47"/>
      <c r="KP326" s="47"/>
      <c r="KQ326" s="47"/>
      <c r="KR326" s="47"/>
      <c r="KU326" s="47"/>
      <c r="KV326" s="47"/>
      <c r="KW326" s="47"/>
      <c r="KX326" s="47"/>
      <c r="KY326" s="47"/>
      <c r="KZ326" s="47"/>
      <c r="LA326" s="47"/>
      <c r="LB326" s="47"/>
    </row>
    <row r="327" spans="29:314" x14ac:dyDescent="0.25">
      <c r="AC327" s="47"/>
      <c r="AD327" s="47"/>
      <c r="AE327" s="47"/>
      <c r="AF327" s="47"/>
      <c r="AG327" s="49"/>
      <c r="AH327" s="47"/>
      <c r="AI327" s="47"/>
      <c r="AJ327" s="47"/>
      <c r="AK327" s="47"/>
      <c r="AL327" s="47"/>
      <c r="AM327" s="47"/>
      <c r="AN327" s="47"/>
      <c r="AO327" s="47"/>
      <c r="AP327" s="47"/>
      <c r="AQ327" s="47"/>
      <c r="AR327" s="47"/>
      <c r="AS327" s="47"/>
      <c r="AT327" s="47"/>
      <c r="AU327" s="47"/>
      <c r="AV327" s="47"/>
      <c r="AW327" s="47"/>
      <c r="AX327" s="47"/>
      <c r="AY327" s="47"/>
      <c r="AZ327" s="47"/>
      <c r="BA327" s="47"/>
      <c r="BB327" s="47"/>
      <c r="BC327" s="47"/>
      <c r="BD327" s="47"/>
      <c r="BE327" s="47"/>
      <c r="BF327" s="47"/>
      <c r="BG327" s="47"/>
      <c r="BH327" s="47"/>
      <c r="BI327" s="47"/>
      <c r="BJ327" s="47"/>
      <c r="BK327" s="47"/>
      <c r="BL327" s="47"/>
      <c r="BM327" s="47"/>
      <c r="BN327" s="49"/>
      <c r="BO327" s="47"/>
      <c r="BP327" s="47"/>
      <c r="BQ327" s="47"/>
      <c r="BR327" s="47"/>
      <c r="BS327" s="47"/>
      <c r="BT327" s="47"/>
      <c r="BU327" s="47"/>
      <c r="BV327" s="47"/>
      <c r="BW327" s="47"/>
      <c r="BX327" s="47"/>
      <c r="BY327" s="47"/>
      <c r="BZ327" s="47"/>
      <c r="CA327" s="47"/>
      <c r="CB327" s="47"/>
      <c r="CC327" s="47"/>
      <c r="CD327" s="47"/>
      <c r="CE327" s="47"/>
      <c r="CF327" s="47"/>
      <c r="CG327" s="49"/>
      <c r="CH327" s="47"/>
      <c r="CI327" s="47"/>
      <c r="CJ327" s="47"/>
      <c r="CK327" s="47"/>
      <c r="CL327" s="47"/>
      <c r="CM327" s="47"/>
      <c r="CN327" s="47"/>
      <c r="CO327" s="47"/>
      <c r="CP327" s="47"/>
      <c r="CQ327" s="47"/>
      <c r="CS327" s="47"/>
      <c r="CT327" s="47"/>
      <c r="CU327" s="47"/>
      <c r="CV327" s="47"/>
      <c r="CW327" s="47"/>
      <c r="CX327" s="47"/>
      <c r="CY327" s="47"/>
      <c r="CZ327" s="47"/>
      <c r="DA327" s="47"/>
      <c r="DB327" s="47"/>
      <c r="DC327" s="47"/>
      <c r="DD327" s="47"/>
      <c r="DE327" s="47"/>
      <c r="DF327" s="47"/>
      <c r="DG327" s="47"/>
      <c r="DH327" s="47"/>
      <c r="DI327" s="47"/>
      <c r="DJ327" s="47"/>
      <c r="DK327" s="47"/>
      <c r="DM327" s="47"/>
      <c r="DN327" s="47"/>
      <c r="DO327" s="47"/>
      <c r="DP327" s="47"/>
      <c r="DQ327" s="47"/>
      <c r="DR327" s="47"/>
      <c r="DS327" s="47"/>
      <c r="DT327" s="47"/>
      <c r="DU327" s="47"/>
      <c r="DV327" s="49"/>
      <c r="DW327" s="47"/>
      <c r="DX327" s="47"/>
      <c r="DY327" s="47"/>
      <c r="DZ327" s="47"/>
      <c r="EA327" s="47"/>
      <c r="EB327" s="47"/>
      <c r="EC327" s="47"/>
      <c r="ED327" s="47"/>
      <c r="EE327" s="47"/>
      <c r="EF327" s="47"/>
      <c r="EG327" s="47"/>
      <c r="EH327" s="47"/>
      <c r="EI327" s="47"/>
      <c r="EJ327" s="47"/>
      <c r="EK327" s="47"/>
      <c r="EL327" s="47"/>
      <c r="EM327" s="47"/>
      <c r="EN327" s="47"/>
      <c r="EO327" s="47"/>
      <c r="EP327" s="47"/>
      <c r="EQ327" s="47"/>
      <c r="ER327" s="47"/>
      <c r="ES327" s="47"/>
      <c r="ET327" s="47"/>
      <c r="EU327" s="47"/>
      <c r="EV327" s="47"/>
      <c r="EW327" s="47"/>
      <c r="EX327" s="47"/>
      <c r="EY327" s="47"/>
      <c r="EZ327" s="47"/>
      <c r="FA327" s="47"/>
      <c r="FB327" s="47"/>
      <c r="FC327" s="47"/>
      <c r="FD327" s="47"/>
      <c r="FE327" s="47"/>
      <c r="FF327" s="47"/>
      <c r="FG327" s="47"/>
      <c r="FH327" s="47"/>
      <c r="FI327" s="47"/>
      <c r="FJ327" s="49"/>
      <c r="FK327" s="47"/>
      <c r="FL327" s="47"/>
      <c r="FM327" s="47"/>
      <c r="FN327" s="47"/>
      <c r="FO327" s="47"/>
      <c r="FP327" s="47"/>
      <c r="FQ327" s="47"/>
      <c r="FR327" s="47"/>
      <c r="FS327" s="47"/>
      <c r="FT327" s="47"/>
      <c r="FU327" s="47"/>
      <c r="FV327" s="47"/>
      <c r="FW327" s="47"/>
      <c r="FX327" s="47"/>
      <c r="FY327" s="47"/>
      <c r="FZ327" s="47"/>
      <c r="GA327" s="47"/>
      <c r="GB327" s="47"/>
      <c r="GC327" s="47"/>
      <c r="GD327" s="47"/>
      <c r="GE327" s="47"/>
      <c r="GF327" s="47"/>
      <c r="GG327" s="47"/>
      <c r="GH327" s="47"/>
      <c r="GI327" s="47"/>
      <c r="GJ327" s="47"/>
      <c r="GK327" s="47"/>
      <c r="GL327" s="47"/>
      <c r="GM327" s="47"/>
      <c r="GN327" s="47"/>
      <c r="GO327" s="47"/>
      <c r="GP327" s="47"/>
      <c r="GQ327" s="47"/>
      <c r="GR327" s="47"/>
      <c r="GS327" s="47"/>
      <c r="GT327" s="47"/>
      <c r="GU327" s="47"/>
      <c r="GV327" s="47"/>
      <c r="GW327" s="47"/>
      <c r="GX327" s="47"/>
      <c r="GY327" s="47"/>
      <c r="GZ327" s="47"/>
      <c r="HA327" s="47"/>
      <c r="HB327" s="47"/>
      <c r="HC327" s="47"/>
      <c r="HD327" s="47"/>
      <c r="HE327" s="47"/>
      <c r="HF327" s="47"/>
      <c r="HI327" s="47"/>
      <c r="HJ327" s="47"/>
      <c r="HK327" s="47"/>
      <c r="HL327" s="47"/>
      <c r="HM327" s="47"/>
      <c r="HN327" s="47"/>
      <c r="HO327" s="47"/>
      <c r="HP327" s="47"/>
      <c r="HS327" s="47"/>
      <c r="HT327" s="47"/>
      <c r="HU327" s="47"/>
      <c r="HV327" s="47"/>
      <c r="HW327" s="47"/>
      <c r="HX327" s="47"/>
      <c r="HY327" s="47"/>
      <c r="HZ327" s="47"/>
      <c r="IC327" s="47"/>
      <c r="ID327" s="47"/>
      <c r="IE327" s="47"/>
      <c r="IF327" s="47"/>
      <c r="IG327" s="47"/>
      <c r="IH327" s="47"/>
      <c r="II327" s="47"/>
      <c r="IJ327" s="47"/>
      <c r="IM327" s="47"/>
      <c r="IN327" s="47"/>
      <c r="IO327" s="47"/>
      <c r="IP327" s="47"/>
      <c r="IQ327" s="47"/>
      <c r="IR327" s="47"/>
      <c r="IS327" s="47"/>
      <c r="IT327" s="47"/>
      <c r="IW327" s="47"/>
      <c r="IX327" s="47"/>
      <c r="IY327" s="47"/>
      <c r="IZ327" s="47"/>
      <c r="JA327" s="47"/>
      <c r="JB327" s="47"/>
      <c r="JC327" s="47"/>
      <c r="JD327" s="47"/>
      <c r="JG327" s="47"/>
      <c r="JH327" s="47"/>
      <c r="JI327" s="47"/>
      <c r="JJ327" s="47"/>
      <c r="JK327" s="47"/>
      <c r="JL327" s="47"/>
      <c r="JM327" s="47"/>
      <c r="JN327" s="47"/>
      <c r="JQ327" s="47"/>
      <c r="JR327" s="47"/>
      <c r="JS327" s="47"/>
      <c r="JT327" s="47"/>
      <c r="JU327" s="47"/>
      <c r="JV327" s="47"/>
      <c r="JW327" s="47"/>
      <c r="JX327" s="47"/>
      <c r="KA327" s="47"/>
      <c r="KB327" s="47"/>
      <c r="KC327" s="47"/>
      <c r="KD327" s="47"/>
      <c r="KE327" s="47"/>
      <c r="KF327" s="47"/>
      <c r="KG327" s="47"/>
      <c r="KH327" s="47"/>
      <c r="KK327" s="47"/>
      <c r="KL327" s="47"/>
      <c r="KM327" s="47"/>
      <c r="KN327" s="47"/>
      <c r="KO327" s="47"/>
      <c r="KP327" s="47"/>
      <c r="KQ327" s="47"/>
      <c r="KR327" s="47"/>
      <c r="KU327" s="47"/>
      <c r="KV327" s="47"/>
      <c r="KW327" s="47"/>
      <c r="KX327" s="47"/>
      <c r="KY327" s="47"/>
      <c r="KZ327" s="47"/>
      <c r="LA327" s="47"/>
      <c r="LB327" s="47"/>
    </row>
    <row r="328" spans="29:314" x14ac:dyDescent="0.25">
      <c r="AC328" s="47"/>
      <c r="AD328" s="47"/>
      <c r="AE328" s="47"/>
      <c r="AF328" s="47"/>
      <c r="AG328" s="49"/>
      <c r="AH328" s="47"/>
      <c r="AI328" s="47"/>
      <c r="AJ328" s="47"/>
      <c r="AK328" s="47"/>
      <c r="AL328" s="47"/>
      <c r="AM328" s="47"/>
      <c r="AN328" s="47"/>
      <c r="AO328" s="47"/>
      <c r="AP328" s="47"/>
      <c r="AQ328" s="47"/>
      <c r="AR328" s="47"/>
      <c r="AS328" s="47"/>
      <c r="AT328" s="47"/>
      <c r="AU328" s="47"/>
      <c r="AV328" s="47"/>
      <c r="AW328" s="47"/>
      <c r="AX328" s="47"/>
      <c r="AY328" s="47"/>
      <c r="AZ328" s="47"/>
      <c r="BA328" s="47"/>
      <c r="BB328" s="47"/>
      <c r="BC328" s="47"/>
      <c r="BD328" s="47"/>
      <c r="BE328" s="47"/>
      <c r="BF328" s="47"/>
      <c r="BG328" s="47"/>
      <c r="BH328" s="47"/>
      <c r="BI328" s="47"/>
      <c r="BJ328" s="47"/>
      <c r="BK328" s="47"/>
      <c r="BL328" s="47"/>
      <c r="BM328" s="47"/>
      <c r="BN328" s="49"/>
      <c r="BO328" s="47"/>
      <c r="BP328" s="47"/>
      <c r="BQ328" s="47"/>
      <c r="BR328" s="47"/>
      <c r="BS328" s="47"/>
      <c r="BT328" s="47"/>
      <c r="BU328" s="47"/>
      <c r="BV328" s="47"/>
      <c r="BW328" s="47"/>
      <c r="BX328" s="47"/>
      <c r="BY328" s="47"/>
      <c r="BZ328" s="47"/>
      <c r="CA328" s="47"/>
      <c r="CB328" s="47"/>
      <c r="CC328" s="47"/>
      <c r="CD328" s="47"/>
      <c r="CE328" s="47"/>
      <c r="CF328" s="47"/>
      <c r="CG328" s="49"/>
      <c r="CH328" s="47"/>
      <c r="CI328" s="47"/>
      <c r="CJ328" s="47"/>
      <c r="CK328" s="47"/>
      <c r="CL328" s="47"/>
      <c r="CM328" s="47"/>
      <c r="CN328" s="47"/>
      <c r="CO328" s="47"/>
      <c r="CP328" s="47"/>
      <c r="CQ328" s="47"/>
      <c r="CS328" s="47"/>
      <c r="CT328" s="47"/>
      <c r="CU328" s="47"/>
      <c r="CV328" s="47"/>
      <c r="CW328" s="47"/>
      <c r="CX328" s="47"/>
      <c r="CY328" s="47"/>
      <c r="CZ328" s="47"/>
      <c r="DA328" s="47"/>
      <c r="DB328" s="47"/>
      <c r="DC328" s="47"/>
      <c r="DD328" s="47"/>
      <c r="DE328" s="47"/>
      <c r="DF328" s="47"/>
      <c r="DG328" s="47"/>
      <c r="DH328" s="47"/>
      <c r="DI328" s="47"/>
      <c r="DJ328" s="47"/>
      <c r="DK328" s="47"/>
      <c r="DM328" s="47"/>
      <c r="DN328" s="47"/>
      <c r="DO328" s="47"/>
      <c r="DP328" s="47"/>
      <c r="DQ328" s="47"/>
      <c r="DR328" s="47"/>
      <c r="DS328" s="47"/>
      <c r="DT328" s="47"/>
      <c r="DU328" s="47"/>
      <c r="DV328" s="49"/>
      <c r="DW328" s="47"/>
      <c r="DX328" s="47"/>
      <c r="DY328" s="47"/>
      <c r="DZ328" s="47"/>
      <c r="EA328" s="47"/>
      <c r="EB328" s="47"/>
      <c r="EC328" s="47"/>
      <c r="ED328" s="47"/>
      <c r="EE328" s="47"/>
      <c r="EF328" s="47"/>
      <c r="EG328" s="47"/>
      <c r="EH328" s="47"/>
      <c r="EI328" s="47"/>
      <c r="EJ328" s="47"/>
      <c r="EK328" s="47"/>
      <c r="EL328" s="47"/>
      <c r="EM328" s="47"/>
      <c r="EN328" s="47"/>
      <c r="EO328" s="47"/>
      <c r="EP328" s="47"/>
      <c r="EQ328" s="47"/>
      <c r="ER328" s="47"/>
      <c r="ES328" s="47"/>
      <c r="ET328" s="47"/>
      <c r="EU328" s="47"/>
      <c r="EV328" s="47"/>
      <c r="EW328" s="47"/>
      <c r="EX328" s="47"/>
      <c r="EY328" s="47"/>
      <c r="EZ328" s="47"/>
      <c r="FA328" s="47"/>
      <c r="FB328" s="47"/>
      <c r="FC328" s="47"/>
      <c r="FD328" s="47"/>
      <c r="FE328" s="47"/>
      <c r="FF328" s="47"/>
      <c r="FG328" s="47"/>
      <c r="FH328" s="47"/>
      <c r="FI328" s="47"/>
      <c r="FJ328" s="49"/>
      <c r="FK328" s="47"/>
      <c r="FL328" s="47"/>
      <c r="FM328" s="47"/>
      <c r="FN328" s="47"/>
      <c r="FO328" s="47"/>
      <c r="FP328" s="47"/>
      <c r="FQ328" s="47"/>
      <c r="FR328" s="47"/>
      <c r="FS328" s="47"/>
      <c r="FT328" s="47"/>
      <c r="FU328" s="47"/>
      <c r="FV328" s="47"/>
      <c r="FW328" s="47"/>
      <c r="FX328" s="47"/>
      <c r="FY328" s="47"/>
      <c r="FZ328" s="47"/>
      <c r="GA328" s="47"/>
      <c r="GB328" s="47"/>
      <c r="GC328" s="47"/>
      <c r="GD328" s="47"/>
      <c r="GE328" s="47"/>
      <c r="GF328" s="47"/>
      <c r="GG328" s="47"/>
      <c r="GH328" s="47"/>
      <c r="GI328" s="47"/>
      <c r="GJ328" s="47"/>
      <c r="GK328" s="47"/>
      <c r="GL328" s="47"/>
      <c r="GM328" s="47"/>
      <c r="GN328" s="47"/>
      <c r="GO328" s="47"/>
      <c r="GP328" s="47"/>
      <c r="GQ328" s="47"/>
      <c r="GR328" s="47"/>
      <c r="GS328" s="47"/>
      <c r="GT328" s="47"/>
      <c r="GU328" s="47"/>
      <c r="GV328" s="47"/>
      <c r="GW328" s="47"/>
      <c r="GX328" s="47"/>
      <c r="GY328" s="47"/>
      <c r="GZ328" s="47"/>
      <c r="HA328" s="47"/>
      <c r="HB328" s="47"/>
      <c r="HC328" s="47"/>
      <c r="HD328" s="47"/>
      <c r="HE328" s="47"/>
      <c r="HF328" s="47"/>
      <c r="HI328" s="47"/>
      <c r="HJ328" s="47"/>
      <c r="HK328" s="47"/>
      <c r="HL328" s="47"/>
      <c r="HM328" s="47"/>
      <c r="HN328" s="47"/>
      <c r="HO328" s="47"/>
      <c r="HP328" s="47"/>
      <c r="HS328" s="47"/>
      <c r="HT328" s="47"/>
      <c r="HU328" s="47"/>
      <c r="HV328" s="47"/>
      <c r="HW328" s="47"/>
      <c r="HX328" s="47"/>
      <c r="HY328" s="47"/>
      <c r="HZ328" s="47"/>
      <c r="IC328" s="47"/>
      <c r="ID328" s="47"/>
      <c r="IE328" s="47"/>
      <c r="IF328" s="47"/>
      <c r="IG328" s="47"/>
      <c r="IH328" s="47"/>
      <c r="II328" s="47"/>
      <c r="IJ328" s="47"/>
      <c r="IM328" s="47"/>
      <c r="IN328" s="47"/>
      <c r="IO328" s="47"/>
      <c r="IP328" s="47"/>
      <c r="IQ328" s="47"/>
      <c r="IR328" s="47"/>
      <c r="IS328" s="47"/>
      <c r="IT328" s="47"/>
      <c r="IW328" s="47"/>
      <c r="IX328" s="47"/>
      <c r="IY328" s="47"/>
      <c r="IZ328" s="47"/>
      <c r="JA328" s="47"/>
      <c r="JB328" s="47"/>
      <c r="JC328" s="47"/>
      <c r="JD328" s="47"/>
      <c r="JG328" s="47"/>
      <c r="JH328" s="47"/>
      <c r="JI328" s="47"/>
      <c r="JJ328" s="47"/>
      <c r="JK328" s="47"/>
      <c r="JL328" s="47"/>
      <c r="JM328" s="47"/>
      <c r="JN328" s="47"/>
      <c r="JQ328" s="47"/>
      <c r="JR328" s="47"/>
      <c r="JS328" s="47"/>
      <c r="JT328" s="47"/>
      <c r="JU328" s="47"/>
      <c r="JV328" s="47"/>
      <c r="JW328" s="47"/>
      <c r="JX328" s="47"/>
      <c r="KA328" s="47"/>
      <c r="KB328" s="47"/>
      <c r="KC328" s="47"/>
      <c r="KD328" s="47"/>
      <c r="KE328" s="47"/>
      <c r="KF328" s="47"/>
      <c r="KG328" s="47"/>
      <c r="KH328" s="47"/>
      <c r="KK328" s="47"/>
      <c r="KL328" s="47"/>
      <c r="KM328" s="47"/>
      <c r="KN328" s="47"/>
      <c r="KO328" s="47"/>
      <c r="KP328" s="47"/>
      <c r="KQ328" s="47"/>
      <c r="KR328" s="47"/>
      <c r="KU328" s="47"/>
      <c r="KV328" s="47"/>
      <c r="KW328" s="47"/>
      <c r="KX328" s="47"/>
      <c r="KY328" s="47"/>
      <c r="KZ328" s="47"/>
      <c r="LA328" s="47"/>
      <c r="LB328" s="47"/>
    </row>
    <row r="329" spans="29:314" x14ac:dyDescent="0.25">
      <c r="AC329" s="47"/>
      <c r="AD329" s="47"/>
      <c r="AE329" s="47"/>
      <c r="AF329" s="47"/>
      <c r="AG329" s="49"/>
      <c r="AH329" s="47"/>
      <c r="AI329" s="47"/>
      <c r="AJ329" s="47"/>
      <c r="AK329" s="47"/>
      <c r="AL329" s="47"/>
      <c r="AM329" s="47"/>
      <c r="AN329" s="47"/>
      <c r="AO329" s="47"/>
      <c r="AP329" s="47"/>
      <c r="AQ329" s="47"/>
      <c r="AR329" s="47"/>
      <c r="AS329" s="47"/>
      <c r="AT329" s="47"/>
      <c r="AU329" s="47"/>
      <c r="AV329" s="47"/>
      <c r="AW329" s="47"/>
      <c r="AX329" s="47"/>
      <c r="AY329" s="47"/>
      <c r="AZ329" s="47"/>
      <c r="BA329" s="47"/>
      <c r="BB329" s="47"/>
      <c r="BC329" s="47"/>
      <c r="BD329" s="47"/>
      <c r="BE329" s="47"/>
      <c r="BF329" s="47"/>
      <c r="BG329" s="47"/>
      <c r="BH329" s="47"/>
      <c r="BI329" s="47"/>
      <c r="BJ329" s="47"/>
      <c r="BK329" s="47"/>
      <c r="BL329" s="47"/>
      <c r="BM329" s="47"/>
      <c r="BN329" s="49"/>
      <c r="BO329" s="47"/>
      <c r="BP329" s="47"/>
      <c r="BQ329" s="47"/>
      <c r="BR329" s="47"/>
      <c r="BS329" s="47"/>
      <c r="BT329" s="47"/>
      <c r="BU329" s="47"/>
      <c r="BV329" s="47"/>
      <c r="BW329" s="47"/>
      <c r="BX329" s="47"/>
      <c r="BY329" s="47"/>
      <c r="BZ329" s="47"/>
      <c r="CA329" s="47"/>
      <c r="CB329" s="47"/>
      <c r="CC329" s="47"/>
      <c r="CD329" s="47"/>
      <c r="CE329" s="47"/>
      <c r="CF329" s="47"/>
      <c r="CG329" s="49"/>
      <c r="CH329" s="47"/>
      <c r="CI329" s="47"/>
      <c r="CJ329" s="47"/>
      <c r="CK329" s="47"/>
      <c r="CL329" s="47"/>
      <c r="CM329" s="47"/>
      <c r="CN329" s="47"/>
      <c r="CO329" s="47"/>
      <c r="CP329" s="47"/>
      <c r="CQ329" s="47"/>
      <c r="CS329" s="47"/>
      <c r="CT329" s="47"/>
      <c r="CU329" s="47"/>
      <c r="CV329" s="47"/>
      <c r="CW329" s="47"/>
      <c r="CX329" s="47"/>
      <c r="CY329" s="47"/>
      <c r="CZ329" s="47"/>
      <c r="DA329" s="47"/>
      <c r="DB329" s="47"/>
      <c r="DC329" s="47"/>
      <c r="DD329" s="47"/>
      <c r="DE329" s="47"/>
      <c r="DF329" s="47"/>
      <c r="DG329" s="47"/>
      <c r="DH329" s="47"/>
      <c r="DI329" s="47"/>
      <c r="DJ329" s="47"/>
      <c r="DK329" s="47"/>
      <c r="DM329" s="47"/>
      <c r="DN329" s="47"/>
      <c r="DO329" s="47"/>
      <c r="DP329" s="47"/>
      <c r="DQ329" s="47"/>
      <c r="DR329" s="47"/>
      <c r="DS329" s="47"/>
      <c r="DT329" s="47"/>
      <c r="DU329" s="47"/>
      <c r="DV329" s="49"/>
      <c r="DW329" s="47"/>
      <c r="DX329" s="47"/>
      <c r="DY329" s="47"/>
      <c r="DZ329" s="47"/>
      <c r="EA329" s="47"/>
      <c r="EB329" s="47"/>
      <c r="EC329" s="47"/>
      <c r="ED329" s="47"/>
      <c r="EE329" s="47"/>
      <c r="EF329" s="47"/>
      <c r="EG329" s="47"/>
      <c r="EH329" s="47"/>
      <c r="EI329" s="47"/>
      <c r="EJ329" s="47"/>
      <c r="EK329" s="47"/>
      <c r="EL329" s="47"/>
      <c r="EM329" s="47"/>
      <c r="EN329" s="47"/>
      <c r="EO329" s="47"/>
      <c r="EP329" s="47"/>
      <c r="EQ329" s="47"/>
      <c r="ER329" s="47"/>
      <c r="ES329" s="47"/>
      <c r="ET329" s="47"/>
      <c r="EU329" s="47"/>
      <c r="EV329" s="47"/>
      <c r="EW329" s="47"/>
      <c r="EX329" s="47"/>
      <c r="EY329" s="47"/>
      <c r="EZ329" s="47"/>
      <c r="FA329" s="47"/>
      <c r="FB329" s="47"/>
      <c r="FC329" s="47"/>
      <c r="FD329" s="47"/>
      <c r="FE329" s="47"/>
      <c r="FF329" s="47"/>
      <c r="FG329" s="47"/>
      <c r="FH329" s="47"/>
      <c r="FI329" s="47"/>
      <c r="FJ329" s="49"/>
      <c r="FK329" s="47"/>
      <c r="FL329" s="47"/>
      <c r="FM329" s="47"/>
      <c r="FN329" s="47"/>
      <c r="FO329" s="47"/>
      <c r="FP329" s="47"/>
      <c r="FQ329" s="47"/>
      <c r="FR329" s="47"/>
      <c r="FS329" s="47"/>
      <c r="FT329" s="47"/>
      <c r="FU329" s="47"/>
      <c r="FV329" s="47"/>
      <c r="FW329" s="47"/>
      <c r="FX329" s="47"/>
      <c r="FY329" s="47"/>
      <c r="FZ329" s="47"/>
      <c r="GA329" s="47"/>
      <c r="GB329" s="47"/>
      <c r="GC329" s="47"/>
      <c r="GD329" s="47"/>
      <c r="GE329" s="47"/>
      <c r="GF329" s="47"/>
      <c r="GG329" s="47"/>
      <c r="GH329" s="47"/>
      <c r="GI329" s="47"/>
      <c r="GJ329" s="47"/>
      <c r="GK329" s="47"/>
      <c r="GL329" s="47"/>
      <c r="GM329" s="47"/>
      <c r="GN329" s="47"/>
      <c r="GO329" s="47"/>
      <c r="GP329" s="47"/>
      <c r="GQ329" s="47"/>
      <c r="GR329" s="47"/>
      <c r="GS329" s="47"/>
      <c r="GT329" s="47"/>
      <c r="GU329" s="47"/>
      <c r="GV329" s="47"/>
      <c r="GW329" s="47"/>
      <c r="GX329" s="47"/>
      <c r="GY329" s="47"/>
      <c r="GZ329" s="47"/>
      <c r="HA329" s="47"/>
      <c r="HB329" s="47"/>
      <c r="HC329" s="47"/>
      <c r="HD329" s="47"/>
      <c r="HE329" s="47"/>
      <c r="HF329" s="47"/>
      <c r="HI329" s="47"/>
      <c r="HJ329" s="47"/>
      <c r="HK329" s="47"/>
      <c r="HL329" s="47"/>
      <c r="HM329" s="47"/>
      <c r="HN329" s="47"/>
      <c r="HO329" s="47"/>
      <c r="HP329" s="47"/>
      <c r="HS329" s="47"/>
      <c r="HT329" s="47"/>
      <c r="HU329" s="47"/>
      <c r="HV329" s="47"/>
      <c r="HW329" s="47"/>
      <c r="HX329" s="47"/>
      <c r="HY329" s="47"/>
      <c r="HZ329" s="47"/>
      <c r="IC329" s="47"/>
      <c r="ID329" s="47"/>
      <c r="IE329" s="47"/>
      <c r="IF329" s="47"/>
      <c r="IG329" s="47"/>
      <c r="IH329" s="47"/>
      <c r="II329" s="47"/>
      <c r="IJ329" s="47"/>
      <c r="IM329" s="47"/>
      <c r="IN329" s="47"/>
      <c r="IO329" s="47"/>
      <c r="IP329" s="47"/>
      <c r="IQ329" s="47"/>
      <c r="IR329" s="47"/>
      <c r="IS329" s="47"/>
      <c r="IT329" s="47"/>
      <c r="IW329" s="47"/>
      <c r="IX329" s="47"/>
      <c r="IY329" s="47"/>
      <c r="IZ329" s="47"/>
      <c r="JA329" s="47"/>
      <c r="JB329" s="47"/>
      <c r="JC329" s="47"/>
      <c r="JD329" s="47"/>
      <c r="JG329" s="47"/>
      <c r="JH329" s="47"/>
      <c r="JI329" s="47"/>
      <c r="JJ329" s="47"/>
      <c r="JK329" s="47"/>
      <c r="JL329" s="47"/>
      <c r="JM329" s="47"/>
      <c r="JN329" s="47"/>
      <c r="JQ329" s="47"/>
      <c r="JR329" s="47"/>
      <c r="JS329" s="47"/>
      <c r="JT329" s="47"/>
      <c r="JU329" s="47"/>
      <c r="JV329" s="47"/>
      <c r="JW329" s="47"/>
      <c r="JX329" s="47"/>
      <c r="KA329" s="47"/>
      <c r="KB329" s="47"/>
      <c r="KC329" s="47"/>
      <c r="KD329" s="47"/>
      <c r="KE329" s="47"/>
      <c r="KF329" s="47"/>
      <c r="KG329" s="47"/>
      <c r="KH329" s="47"/>
      <c r="KK329" s="47"/>
      <c r="KL329" s="47"/>
      <c r="KM329" s="47"/>
      <c r="KN329" s="47"/>
      <c r="KO329" s="47"/>
      <c r="KP329" s="47"/>
      <c r="KQ329" s="47"/>
      <c r="KR329" s="47"/>
      <c r="KU329" s="47"/>
      <c r="KV329" s="47"/>
      <c r="KW329" s="47"/>
      <c r="KX329" s="47"/>
      <c r="KY329" s="47"/>
      <c r="KZ329" s="47"/>
      <c r="LA329" s="47"/>
      <c r="LB329" s="47"/>
    </row>
    <row r="330" spans="29:314" x14ac:dyDescent="0.25">
      <c r="AC330" s="47"/>
      <c r="AD330" s="47"/>
      <c r="AE330" s="47"/>
      <c r="AF330" s="47"/>
      <c r="AG330" s="49"/>
      <c r="AH330" s="47"/>
      <c r="AI330" s="47"/>
      <c r="AJ330" s="47"/>
      <c r="AK330" s="47"/>
      <c r="AL330" s="47"/>
      <c r="AM330" s="47"/>
      <c r="AN330" s="47"/>
      <c r="AO330" s="47"/>
      <c r="AP330" s="47"/>
      <c r="AQ330" s="47"/>
      <c r="AR330" s="47"/>
      <c r="AS330" s="47"/>
      <c r="AT330" s="47"/>
      <c r="AU330" s="47"/>
      <c r="AV330" s="47"/>
      <c r="AW330" s="47"/>
      <c r="AX330" s="47"/>
      <c r="AY330" s="47"/>
      <c r="AZ330" s="47"/>
      <c r="BA330" s="47"/>
      <c r="BB330" s="47"/>
      <c r="BC330" s="47"/>
      <c r="BD330" s="47"/>
      <c r="BE330" s="47"/>
      <c r="BF330" s="47"/>
      <c r="BG330" s="47"/>
      <c r="BH330" s="47"/>
      <c r="BI330" s="47"/>
      <c r="BJ330" s="47"/>
      <c r="BK330" s="47"/>
      <c r="BL330" s="47"/>
      <c r="BM330" s="47"/>
      <c r="BN330" s="49"/>
      <c r="BO330" s="47"/>
      <c r="BP330" s="47"/>
      <c r="BQ330" s="47"/>
      <c r="BR330" s="47"/>
      <c r="BS330" s="47"/>
      <c r="BT330" s="47"/>
      <c r="BU330" s="47"/>
      <c r="BV330" s="47"/>
      <c r="BW330" s="47"/>
      <c r="BX330" s="47"/>
      <c r="BY330" s="47"/>
      <c r="BZ330" s="47"/>
      <c r="CA330" s="47"/>
      <c r="CB330" s="47"/>
      <c r="CC330" s="47"/>
      <c r="CD330" s="47"/>
      <c r="CE330" s="47"/>
      <c r="CF330" s="47"/>
      <c r="CG330" s="49"/>
      <c r="CH330" s="47"/>
      <c r="CI330" s="47"/>
      <c r="CJ330" s="47"/>
      <c r="CK330" s="47"/>
      <c r="CL330" s="47"/>
      <c r="CM330" s="47"/>
      <c r="CN330" s="47"/>
      <c r="CO330" s="47"/>
      <c r="CP330" s="47"/>
      <c r="CQ330" s="47"/>
      <c r="CS330" s="47"/>
      <c r="CT330" s="47"/>
      <c r="CU330" s="47"/>
      <c r="CV330" s="47"/>
      <c r="CW330" s="47"/>
      <c r="CX330" s="47"/>
      <c r="CY330" s="47"/>
      <c r="CZ330" s="47"/>
      <c r="DA330" s="47"/>
      <c r="DB330" s="47"/>
      <c r="DC330" s="47"/>
      <c r="DD330" s="47"/>
      <c r="DE330" s="47"/>
      <c r="DF330" s="47"/>
      <c r="DG330" s="47"/>
      <c r="DH330" s="47"/>
      <c r="DI330" s="47"/>
      <c r="DJ330" s="47"/>
      <c r="DK330" s="47"/>
      <c r="DM330" s="47"/>
      <c r="DN330" s="47"/>
      <c r="DO330" s="47"/>
      <c r="DP330" s="47"/>
      <c r="DQ330" s="47"/>
      <c r="DR330" s="47"/>
      <c r="DS330" s="47"/>
      <c r="DT330" s="47"/>
      <c r="DU330" s="47"/>
      <c r="DV330" s="49"/>
      <c r="DW330" s="47"/>
      <c r="DX330" s="47"/>
      <c r="DY330" s="47"/>
      <c r="DZ330" s="47"/>
      <c r="EA330" s="47"/>
      <c r="EB330" s="47"/>
      <c r="EC330" s="47"/>
      <c r="ED330" s="47"/>
      <c r="EE330" s="47"/>
      <c r="EF330" s="47"/>
      <c r="EG330" s="47"/>
      <c r="EH330" s="47"/>
      <c r="EI330" s="47"/>
      <c r="EJ330" s="47"/>
      <c r="EK330" s="47"/>
      <c r="EL330" s="47"/>
      <c r="EM330" s="47"/>
      <c r="EN330" s="47"/>
      <c r="EO330" s="47"/>
      <c r="EP330" s="47"/>
      <c r="EQ330" s="47"/>
      <c r="ER330" s="47"/>
      <c r="ES330" s="47"/>
      <c r="ET330" s="47"/>
      <c r="EU330" s="47"/>
      <c r="EV330" s="47"/>
      <c r="EW330" s="47"/>
      <c r="EX330" s="47"/>
      <c r="EY330" s="47"/>
      <c r="EZ330" s="47"/>
      <c r="FA330" s="47"/>
      <c r="FB330" s="47"/>
      <c r="FC330" s="47"/>
      <c r="FD330" s="47"/>
      <c r="FE330" s="47"/>
      <c r="FF330" s="47"/>
      <c r="FG330" s="47"/>
      <c r="FH330" s="47"/>
      <c r="FI330" s="47"/>
      <c r="FJ330" s="49"/>
      <c r="FK330" s="47"/>
      <c r="FL330" s="47"/>
      <c r="FM330" s="47"/>
      <c r="FN330" s="47"/>
      <c r="FO330" s="47"/>
      <c r="FP330" s="47"/>
      <c r="FQ330" s="47"/>
      <c r="FR330" s="47"/>
      <c r="FS330" s="47"/>
      <c r="FT330" s="47"/>
      <c r="FU330" s="47"/>
      <c r="FV330" s="47"/>
      <c r="FW330" s="47"/>
      <c r="FX330" s="47"/>
      <c r="FY330" s="47"/>
      <c r="FZ330" s="47"/>
      <c r="GA330" s="47"/>
      <c r="GB330" s="47"/>
      <c r="GC330" s="47"/>
      <c r="GD330" s="47"/>
      <c r="GE330" s="47"/>
      <c r="GF330" s="47"/>
      <c r="GG330" s="47"/>
      <c r="GH330" s="47"/>
      <c r="GI330" s="47"/>
      <c r="GJ330" s="47"/>
      <c r="GK330" s="47"/>
      <c r="GL330" s="47"/>
      <c r="GM330" s="47"/>
      <c r="GN330" s="47"/>
      <c r="GO330" s="47"/>
      <c r="GP330" s="47"/>
      <c r="GQ330" s="47"/>
      <c r="GR330" s="47"/>
      <c r="GS330" s="47"/>
      <c r="GT330" s="47"/>
      <c r="GU330" s="47"/>
      <c r="GV330" s="47"/>
      <c r="GW330" s="47"/>
      <c r="GX330" s="47"/>
      <c r="GY330" s="47"/>
      <c r="GZ330" s="47"/>
      <c r="HA330" s="47"/>
      <c r="HB330" s="47"/>
      <c r="HC330" s="47"/>
      <c r="HD330" s="47"/>
      <c r="HE330" s="47"/>
      <c r="HF330" s="47"/>
      <c r="HI330" s="47"/>
      <c r="HJ330" s="47"/>
      <c r="HK330" s="47"/>
      <c r="HL330" s="47"/>
      <c r="HM330" s="47"/>
      <c r="HN330" s="47"/>
      <c r="HO330" s="47"/>
      <c r="HP330" s="47"/>
      <c r="HS330" s="47"/>
      <c r="HT330" s="47"/>
      <c r="HU330" s="47"/>
      <c r="HV330" s="47"/>
      <c r="HW330" s="47"/>
      <c r="HX330" s="47"/>
      <c r="HY330" s="47"/>
      <c r="HZ330" s="47"/>
      <c r="IC330" s="47"/>
      <c r="ID330" s="47"/>
      <c r="IE330" s="47"/>
      <c r="IF330" s="47"/>
      <c r="IG330" s="47"/>
      <c r="IH330" s="47"/>
      <c r="II330" s="47"/>
      <c r="IJ330" s="47"/>
      <c r="IM330" s="47"/>
      <c r="IN330" s="47"/>
      <c r="IO330" s="47"/>
      <c r="IP330" s="47"/>
      <c r="IQ330" s="47"/>
      <c r="IR330" s="47"/>
      <c r="IS330" s="47"/>
      <c r="IT330" s="47"/>
      <c r="IW330" s="47"/>
      <c r="IX330" s="47"/>
      <c r="IY330" s="47"/>
      <c r="IZ330" s="47"/>
      <c r="JA330" s="47"/>
      <c r="JB330" s="47"/>
      <c r="JC330" s="47"/>
      <c r="JD330" s="47"/>
      <c r="JG330" s="47"/>
      <c r="JH330" s="47"/>
      <c r="JI330" s="47"/>
      <c r="JJ330" s="47"/>
      <c r="JK330" s="47"/>
      <c r="JL330" s="47"/>
      <c r="JM330" s="47"/>
      <c r="JN330" s="47"/>
      <c r="JQ330" s="47"/>
      <c r="JR330" s="47"/>
      <c r="JS330" s="47"/>
      <c r="JT330" s="47"/>
      <c r="JU330" s="47"/>
      <c r="JV330" s="47"/>
      <c r="JW330" s="47"/>
      <c r="JX330" s="47"/>
      <c r="KA330" s="47"/>
      <c r="KB330" s="47"/>
      <c r="KC330" s="47"/>
      <c r="KD330" s="47"/>
      <c r="KE330" s="47"/>
      <c r="KF330" s="47"/>
      <c r="KG330" s="47"/>
      <c r="KH330" s="47"/>
      <c r="KK330" s="47"/>
      <c r="KL330" s="47"/>
      <c r="KM330" s="47"/>
      <c r="KN330" s="47"/>
      <c r="KO330" s="47"/>
      <c r="KP330" s="47"/>
      <c r="KQ330" s="47"/>
      <c r="KR330" s="47"/>
      <c r="KU330" s="47"/>
      <c r="KV330" s="47"/>
      <c r="KW330" s="47"/>
      <c r="KX330" s="47"/>
      <c r="KY330" s="47"/>
      <c r="KZ330" s="47"/>
      <c r="LA330" s="47"/>
      <c r="LB330" s="47"/>
    </row>
    <row r="331" spans="29:314" x14ac:dyDescent="0.25">
      <c r="AC331" s="47"/>
      <c r="AD331" s="47"/>
      <c r="AE331" s="47"/>
      <c r="AF331" s="47"/>
      <c r="AG331" s="49"/>
      <c r="AH331" s="47"/>
      <c r="AI331" s="47"/>
      <c r="AJ331" s="47"/>
      <c r="AK331" s="47"/>
      <c r="AL331" s="47"/>
      <c r="AM331" s="47"/>
      <c r="AN331" s="47"/>
      <c r="AO331" s="47"/>
      <c r="AP331" s="47"/>
      <c r="AQ331" s="47"/>
      <c r="AR331" s="47"/>
      <c r="AS331" s="47"/>
      <c r="AT331" s="47"/>
      <c r="AU331" s="47"/>
      <c r="AV331" s="47"/>
      <c r="AW331" s="47"/>
      <c r="AX331" s="47"/>
      <c r="AY331" s="47"/>
      <c r="AZ331" s="47"/>
      <c r="BA331" s="47"/>
      <c r="BB331" s="47"/>
      <c r="BC331" s="47"/>
      <c r="BD331" s="47"/>
      <c r="BE331" s="47"/>
      <c r="BF331" s="47"/>
      <c r="BG331" s="47"/>
      <c r="BH331" s="47"/>
      <c r="BI331" s="47"/>
      <c r="BJ331" s="47"/>
      <c r="BK331" s="47"/>
      <c r="BL331" s="47"/>
      <c r="BM331" s="47"/>
      <c r="BN331" s="49"/>
      <c r="BO331" s="47"/>
      <c r="BP331" s="47"/>
      <c r="BQ331" s="47"/>
      <c r="BR331" s="47"/>
      <c r="BS331" s="47"/>
      <c r="BT331" s="47"/>
      <c r="BU331" s="47"/>
      <c r="BV331" s="47"/>
      <c r="BW331" s="47"/>
      <c r="BX331" s="47"/>
      <c r="BY331" s="47"/>
      <c r="BZ331" s="47"/>
      <c r="CA331" s="47"/>
      <c r="CB331" s="47"/>
      <c r="CC331" s="47"/>
      <c r="CD331" s="47"/>
      <c r="CE331" s="47"/>
      <c r="CF331" s="47"/>
      <c r="CG331" s="49"/>
      <c r="CH331" s="47"/>
      <c r="CI331" s="47"/>
      <c r="CJ331" s="47"/>
      <c r="CK331" s="47"/>
      <c r="CL331" s="47"/>
      <c r="CM331" s="47"/>
      <c r="CN331" s="47"/>
      <c r="CO331" s="47"/>
      <c r="CP331" s="47"/>
      <c r="CQ331" s="47"/>
      <c r="CS331" s="47"/>
      <c r="CT331" s="47"/>
      <c r="CU331" s="47"/>
      <c r="CV331" s="47"/>
      <c r="CW331" s="47"/>
      <c r="CX331" s="47"/>
      <c r="CY331" s="47"/>
      <c r="CZ331" s="47"/>
      <c r="DA331" s="47"/>
      <c r="DB331" s="47"/>
      <c r="DC331" s="47"/>
      <c r="DD331" s="47"/>
      <c r="DE331" s="47"/>
      <c r="DF331" s="47"/>
      <c r="DG331" s="47"/>
      <c r="DH331" s="47"/>
      <c r="DI331" s="47"/>
      <c r="DJ331" s="47"/>
      <c r="DK331" s="47"/>
      <c r="DM331" s="47"/>
      <c r="DN331" s="47"/>
      <c r="DO331" s="47"/>
      <c r="DP331" s="47"/>
      <c r="DQ331" s="47"/>
      <c r="DR331" s="47"/>
      <c r="DS331" s="47"/>
      <c r="DT331" s="47"/>
      <c r="DU331" s="47"/>
      <c r="DV331" s="49"/>
      <c r="DW331" s="47"/>
      <c r="DX331" s="47"/>
      <c r="DY331" s="47"/>
      <c r="DZ331" s="47"/>
      <c r="EA331" s="47"/>
      <c r="EB331" s="47"/>
      <c r="EC331" s="47"/>
      <c r="ED331" s="47"/>
      <c r="EE331" s="47"/>
      <c r="EF331" s="47"/>
      <c r="EG331" s="47"/>
      <c r="EH331" s="47"/>
      <c r="EI331" s="47"/>
      <c r="EJ331" s="47"/>
      <c r="EK331" s="47"/>
      <c r="EL331" s="47"/>
      <c r="EM331" s="47"/>
      <c r="EN331" s="47"/>
      <c r="EO331" s="47"/>
      <c r="EP331" s="47"/>
      <c r="EQ331" s="47"/>
      <c r="ER331" s="47"/>
      <c r="ES331" s="47"/>
      <c r="ET331" s="47"/>
      <c r="EU331" s="47"/>
      <c r="EV331" s="47"/>
      <c r="EW331" s="47"/>
      <c r="EX331" s="47"/>
      <c r="EY331" s="47"/>
      <c r="EZ331" s="47"/>
      <c r="FA331" s="47"/>
      <c r="FB331" s="47"/>
      <c r="FC331" s="47"/>
      <c r="FD331" s="47"/>
      <c r="FE331" s="47"/>
      <c r="FF331" s="47"/>
      <c r="FG331" s="47"/>
      <c r="FH331" s="47"/>
      <c r="FI331" s="47"/>
      <c r="FJ331" s="49"/>
      <c r="FK331" s="47"/>
      <c r="FL331" s="47"/>
      <c r="FM331" s="47"/>
      <c r="FN331" s="47"/>
      <c r="FO331" s="47"/>
      <c r="FP331" s="47"/>
      <c r="FQ331" s="47"/>
      <c r="FR331" s="47"/>
      <c r="FS331" s="47"/>
      <c r="FT331" s="47"/>
      <c r="FU331" s="47"/>
      <c r="FV331" s="47"/>
      <c r="FW331" s="47"/>
      <c r="FX331" s="47"/>
      <c r="FY331" s="47"/>
      <c r="FZ331" s="47"/>
      <c r="GA331" s="47"/>
      <c r="GB331" s="47"/>
      <c r="GC331" s="47"/>
      <c r="GD331" s="47"/>
      <c r="GE331" s="47"/>
      <c r="GF331" s="47"/>
      <c r="GG331" s="47"/>
      <c r="GH331" s="47"/>
      <c r="GI331" s="47"/>
      <c r="GJ331" s="47"/>
      <c r="GK331" s="47"/>
      <c r="GL331" s="47"/>
      <c r="GM331" s="47"/>
      <c r="GN331" s="47"/>
      <c r="GO331" s="47"/>
      <c r="GP331" s="47"/>
      <c r="GQ331" s="47"/>
      <c r="GR331" s="47"/>
      <c r="GS331" s="47"/>
      <c r="GT331" s="47"/>
      <c r="GU331" s="47"/>
      <c r="GV331" s="47"/>
      <c r="GW331" s="47"/>
      <c r="GX331" s="47"/>
      <c r="GY331" s="47"/>
      <c r="GZ331" s="47"/>
      <c r="HA331" s="47"/>
      <c r="HB331" s="47"/>
      <c r="HC331" s="47"/>
      <c r="HD331" s="47"/>
      <c r="HE331" s="47"/>
      <c r="HF331" s="47"/>
      <c r="HI331" s="47"/>
      <c r="HJ331" s="47"/>
      <c r="HK331" s="47"/>
      <c r="HL331" s="47"/>
      <c r="HM331" s="47"/>
      <c r="HN331" s="47"/>
      <c r="HO331" s="47"/>
      <c r="HP331" s="47"/>
      <c r="HS331" s="47"/>
      <c r="HT331" s="47"/>
      <c r="HU331" s="47"/>
      <c r="HV331" s="47"/>
      <c r="HW331" s="47"/>
      <c r="HX331" s="47"/>
      <c r="HY331" s="47"/>
      <c r="HZ331" s="47"/>
      <c r="IC331" s="47"/>
      <c r="ID331" s="47"/>
      <c r="IE331" s="47"/>
      <c r="IF331" s="47"/>
      <c r="IG331" s="47"/>
      <c r="IH331" s="47"/>
      <c r="II331" s="47"/>
      <c r="IJ331" s="47"/>
      <c r="IM331" s="47"/>
      <c r="IN331" s="47"/>
      <c r="IO331" s="47"/>
      <c r="IP331" s="47"/>
      <c r="IQ331" s="47"/>
      <c r="IR331" s="47"/>
      <c r="IS331" s="47"/>
      <c r="IT331" s="47"/>
      <c r="IW331" s="47"/>
      <c r="IX331" s="47"/>
      <c r="IY331" s="47"/>
      <c r="IZ331" s="47"/>
      <c r="JA331" s="47"/>
      <c r="JB331" s="47"/>
      <c r="JC331" s="47"/>
      <c r="JD331" s="47"/>
      <c r="JG331" s="47"/>
      <c r="JH331" s="47"/>
      <c r="JI331" s="47"/>
      <c r="JJ331" s="47"/>
      <c r="JK331" s="47"/>
      <c r="JL331" s="47"/>
      <c r="JM331" s="47"/>
      <c r="JN331" s="47"/>
      <c r="JQ331" s="47"/>
      <c r="JR331" s="47"/>
      <c r="JS331" s="47"/>
      <c r="JT331" s="47"/>
      <c r="JU331" s="47"/>
      <c r="JV331" s="47"/>
      <c r="JW331" s="47"/>
      <c r="JX331" s="47"/>
      <c r="KA331" s="47"/>
      <c r="KB331" s="47"/>
      <c r="KC331" s="47"/>
      <c r="KD331" s="47"/>
      <c r="KE331" s="47"/>
      <c r="KF331" s="47"/>
      <c r="KG331" s="47"/>
      <c r="KH331" s="47"/>
      <c r="KK331" s="47"/>
      <c r="KL331" s="47"/>
      <c r="KM331" s="47"/>
      <c r="KN331" s="47"/>
      <c r="KO331" s="47"/>
      <c r="KP331" s="47"/>
      <c r="KQ331" s="47"/>
      <c r="KR331" s="47"/>
      <c r="KU331" s="47"/>
      <c r="KV331" s="47"/>
      <c r="KW331" s="47"/>
      <c r="KX331" s="47"/>
      <c r="KY331" s="47"/>
      <c r="KZ331" s="47"/>
      <c r="LA331" s="47"/>
      <c r="LB331" s="47"/>
    </row>
    <row r="332" spans="29:314" x14ac:dyDescent="0.25">
      <c r="AC332" s="47"/>
      <c r="AD332" s="47"/>
      <c r="AE332" s="47"/>
      <c r="AF332" s="47"/>
      <c r="AG332" s="49"/>
      <c r="AH332" s="47"/>
      <c r="AI332" s="47"/>
      <c r="AJ332" s="47"/>
      <c r="AK332" s="47"/>
      <c r="AL332" s="47"/>
      <c r="AM332" s="47"/>
      <c r="AN332" s="47"/>
      <c r="AO332" s="47"/>
      <c r="AP332" s="47"/>
      <c r="AQ332" s="47"/>
      <c r="AR332" s="47"/>
      <c r="AS332" s="47"/>
      <c r="AT332" s="47"/>
      <c r="AU332" s="47"/>
      <c r="AV332" s="47"/>
      <c r="AW332" s="47"/>
      <c r="AX332" s="47"/>
      <c r="AY332" s="47"/>
      <c r="AZ332" s="47"/>
      <c r="BA332" s="47"/>
      <c r="BB332" s="47"/>
      <c r="BC332" s="47"/>
      <c r="BD332" s="47"/>
      <c r="BE332" s="47"/>
      <c r="BF332" s="47"/>
      <c r="BG332" s="47"/>
      <c r="BH332" s="47"/>
      <c r="BI332" s="47"/>
      <c r="BJ332" s="47"/>
      <c r="BK332" s="47"/>
      <c r="BL332" s="47"/>
      <c r="BM332" s="47"/>
      <c r="BN332" s="49"/>
      <c r="BO332" s="47"/>
      <c r="BP332" s="47"/>
      <c r="BQ332" s="47"/>
      <c r="BR332" s="47"/>
      <c r="BS332" s="47"/>
      <c r="BT332" s="47"/>
      <c r="BU332" s="47"/>
      <c r="BV332" s="47"/>
      <c r="BW332" s="47"/>
      <c r="BX332" s="47"/>
      <c r="BY332" s="47"/>
      <c r="BZ332" s="47"/>
      <c r="CA332" s="47"/>
      <c r="CB332" s="47"/>
      <c r="CC332" s="47"/>
      <c r="CD332" s="47"/>
      <c r="CE332" s="47"/>
      <c r="CF332" s="47"/>
      <c r="CG332" s="49"/>
      <c r="CH332" s="47"/>
      <c r="CI332" s="47"/>
      <c r="CJ332" s="47"/>
      <c r="CK332" s="47"/>
      <c r="CL332" s="47"/>
      <c r="CM332" s="47"/>
      <c r="CN332" s="47"/>
      <c r="CO332" s="47"/>
      <c r="CP332" s="47"/>
      <c r="CQ332" s="47"/>
      <c r="CS332" s="47"/>
      <c r="CT332" s="47"/>
      <c r="CU332" s="47"/>
      <c r="CV332" s="47"/>
      <c r="CW332" s="47"/>
      <c r="CX332" s="47"/>
      <c r="CY332" s="47"/>
      <c r="CZ332" s="47"/>
      <c r="DA332" s="47"/>
      <c r="DB332" s="47"/>
      <c r="DC332" s="47"/>
      <c r="DD332" s="47"/>
      <c r="DE332" s="47"/>
      <c r="DF332" s="47"/>
      <c r="DG332" s="47"/>
      <c r="DH332" s="47"/>
      <c r="DI332" s="47"/>
      <c r="DJ332" s="47"/>
      <c r="DK332" s="47"/>
      <c r="DM332" s="47"/>
      <c r="DN332" s="47"/>
      <c r="DO332" s="47"/>
      <c r="DP332" s="47"/>
      <c r="DQ332" s="47"/>
      <c r="DR332" s="47"/>
      <c r="DS332" s="47"/>
      <c r="DT332" s="47"/>
      <c r="DU332" s="47"/>
      <c r="DV332" s="49"/>
      <c r="DW332" s="47"/>
      <c r="DX332" s="47"/>
      <c r="DY332" s="47"/>
      <c r="DZ332" s="47"/>
      <c r="EA332" s="47"/>
      <c r="EB332" s="47"/>
      <c r="EC332" s="47"/>
      <c r="ED332" s="47"/>
      <c r="EE332" s="47"/>
      <c r="EF332" s="47"/>
      <c r="EG332" s="47"/>
      <c r="EH332" s="47"/>
      <c r="EI332" s="47"/>
      <c r="EJ332" s="47"/>
      <c r="EK332" s="47"/>
      <c r="EL332" s="47"/>
      <c r="EM332" s="47"/>
      <c r="EN332" s="47"/>
      <c r="EO332" s="47"/>
      <c r="EP332" s="47"/>
      <c r="EQ332" s="47"/>
      <c r="ER332" s="47"/>
      <c r="ES332" s="47"/>
      <c r="ET332" s="47"/>
      <c r="EU332" s="47"/>
      <c r="EV332" s="47"/>
      <c r="EW332" s="47"/>
      <c r="EX332" s="47"/>
      <c r="EY332" s="47"/>
      <c r="EZ332" s="47"/>
      <c r="FA332" s="47"/>
      <c r="FB332" s="47"/>
      <c r="FC332" s="47"/>
      <c r="FD332" s="47"/>
      <c r="FE332" s="47"/>
      <c r="FF332" s="47"/>
      <c r="FG332" s="47"/>
      <c r="FH332" s="47"/>
      <c r="FI332" s="47"/>
      <c r="FJ332" s="49"/>
      <c r="FK332" s="47"/>
      <c r="FL332" s="47"/>
      <c r="FM332" s="47"/>
      <c r="FN332" s="47"/>
      <c r="FO332" s="47"/>
      <c r="FP332" s="47"/>
      <c r="FQ332" s="47"/>
      <c r="FR332" s="47"/>
      <c r="FS332" s="47"/>
      <c r="FT332" s="47"/>
      <c r="FU332" s="47"/>
      <c r="FV332" s="47"/>
      <c r="FW332" s="47"/>
      <c r="FX332" s="47"/>
      <c r="FY332" s="47"/>
      <c r="FZ332" s="47"/>
      <c r="GA332" s="47"/>
      <c r="GB332" s="47"/>
      <c r="GC332" s="47"/>
      <c r="GD332" s="47"/>
      <c r="GE332" s="47"/>
      <c r="GF332" s="47"/>
      <c r="GG332" s="47"/>
      <c r="GH332" s="47"/>
      <c r="GI332" s="47"/>
      <c r="GJ332" s="47"/>
      <c r="GK332" s="47"/>
      <c r="GL332" s="47"/>
      <c r="GM332" s="47"/>
      <c r="GN332" s="47"/>
      <c r="GO332" s="47"/>
      <c r="GP332" s="47"/>
      <c r="GQ332" s="47"/>
      <c r="GR332" s="47"/>
      <c r="GS332" s="47"/>
      <c r="GT332" s="47"/>
      <c r="GU332" s="47"/>
      <c r="GV332" s="47"/>
      <c r="GW332" s="47"/>
      <c r="GX332" s="47"/>
      <c r="GY332" s="47"/>
      <c r="GZ332" s="47"/>
      <c r="HA332" s="47"/>
      <c r="HB332" s="47"/>
      <c r="HC332" s="47"/>
      <c r="HD332" s="47"/>
      <c r="HE332" s="47"/>
      <c r="HF332" s="47"/>
      <c r="HI332" s="47"/>
      <c r="HJ332" s="47"/>
      <c r="HK332" s="47"/>
      <c r="HL332" s="47"/>
      <c r="HM332" s="47"/>
      <c r="HN332" s="47"/>
      <c r="HO332" s="47"/>
      <c r="HP332" s="47"/>
      <c r="HS332" s="47"/>
      <c r="HT332" s="47"/>
      <c r="HU332" s="47"/>
      <c r="HV332" s="47"/>
      <c r="HW332" s="47"/>
      <c r="HX332" s="47"/>
      <c r="HY332" s="47"/>
      <c r="HZ332" s="47"/>
      <c r="IC332" s="47"/>
      <c r="ID332" s="47"/>
      <c r="IE332" s="47"/>
      <c r="IF332" s="47"/>
      <c r="IG332" s="47"/>
      <c r="IH332" s="47"/>
      <c r="II332" s="47"/>
      <c r="IJ332" s="47"/>
      <c r="IM332" s="47"/>
      <c r="IN332" s="47"/>
      <c r="IO332" s="47"/>
      <c r="IP332" s="47"/>
      <c r="IQ332" s="47"/>
      <c r="IR332" s="47"/>
      <c r="IS332" s="47"/>
      <c r="IT332" s="47"/>
      <c r="IW332" s="47"/>
      <c r="IX332" s="47"/>
      <c r="IY332" s="47"/>
      <c r="IZ332" s="47"/>
      <c r="JA332" s="47"/>
      <c r="JB332" s="47"/>
      <c r="JC332" s="47"/>
      <c r="JD332" s="47"/>
      <c r="JG332" s="47"/>
      <c r="JH332" s="47"/>
      <c r="JI332" s="47"/>
      <c r="JJ332" s="47"/>
      <c r="JK332" s="47"/>
      <c r="JL332" s="47"/>
      <c r="JM332" s="47"/>
      <c r="JN332" s="47"/>
      <c r="JQ332" s="47"/>
      <c r="JR332" s="47"/>
      <c r="JS332" s="47"/>
      <c r="JT332" s="47"/>
      <c r="JU332" s="47"/>
      <c r="JV332" s="47"/>
      <c r="JW332" s="47"/>
      <c r="JX332" s="47"/>
      <c r="KA332" s="47"/>
      <c r="KB332" s="47"/>
      <c r="KC332" s="47"/>
      <c r="KD332" s="47"/>
      <c r="KE332" s="47"/>
      <c r="KF332" s="47"/>
      <c r="KG332" s="47"/>
      <c r="KH332" s="47"/>
      <c r="KK332" s="47"/>
      <c r="KL332" s="47"/>
      <c r="KM332" s="47"/>
      <c r="KN332" s="47"/>
      <c r="KO332" s="47"/>
      <c r="KP332" s="47"/>
      <c r="KQ332" s="47"/>
      <c r="KR332" s="47"/>
      <c r="KU332" s="47"/>
      <c r="KV332" s="47"/>
      <c r="KW332" s="47"/>
      <c r="KX332" s="47"/>
      <c r="KY332" s="47"/>
      <c r="KZ332" s="47"/>
      <c r="LA332" s="47"/>
      <c r="LB332" s="47"/>
    </row>
    <row r="333" spans="29:314" x14ac:dyDescent="0.25">
      <c r="AC333" s="47"/>
      <c r="AD333" s="47"/>
      <c r="AE333" s="47"/>
      <c r="AF333" s="47"/>
      <c r="AG333" s="49"/>
      <c r="AH333" s="47"/>
      <c r="AI333" s="47"/>
      <c r="AJ333" s="47"/>
      <c r="AK333" s="47"/>
      <c r="AL333" s="47"/>
      <c r="AM333" s="47"/>
      <c r="AN333" s="47"/>
      <c r="AO333" s="47"/>
      <c r="AP333" s="47"/>
      <c r="AQ333" s="47"/>
      <c r="AR333" s="47"/>
      <c r="AS333" s="47"/>
      <c r="AT333" s="47"/>
      <c r="AU333" s="47"/>
      <c r="AV333" s="47"/>
      <c r="AW333" s="47"/>
      <c r="AX333" s="47"/>
      <c r="AY333" s="47"/>
      <c r="AZ333" s="47"/>
      <c r="BA333" s="47"/>
      <c r="BB333" s="47"/>
      <c r="BC333" s="47"/>
      <c r="BD333" s="47"/>
      <c r="BE333" s="47"/>
      <c r="BF333" s="47"/>
      <c r="BG333" s="47"/>
      <c r="BH333" s="47"/>
      <c r="BI333" s="47"/>
      <c r="BJ333" s="47"/>
      <c r="BK333" s="47"/>
      <c r="BL333" s="47"/>
      <c r="BM333" s="47"/>
      <c r="BN333" s="49"/>
      <c r="BO333" s="47"/>
      <c r="BP333" s="47"/>
      <c r="BQ333" s="47"/>
      <c r="BR333" s="47"/>
      <c r="BS333" s="47"/>
      <c r="BT333" s="47"/>
      <c r="BU333" s="47"/>
      <c r="BV333" s="47"/>
      <c r="BW333" s="47"/>
      <c r="BX333" s="47"/>
      <c r="BY333" s="47"/>
      <c r="BZ333" s="47"/>
      <c r="CA333" s="47"/>
      <c r="CB333" s="47"/>
      <c r="CC333" s="47"/>
      <c r="CD333" s="47"/>
      <c r="CE333" s="47"/>
      <c r="CF333" s="47"/>
      <c r="CG333" s="49"/>
      <c r="CH333" s="47"/>
      <c r="CI333" s="47"/>
      <c r="CJ333" s="47"/>
      <c r="CK333" s="47"/>
      <c r="CL333" s="47"/>
      <c r="CM333" s="47"/>
      <c r="CN333" s="47"/>
      <c r="CO333" s="47"/>
      <c r="CP333" s="47"/>
      <c r="CQ333" s="47"/>
      <c r="CS333" s="47"/>
      <c r="CT333" s="47"/>
      <c r="CU333" s="47"/>
      <c r="CV333" s="47"/>
      <c r="CW333" s="47"/>
      <c r="CX333" s="47"/>
      <c r="CY333" s="47"/>
      <c r="CZ333" s="47"/>
      <c r="DA333" s="47"/>
      <c r="DB333" s="47"/>
      <c r="DC333" s="47"/>
      <c r="DD333" s="47"/>
      <c r="DE333" s="47"/>
      <c r="DF333" s="47"/>
      <c r="DG333" s="47"/>
      <c r="DH333" s="47"/>
      <c r="DI333" s="47"/>
      <c r="DJ333" s="47"/>
      <c r="DK333" s="47"/>
      <c r="DM333" s="47"/>
      <c r="DN333" s="47"/>
      <c r="DO333" s="47"/>
      <c r="DP333" s="47"/>
      <c r="DQ333" s="47"/>
      <c r="DR333" s="47"/>
      <c r="DS333" s="47"/>
      <c r="DT333" s="47"/>
      <c r="DU333" s="47"/>
      <c r="DV333" s="49"/>
      <c r="DW333" s="47"/>
      <c r="DX333" s="47"/>
      <c r="DY333" s="47"/>
      <c r="DZ333" s="47"/>
      <c r="EA333" s="47"/>
      <c r="EB333" s="47"/>
      <c r="EC333" s="47"/>
      <c r="ED333" s="47"/>
      <c r="EE333" s="47"/>
      <c r="EF333" s="47"/>
      <c r="EG333" s="47"/>
      <c r="EH333" s="47"/>
      <c r="EI333" s="47"/>
      <c r="EJ333" s="47"/>
      <c r="EK333" s="47"/>
      <c r="EL333" s="47"/>
      <c r="EM333" s="47"/>
      <c r="EN333" s="47"/>
      <c r="EO333" s="47"/>
      <c r="EP333" s="47"/>
      <c r="EQ333" s="47"/>
      <c r="ER333" s="47"/>
      <c r="ES333" s="47"/>
      <c r="ET333" s="47"/>
      <c r="EU333" s="47"/>
      <c r="EV333" s="47"/>
      <c r="EW333" s="47"/>
      <c r="EX333" s="47"/>
      <c r="EY333" s="47"/>
      <c r="EZ333" s="47"/>
      <c r="FA333" s="47"/>
      <c r="FB333" s="47"/>
      <c r="FC333" s="47"/>
      <c r="FD333" s="47"/>
      <c r="FE333" s="47"/>
      <c r="FF333" s="47"/>
      <c r="FG333" s="47"/>
      <c r="FH333" s="47"/>
      <c r="FI333" s="47"/>
      <c r="FJ333" s="49"/>
      <c r="FK333" s="47"/>
      <c r="FL333" s="47"/>
      <c r="FM333" s="47"/>
      <c r="FN333" s="47"/>
      <c r="FO333" s="47"/>
      <c r="FP333" s="47"/>
      <c r="FQ333" s="47"/>
      <c r="FR333" s="47"/>
      <c r="FS333" s="47"/>
      <c r="FT333" s="47"/>
      <c r="FU333" s="47"/>
      <c r="FV333" s="47"/>
      <c r="FW333" s="47"/>
      <c r="FX333" s="47"/>
      <c r="FY333" s="47"/>
      <c r="FZ333" s="47"/>
      <c r="GA333" s="47"/>
      <c r="GB333" s="47"/>
      <c r="GC333" s="47"/>
      <c r="GD333" s="47"/>
      <c r="GE333" s="47"/>
      <c r="GF333" s="47"/>
      <c r="GG333" s="47"/>
      <c r="GH333" s="47"/>
      <c r="GI333" s="47"/>
      <c r="GJ333" s="47"/>
      <c r="GK333" s="47"/>
      <c r="GL333" s="47"/>
      <c r="GM333" s="47"/>
      <c r="GN333" s="47"/>
      <c r="GO333" s="47"/>
      <c r="GP333" s="47"/>
      <c r="GQ333" s="47"/>
      <c r="GR333" s="47"/>
      <c r="GS333" s="47"/>
      <c r="GT333" s="47"/>
      <c r="GU333" s="47"/>
      <c r="GV333" s="47"/>
      <c r="GW333" s="47"/>
      <c r="GX333" s="47"/>
      <c r="GY333" s="47"/>
      <c r="GZ333" s="47"/>
      <c r="HA333" s="47"/>
      <c r="HB333" s="47"/>
      <c r="HC333" s="47"/>
      <c r="HD333" s="47"/>
      <c r="HE333" s="47"/>
      <c r="HF333" s="47"/>
      <c r="HI333" s="47"/>
      <c r="HJ333" s="47"/>
      <c r="HK333" s="47"/>
      <c r="HL333" s="47"/>
      <c r="HM333" s="47"/>
      <c r="HN333" s="47"/>
      <c r="HO333" s="47"/>
      <c r="HP333" s="47"/>
      <c r="HS333" s="47"/>
      <c r="HT333" s="47"/>
      <c r="HU333" s="47"/>
      <c r="HV333" s="47"/>
      <c r="HW333" s="47"/>
      <c r="HX333" s="47"/>
      <c r="HY333" s="47"/>
      <c r="HZ333" s="47"/>
      <c r="IC333" s="47"/>
      <c r="ID333" s="47"/>
      <c r="IE333" s="47"/>
      <c r="IF333" s="47"/>
      <c r="IG333" s="47"/>
      <c r="IH333" s="47"/>
      <c r="II333" s="47"/>
      <c r="IJ333" s="47"/>
      <c r="IM333" s="47"/>
      <c r="IN333" s="47"/>
      <c r="IO333" s="47"/>
      <c r="IP333" s="47"/>
      <c r="IQ333" s="47"/>
      <c r="IR333" s="47"/>
      <c r="IS333" s="47"/>
      <c r="IT333" s="47"/>
      <c r="IW333" s="47"/>
      <c r="IX333" s="47"/>
      <c r="IY333" s="47"/>
      <c r="IZ333" s="47"/>
      <c r="JA333" s="47"/>
      <c r="JB333" s="47"/>
      <c r="JC333" s="47"/>
      <c r="JD333" s="47"/>
      <c r="JG333" s="47"/>
      <c r="JH333" s="47"/>
      <c r="JI333" s="47"/>
      <c r="JJ333" s="47"/>
      <c r="JK333" s="47"/>
      <c r="JL333" s="47"/>
      <c r="JM333" s="47"/>
      <c r="JN333" s="47"/>
      <c r="JQ333" s="47"/>
      <c r="JR333" s="47"/>
      <c r="JS333" s="47"/>
      <c r="JT333" s="47"/>
      <c r="JU333" s="47"/>
      <c r="JV333" s="47"/>
      <c r="JW333" s="47"/>
      <c r="JX333" s="47"/>
      <c r="KA333" s="47"/>
      <c r="KB333" s="47"/>
      <c r="KC333" s="47"/>
      <c r="KD333" s="47"/>
      <c r="KE333" s="47"/>
      <c r="KF333" s="47"/>
      <c r="KG333" s="47"/>
      <c r="KH333" s="47"/>
      <c r="KK333" s="47"/>
      <c r="KL333" s="47"/>
      <c r="KM333" s="47"/>
      <c r="KN333" s="47"/>
      <c r="KO333" s="47"/>
      <c r="KP333" s="47"/>
      <c r="KQ333" s="47"/>
      <c r="KR333" s="47"/>
      <c r="KU333" s="47"/>
      <c r="KV333" s="47"/>
      <c r="KW333" s="47"/>
      <c r="KX333" s="47"/>
      <c r="KY333" s="47"/>
      <c r="KZ333" s="47"/>
      <c r="LA333" s="47"/>
      <c r="LB333" s="47"/>
    </row>
    <row r="334" spans="29:314" x14ac:dyDescent="0.25">
      <c r="AC334" s="47"/>
      <c r="AD334" s="47"/>
      <c r="AE334" s="47"/>
      <c r="AF334" s="47"/>
      <c r="AG334" s="49"/>
      <c r="AH334" s="47"/>
      <c r="AI334" s="47"/>
      <c r="AJ334" s="47"/>
      <c r="AK334" s="47"/>
      <c r="AL334" s="47"/>
      <c r="AM334" s="47"/>
      <c r="AN334" s="47"/>
      <c r="AO334" s="47"/>
      <c r="AP334" s="47"/>
      <c r="AQ334" s="47"/>
      <c r="AR334" s="47"/>
      <c r="AS334" s="47"/>
      <c r="AT334" s="47"/>
      <c r="AU334" s="47"/>
      <c r="AV334" s="47"/>
      <c r="AW334" s="47"/>
      <c r="AX334" s="47"/>
      <c r="AY334" s="47"/>
      <c r="AZ334" s="47"/>
      <c r="BA334" s="47"/>
      <c r="BB334" s="47"/>
      <c r="BC334" s="47"/>
      <c r="BD334" s="47"/>
      <c r="BE334" s="47"/>
      <c r="BF334" s="47"/>
      <c r="BG334" s="47"/>
      <c r="BH334" s="47"/>
      <c r="BI334" s="47"/>
      <c r="BJ334" s="47"/>
      <c r="BK334" s="47"/>
      <c r="BL334" s="47"/>
      <c r="BM334" s="47"/>
      <c r="BN334" s="49"/>
      <c r="BO334" s="47"/>
      <c r="BP334" s="47"/>
      <c r="BQ334" s="47"/>
      <c r="BR334" s="47"/>
      <c r="BS334" s="47"/>
      <c r="BT334" s="47"/>
      <c r="BU334" s="47"/>
      <c r="BV334" s="47"/>
      <c r="BW334" s="47"/>
      <c r="BX334" s="47"/>
      <c r="BY334" s="47"/>
      <c r="BZ334" s="47"/>
      <c r="CA334" s="47"/>
      <c r="CB334" s="47"/>
      <c r="CC334" s="47"/>
      <c r="CD334" s="47"/>
      <c r="CE334" s="47"/>
      <c r="CF334" s="47"/>
      <c r="CG334" s="49"/>
      <c r="CH334" s="47"/>
      <c r="CI334" s="47"/>
      <c r="CJ334" s="47"/>
      <c r="CK334" s="47"/>
      <c r="CL334" s="47"/>
      <c r="CM334" s="47"/>
      <c r="CN334" s="47"/>
      <c r="CO334" s="47"/>
      <c r="CP334" s="47"/>
      <c r="CQ334" s="47"/>
      <c r="CS334" s="47"/>
      <c r="CT334" s="47"/>
      <c r="CU334" s="47"/>
      <c r="CV334" s="47"/>
      <c r="CW334" s="47"/>
      <c r="CX334" s="47"/>
      <c r="CY334" s="47"/>
      <c r="CZ334" s="47"/>
      <c r="DA334" s="47"/>
      <c r="DB334" s="47"/>
      <c r="DC334" s="47"/>
      <c r="DD334" s="47"/>
      <c r="DE334" s="47"/>
      <c r="DF334" s="47"/>
      <c r="DG334" s="47"/>
      <c r="DH334" s="47"/>
      <c r="DI334" s="47"/>
      <c r="DJ334" s="47"/>
      <c r="DK334" s="47"/>
      <c r="DM334" s="47"/>
      <c r="DN334" s="47"/>
      <c r="DO334" s="47"/>
      <c r="DP334" s="47"/>
      <c r="DQ334" s="47"/>
      <c r="DR334" s="47"/>
      <c r="DS334" s="47"/>
      <c r="DT334" s="47"/>
      <c r="DU334" s="47"/>
      <c r="DV334" s="49"/>
      <c r="DW334" s="47"/>
      <c r="DX334" s="47"/>
      <c r="DY334" s="47"/>
      <c r="DZ334" s="47"/>
      <c r="EA334" s="47"/>
      <c r="EB334" s="47"/>
      <c r="EC334" s="47"/>
      <c r="ED334" s="47"/>
      <c r="EE334" s="47"/>
      <c r="EF334" s="47"/>
      <c r="EG334" s="47"/>
      <c r="EH334" s="47"/>
      <c r="EI334" s="47"/>
      <c r="EJ334" s="47"/>
      <c r="EK334" s="47"/>
      <c r="EL334" s="47"/>
      <c r="EM334" s="47"/>
      <c r="EN334" s="47"/>
      <c r="EO334" s="47"/>
      <c r="EP334" s="47"/>
      <c r="EQ334" s="47"/>
      <c r="ER334" s="47"/>
      <c r="ES334" s="47"/>
      <c r="ET334" s="47"/>
      <c r="EU334" s="47"/>
      <c r="EV334" s="47"/>
      <c r="EW334" s="47"/>
      <c r="EX334" s="47"/>
      <c r="EY334" s="47"/>
      <c r="EZ334" s="47"/>
      <c r="FA334" s="47"/>
      <c r="FB334" s="47"/>
      <c r="FC334" s="47"/>
      <c r="FD334" s="47"/>
      <c r="FE334" s="47"/>
      <c r="FF334" s="47"/>
      <c r="FG334" s="47"/>
      <c r="FH334" s="47"/>
      <c r="FI334" s="47"/>
      <c r="FJ334" s="49"/>
      <c r="FK334" s="47"/>
      <c r="FL334" s="47"/>
      <c r="FM334" s="47"/>
      <c r="FN334" s="47"/>
      <c r="FO334" s="47"/>
      <c r="FP334" s="47"/>
      <c r="FQ334" s="47"/>
      <c r="FR334" s="47"/>
      <c r="FS334" s="47"/>
      <c r="FT334" s="47"/>
      <c r="FU334" s="47"/>
      <c r="FV334" s="47"/>
      <c r="FW334" s="47"/>
      <c r="FX334" s="47"/>
      <c r="FY334" s="47"/>
      <c r="FZ334" s="47"/>
      <c r="GA334" s="47"/>
      <c r="GB334" s="47"/>
      <c r="GC334" s="47"/>
      <c r="GD334" s="47"/>
      <c r="GE334" s="47"/>
      <c r="GF334" s="47"/>
      <c r="GG334" s="47"/>
      <c r="GH334" s="47"/>
      <c r="GI334" s="47"/>
      <c r="GJ334" s="47"/>
      <c r="GK334" s="47"/>
      <c r="GL334" s="47"/>
      <c r="GM334" s="47"/>
      <c r="GN334" s="47"/>
      <c r="GO334" s="47"/>
      <c r="GP334" s="47"/>
      <c r="GQ334" s="47"/>
      <c r="GR334" s="47"/>
      <c r="GS334" s="47"/>
      <c r="GT334" s="47"/>
      <c r="GU334" s="47"/>
      <c r="GV334" s="47"/>
      <c r="GW334" s="47"/>
      <c r="GX334" s="47"/>
      <c r="GY334" s="47"/>
      <c r="GZ334" s="47"/>
      <c r="HA334" s="47"/>
      <c r="HB334" s="47"/>
      <c r="HC334" s="47"/>
      <c r="HD334" s="47"/>
      <c r="HE334" s="47"/>
      <c r="HF334" s="47"/>
      <c r="HI334" s="47"/>
      <c r="HJ334" s="47"/>
      <c r="HK334" s="47"/>
      <c r="HL334" s="47"/>
      <c r="HM334" s="47"/>
      <c r="HN334" s="47"/>
      <c r="HO334" s="47"/>
      <c r="HP334" s="47"/>
      <c r="HS334" s="47"/>
      <c r="HT334" s="47"/>
      <c r="HU334" s="47"/>
      <c r="HV334" s="47"/>
      <c r="HW334" s="47"/>
      <c r="HX334" s="47"/>
      <c r="HY334" s="47"/>
      <c r="HZ334" s="47"/>
      <c r="IC334" s="47"/>
      <c r="ID334" s="47"/>
      <c r="IE334" s="47"/>
      <c r="IF334" s="47"/>
      <c r="IG334" s="47"/>
      <c r="IH334" s="47"/>
      <c r="II334" s="47"/>
      <c r="IJ334" s="47"/>
      <c r="IM334" s="47"/>
      <c r="IN334" s="47"/>
      <c r="IO334" s="47"/>
      <c r="IP334" s="47"/>
      <c r="IQ334" s="47"/>
      <c r="IR334" s="47"/>
      <c r="IS334" s="47"/>
      <c r="IT334" s="47"/>
      <c r="IW334" s="47"/>
      <c r="IX334" s="47"/>
      <c r="IY334" s="47"/>
      <c r="IZ334" s="47"/>
      <c r="JA334" s="47"/>
      <c r="JB334" s="47"/>
      <c r="JC334" s="47"/>
      <c r="JD334" s="47"/>
      <c r="JG334" s="47"/>
      <c r="JH334" s="47"/>
      <c r="JI334" s="47"/>
      <c r="JJ334" s="47"/>
      <c r="JK334" s="47"/>
      <c r="JL334" s="47"/>
      <c r="JM334" s="47"/>
      <c r="JN334" s="47"/>
      <c r="JQ334" s="47"/>
      <c r="JR334" s="47"/>
      <c r="JS334" s="47"/>
      <c r="JT334" s="47"/>
      <c r="JU334" s="47"/>
      <c r="JV334" s="47"/>
      <c r="JW334" s="47"/>
      <c r="JX334" s="47"/>
      <c r="KA334" s="47"/>
      <c r="KB334" s="47"/>
      <c r="KC334" s="47"/>
      <c r="KD334" s="47"/>
      <c r="KE334" s="47"/>
      <c r="KF334" s="47"/>
      <c r="KG334" s="47"/>
      <c r="KH334" s="47"/>
      <c r="KK334" s="47"/>
      <c r="KL334" s="47"/>
      <c r="KM334" s="47"/>
      <c r="KN334" s="47"/>
      <c r="KO334" s="47"/>
      <c r="KP334" s="47"/>
      <c r="KQ334" s="47"/>
      <c r="KR334" s="47"/>
      <c r="KU334" s="47"/>
      <c r="KV334" s="47"/>
      <c r="KW334" s="47"/>
      <c r="KX334" s="47"/>
      <c r="KY334" s="47"/>
      <c r="KZ334" s="47"/>
      <c r="LA334" s="47"/>
      <c r="LB334" s="47"/>
    </row>
    <row r="335" spans="29:314" x14ac:dyDescent="0.25">
      <c r="AC335" s="47"/>
      <c r="AD335" s="47"/>
      <c r="AE335" s="47"/>
      <c r="AF335" s="47"/>
      <c r="AG335" s="49"/>
      <c r="AH335" s="47"/>
      <c r="AI335" s="47"/>
      <c r="AJ335" s="47"/>
      <c r="AK335" s="47"/>
      <c r="AL335" s="47"/>
      <c r="AM335" s="47"/>
      <c r="AN335" s="47"/>
      <c r="AO335" s="47"/>
      <c r="AP335" s="47"/>
      <c r="AQ335" s="47"/>
      <c r="AR335" s="47"/>
      <c r="AS335" s="47"/>
      <c r="AT335" s="47"/>
      <c r="AU335" s="47"/>
      <c r="AV335" s="47"/>
      <c r="AW335" s="47"/>
      <c r="AX335" s="47"/>
      <c r="AY335" s="47"/>
      <c r="AZ335" s="47"/>
      <c r="BA335" s="47"/>
      <c r="BB335" s="47"/>
      <c r="BC335" s="47"/>
      <c r="BD335" s="47"/>
      <c r="BE335" s="47"/>
      <c r="BF335" s="47"/>
      <c r="BG335" s="47"/>
      <c r="BH335" s="47"/>
      <c r="BI335" s="47"/>
      <c r="BJ335" s="47"/>
      <c r="BK335" s="47"/>
      <c r="BL335" s="47"/>
      <c r="BM335" s="47"/>
      <c r="BN335" s="49"/>
      <c r="BO335" s="47"/>
      <c r="BP335" s="47"/>
      <c r="BQ335" s="47"/>
      <c r="BR335" s="47"/>
      <c r="BS335" s="47"/>
      <c r="BT335" s="47"/>
      <c r="BU335" s="47"/>
      <c r="BV335" s="47"/>
      <c r="BW335" s="47"/>
      <c r="BX335" s="47"/>
      <c r="BY335" s="47"/>
      <c r="BZ335" s="47"/>
      <c r="CA335" s="47"/>
      <c r="CB335" s="47"/>
      <c r="CC335" s="47"/>
      <c r="CD335" s="47"/>
      <c r="CE335" s="47"/>
      <c r="CF335" s="47"/>
      <c r="CG335" s="49"/>
      <c r="CH335" s="47"/>
      <c r="CI335" s="47"/>
      <c r="CJ335" s="47"/>
      <c r="CK335" s="47"/>
      <c r="CL335" s="47"/>
      <c r="CM335" s="47"/>
      <c r="CN335" s="47"/>
      <c r="CO335" s="47"/>
      <c r="CP335" s="47"/>
      <c r="CQ335" s="47"/>
      <c r="CS335" s="47"/>
      <c r="CT335" s="47"/>
      <c r="CU335" s="47"/>
      <c r="CV335" s="47"/>
      <c r="CW335" s="47"/>
      <c r="CX335" s="47"/>
      <c r="CY335" s="47"/>
      <c r="CZ335" s="47"/>
      <c r="DA335" s="47"/>
      <c r="DB335" s="47"/>
      <c r="DC335" s="47"/>
      <c r="DD335" s="47"/>
      <c r="DE335" s="47"/>
      <c r="DF335" s="47"/>
      <c r="DG335" s="47"/>
      <c r="DH335" s="47"/>
      <c r="DI335" s="47"/>
      <c r="DJ335" s="47"/>
      <c r="DK335" s="47"/>
      <c r="DM335" s="47"/>
      <c r="DN335" s="47"/>
      <c r="DO335" s="47"/>
      <c r="DP335" s="47"/>
      <c r="DQ335" s="47"/>
      <c r="DR335" s="47"/>
      <c r="DS335" s="47"/>
      <c r="DT335" s="47"/>
      <c r="DU335" s="47"/>
      <c r="DV335" s="49"/>
      <c r="DW335" s="47"/>
      <c r="DX335" s="47"/>
      <c r="DY335" s="47"/>
      <c r="DZ335" s="47"/>
      <c r="EA335" s="47"/>
      <c r="EB335" s="47"/>
      <c r="EC335" s="47"/>
      <c r="ED335" s="47"/>
      <c r="EE335" s="47"/>
      <c r="EF335" s="47"/>
      <c r="EG335" s="47"/>
      <c r="EH335" s="47"/>
      <c r="EI335" s="47"/>
      <c r="EJ335" s="47"/>
      <c r="EK335" s="47"/>
      <c r="EL335" s="47"/>
      <c r="EM335" s="47"/>
      <c r="EN335" s="47"/>
      <c r="EO335" s="47"/>
      <c r="EP335" s="47"/>
      <c r="EQ335" s="47"/>
      <c r="ER335" s="47"/>
      <c r="ES335" s="47"/>
      <c r="ET335" s="47"/>
      <c r="EU335" s="47"/>
      <c r="EV335" s="47"/>
      <c r="EW335" s="47"/>
      <c r="EX335" s="47"/>
      <c r="EY335" s="47"/>
      <c r="EZ335" s="47"/>
      <c r="FA335" s="47"/>
      <c r="FB335" s="47"/>
      <c r="FC335" s="47"/>
      <c r="FD335" s="47"/>
      <c r="FE335" s="47"/>
      <c r="FF335" s="47"/>
      <c r="FG335" s="47"/>
      <c r="FH335" s="47"/>
      <c r="FI335" s="47"/>
      <c r="FJ335" s="49"/>
      <c r="FK335" s="47"/>
      <c r="FL335" s="47"/>
      <c r="FM335" s="47"/>
      <c r="FN335" s="47"/>
      <c r="FO335" s="47"/>
      <c r="FP335" s="47"/>
      <c r="FQ335" s="47"/>
      <c r="FR335" s="47"/>
      <c r="FS335" s="47"/>
      <c r="FT335" s="47"/>
      <c r="FU335" s="47"/>
      <c r="FV335" s="47"/>
      <c r="FW335" s="47"/>
      <c r="FX335" s="47"/>
      <c r="FY335" s="47"/>
      <c r="FZ335" s="47"/>
      <c r="GA335" s="47"/>
      <c r="GB335" s="47"/>
      <c r="GC335" s="47"/>
      <c r="GD335" s="47"/>
      <c r="GE335" s="47"/>
      <c r="GF335" s="47"/>
      <c r="GG335" s="47"/>
      <c r="GH335" s="47"/>
      <c r="GI335" s="47"/>
      <c r="GJ335" s="47"/>
      <c r="GK335" s="47"/>
      <c r="GL335" s="47"/>
      <c r="GM335" s="47"/>
      <c r="GN335" s="47"/>
      <c r="GO335" s="47"/>
      <c r="GP335" s="47"/>
      <c r="GQ335" s="47"/>
      <c r="GR335" s="47"/>
      <c r="GS335" s="47"/>
      <c r="GT335" s="47"/>
      <c r="GU335" s="47"/>
      <c r="GV335" s="47"/>
      <c r="GW335" s="47"/>
      <c r="GX335" s="47"/>
      <c r="GY335" s="47"/>
      <c r="GZ335" s="47"/>
      <c r="HA335" s="47"/>
      <c r="HB335" s="47"/>
      <c r="HC335" s="47"/>
      <c r="HD335" s="47"/>
      <c r="HE335" s="47"/>
      <c r="HF335" s="47"/>
      <c r="HI335" s="47"/>
      <c r="HJ335" s="47"/>
      <c r="HK335" s="47"/>
      <c r="HL335" s="47"/>
      <c r="HM335" s="47"/>
      <c r="HN335" s="47"/>
      <c r="HO335" s="47"/>
      <c r="HP335" s="47"/>
      <c r="HS335" s="47"/>
      <c r="HT335" s="47"/>
      <c r="HU335" s="47"/>
      <c r="HV335" s="47"/>
      <c r="HW335" s="47"/>
      <c r="HX335" s="47"/>
      <c r="HY335" s="47"/>
      <c r="HZ335" s="47"/>
      <c r="IC335" s="47"/>
      <c r="ID335" s="47"/>
      <c r="IE335" s="47"/>
      <c r="IF335" s="47"/>
      <c r="IG335" s="47"/>
      <c r="IH335" s="47"/>
      <c r="II335" s="47"/>
      <c r="IJ335" s="47"/>
      <c r="IM335" s="47"/>
      <c r="IN335" s="47"/>
      <c r="IO335" s="47"/>
      <c r="IP335" s="47"/>
      <c r="IQ335" s="47"/>
      <c r="IR335" s="47"/>
      <c r="IS335" s="47"/>
      <c r="IT335" s="47"/>
      <c r="IW335" s="47"/>
      <c r="IX335" s="47"/>
      <c r="IY335" s="47"/>
      <c r="IZ335" s="47"/>
      <c r="JA335" s="47"/>
      <c r="JB335" s="47"/>
      <c r="JC335" s="47"/>
      <c r="JD335" s="47"/>
      <c r="JG335" s="47"/>
      <c r="JH335" s="47"/>
      <c r="JI335" s="47"/>
      <c r="JJ335" s="47"/>
      <c r="JK335" s="47"/>
      <c r="JL335" s="47"/>
      <c r="JM335" s="47"/>
      <c r="JN335" s="47"/>
      <c r="JQ335" s="47"/>
      <c r="JR335" s="47"/>
      <c r="JS335" s="47"/>
      <c r="JT335" s="47"/>
      <c r="JU335" s="47"/>
      <c r="JV335" s="47"/>
      <c r="JW335" s="47"/>
      <c r="JX335" s="47"/>
      <c r="KA335" s="47"/>
      <c r="KB335" s="47"/>
      <c r="KC335" s="47"/>
      <c r="KD335" s="47"/>
      <c r="KE335" s="47"/>
      <c r="KF335" s="47"/>
      <c r="KG335" s="47"/>
      <c r="KH335" s="47"/>
      <c r="KK335" s="47"/>
      <c r="KL335" s="47"/>
      <c r="KM335" s="47"/>
      <c r="KN335" s="47"/>
      <c r="KO335" s="47"/>
      <c r="KP335" s="47"/>
      <c r="KQ335" s="47"/>
      <c r="KR335" s="47"/>
      <c r="KU335" s="47"/>
      <c r="KV335" s="47"/>
      <c r="KW335" s="47"/>
      <c r="KX335" s="47"/>
      <c r="KY335" s="47"/>
      <c r="KZ335" s="47"/>
      <c r="LA335" s="47"/>
      <c r="LB335" s="47"/>
    </row>
    <row r="336" spans="29:314" x14ac:dyDescent="0.25">
      <c r="AC336" s="47"/>
      <c r="AD336" s="47"/>
      <c r="AE336" s="47"/>
      <c r="AF336" s="47"/>
      <c r="AG336" s="49"/>
      <c r="AH336" s="47"/>
      <c r="AI336" s="47"/>
      <c r="AJ336" s="47"/>
      <c r="AK336" s="47"/>
      <c r="AL336" s="47"/>
      <c r="AM336" s="47"/>
      <c r="AN336" s="47"/>
      <c r="AO336" s="47"/>
      <c r="AP336" s="47"/>
      <c r="AQ336" s="47"/>
      <c r="AR336" s="47"/>
      <c r="AS336" s="47"/>
      <c r="AT336" s="47"/>
      <c r="AU336" s="47"/>
      <c r="AV336" s="47"/>
      <c r="AW336" s="47"/>
      <c r="AX336" s="47"/>
      <c r="AY336" s="47"/>
      <c r="AZ336" s="47"/>
      <c r="BA336" s="47"/>
      <c r="BB336" s="47"/>
      <c r="BC336" s="47"/>
      <c r="BD336" s="47"/>
      <c r="BE336" s="47"/>
      <c r="BF336" s="47"/>
      <c r="BG336" s="47"/>
      <c r="BH336" s="47"/>
      <c r="BI336" s="47"/>
      <c r="BJ336" s="47"/>
      <c r="BK336" s="47"/>
      <c r="BL336" s="47"/>
      <c r="BM336" s="47"/>
      <c r="BN336" s="49"/>
      <c r="BO336" s="47"/>
      <c r="BP336" s="47"/>
      <c r="BQ336" s="47"/>
      <c r="BR336" s="47"/>
      <c r="BS336" s="47"/>
      <c r="BT336" s="47"/>
      <c r="BU336" s="47"/>
      <c r="BV336" s="47"/>
      <c r="BW336" s="47"/>
      <c r="BX336" s="47"/>
      <c r="BY336" s="47"/>
      <c r="BZ336" s="47"/>
      <c r="CA336" s="47"/>
      <c r="CB336" s="47"/>
      <c r="CC336" s="47"/>
      <c r="CD336" s="47"/>
      <c r="CE336" s="47"/>
      <c r="CF336" s="47"/>
      <c r="CG336" s="49"/>
      <c r="CH336" s="47"/>
      <c r="CI336" s="47"/>
      <c r="CJ336" s="47"/>
      <c r="CK336" s="47"/>
      <c r="CL336" s="47"/>
      <c r="CM336" s="47"/>
      <c r="CN336" s="47"/>
      <c r="CO336" s="47"/>
      <c r="CP336" s="47"/>
      <c r="CQ336" s="47"/>
      <c r="CS336" s="47"/>
      <c r="CT336" s="47"/>
      <c r="CU336" s="47"/>
      <c r="CV336" s="47"/>
      <c r="CW336" s="47"/>
      <c r="CX336" s="47"/>
      <c r="CY336" s="47"/>
      <c r="CZ336" s="47"/>
      <c r="DA336" s="47"/>
      <c r="DB336" s="47"/>
      <c r="DC336" s="47"/>
      <c r="DD336" s="47"/>
      <c r="DE336" s="47"/>
      <c r="DF336" s="47"/>
      <c r="DG336" s="47"/>
      <c r="DH336" s="47"/>
      <c r="DI336" s="47"/>
      <c r="DJ336" s="47"/>
      <c r="DK336" s="47"/>
      <c r="DM336" s="47"/>
      <c r="DN336" s="47"/>
      <c r="DO336" s="47"/>
      <c r="DP336" s="47"/>
      <c r="DQ336" s="47"/>
      <c r="DR336" s="47"/>
      <c r="DS336" s="47"/>
      <c r="DT336" s="47"/>
      <c r="DU336" s="47"/>
      <c r="DV336" s="49"/>
      <c r="DW336" s="47"/>
      <c r="DX336" s="47"/>
      <c r="DY336" s="47"/>
      <c r="DZ336" s="47"/>
      <c r="EA336" s="47"/>
      <c r="EB336" s="47"/>
      <c r="EC336" s="47"/>
      <c r="ED336" s="47"/>
      <c r="EE336" s="47"/>
      <c r="EF336" s="47"/>
      <c r="EG336" s="47"/>
      <c r="EH336" s="47"/>
      <c r="EI336" s="47"/>
      <c r="EJ336" s="47"/>
      <c r="EK336" s="47"/>
      <c r="EL336" s="47"/>
      <c r="EM336" s="47"/>
      <c r="EN336" s="47"/>
      <c r="EO336" s="47"/>
      <c r="EP336" s="47"/>
      <c r="EQ336" s="47"/>
      <c r="ER336" s="47"/>
      <c r="ES336" s="47"/>
      <c r="ET336" s="47"/>
      <c r="EU336" s="47"/>
      <c r="EV336" s="47"/>
      <c r="EW336" s="47"/>
      <c r="EX336" s="47"/>
      <c r="EY336" s="47"/>
      <c r="EZ336" s="47"/>
      <c r="FA336" s="47"/>
      <c r="FB336" s="47"/>
      <c r="FC336" s="47"/>
      <c r="FD336" s="47"/>
      <c r="FE336" s="47"/>
      <c r="FF336" s="47"/>
      <c r="FG336" s="47"/>
      <c r="FH336" s="47"/>
      <c r="FI336" s="47"/>
      <c r="FJ336" s="49"/>
      <c r="FK336" s="47"/>
      <c r="FL336" s="47"/>
      <c r="FM336" s="47"/>
      <c r="FN336" s="47"/>
      <c r="FO336" s="47"/>
      <c r="FP336" s="47"/>
      <c r="FQ336" s="47"/>
      <c r="FR336" s="47"/>
      <c r="FS336" s="47"/>
      <c r="FT336" s="47"/>
      <c r="FU336" s="47"/>
      <c r="FV336" s="47"/>
      <c r="FW336" s="47"/>
      <c r="FX336" s="47"/>
      <c r="FY336" s="47"/>
      <c r="FZ336" s="47"/>
      <c r="GA336" s="47"/>
      <c r="GB336" s="47"/>
      <c r="GC336" s="47"/>
      <c r="GD336" s="47"/>
      <c r="GE336" s="47"/>
      <c r="GF336" s="47"/>
      <c r="GG336" s="47"/>
      <c r="GH336" s="47"/>
      <c r="GI336" s="47"/>
      <c r="GJ336" s="47"/>
      <c r="GK336" s="47"/>
      <c r="GL336" s="47"/>
      <c r="GM336" s="47"/>
      <c r="GN336" s="47"/>
      <c r="GO336" s="47"/>
      <c r="GP336" s="47"/>
      <c r="GQ336" s="47"/>
      <c r="GR336" s="47"/>
      <c r="GS336" s="47"/>
      <c r="GT336" s="47"/>
      <c r="GU336" s="47"/>
      <c r="GV336" s="47"/>
      <c r="GW336" s="47"/>
      <c r="GX336" s="47"/>
      <c r="GY336" s="47"/>
      <c r="GZ336" s="47"/>
      <c r="HA336" s="47"/>
      <c r="HB336" s="47"/>
      <c r="HC336" s="47"/>
      <c r="HD336" s="47"/>
      <c r="HE336" s="47"/>
      <c r="HF336" s="47"/>
      <c r="HI336" s="47"/>
      <c r="HJ336" s="47"/>
      <c r="HK336" s="47"/>
      <c r="HL336" s="47"/>
      <c r="HM336" s="47"/>
      <c r="HN336" s="47"/>
      <c r="HO336" s="47"/>
      <c r="HP336" s="47"/>
      <c r="HS336" s="47"/>
      <c r="HT336" s="47"/>
      <c r="HU336" s="47"/>
      <c r="HV336" s="47"/>
      <c r="HW336" s="47"/>
      <c r="HX336" s="47"/>
      <c r="HY336" s="47"/>
      <c r="HZ336" s="47"/>
      <c r="IC336" s="47"/>
      <c r="ID336" s="47"/>
      <c r="IE336" s="47"/>
      <c r="IF336" s="47"/>
      <c r="IG336" s="47"/>
      <c r="IH336" s="47"/>
      <c r="II336" s="47"/>
      <c r="IJ336" s="47"/>
      <c r="IM336" s="47"/>
      <c r="IN336" s="47"/>
      <c r="IO336" s="47"/>
      <c r="IP336" s="47"/>
      <c r="IQ336" s="47"/>
      <c r="IR336" s="47"/>
      <c r="IS336" s="47"/>
      <c r="IT336" s="47"/>
      <c r="IW336" s="47"/>
      <c r="IX336" s="47"/>
      <c r="IY336" s="47"/>
      <c r="IZ336" s="47"/>
      <c r="JA336" s="47"/>
      <c r="JB336" s="47"/>
      <c r="JC336" s="47"/>
      <c r="JD336" s="47"/>
      <c r="JG336" s="47"/>
      <c r="JH336" s="47"/>
      <c r="JI336" s="47"/>
      <c r="JJ336" s="47"/>
      <c r="JK336" s="47"/>
      <c r="JL336" s="47"/>
      <c r="JM336" s="47"/>
      <c r="JN336" s="47"/>
      <c r="JQ336" s="47"/>
      <c r="JR336" s="47"/>
      <c r="JS336" s="47"/>
      <c r="JT336" s="47"/>
      <c r="JU336" s="47"/>
      <c r="JV336" s="47"/>
      <c r="JW336" s="47"/>
      <c r="JX336" s="47"/>
      <c r="KA336" s="47"/>
      <c r="KB336" s="47"/>
      <c r="KC336" s="47"/>
      <c r="KD336" s="47"/>
      <c r="KE336" s="47"/>
      <c r="KF336" s="47"/>
      <c r="KG336" s="47"/>
      <c r="KH336" s="47"/>
      <c r="KK336" s="47"/>
      <c r="KL336" s="47"/>
      <c r="KM336" s="47"/>
      <c r="KN336" s="47"/>
      <c r="KO336" s="47"/>
      <c r="KP336" s="47"/>
      <c r="KQ336" s="47"/>
      <c r="KR336" s="47"/>
      <c r="KU336" s="47"/>
      <c r="KV336" s="47"/>
      <c r="KW336" s="47"/>
      <c r="KX336" s="47"/>
      <c r="KY336" s="47"/>
      <c r="KZ336" s="47"/>
      <c r="LA336" s="47"/>
      <c r="LB336" s="47"/>
    </row>
    <row r="337" spans="29:314" x14ac:dyDescent="0.25">
      <c r="AC337" s="47"/>
      <c r="AD337" s="47"/>
      <c r="AE337" s="47"/>
      <c r="AF337" s="47"/>
      <c r="AG337" s="49"/>
      <c r="AH337" s="47"/>
      <c r="AI337" s="47"/>
      <c r="AJ337" s="47"/>
      <c r="AK337" s="47"/>
      <c r="AL337" s="47"/>
      <c r="AM337" s="47"/>
      <c r="AN337" s="47"/>
      <c r="AO337" s="47"/>
      <c r="AP337" s="47"/>
      <c r="AQ337" s="47"/>
      <c r="AR337" s="47"/>
      <c r="AS337" s="47"/>
      <c r="AT337" s="47"/>
      <c r="AU337" s="47"/>
      <c r="AV337" s="47"/>
      <c r="AW337" s="47"/>
      <c r="AX337" s="47"/>
      <c r="AY337" s="47"/>
      <c r="AZ337" s="47"/>
      <c r="BA337" s="47"/>
      <c r="BB337" s="47"/>
      <c r="BC337" s="47"/>
      <c r="BD337" s="47"/>
      <c r="BE337" s="47"/>
      <c r="BF337" s="47"/>
      <c r="BG337" s="47"/>
      <c r="BH337" s="47"/>
      <c r="BI337" s="47"/>
      <c r="BJ337" s="47"/>
      <c r="BK337" s="47"/>
      <c r="BL337" s="47"/>
      <c r="BM337" s="47"/>
      <c r="BN337" s="49"/>
      <c r="BO337" s="47"/>
      <c r="BP337" s="47"/>
      <c r="BQ337" s="47"/>
      <c r="BR337" s="47"/>
      <c r="BS337" s="47"/>
      <c r="BT337" s="47"/>
      <c r="BU337" s="47"/>
      <c r="BV337" s="47"/>
      <c r="BW337" s="47"/>
      <c r="BX337" s="47"/>
      <c r="BY337" s="47"/>
      <c r="BZ337" s="47"/>
      <c r="CA337" s="47"/>
      <c r="CB337" s="47"/>
      <c r="CC337" s="47"/>
      <c r="CD337" s="47"/>
      <c r="CE337" s="47"/>
      <c r="CF337" s="47"/>
      <c r="CG337" s="49"/>
      <c r="CH337" s="47"/>
      <c r="CI337" s="47"/>
      <c r="CJ337" s="47"/>
      <c r="CK337" s="47"/>
      <c r="CL337" s="47"/>
      <c r="CM337" s="47"/>
      <c r="CN337" s="47"/>
      <c r="CO337" s="47"/>
      <c r="CP337" s="47"/>
      <c r="CQ337" s="47"/>
      <c r="CS337" s="47"/>
      <c r="CT337" s="47"/>
      <c r="CU337" s="47"/>
      <c r="CV337" s="47"/>
      <c r="CW337" s="47"/>
      <c r="CX337" s="47"/>
      <c r="CY337" s="47"/>
      <c r="CZ337" s="47"/>
      <c r="DA337" s="47"/>
      <c r="DB337" s="47"/>
      <c r="DC337" s="47"/>
      <c r="DD337" s="47"/>
      <c r="DE337" s="47"/>
      <c r="DF337" s="47"/>
      <c r="DG337" s="47"/>
      <c r="DH337" s="47"/>
      <c r="DI337" s="47"/>
      <c r="DJ337" s="47"/>
      <c r="DK337" s="47"/>
      <c r="DM337" s="47"/>
      <c r="DN337" s="47"/>
      <c r="DO337" s="47"/>
      <c r="DP337" s="47"/>
      <c r="DQ337" s="47"/>
      <c r="DR337" s="47"/>
      <c r="DS337" s="47"/>
      <c r="DT337" s="47"/>
      <c r="DU337" s="47"/>
      <c r="DV337" s="49"/>
      <c r="DW337" s="47"/>
      <c r="DX337" s="47"/>
      <c r="DY337" s="47"/>
      <c r="DZ337" s="47"/>
      <c r="EA337" s="47"/>
      <c r="EB337" s="47"/>
      <c r="EC337" s="47"/>
      <c r="ED337" s="47"/>
      <c r="EE337" s="47"/>
      <c r="EF337" s="47"/>
      <c r="EG337" s="47"/>
      <c r="EH337" s="47"/>
      <c r="EI337" s="47"/>
      <c r="EJ337" s="47"/>
      <c r="EK337" s="47"/>
      <c r="EL337" s="47"/>
      <c r="EM337" s="47"/>
      <c r="EN337" s="47"/>
      <c r="EO337" s="47"/>
      <c r="EP337" s="47"/>
      <c r="EQ337" s="47"/>
      <c r="ER337" s="47"/>
      <c r="ES337" s="47"/>
      <c r="ET337" s="47"/>
      <c r="EU337" s="47"/>
      <c r="EV337" s="47"/>
      <c r="EW337" s="47"/>
      <c r="EX337" s="47"/>
      <c r="EY337" s="47"/>
      <c r="EZ337" s="47"/>
      <c r="FA337" s="47"/>
      <c r="FB337" s="47"/>
      <c r="FC337" s="47"/>
      <c r="FD337" s="47"/>
      <c r="FE337" s="47"/>
      <c r="FF337" s="47"/>
      <c r="FG337" s="47"/>
      <c r="FH337" s="47"/>
      <c r="FI337" s="47"/>
      <c r="FJ337" s="49"/>
      <c r="FK337" s="47"/>
      <c r="FL337" s="47"/>
      <c r="FM337" s="47"/>
      <c r="FN337" s="47"/>
      <c r="FO337" s="47"/>
      <c r="FP337" s="47"/>
      <c r="FQ337" s="47"/>
      <c r="FR337" s="47"/>
      <c r="FS337" s="47"/>
      <c r="FT337" s="47"/>
      <c r="FU337" s="47"/>
      <c r="FV337" s="47"/>
      <c r="FW337" s="47"/>
      <c r="FX337" s="47"/>
      <c r="FY337" s="47"/>
      <c r="FZ337" s="47"/>
      <c r="GA337" s="47"/>
      <c r="GB337" s="47"/>
      <c r="GC337" s="47"/>
      <c r="GD337" s="47"/>
      <c r="GE337" s="47"/>
      <c r="GF337" s="47"/>
      <c r="GG337" s="47"/>
      <c r="GH337" s="47"/>
      <c r="GI337" s="47"/>
      <c r="GJ337" s="47"/>
      <c r="GK337" s="47"/>
      <c r="GL337" s="47"/>
      <c r="GM337" s="47"/>
      <c r="GN337" s="47"/>
      <c r="GO337" s="47"/>
      <c r="GP337" s="47"/>
      <c r="GQ337" s="47"/>
      <c r="GR337" s="47"/>
      <c r="GS337" s="47"/>
      <c r="GT337" s="47"/>
      <c r="GU337" s="47"/>
      <c r="GV337" s="47"/>
      <c r="GW337" s="47"/>
      <c r="GX337" s="47"/>
      <c r="GY337" s="47"/>
      <c r="GZ337" s="47"/>
      <c r="HA337" s="47"/>
      <c r="HB337" s="47"/>
      <c r="HC337" s="47"/>
      <c r="HD337" s="47"/>
      <c r="HE337" s="47"/>
      <c r="HF337" s="47"/>
      <c r="HI337" s="47"/>
      <c r="HJ337" s="47"/>
      <c r="HK337" s="47"/>
      <c r="HL337" s="47"/>
      <c r="HM337" s="47"/>
      <c r="HN337" s="47"/>
      <c r="HO337" s="47"/>
      <c r="HP337" s="47"/>
      <c r="HS337" s="47"/>
      <c r="HT337" s="47"/>
      <c r="HU337" s="47"/>
      <c r="HV337" s="47"/>
      <c r="HW337" s="47"/>
      <c r="HX337" s="47"/>
      <c r="HY337" s="47"/>
      <c r="HZ337" s="47"/>
      <c r="IC337" s="47"/>
      <c r="ID337" s="47"/>
      <c r="IE337" s="47"/>
      <c r="IF337" s="47"/>
      <c r="IG337" s="47"/>
      <c r="IH337" s="47"/>
      <c r="II337" s="47"/>
      <c r="IJ337" s="47"/>
      <c r="IM337" s="47"/>
      <c r="IN337" s="47"/>
      <c r="IO337" s="47"/>
      <c r="IP337" s="47"/>
      <c r="IQ337" s="47"/>
      <c r="IR337" s="47"/>
      <c r="IS337" s="47"/>
      <c r="IT337" s="47"/>
      <c r="IW337" s="47"/>
      <c r="IX337" s="47"/>
      <c r="IY337" s="47"/>
      <c r="IZ337" s="47"/>
      <c r="JA337" s="47"/>
      <c r="JB337" s="47"/>
      <c r="JC337" s="47"/>
      <c r="JD337" s="47"/>
      <c r="JG337" s="47"/>
      <c r="JH337" s="47"/>
      <c r="JI337" s="47"/>
      <c r="JJ337" s="47"/>
      <c r="JK337" s="47"/>
      <c r="JL337" s="47"/>
      <c r="JM337" s="47"/>
      <c r="JN337" s="47"/>
      <c r="JQ337" s="47"/>
      <c r="JR337" s="47"/>
      <c r="JS337" s="47"/>
      <c r="JT337" s="47"/>
      <c r="JU337" s="47"/>
      <c r="JV337" s="47"/>
      <c r="JW337" s="47"/>
      <c r="JX337" s="47"/>
      <c r="KA337" s="47"/>
      <c r="KB337" s="47"/>
      <c r="KC337" s="47"/>
      <c r="KD337" s="47"/>
      <c r="KE337" s="47"/>
      <c r="KF337" s="47"/>
      <c r="KG337" s="47"/>
      <c r="KH337" s="47"/>
      <c r="KK337" s="47"/>
      <c r="KL337" s="47"/>
      <c r="KM337" s="47"/>
      <c r="KN337" s="47"/>
      <c r="KO337" s="47"/>
      <c r="KP337" s="47"/>
      <c r="KQ337" s="47"/>
      <c r="KR337" s="47"/>
      <c r="KU337" s="47"/>
      <c r="KV337" s="47"/>
      <c r="KW337" s="47"/>
      <c r="KX337" s="47"/>
      <c r="KY337" s="47"/>
      <c r="KZ337" s="47"/>
      <c r="LA337" s="47"/>
      <c r="LB337" s="47"/>
    </row>
    <row r="338" spans="29:314" x14ac:dyDescent="0.25">
      <c r="AC338" s="47"/>
      <c r="AD338" s="47"/>
      <c r="AE338" s="47"/>
      <c r="AF338" s="47"/>
      <c r="AG338" s="49"/>
      <c r="AH338" s="47"/>
      <c r="AI338" s="47"/>
      <c r="AJ338" s="47"/>
      <c r="AK338" s="47"/>
      <c r="AL338" s="47"/>
      <c r="AM338" s="47"/>
      <c r="AN338" s="47"/>
      <c r="AO338" s="47"/>
      <c r="AP338" s="47"/>
      <c r="AQ338" s="47"/>
      <c r="AR338" s="47"/>
      <c r="AS338" s="47"/>
      <c r="AT338" s="47"/>
      <c r="AU338" s="47"/>
      <c r="AV338" s="47"/>
      <c r="AW338" s="47"/>
      <c r="AX338" s="47"/>
      <c r="AY338" s="47"/>
      <c r="AZ338" s="47"/>
      <c r="BA338" s="47"/>
      <c r="BB338" s="47"/>
      <c r="BC338" s="47"/>
      <c r="BD338" s="47"/>
      <c r="BE338" s="47"/>
      <c r="BF338" s="47"/>
      <c r="BG338" s="47"/>
      <c r="BH338" s="47"/>
      <c r="BI338" s="47"/>
      <c r="BJ338" s="47"/>
      <c r="BK338" s="47"/>
      <c r="BL338" s="47"/>
      <c r="BM338" s="47"/>
      <c r="BN338" s="49"/>
      <c r="BO338" s="47"/>
      <c r="BP338" s="47"/>
      <c r="BQ338" s="47"/>
      <c r="BR338" s="47"/>
      <c r="BS338" s="47"/>
      <c r="BT338" s="47"/>
      <c r="BU338" s="47"/>
      <c r="BV338" s="47"/>
      <c r="BW338" s="47"/>
      <c r="BX338" s="47"/>
      <c r="BY338" s="47"/>
      <c r="BZ338" s="47"/>
      <c r="CA338" s="47"/>
      <c r="CB338" s="47"/>
      <c r="CC338" s="47"/>
      <c r="CD338" s="47"/>
      <c r="CE338" s="47"/>
      <c r="CF338" s="47"/>
      <c r="CG338" s="49"/>
      <c r="CH338" s="47"/>
      <c r="CI338" s="47"/>
      <c r="CJ338" s="47"/>
      <c r="CK338" s="47"/>
      <c r="CL338" s="47"/>
      <c r="CM338" s="47"/>
      <c r="CN338" s="47"/>
      <c r="CO338" s="47"/>
      <c r="CP338" s="47"/>
      <c r="CQ338" s="47"/>
      <c r="CS338" s="47"/>
      <c r="CT338" s="47"/>
      <c r="CU338" s="47"/>
      <c r="CV338" s="47"/>
      <c r="CW338" s="47"/>
      <c r="CX338" s="47"/>
      <c r="CY338" s="47"/>
      <c r="CZ338" s="47"/>
      <c r="DA338" s="47"/>
      <c r="DB338" s="47"/>
      <c r="DC338" s="47"/>
      <c r="DD338" s="47"/>
      <c r="DE338" s="47"/>
      <c r="DF338" s="47"/>
      <c r="DG338" s="47"/>
      <c r="DH338" s="47"/>
      <c r="DI338" s="47"/>
      <c r="DJ338" s="47"/>
      <c r="DK338" s="47"/>
      <c r="DM338" s="47"/>
      <c r="DN338" s="47"/>
      <c r="DO338" s="47"/>
      <c r="DP338" s="47"/>
      <c r="DQ338" s="47"/>
      <c r="DR338" s="47"/>
      <c r="DS338" s="47"/>
      <c r="DT338" s="47"/>
      <c r="DU338" s="47"/>
      <c r="DV338" s="49"/>
      <c r="DW338" s="47"/>
      <c r="DX338" s="47"/>
      <c r="DY338" s="47"/>
      <c r="DZ338" s="47"/>
      <c r="EA338" s="47"/>
      <c r="EB338" s="47"/>
      <c r="EC338" s="47"/>
      <c r="ED338" s="47"/>
      <c r="EE338" s="47"/>
      <c r="EF338" s="47"/>
      <c r="EG338" s="47"/>
      <c r="EH338" s="47"/>
      <c r="EI338" s="47"/>
      <c r="EJ338" s="47"/>
      <c r="EK338" s="47"/>
      <c r="EL338" s="47"/>
      <c r="EM338" s="47"/>
      <c r="EN338" s="47"/>
      <c r="EO338" s="47"/>
      <c r="EP338" s="47"/>
      <c r="EQ338" s="47"/>
      <c r="ER338" s="47"/>
      <c r="ES338" s="47"/>
      <c r="ET338" s="47"/>
      <c r="EU338" s="47"/>
      <c r="EV338" s="47"/>
      <c r="EW338" s="47"/>
      <c r="EX338" s="47"/>
      <c r="EY338" s="47"/>
      <c r="EZ338" s="47"/>
      <c r="FA338" s="47"/>
      <c r="FB338" s="47"/>
      <c r="FC338" s="47"/>
      <c r="FD338" s="47"/>
      <c r="FE338" s="47"/>
      <c r="FF338" s="47"/>
      <c r="FG338" s="47"/>
      <c r="FH338" s="47"/>
      <c r="FI338" s="47"/>
      <c r="FJ338" s="49"/>
      <c r="FK338" s="47"/>
      <c r="FL338" s="47"/>
      <c r="FM338" s="47"/>
      <c r="FN338" s="47"/>
      <c r="FO338" s="47"/>
      <c r="FP338" s="47"/>
      <c r="FQ338" s="47"/>
      <c r="FR338" s="47"/>
      <c r="FS338" s="47"/>
      <c r="FT338" s="47"/>
      <c r="FU338" s="47"/>
      <c r="FV338" s="47"/>
      <c r="FW338" s="47"/>
      <c r="FX338" s="47"/>
      <c r="FY338" s="47"/>
      <c r="FZ338" s="47"/>
      <c r="GA338" s="47"/>
      <c r="GB338" s="47"/>
      <c r="GC338" s="47"/>
      <c r="GD338" s="47"/>
      <c r="GE338" s="47"/>
      <c r="GF338" s="47"/>
      <c r="GG338" s="47"/>
      <c r="GH338" s="47"/>
      <c r="GI338" s="47"/>
      <c r="GJ338" s="47"/>
      <c r="GK338" s="47"/>
      <c r="GL338" s="47"/>
      <c r="GM338" s="47"/>
      <c r="GN338" s="47"/>
      <c r="GO338" s="47"/>
      <c r="GP338" s="47"/>
      <c r="GQ338" s="47"/>
      <c r="GR338" s="47"/>
      <c r="GS338" s="47"/>
      <c r="GT338" s="47"/>
      <c r="GU338" s="47"/>
      <c r="GV338" s="47"/>
      <c r="GW338" s="47"/>
      <c r="GX338" s="47"/>
      <c r="GY338" s="47"/>
      <c r="GZ338" s="47"/>
      <c r="HA338" s="47"/>
      <c r="HB338" s="47"/>
      <c r="HC338" s="47"/>
      <c r="HD338" s="47"/>
      <c r="HE338" s="47"/>
      <c r="HF338" s="47"/>
      <c r="HI338" s="47"/>
      <c r="HJ338" s="47"/>
      <c r="HK338" s="47"/>
      <c r="HL338" s="47"/>
      <c r="HM338" s="47"/>
      <c r="HN338" s="47"/>
      <c r="HO338" s="47"/>
      <c r="HP338" s="47"/>
      <c r="HS338" s="47"/>
      <c r="HT338" s="47"/>
      <c r="HU338" s="47"/>
      <c r="HV338" s="47"/>
      <c r="HW338" s="47"/>
      <c r="HX338" s="47"/>
      <c r="HY338" s="47"/>
      <c r="HZ338" s="47"/>
      <c r="IC338" s="47"/>
      <c r="ID338" s="47"/>
      <c r="IE338" s="47"/>
      <c r="IF338" s="47"/>
      <c r="IG338" s="47"/>
      <c r="IH338" s="47"/>
      <c r="II338" s="47"/>
      <c r="IJ338" s="47"/>
      <c r="IM338" s="47"/>
      <c r="IN338" s="47"/>
      <c r="IO338" s="47"/>
      <c r="IP338" s="47"/>
      <c r="IQ338" s="47"/>
      <c r="IR338" s="47"/>
      <c r="IS338" s="47"/>
      <c r="IT338" s="47"/>
      <c r="IW338" s="47"/>
      <c r="IX338" s="47"/>
      <c r="IY338" s="47"/>
      <c r="IZ338" s="47"/>
      <c r="JA338" s="47"/>
      <c r="JB338" s="47"/>
      <c r="JC338" s="47"/>
      <c r="JD338" s="47"/>
      <c r="JG338" s="47"/>
      <c r="JH338" s="47"/>
      <c r="JI338" s="47"/>
      <c r="JJ338" s="47"/>
      <c r="JK338" s="47"/>
      <c r="JL338" s="47"/>
      <c r="JM338" s="47"/>
      <c r="JN338" s="47"/>
      <c r="JQ338" s="47"/>
      <c r="JR338" s="47"/>
      <c r="JS338" s="47"/>
      <c r="JT338" s="47"/>
      <c r="JU338" s="47"/>
      <c r="JV338" s="47"/>
      <c r="JW338" s="47"/>
      <c r="JX338" s="47"/>
      <c r="KA338" s="47"/>
      <c r="KB338" s="47"/>
      <c r="KC338" s="47"/>
      <c r="KD338" s="47"/>
      <c r="KE338" s="47"/>
      <c r="KF338" s="47"/>
      <c r="KG338" s="47"/>
      <c r="KH338" s="47"/>
      <c r="KK338" s="47"/>
      <c r="KL338" s="47"/>
      <c r="KM338" s="47"/>
      <c r="KN338" s="47"/>
      <c r="KO338" s="47"/>
      <c r="KP338" s="47"/>
      <c r="KQ338" s="47"/>
      <c r="KR338" s="47"/>
      <c r="KU338" s="47"/>
      <c r="KV338" s="47"/>
      <c r="KW338" s="47"/>
      <c r="KX338" s="47"/>
      <c r="KY338" s="47"/>
      <c r="KZ338" s="47"/>
      <c r="LA338" s="47"/>
      <c r="LB338" s="47"/>
    </row>
    <row r="339" spans="29:314" x14ac:dyDescent="0.25">
      <c r="AC339" s="47"/>
      <c r="AD339" s="47"/>
      <c r="AE339" s="47"/>
      <c r="AF339" s="47"/>
      <c r="AG339" s="49"/>
      <c r="AH339" s="47"/>
      <c r="AI339" s="47"/>
      <c r="AJ339" s="47"/>
      <c r="AK339" s="47"/>
      <c r="AL339" s="47"/>
      <c r="AM339" s="47"/>
      <c r="AN339" s="47"/>
      <c r="AO339" s="47"/>
      <c r="AP339" s="47"/>
      <c r="AQ339" s="47"/>
      <c r="AR339" s="47"/>
      <c r="AS339" s="47"/>
      <c r="AT339" s="47"/>
      <c r="AU339" s="47"/>
      <c r="AV339" s="47"/>
      <c r="AW339" s="47"/>
      <c r="AX339" s="47"/>
      <c r="AY339" s="47"/>
      <c r="AZ339" s="47"/>
      <c r="BA339" s="47"/>
      <c r="BB339" s="47"/>
      <c r="BC339" s="47"/>
      <c r="BD339" s="47"/>
      <c r="BE339" s="47"/>
      <c r="BF339" s="47"/>
      <c r="BG339" s="47"/>
      <c r="BH339" s="47"/>
      <c r="BI339" s="47"/>
      <c r="BJ339" s="47"/>
      <c r="BK339" s="47"/>
      <c r="BL339" s="47"/>
      <c r="BM339" s="47"/>
      <c r="BN339" s="49"/>
      <c r="BO339" s="47"/>
      <c r="BP339" s="47"/>
      <c r="BQ339" s="47"/>
      <c r="BR339" s="47"/>
      <c r="BS339" s="47"/>
      <c r="BT339" s="47"/>
      <c r="BU339" s="47"/>
      <c r="BV339" s="47"/>
      <c r="BW339" s="47"/>
      <c r="BX339" s="47"/>
      <c r="BY339" s="47"/>
      <c r="BZ339" s="47"/>
      <c r="CA339" s="47"/>
      <c r="CB339" s="47"/>
      <c r="CC339" s="47"/>
      <c r="CD339" s="47"/>
      <c r="CE339" s="47"/>
      <c r="CF339" s="47"/>
      <c r="CG339" s="49"/>
      <c r="CH339" s="47"/>
      <c r="CI339" s="47"/>
      <c r="CJ339" s="47"/>
      <c r="CK339" s="47"/>
      <c r="CL339" s="47"/>
      <c r="CM339" s="47"/>
      <c r="CN339" s="47"/>
      <c r="CO339" s="47"/>
      <c r="CP339" s="47"/>
      <c r="CQ339" s="47"/>
      <c r="CS339" s="47"/>
      <c r="CT339" s="47"/>
      <c r="CU339" s="47"/>
      <c r="CV339" s="47"/>
      <c r="CW339" s="47"/>
      <c r="CX339" s="47"/>
      <c r="CY339" s="47"/>
      <c r="CZ339" s="47"/>
      <c r="DA339" s="47"/>
      <c r="DB339" s="47"/>
      <c r="DC339" s="47"/>
      <c r="DD339" s="47"/>
      <c r="DE339" s="47"/>
      <c r="DF339" s="47"/>
      <c r="DG339" s="47"/>
      <c r="DH339" s="47"/>
      <c r="DI339" s="47"/>
      <c r="DJ339" s="47"/>
      <c r="DK339" s="47"/>
      <c r="DM339" s="47"/>
      <c r="DN339" s="47"/>
      <c r="DO339" s="47"/>
      <c r="DP339" s="47"/>
      <c r="DQ339" s="47"/>
      <c r="DR339" s="47"/>
      <c r="DS339" s="47"/>
      <c r="DT339" s="47"/>
      <c r="DU339" s="47"/>
      <c r="DV339" s="49"/>
      <c r="DW339" s="47"/>
      <c r="DX339" s="47"/>
      <c r="DY339" s="47"/>
      <c r="DZ339" s="47"/>
      <c r="EA339" s="47"/>
      <c r="EB339" s="47"/>
      <c r="EC339" s="47"/>
      <c r="ED339" s="47"/>
      <c r="EE339" s="47"/>
      <c r="EF339" s="47"/>
      <c r="EG339" s="47"/>
      <c r="EH339" s="47"/>
      <c r="EI339" s="47"/>
      <c r="EJ339" s="47"/>
      <c r="EK339" s="47"/>
      <c r="EL339" s="47"/>
      <c r="EM339" s="47"/>
      <c r="EN339" s="47"/>
      <c r="EO339" s="47"/>
      <c r="EP339" s="47"/>
      <c r="EQ339" s="47"/>
      <c r="ER339" s="47"/>
      <c r="ES339" s="47"/>
      <c r="ET339" s="47"/>
      <c r="EU339" s="47"/>
      <c r="EV339" s="47"/>
      <c r="EW339" s="47"/>
      <c r="EX339" s="47"/>
      <c r="EY339" s="47"/>
      <c r="EZ339" s="47"/>
      <c r="FA339" s="47"/>
      <c r="FB339" s="47"/>
      <c r="FC339" s="47"/>
      <c r="FD339" s="47"/>
      <c r="FE339" s="47"/>
      <c r="FF339" s="47"/>
      <c r="FG339" s="47"/>
      <c r="FH339" s="47"/>
      <c r="FI339" s="47"/>
      <c r="FJ339" s="49"/>
      <c r="FK339" s="47"/>
      <c r="FL339" s="47"/>
      <c r="FM339" s="47"/>
      <c r="FN339" s="47"/>
      <c r="FO339" s="47"/>
      <c r="FP339" s="47"/>
      <c r="FQ339" s="47"/>
      <c r="FR339" s="47"/>
      <c r="FS339" s="47"/>
      <c r="FT339" s="47"/>
      <c r="FU339" s="47"/>
      <c r="FV339" s="47"/>
      <c r="FW339" s="47"/>
      <c r="FX339" s="47"/>
      <c r="FY339" s="47"/>
      <c r="FZ339" s="47"/>
      <c r="GA339" s="47"/>
      <c r="GB339" s="47"/>
      <c r="GC339" s="47"/>
      <c r="GD339" s="47"/>
      <c r="GE339" s="47"/>
      <c r="GF339" s="47"/>
      <c r="GG339" s="47"/>
      <c r="GH339" s="47"/>
      <c r="GI339" s="47"/>
      <c r="GJ339" s="47"/>
      <c r="GK339" s="47"/>
      <c r="GL339" s="47"/>
      <c r="GM339" s="47"/>
      <c r="GN339" s="47"/>
      <c r="GO339" s="47"/>
      <c r="GP339" s="47"/>
      <c r="GQ339" s="47"/>
      <c r="GR339" s="47"/>
      <c r="GS339" s="47"/>
      <c r="GT339" s="47"/>
      <c r="GU339" s="47"/>
      <c r="GV339" s="47"/>
      <c r="GW339" s="47"/>
      <c r="GX339" s="47"/>
      <c r="GY339" s="47"/>
      <c r="GZ339" s="47"/>
      <c r="HA339" s="47"/>
      <c r="HB339" s="47"/>
      <c r="HC339" s="47"/>
      <c r="HD339" s="47"/>
      <c r="HE339" s="47"/>
      <c r="HF339" s="47"/>
      <c r="HI339" s="47"/>
      <c r="HJ339" s="47"/>
      <c r="HK339" s="47"/>
      <c r="HL339" s="47"/>
      <c r="HM339" s="47"/>
      <c r="HN339" s="47"/>
      <c r="HO339" s="47"/>
      <c r="HP339" s="47"/>
      <c r="HS339" s="47"/>
      <c r="HT339" s="47"/>
      <c r="HU339" s="47"/>
      <c r="HV339" s="47"/>
      <c r="HW339" s="47"/>
      <c r="HX339" s="47"/>
      <c r="HY339" s="47"/>
      <c r="HZ339" s="47"/>
      <c r="IC339" s="47"/>
      <c r="ID339" s="47"/>
      <c r="IE339" s="47"/>
      <c r="IF339" s="47"/>
      <c r="IG339" s="47"/>
      <c r="IH339" s="47"/>
      <c r="II339" s="47"/>
      <c r="IJ339" s="47"/>
      <c r="IM339" s="47"/>
      <c r="IN339" s="47"/>
      <c r="IO339" s="47"/>
      <c r="IP339" s="47"/>
      <c r="IQ339" s="47"/>
      <c r="IR339" s="47"/>
      <c r="IS339" s="47"/>
      <c r="IT339" s="47"/>
      <c r="IW339" s="47"/>
      <c r="IX339" s="47"/>
      <c r="IY339" s="47"/>
      <c r="IZ339" s="47"/>
      <c r="JA339" s="47"/>
      <c r="JB339" s="47"/>
      <c r="JC339" s="47"/>
      <c r="JD339" s="47"/>
      <c r="JG339" s="47"/>
      <c r="JH339" s="47"/>
      <c r="JI339" s="47"/>
      <c r="JJ339" s="47"/>
      <c r="JK339" s="47"/>
      <c r="JL339" s="47"/>
      <c r="JM339" s="47"/>
      <c r="JN339" s="47"/>
      <c r="JQ339" s="47"/>
      <c r="JR339" s="47"/>
      <c r="JS339" s="47"/>
      <c r="JT339" s="47"/>
      <c r="JU339" s="47"/>
      <c r="JV339" s="47"/>
      <c r="JW339" s="47"/>
      <c r="JX339" s="47"/>
      <c r="KA339" s="47"/>
      <c r="KB339" s="47"/>
      <c r="KC339" s="47"/>
      <c r="KD339" s="47"/>
      <c r="KE339" s="47"/>
      <c r="KF339" s="47"/>
      <c r="KG339" s="47"/>
      <c r="KH339" s="47"/>
      <c r="KK339" s="47"/>
      <c r="KL339" s="47"/>
      <c r="KM339" s="47"/>
      <c r="KN339" s="47"/>
      <c r="KO339" s="47"/>
      <c r="KP339" s="47"/>
      <c r="KQ339" s="47"/>
      <c r="KR339" s="47"/>
      <c r="KU339" s="47"/>
      <c r="KV339" s="47"/>
      <c r="KW339" s="47"/>
      <c r="KX339" s="47"/>
      <c r="KY339" s="47"/>
      <c r="KZ339" s="47"/>
      <c r="LA339" s="47"/>
      <c r="LB339" s="47"/>
    </row>
    <row r="340" spans="29:314" x14ac:dyDescent="0.25">
      <c r="AC340" s="47"/>
      <c r="AD340" s="47"/>
      <c r="AE340" s="47"/>
      <c r="AF340" s="47"/>
      <c r="AG340" s="49"/>
      <c r="AH340" s="47"/>
      <c r="AI340" s="47"/>
      <c r="AJ340" s="47"/>
      <c r="AK340" s="47"/>
      <c r="AL340" s="47"/>
      <c r="AM340" s="47"/>
      <c r="AN340" s="47"/>
      <c r="AO340" s="47"/>
      <c r="AP340" s="47"/>
      <c r="AQ340" s="47"/>
      <c r="AR340" s="47"/>
      <c r="AS340" s="47"/>
      <c r="AT340" s="47"/>
      <c r="AU340" s="47"/>
      <c r="AV340" s="47"/>
      <c r="AW340" s="47"/>
      <c r="AX340" s="47"/>
      <c r="AY340" s="47"/>
      <c r="AZ340" s="47"/>
      <c r="BA340" s="47"/>
      <c r="BB340" s="47"/>
      <c r="BC340" s="47"/>
      <c r="BD340" s="47"/>
      <c r="BE340" s="47"/>
      <c r="BF340" s="47"/>
      <c r="BG340" s="47"/>
      <c r="BH340" s="47"/>
      <c r="BI340" s="47"/>
      <c r="BJ340" s="47"/>
      <c r="BK340" s="47"/>
      <c r="BL340" s="47"/>
      <c r="BM340" s="47"/>
      <c r="BN340" s="49"/>
      <c r="BO340" s="47"/>
      <c r="BP340" s="47"/>
      <c r="BQ340" s="47"/>
      <c r="BR340" s="47"/>
      <c r="BS340" s="47"/>
      <c r="BT340" s="47"/>
      <c r="BU340" s="47"/>
      <c r="BV340" s="47"/>
      <c r="BW340" s="47"/>
      <c r="BX340" s="47"/>
      <c r="BY340" s="47"/>
      <c r="BZ340" s="47"/>
      <c r="CA340" s="47"/>
      <c r="CB340" s="47"/>
      <c r="CC340" s="47"/>
      <c r="CD340" s="47"/>
      <c r="CE340" s="47"/>
      <c r="CF340" s="47"/>
      <c r="CG340" s="49"/>
      <c r="CH340" s="47"/>
      <c r="CI340" s="47"/>
      <c r="CJ340" s="47"/>
      <c r="CK340" s="47"/>
      <c r="CL340" s="47"/>
      <c r="CM340" s="47"/>
      <c r="CN340" s="47"/>
      <c r="CO340" s="47"/>
      <c r="CP340" s="47"/>
      <c r="CQ340" s="47"/>
      <c r="CS340" s="47"/>
      <c r="CT340" s="47"/>
      <c r="CU340" s="47"/>
      <c r="CV340" s="47"/>
      <c r="CW340" s="47"/>
      <c r="CX340" s="47"/>
      <c r="CY340" s="47"/>
      <c r="CZ340" s="47"/>
      <c r="DA340" s="47"/>
      <c r="DB340" s="47"/>
      <c r="DC340" s="47"/>
      <c r="DD340" s="47"/>
      <c r="DE340" s="47"/>
      <c r="DF340" s="47"/>
      <c r="DG340" s="47"/>
      <c r="DH340" s="47"/>
      <c r="DI340" s="47"/>
      <c r="DJ340" s="47"/>
      <c r="DK340" s="47"/>
      <c r="DM340" s="47"/>
      <c r="DN340" s="47"/>
      <c r="DO340" s="47"/>
      <c r="DP340" s="47"/>
      <c r="DQ340" s="47"/>
      <c r="DR340" s="47"/>
      <c r="DS340" s="47"/>
      <c r="DT340" s="47"/>
      <c r="DU340" s="47"/>
      <c r="DV340" s="49"/>
      <c r="DW340" s="47"/>
      <c r="DX340" s="47"/>
      <c r="DY340" s="47"/>
      <c r="DZ340" s="47"/>
      <c r="EA340" s="47"/>
      <c r="EB340" s="47"/>
      <c r="EC340" s="47"/>
      <c r="ED340" s="47"/>
      <c r="EE340" s="47"/>
      <c r="EF340" s="47"/>
      <c r="EG340" s="47"/>
      <c r="EH340" s="47"/>
      <c r="EI340" s="47"/>
      <c r="EJ340" s="47"/>
      <c r="EK340" s="47"/>
      <c r="EL340" s="47"/>
      <c r="EM340" s="47"/>
      <c r="EN340" s="47"/>
      <c r="EO340" s="47"/>
      <c r="EP340" s="47"/>
      <c r="EQ340" s="47"/>
      <c r="ER340" s="47"/>
      <c r="ES340" s="47"/>
      <c r="ET340" s="47"/>
      <c r="EU340" s="47"/>
      <c r="EV340" s="47"/>
      <c r="EW340" s="47"/>
      <c r="EX340" s="47"/>
      <c r="EY340" s="47"/>
      <c r="EZ340" s="47"/>
      <c r="FA340" s="47"/>
      <c r="FB340" s="47"/>
      <c r="FC340" s="47"/>
      <c r="FD340" s="47"/>
      <c r="FE340" s="47"/>
      <c r="FF340" s="47"/>
      <c r="FG340" s="47"/>
      <c r="FH340" s="47"/>
      <c r="FI340" s="47"/>
      <c r="FJ340" s="49"/>
      <c r="FK340" s="47"/>
      <c r="FL340" s="47"/>
      <c r="FM340" s="47"/>
      <c r="FN340" s="47"/>
      <c r="FO340" s="47"/>
      <c r="FP340" s="47"/>
      <c r="FQ340" s="47"/>
      <c r="FR340" s="47"/>
      <c r="FS340" s="47"/>
      <c r="FT340" s="47"/>
      <c r="FU340" s="47"/>
      <c r="FV340" s="47"/>
      <c r="FW340" s="47"/>
      <c r="FX340" s="47"/>
      <c r="FY340" s="47"/>
      <c r="FZ340" s="47"/>
      <c r="GA340" s="47"/>
      <c r="GB340" s="47"/>
      <c r="GC340" s="47"/>
      <c r="GD340" s="47"/>
      <c r="GE340" s="47"/>
      <c r="GF340" s="47"/>
      <c r="GG340" s="47"/>
      <c r="GH340" s="47"/>
      <c r="GI340" s="47"/>
      <c r="GJ340" s="47"/>
      <c r="GK340" s="47"/>
      <c r="GL340" s="47"/>
      <c r="GM340" s="47"/>
      <c r="GN340" s="47"/>
      <c r="GO340" s="47"/>
      <c r="GP340" s="47"/>
      <c r="GQ340" s="47"/>
      <c r="GR340" s="47"/>
      <c r="GS340" s="47"/>
      <c r="GT340" s="47"/>
      <c r="GU340" s="47"/>
      <c r="GV340" s="47"/>
      <c r="GW340" s="47"/>
      <c r="GX340" s="47"/>
      <c r="GY340" s="47"/>
      <c r="GZ340" s="47"/>
      <c r="HA340" s="47"/>
      <c r="HB340" s="47"/>
      <c r="HC340" s="47"/>
      <c r="HD340" s="47"/>
      <c r="HE340" s="47"/>
      <c r="HF340" s="47"/>
      <c r="HI340" s="47"/>
      <c r="HJ340" s="47"/>
      <c r="HK340" s="47"/>
      <c r="HL340" s="47"/>
      <c r="HM340" s="47"/>
      <c r="HN340" s="47"/>
      <c r="HO340" s="47"/>
      <c r="HP340" s="47"/>
      <c r="HS340" s="47"/>
      <c r="HT340" s="47"/>
      <c r="HU340" s="47"/>
      <c r="HV340" s="47"/>
      <c r="HW340" s="47"/>
      <c r="HX340" s="47"/>
      <c r="HY340" s="47"/>
      <c r="HZ340" s="47"/>
      <c r="IC340" s="47"/>
      <c r="ID340" s="47"/>
      <c r="IE340" s="47"/>
      <c r="IF340" s="47"/>
      <c r="IG340" s="47"/>
      <c r="IH340" s="47"/>
      <c r="II340" s="47"/>
      <c r="IJ340" s="47"/>
      <c r="IM340" s="47"/>
      <c r="IN340" s="47"/>
      <c r="IO340" s="47"/>
      <c r="IP340" s="47"/>
      <c r="IQ340" s="47"/>
      <c r="IR340" s="47"/>
      <c r="IS340" s="47"/>
      <c r="IT340" s="47"/>
      <c r="IW340" s="47"/>
      <c r="IX340" s="47"/>
      <c r="IY340" s="47"/>
      <c r="IZ340" s="47"/>
      <c r="JA340" s="47"/>
      <c r="JB340" s="47"/>
      <c r="JC340" s="47"/>
      <c r="JD340" s="47"/>
      <c r="JG340" s="47"/>
      <c r="JH340" s="47"/>
      <c r="JI340" s="47"/>
      <c r="JJ340" s="47"/>
      <c r="JK340" s="47"/>
      <c r="JL340" s="47"/>
      <c r="JM340" s="47"/>
      <c r="JN340" s="47"/>
      <c r="JQ340" s="47"/>
      <c r="JR340" s="47"/>
      <c r="JS340" s="47"/>
      <c r="JT340" s="47"/>
      <c r="JU340" s="47"/>
      <c r="JV340" s="47"/>
      <c r="JW340" s="47"/>
      <c r="JX340" s="47"/>
      <c r="KA340" s="47"/>
      <c r="KB340" s="47"/>
      <c r="KC340" s="47"/>
      <c r="KD340" s="47"/>
      <c r="KE340" s="47"/>
      <c r="KF340" s="47"/>
      <c r="KG340" s="47"/>
      <c r="KH340" s="47"/>
      <c r="KK340" s="47"/>
      <c r="KL340" s="47"/>
      <c r="KM340" s="47"/>
      <c r="KN340" s="47"/>
      <c r="KO340" s="47"/>
      <c r="KP340" s="47"/>
      <c r="KQ340" s="47"/>
      <c r="KR340" s="47"/>
      <c r="KU340" s="47"/>
      <c r="KV340" s="47"/>
      <c r="KW340" s="47"/>
      <c r="KX340" s="47"/>
      <c r="KY340" s="47"/>
      <c r="KZ340" s="47"/>
      <c r="LA340" s="47"/>
      <c r="LB340" s="47"/>
    </row>
    <row r="341" spans="29:314" x14ac:dyDescent="0.25">
      <c r="AC341" s="47"/>
      <c r="AD341" s="47"/>
      <c r="AE341" s="47"/>
      <c r="AF341" s="47"/>
      <c r="AG341" s="49"/>
      <c r="AH341" s="47"/>
      <c r="AI341" s="47"/>
      <c r="AJ341" s="47"/>
      <c r="AK341" s="47"/>
      <c r="AL341" s="47"/>
      <c r="AM341" s="47"/>
      <c r="AN341" s="47"/>
      <c r="AO341" s="47"/>
      <c r="AP341" s="47"/>
      <c r="AQ341" s="47"/>
      <c r="AR341" s="47"/>
      <c r="AS341" s="47"/>
      <c r="AT341" s="47"/>
      <c r="AU341" s="47"/>
      <c r="AV341" s="47"/>
      <c r="AW341" s="47"/>
      <c r="AX341" s="47"/>
      <c r="AY341" s="47"/>
      <c r="AZ341" s="47"/>
      <c r="BA341" s="47"/>
      <c r="BB341" s="47"/>
      <c r="BC341" s="47"/>
      <c r="BD341" s="47"/>
      <c r="BE341" s="47"/>
      <c r="BF341" s="47"/>
      <c r="BG341" s="47"/>
      <c r="BH341" s="47"/>
      <c r="BI341" s="47"/>
      <c r="BJ341" s="47"/>
      <c r="BK341" s="47"/>
      <c r="BL341" s="47"/>
      <c r="BM341" s="47"/>
      <c r="BN341" s="49"/>
      <c r="BO341" s="47"/>
      <c r="BP341" s="47"/>
      <c r="BQ341" s="47"/>
      <c r="BR341" s="47"/>
      <c r="BS341" s="47"/>
      <c r="BT341" s="47"/>
      <c r="BU341" s="47"/>
      <c r="BV341" s="47"/>
      <c r="BW341" s="47"/>
      <c r="BX341" s="47"/>
      <c r="BY341" s="47"/>
      <c r="BZ341" s="47"/>
      <c r="CA341" s="47"/>
      <c r="CB341" s="47"/>
      <c r="CC341" s="47"/>
      <c r="CD341" s="47"/>
      <c r="CE341" s="47"/>
      <c r="CF341" s="47"/>
      <c r="CG341" s="49"/>
      <c r="CH341" s="47"/>
      <c r="CI341" s="47"/>
      <c r="CJ341" s="47"/>
      <c r="CK341" s="47"/>
      <c r="CL341" s="47"/>
      <c r="CM341" s="47"/>
      <c r="CN341" s="47"/>
      <c r="CO341" s="47"/>
      <c r="CP341" s="47"/>
      <c r="CQ341" s="47"/>
      <c r="CS341" s="47"/>
      <c r="CT341" s="47"/>
      <c r="CU341" s="47"/>
      <c r="CV341" s="47"/>
      <c r="CW341" s="47"/>
      <c r="CX341" s="47"/>
      <c r="CY341" s="47"/>
      <c r="CZ341" s="47"/>
      <c r="DA341" s="47"/>
      <c r="DB341" s="47"/>
      <c r="DC341" s="47"/>
      <c r="DD341" s="47"/>
      <c r="DE341" s="47"/>
      <c r="DF341" s="47"/>
      <c r="DG341" s="47"/>
      <c r="DH341" s="47"/>
      <c r="DI341" s="47"/>
      <c r="DJ341" s="47"/>
      <c r="DK341" s="47"/>
      <c r="DM341" s="47"/>
      <c r="DN341" s="47"/>
      <c r="DO341" s="47"/>
      <c r="DP341" s="47"/>
      <c r="DQ341" s="47"/>
      <c r="DR341" s="47"/>
      <c r="DS341" s="47"/>
      <c r="DT341" s="47"/>
      <c r="DU341" s="47"/>
      <c r="DV341" s="49"/>
      <c r="DW341" s="47"/>
      <c r="DX341" s="47"/>
      <c r="DY341" s="47"/>
      <c r="DZ341" s="47"/>
      <c r="EA341" s="47"/>
      <c r="EB341" s="47"/>
      <c r="EC341" s="47"/>
      <c r="ED341" s="47"/>
      <c r="EE341" s="47"/>
      <c r="EF341" s="47"/>
      <c r="EG341" s="47"/>
      <c r="EH341" s="47"/>
      <c r="EI341" s="47"/>
      <c r="EJ341" s="47"/>
      <c r="EK341" s="47"/>
      <c r="EL341" s="47"/>
      <c r="EM341" s="47"/>
      <c r="EN341" s="47"/>
      <c r="EO341" s="47"/>
      <c r="EP341" s="47"/>
      <c r="EQ341" s="47"/>
      <c r="ER341" s="47"/>
      <c r="ES341" s="47"/>
      <c r="ET341" s="47"/>
      <c r="EU341" s="47"/>
      <c r="EV341" s="47"/>
      <c r="EW341" s="47"/>
      <c r="EX341" s="47"/>
      <c r="EY341" s="47"/>
      <c r="EZ341" s="47"/>
      <c r="FA341" s="47"/>
      <c r="FB341" s="47"/>
      <c r="FC341" s="47"/>
      <c r="FD341" s="47"/>
      <c r="FE341" s="47"/>
      <c r="FF341" s="47"/>
      <c r="FG341" s="47"/>
      <c r="FH341" s="47"/>
      <c r="FI341" s="47"/>
      <c r="FJ341" s="49"/>
      <c r="FK341" s="47"/>
      <c r="FL341" s="47"/>
      <c r="FM341" s="47"/>
      <c r="FN341" s="47"/>
      <c r="FO341" s="47"/>
      <c r="FP341" s="47"/>
      <c r="FQ341" s="47"/>
      <c r="FR341" s="47"/>
      <c r="FS341" s="47"/>
      <c r="FT341" s="47"/>
      <c r="FU341" s="47"/>
      <c r="FV341" s="47"/>
      <c r="FW341" s="47"/>
      <c r="FX341" s="47"/>
      <c r="FY341" s="47"/>
      <c r="FZ341" s="47"/>
      <c r="GA341" s="47"/>
      <c r="GB341" s="47"/>
      <c r="GC341" s="47"/>
      <c r="GD341" s="47"/>
      <c r="GE341" s="47"/>
      <c r="GF341" s="47"/>
      <c r="GG341" s="47"/>
      <c r="GH341" s="47"/>
      <c r="GI341" s="47"/>
      <c r="GJ341" s="47"/>
      <c r="GK341" s="47"/>
      <c r="GL341" s="47"/>
      <c r="GM341" s="47"/>
      <c r="GN341" s="47"/>
      <c r="GO341" s="47"/>
      <c r="GP341" s="47"/>
      <c r="GQ341" s="47"/>
      <c r="GR341" s="47"/>
      <c r="GS341" s="47"/>
      <c r="GT341" s="47"/>
      <c r="GU341" s="47"/>
      <c r="GV341" s="47"/>
      <c r="GW341" s="47"/>
      <c r="GX341" s="47"/>
      <c r="GY341" s="47"/>
      <c r="GZ341" s="47"/>
      <c r="HA341" s="47"/>
      <c r="HB341" s="47"/>
      <c r="HC341" s="47"/>
      <c r="HD341" s="47"/>
      <c r="HE341" s="47"/>
      <c r="HF341" s="47"/>
      <c r="HI341" s="47"/>
      <c r="HJ341" s="47"/>
      <c r="HK341" s="47"/>
      <c r="HL341" s="47"/>
      <c r="HM341" s="47"/>
      <c r="HN341" s="47"/>
      <c r="HO341" s="47"/>
      <c r="HP341" s="47"/>
      <c r="HS341" s="47"/>
      <c r="HT341" s="47"/>
      <c r="HU341" s="47"/>
      <c r="HV341" s="47"/>
      <c r="HW341" s="47"/>
      <c r="HX341" s="47"/>
      <c r="HY341" s="47"/>
      <c r="HZ341" s="47"/>
      <c r="IC341" s="47"/>
      <c r="ID341" s="47"/>
      <c r="IE341" s="47"/>
      <c r="IF341" s="47"/>
      <c r="IG341" s="47"/>
      <c r="IH341" s="47"/>
      <c r="II341" s="47"/>
      <c r="IJ341" s="47"/>
      <c r="IM341" s="47"/>
      <c r="IN341" s="47"/>
      <c r="IO341" s="47"/>
      <c r="IP341" s="47"/>
      <c r="IQ341" s="47"/>
      <c r="IR341" s="47"/>
      <c r="IS341" s="47"/>
      <c r="IT341" s="47"/>
      <c r="IW341" s="47"/>
      <c r="IX341" s="47"/>
      <c r="IY341" s="47"/>
      <c r="IZ341" s="47"/>
      <c r="JA341" s="47"/>
      <c r="JB341" s="47"/>
      <c r="JC341" s="47"/>
      <c r="JD341" s="47"/>
      <c r="JG341" s="47"/>
      <c r="JH341" s="47"/>
      <c r="JI341" s="47"/>
      <c r="JJ341" s="47"/>
      <c r="JK341" s="47"/>
      <c r="JL341" s="47"/>
      <c r="JM341" s="47"/>
      <c r="JN341" s="47"/>
      <c r="JQ341" s="47"/>
      <c r="JR341" s="47"/>
      <c r="JS341" s="47"/>
      <c r="JT341" s="47"/>
      <c r="JU341" s="47"/>
      <c r="JV341" s="47"/>
      <c r="JW341" s="47"/>
      <c r="JX341" s="47"/>
      <c r="KA341" s="47"/>
      <c r="KB341" s="47"/>
      <c r="KC341" s="47"/>
      <c r="KD341" s="47"/>
      <c r="KE341" s="47"/>
      <c r="KF341" s="47"/>
      <c r="KG341" s="47"/>
      <c r="KH341" s="47"/>
      <c r="KK341" s="47"/>
      <c r="KL341" s="47"/>
      <c r="KM341" s="47"/>
      <c r="KN341" s="47"/>
      <c r="KO341" s="47"/>
      <c r="KP341" s="47"/>
      <c r="KQ341" s="47"/>
      <c r="KR341" s="47"/>
      <c r="KU341" s="47"/>
      <c r="KV341" s="47"/>
      <c r="KW341" s="47"/>
      <c r="KX341" s="47"/>
      <c r="KY341" s="47"/>
      <c r="KZ341" s="47"/>
      <c r="LA341" s="47"/>
      <c r="LB341" s="47"/>
    </row>
    <row r="342" spans="29:314" x14ac:dyDescent="0.25">
      <c r="AC342" s="47"/>
      <c r="AD342" s="47"/>
      <c r="AE342" s="47"/>
      <c r="AF342" s="47"/>
      <c r="AG342" s="49"/>
      <c r="AH342" s="47"/>
      <c r="AI342" s="47"/>
      <c r="AJ342" s="47"/>
      <c r="AK342" s="47"/>
      <c r="AL342" s="47"/>
      <c r="AM342" s="47"/>
      <c r="AN342" s="47"/>
      <c r="AO342" s="47"/>
      <c r="AP342" s="47"/>
      <c r="AQ342" s="47"/>
      <c r="AR342" s="47"/>
      <c r="AS342" s="47"/>
      <c r="AT342" s="47"/>
      <c r="AU342" s="47"/>
      <c r="AV342" s="47"/>
      <c r="AW342" s="47"/>
      <c r="AX342" s="47"/>
      <c r="AY342" s="47"/>
      <c r="AZ342" s="47"/>
      <c r="BA342" s="47"/>
      <c r="BB342" s="47"/>
      <c r="BC342" s="47"/>
      <c r="BD342" s="47"/>
      <c r="BE342" s="47"/>
      <c r="BF342" s="47"/>
      <c r="BG342" s="47"/>
      <c r="BH342" s="47"/>
      <c r="BI342" s="47"/>
      <c r="BJ342" s="47"/>
      <c r="BK342" s="47"/>
      <c r="BL342" s="47"/>
      <c r="BM342" s="47"/>
      <c r="BN342" s="49"/>
      <c r="BO342" s="47"/>
      <c r="BP342" s="47"/>
      <c r="BQ342" s="47"/>
      <c r="BR342" s="47"/>
      <c r="BS342" s="47"/>
      <c r="BT342" s="47"/>
      <c r="BU342" s="47"/>
      <c r="BV342" s="47"/>
      <c r="BW342" s="47"/>
      <c r="BX342" s="47"/>
      <c r="BY342" s="47"/>
      <c r="BZ342" s="47"/>
      <c r="CA342" s="47"/>
      <c r="CB342" s="47"/>
      <c r="CC342" s="47"/>
      <c r="CD342" s="47"/>
      <c r="CE342" s="47"/>
      <c r="CF342" s="47"/>
      <c r="CG342" s="49"/>
      <c r="CH342" s="47"/>
      <c r="CI342" s="47"/>
      <c r="CJ342" s="47"/>
      <c r="CK342" s="47"/>
      <c r="CL342" s="47"/>
      <c r="CM342" s="47"/>
      <c r="CN342" s="47"/>
      <c r="CO342" s="47"/>
      <c r="CP342" s="47"/>
      <c r="CQ342" s="47"/>
      <c r="CS342" s="47"/>
      <c r="CT342" s="47"/>
      <c r="CU342" s="47"/>
      <c r="CV342" s="47"/>
      <c r="CW342" s="47"/>
      <c r="CX342" s="47"/>
      <c r="CY342" s="47"/>
      <c r="CZ342" s="47"/>
      <c r="DA342" s="47"/>
      <c r="DB342" s="47"/>
      <c r="DC342" s="47"/>
      <c r="DD342" s="47"/>
      <c r="DE342" s="47"/>
      <c r="DF342" s="47"/>
      <c r="DG342" s="47"/>
      <c r="DH342" s="47"/>
      <c r="DI342" s="47"/>
      <c r="DJ342" s="47"/>
      <c r="DK342" s="47"/>
      <c r="DM342" s="47"/>
      <c r="DN342" s="47"/>
      <c r="DO342" s="47"/>
      <c r="DP342" s="47"/>
      <c r="DQ342" s="47"/>
      <c r="DR342" s="47"/>
      <c r="DS342" s="47"/>
      <c r="DT342" s="47"/>
      <c r="DU342" s="47"/>
      <c r="DV342" s="49"/>
      <c r="DW342" s="47"/>
      <c r="DX342" s="47"/>
      <c r="DY342" s="47"/>
      <c r="DZ342" s="47"/>
      <c r="EA342" s="47"/>
      <c r="EB342" s="47"/>
      <c r="EC342" s="47"/>
      <c r="ED342" s="47"/>
      <c r="EE342" s="47"/>
      <c r="EF342" s="47"/>
      <c r="EG342" s="47"/>
      <c r="EH342" s="47"/>
      <c r="EI342" s="47"/>
      <c r="EJ342" s="47"/>
      <c r="EK342" s="47"/>
      <c r="EL342" s="47"/>
      <c r="EM342" s="47"/>
      <c r="EN342" s="47"/>
      <c r="EO342" s="47"/>
      <c r="EP342" s="47"/>
      <c r="EQ342" s="47"/>
      <c r="ER342" s="47"/>
      <c r="ES342" s="47"/>
      <c r="ET342" s="47"/>
      <c r="EU342" s="47"/>
      <c r="EV342" s="47"/>
      <c r="EW342" s="47"/>
      <c r="EX342" s="47"/>
      <c r="EY342" s="47"/>
      <c r="EZ342" s="47"/>
      <c r="FA342" s="47"/>
      <c r="FB342" s="47"/>
      <c r="FC342" s="47"/>
      <c r="FD342" s="47"/>
      <c r="FE342" s="47"/>
      <c r="FF342" s="47"/>
      <c r="FG342" s="47"/>
      <c r="FH342" s="47"/>
      <c r="FI342" s="47"/>
      <c r="FJ342" s="49"/>
      <c r="FK342" s="47"/>
      <c r="FL342" s="47"/>
      <c r="FM342" s="47"/>
      <c r="FN342" s="47"/>
      <c r="FO342" s="47"/>
      <c r="FP342" s="47"/>
      <c r="FQ342" s="47"/>
      <c r="FR342" s="47"/>
      <c r="FS342" s="47"/>
      <c r="FT342" s="47"/>
      <c r="FU342" s="47"/>
      <c r="FV342" s="47"/>
      <c r="FW342" s="47"/>
      <c r="FX342" s="47"/>
      <c r="FY342" s="47"/>
      <c r="FZ342" s="47"/>
      <c r="GA342" s="47"/>
      <c r="GB342" s="47"/>
      <c r="GC342" s="47"/>
      <c r="GD342" s="47"/>
      <c r="GE342" s="47"/>
      <c r="GF342" s="47"/>
      <c r="GG342" s="47"/>
      <c r="GH342" s="47"/>
      <c r="GI342" s="47"/>
      <c r="GJ342" s="47"/>
      <c r="GK342" s="47"/>
      <c r="GL342" s="47"/>
      <c r="GM342" s="47"/>
      <c r="GN342" s="47"/>
      <c r="GO342" s="47"/>
      <c r="GP342" s="47"/>
      <c r="GQ342" s="47"/>
      <c r="GR342" s="47"/>
      <c r="GS342" s="47"/>
      <c r="GT342" s="47"/>
      <c r="GU342" s="47"/>
      <c r="GV342" s="47"/>
      <c r="GW342" s="47"/>
      <c r="GX342" s="47"/>
      <c r="GY342" s="47"/>
      <c r="GZ342" s="47"/>
      <c r="HA342" s="47"/>
      <c r="HB342" s="47"/>
      <c r="HC342" s="47"/>
      <c r="HD342" s="47"/>
      <c r="HE342" s="47"/>
      <c r="HF342" s="47"/>
      <c r="HI342" s="47"/>
      <c r="HJ342" s="47"/>
      <c r="HK342" s="47"/>
      <c r="HL342" s="47"/>
      <c r="HM342" s="47"/>
      <c r="HN342" s="47"/>
      <c r="HO342" s="47"/>
      <c r="HP342" s="47"/>
      <c r="HS342" s="47"/>
      <c r="HT342" s="47"/>
      <c r="HU342" s="47"/>
      <c r="HV342" s="47"/>
      <c r="HW342" s="47"/>
      <c r="HX342" s="47"/>
      <c r="HY342" s="47"/>
      <c r="HZ342" s="47"/>
      <c r="IC342" s="47"/>
      <c r="ID342" s="47"/>
      <c r="IE342" s="47"/>
      <c r="IF342" s="47"/>
      <c r="IG342" s="47"/>
      <c r="IH342" s="47"/>
      <c r="II342" s="47"/>
      <c r="IJ342" s="47"/>
      <c r="IM342" s="47"/>
      <c r="IN342" s="47"/>
      <c r="IO342" s="47"/>
      <c r="IP342" s="47"/>
      <c r="IQ342" s="47"/>
      <c r="IR342" s="47"/>
      <c r="IS342" s="47"/>
      <c r="IT342" s="47"/>
      <c r="IW342" s="47"/>
      <c r="IX342" s="47"/>
      <c r="IY342" s="47"/>
      <c r="IZ342" s="47"/>
      <c r="JA342" s="47"/>
      <c r="JB342" s="47"/>
      <c r="JC342" s="47"/>
      <c r="JD342" s="47"/>
      <c r="JG342" s="47"/>
      <c r="JH342" s="47"/>
      <c r="JI342" s="47"/>
      <c r="JJ342" s="47"/>
      <c r="JK342" s="47"/>
      <c r="JL342" s="47"/>
      <c r="JM342" s="47"/>
      <c r="JN342" s="47"/>
      <c r="JQ342" s="47"/>
      <c r="JR342" s="47"/>
      <c r="JS342" s="47"/>
      <c r="JT342" s="47"/>
      <c r="JU342" s="47"/>
      <c r="JV342" s="47"/>
      <c r="JW342" s="47"/>
      <c r="JX342" s="47"/>
      <c r="KA342" s="47"/>
      <c r="KB342" s="47"/>
      <c r="KC342" s="47"/>
      <c r="KD342" s="47"/>
      <c r="KE342" s="47"/>
      <c r="KF342" s="47"/>
      <c r="KG342" s="47"/>
      <c r="KH342" s="47"/>
      <c r="KK342" s="47"/>
      <c r="KL342" s="47"/>
      <c r="KM342" s="47"/>
      <c r="KN342" s="47"/>
      <c r="KO342" s="47"/>
      <c r="KP342" s="47"/>
      <c r="KQ342" s="47"/>
      <c r="KR342" s="47"/>
      <c r="KU342" s="47"/>
      <c r="KV342" s="47"/>
      <c r="KW342" s="47"/>
      <c r="KX342" s="47"/>
      <c r="KY342" s="47"/>
      <c r="KZ342" s="47"/>
      <c r="LA342" s="47"/>
      <c r="LB342" s="47"/>
    </row>
    <row r="343" spans="29:314" x14ac:dyDescent="0.25">
      <c r="AC343" s="47"/>
      <c r="AD343" s="47"/>
      <c r="AE343" s="47"/>
      <c r="AF343" s="47"/>
      <c r="AG343" s="49"/>
      <c r="AH343" s="47"/>
      <c r="AI343" s="47"/>
      <c r="AJ343" s="47"/>
      <c r="AK343" s="47"/>
      <c r="AL343" s="47"/>
      <c r="AM343" s="47"/>
      <c r="AN343" s="47"/>
      <c r="AO343" s="47"/>
      <c r="AP343" s="47"/>
      <c r="AQ343" s="47"/>
      <c r="AR343" s="47"/>
      <c r="AS343" s="47"/>
      <c r="AT343" s="47"/>
      <c r="AU343" s="47"/>
      <c r="AV343" s="47"/>
      <c r="AW343" s="47"/>
      <c r="AX343" s="47"/>
      <c r="AY343" s="47"/>
      <c r="AZ343" s="47"/>
      <c r="BA343" s="47"/>
      <c r="BB343" s="47"/>
      <c r="BC343" s="47"/>
      <c r="BD343" s="47"/>
      <c r="BE343" s="47"/>
      <c r="BF343" s="47"/>
      <c r="BG343" s="47"/>
      <c r="BH343" s="47"/>
      <c r="BI343" s="47"/>
      <c r="BJ343" s="47"/>
      <c r="BK343" s="47"/>
      <c r="BL343" s="47"/>
      <c r="BM343" s="47"/>
      <c r="BN343" s="49"/>
      <c r="BO343" s="47"/>
      <c r="BP343" s="47"/>
      <c r="BQ343" s="47"/>
      <c r="BR343" s="47"/>
      <c r="BS343" s="47"/>
      <c r="BT343" s="47"/>
      <c r="BU343" s="47"/>
      <c r="BV343" s="47"/>
      <c r="BW343" s="47"/>
      <c r="BX343" s="47"/>
      <c r="BY343" s="47"/>
      <c r="BZ343" s="47"/>
      <c r="CA343" s="47"/>
      <c r="CB343" s="47"/>
      <c r="CC343" s="47"/>
      <c r="CD343" s="47"/>
      <c r="CE343" s="47"/>
      <c r="CF343" s="47"/>
      <c r="CG343" s="49"/>
      <c r="CH343" s="47"/>
      <c r="CI343" s="47"/>
      <c r="CJ343" s="47"/>
      <c r="CK343" s="47"/>
      <c r="CL343" s="47"/>
      <c r="CM343" s="47"/>
      <c r="CN343" s="47"/>
      <c r="CO343" s="47"/>
      <c r="CP343" s="47"/>
      <c r="CQ343" s="47"/>
      <c r="CS343" s="47"/>
      <c r="CT343" s="47"/>
      <c r="CU343" s="47"/>
      <c r="CV343" s="47"/>
      <c r="CW343" s="47"/>
      <c r="CX343" s="47"/>
      <c r="CY343" s="47"/>
      <c r="CZ343" s="47"/>
      <c r="DA343" s="47"/>
      <c r="DB343" s="47"/>
      <c r="DC343" s="47"/>
      <c r="DD343" s="47"/>
      <c r="DE343" s="47"/>
      <c r="DF343" s="47"/>
      <c r="DG343" s="47"/>
      <c r="DH343" s="47"/>
      <c r="DI343" s="47"/>
      <c r="DJ343" s="47"/>
      <c r="DK343" s="47"/>
      <c r="DM343" s="47"/>
      <c r="DN343" s="47"/>
      <c r="DO343" s="47"/>
      <c r="DP343" s="47"/>
      <c r="DQ343" s="47"/>
      <c r="DR343" s="47"/>
      <c r="DS343" s="47"/>
      <c r="DT343" s="47"/>
      <c r="DU343" s="47"/>
      <c r="DV343" s="49"/>
      <c r="DW343" s="47"/>
      <c r="DX343" s="47"/>
      <c r="DY343" s="47"/>
      <c r="DZ343" s="47"/>
      <c r="EA343" s="47"/>
      <c r="EB343" s="47"/>
      <c r="EC343" s="47"/>
      <c r="ED343" s="47"/>
      <c r="EE343" s="47"/>
      <c r="EF343" s="47"/>
      <c r="EG343" s="47"/>
      <c r="EH343" s="47"/>
      <c r="EI343" s="47"/>
      <c r="EJ343" s="47"/>
      <c r="EK343" s="47"/>
      <c r="EL343" s="47"/>
      <c r="EM343" s="47"/>
      <c r="EN343" s="47"/>
      <c r="EO343" s="47"/>
      <c r="EP343" s="47"/>
      <c r="EQ343" s="47"/>
      <c r="ER343" s="47"/>
      <c r="ES343" s="47"/>
      <c r="ET343" s="47"/>
      <c r="EU343" s="47"/>
      <c r="EV343" s="47"/>
      <c r="EW343" s="47"/>
      <c r="EX343" s="47"/>
      <c r="EY343" s="47"/>
      <c r="EZ343" s="47"/>
      <c r="FA343" s="47"/>
      <c r="FB343" s="47"/>
      <c r="FC343" s="47"/>
      <c r="FD343" s="47"/>
      <c r="FE343" s="47"/>
      <c r="FF343" s="47"/>
      <c r="FG343" s="47"/>
      <c r="FH343" s="47"/>
      <c r="FI343" s="47"/>
      <c r="FJ343" s="49"/>
      <c r="FK343" s="47"/>
      <c r="FL343" s="47"/>
      <c r="FM343" s="47"/>
      <c r="FN343" s="47"/>
      <c r="FO343" s="47"/>
      <c r="FP343" s="47"/>
      <c r="FQ343" s="47"/>
      <c r="FR343" s="47"/>
      <c r="FS343" s="47"/>
      <c r="FT343" s="47"/>
      <c r="FU343" s="47"/>
      <c r="FV343" s="47"/>
      <c r="FW343" s="47"/>
      <c r="FX343" s="47"/>
      <c r="FY343" s="47"/>
      <c r="FZ343" s="47"/>
      <c r="GA343" s="47"/>
      <c r="GB343" s="47"/>
      <c r="GC343" s="47"/>
      <c r="GD343" s="47"/>
      <c r="GE343" s="47"/>
      <c r="GF343" s="47"/>
      <c r="GG343" s="47"/>
      <c r="GH343" s="47"/>
      <c r="GI343" s="47"/>
      <c r="GJ343" s="47"/>
      <c r="GK343" s="47"/>
      <c r="GL343" s="47"/>
      <c r="GM343" s="47"/>
      <c r="GN343" s="47"/>
      <c r="GO343" s="47"/>
      <c r="GP343" s="47"/>
      <c r="GQ343" s="47"/>
      <c r="GR343" s="47"/>
      <c r="GS343" s="47"/>
      <c r="GT343" s="47"/>
      <c r="GU343" s="47"/>
      <c r="GV343" s="47"/>
      <c r="GW343" s="47"/>
      <c r="GX343" s="47"/>
      <c r="GY343" s="47"/>
      <c r="GZ343" s="47"/>
      <c r="HA343" s="47"/>
      <c r="HB343" s="47"/>
      <c r="HC343" s="47"/>
      <c r="HD343" s="47"/>
      <c r="HE343" s="47"/>
      <c r="HF343" s="47"/>
      <c r="HI343" s="47"/>
      <c r="HJ343" s="47"/>
      <c r="HK343" s="47"/>
      <c r="HL343" s="47"/>
      <c r="HM343" s="47"/>
      <c r="HN343" s="47"/>
      <c r="HO343" s="47"/>
      <c r="HP343" s="47"/>
      <c r="HS343" s="47"/>
      <c r="HT343" s="47"/>
      <c r="HU343" s="47"/>
      <c r="HV343" s="47"/>
      <c r="HW343" s="47"/>
      <c r="HX343" s="47"/>
      <c r="HY343" s="47"/>
      <c r="HZ343" s="47"/>
      <c r="IC343" s="47"/>
      <c r="ID343" s="47"/>
      <c r="IE343" s="47"/>
      <c r="IF343" s="47"/>
      <c r="IG343" s="47"/>
      <c r="IH343" s="47"/>
      <c r="II343" s="47"/>
      <c r="IJ343" s="47"/>
      <c r="IM343" s="47"/>
      <c r="IN343" s="47"/>
      <c r="IO343" s="47"/>
      <c r="IP343" s="47"/>
      <c r="IQ343" s="47"/>
      <c r="IR343" s="47"/>
      <c r="IS343" s="47"/>
      <c r="IT343" s="47"/>
      <c r="IW343" s="47"/>
      <c r="IX343" s="47"/>
      <c r="IY343" s="47"/>
      <c r="IZ343" s="47"/>
      <c r="JA343" s="47"/>
      <c r="JB343" s="47"/>
      <c r="JC343" s="47"/>
      <c r="JD343" s="47"/>
      <c r="JG343" s="47"/>
      <c r="JH343" s="47"/>
      <c r="JI343" s="47"/>
      <c r="JJ343" s="47"/>
      <c r="JK343" s="47"/>
      <c r="JL343" s="47"/>
      <c r="JM343" s="47"/>
      <c r="JN343" s="47"/>
      <c r="JQ343" s="47"/>
      <c r="JR343" s="47"/>
      <c r="JS343" s="47"/>
      <c r="JT343" s="47"/>
      <c r="JU343" s="47"/>
      <c r="JV343" s="47"/>
      <c r="JW343" s="47"/>
      <c r="JX343" s="47"/>
      <c r="KA343" s="47"/>
      <c r="KB343" s="47"/>
      <c r="KC343" s="47"/>
      <c r="KD343" s="47"/>
      <c r="KE343" s="47"/>
      <c r="KF343" s="47"/>
      <c r="KG343" s="47"/>
      <c r="KH343" s="47"/>
      <c r="KK343" s="47"/>
      <c r="KL343" s="47"/>
      <c r="KM343" s="47"/>
      <c r="KN343" s="47"/>
      <c r="KO343" s="47"/>
      <c r="KP343" s="47"/>
      <c r="KQ343" s="47"/>
      <c r="KR343" s="47"/>
      <c r="KU343" s="47"/>
      <c r="KV343" s="47"/>
      <c r="KW343" s="47"/>
      <c r="KX343" s="47"/>
      <c r="KY343" s="47"/>
      <c r="KZ343" s="47"/>
      <c r="LA343" s="47"/>
      <c r="LB343" s="47"/>
    </row>
    <row r="344" spans="29:314" x14ac:dyDescent="0.25">
      <c r="AC344" s="47"/>
      <c r="AD344" s="47"/>
      <c r="AE344" s="47"/>
      <c r="AF344" s="47"/>
      <c r="AG344" s="49"/>
      <c r="AH344" s="47"/>
      <c r="AI344" s="47"/>
      <c r="AJ344" s="47"/>
      <c r="AK344" s="47"/>
      <c r="AL344" s="47"/>
      <c r="AM344" s="47"/>
      <c r="AN344" s="47"/>
      <c r="AO344" s="47"/>
      <c r="AP344" s="47"/>
      <c r="AQ344" s="47"/>
      <c r="AR344" s="47"/>
      <c r="AS344" s="47"/>
      <c r="AT344" s="47"/>
      <c r="AU344" s="47"/>
      <c r="AV344" s="47"/>
      <c r="AW344" s="47"/>
      <c r="AX344" s="47"/>
      <c r="AY344" s="47"/>
      <c r="AZ344" s="47"/>
      <c r="BA344" s="47"/>
      <c r="BB344" s="47"/>
      <c r="BC344" s="47"/>
      <c r="BD344" s="47"/>
      <c r="BE344" s="47"/>
      <c r="BF344" s="47"/>
      <c r="BG344" s="47"/>
      <c r="BH344" s="47"/>
      <c r="BI344" s="47"/>
      <c r="BJ344" s="47"/>
      <c r="BK344" s="47"/>
      <c r="BL344" s="47"/>
      <c r="BM344" s="47"/>
      <c r="BN344" s="49"/>
      <c r="BO344" s="47"/>
      <c r="BP344" s="47"/>
      <c r="BQ344" s="47"/>
      <c r="BR344" s="47"/>
      <c r="BS344" s="47"/>
      <c r="BT344" s="47"/>
      <c r="BU344" s="47"/>
      <c r="BV344" s="47"/>
      <c r="BW344" s="47"/>
      <c r="BX344" s="47"/>
      <c r="BY344" s="47"/>
      <c r="BZ344" s="47"/>
      <c r="CA344" s="47"/>
      <c r="CB344" s="47"/>
      <c r="CC344" s="47"/>
      <c r="CD344" s="47"/>
      <c r="CE344" s="47"/>
      <c r="CF344" s="47"/>
      <c r="CG344" s="49"/>
      <c r="CH344" s="47"/>
      <c r="CI344" s="47"/>
      <c r="CJ344" s="47"/>
      <c r="CK344" s="47"/>
      <c r="CL344" s="47"/>
      <c r="CM344" s="47"/>
      <c r="CN344" s="47"/>
      <c r="CO344" s="47"/>
      <c r="CP344" s="47"/>
      <c r="CQ344" s="47"/>
      <c r="CS344" s="47"/>
      <c r="CT344" s="47"/>
      <c r="CU344" s="47"/>
      <c r="CV344" s="47"/>
      <c r="CW344" s="47"/>
      <c r="CX344" s="47"/>
      <c r="CY344" s="47"/>
      <c r="CZ344" s="47"/>
      <c r="DA344" s="47"/>
      <c r="DB344" s="47"/>
      <c r="DC344" s="47"/>
      <c r="DD344" s="47"/>
      <c r="DE344" s="47"/>
      <c r="DF344" s="47"/>
      <c r="DG344" s="47"/>
      <c r="DH344" s="47"/>
      <c r="DI344" s="47"/>
      <c r="DJ344" s="47"/>
      <c r="DK344" s="47"/>
      <c r="DM344" s="47"/>
      <c r="DN344" s="47"/>
      <c r="DO344" s="47"/>
      <c r="DP344" s="47"/>
      <c r="DQ344" s="47"/>
      <c r="DR344" s="47"/>
      <c r="DS344" s="47"/>
      <c r="DT344" s="47"/>
      <c r="DU344" s="47"/>
      <c r="DV344" s="49"/>
      <c r="DW344" s="47"/>
      <c r="DX344" s="47"/>
      <c r="DY344" s="47"/>
      <c r="DZ344" s="47"/>
      <c r="EA344" s="47"/>
      <c r="EB344" s="47"/>
      <c r="EC344" s="47"/>
      <c r="ED344" s="47"/>
      <c r="EE344" s="47"/>
      <c r="EF344" s="47"/>
      <c r="EG344" s="47"/>
      <c r="EH344" s="47"/>
      <c r="EI344" s="47"/>
      <c r="EJ344" s="47"/>
      <c r="EK344" s="47"/>
      <c r="EL344" s="47"/>
      <c r="EM344" s="47"/>
      <c r="EN344" s="47"/>
      <c r="EO344" s="47"/>
      <c r="EP344" s="47"/>
      <c r="EQ344" s="47"/>
      <c r="ER344" s="47"/>
      <c r="ES344" s="47"/>
      <c r="ET344" s="47"/>
      <c r="EU344" s="47"/>
      <c r="EV344" s="47"/>
      <c r="EW344" s="47"/>
      <c r="EX344" s="47"/>
      <c r="EY344" s="47"/>
      <c r="EZ344" s="47"/>
      <c r="FA344" s="47"/>
      <c r="FB344" s="47"/>
      <c r="FC344" s="47"/>
      <c r="FD344" s="47"/>
      <c r="FE344" s="47"/>
      <c r="FF344" s="47"/>
      <c r="FG344" s="47"/>
      <c r="FH344" s="47"/>
      <c r="FI344" s="47"/>
      <c r="FJ344" s="49"/>
      <c r="FK344" s="47"/>
      <c r="FL344" s="47"/>
      <c r="FM344" s="47"/>
      <c r="FN344" s="47"/>
      <c r="FO344" s="47"/>
      <c r="FP344" s="47"/>
      <c r="FQ344" s="47"/>
      <c r="FR344" s="47"/>
      <c r="FS344" s="47"/>
      <c r="FT344" s="47"/>
      <c r="FU344" s="47"/>
      <c r="FV344" s="47"/>
      <c r="FW344" s="47"/>
      <c r="FX344" s="47"/>
      <c r="FY344" s="47"/>
      <c r="FZ344" s="47"/>
      <c r="GA344" s="47"/>
      <c r="GB344" s="47"/>
      <c r="GC344" s="47"/>
      <c r="GD344" s="47"/>
      <c r="GE344" s="47"/>
      <c r="GF344" s="47"/>
      <c r="GG344" s="47"/>
      <c r="GH344" s="47"/>
      <c r="GI344" s="47"/>
      <c r="GJ344" s="47"/>
      <c r="GK344" s="47"/>
      <c r="GL344" s="47"/>
      <c r="GM344" s="47"/>
      <c r="GN344" s="47"/>
      <c r="GO344" s="47"/>
      <c r="GP344" s="47"/>
      <c r="GQ344" s="47"/>
      <c r="GR344" s="47"/>
      <c r="GS344" s="47"/>
      <c r="GT344" s="47"/>
      <c r="GU344" s="47"/>
      <c r="GV344" s="47"/>
      <c r="GW344" s="47"/>
      <c r="GX344" s="47"/>
      <c r="GY344" s="47"/>
      <c r="GZ344" s="47"/>
      <c r="HA344" s="47"/>
      <c r="HB344" s="47"/>
      <c r="HC344" s="47"/>
      <c r="HD344" s="47"/>
      <c r="HE344" s="47"/>
      <c r="HF344" s="47"/>
      <c r="HI344" s="47"/>
      <c r="HJ344" s="47"/>
      <c r="HK344" s="47"/>
      <c r="HL344" s="47"/>
      <c r="HM344" s="47"/>
      <c r="HN344" s="47"/>
      <c r="HO344" s="47"/>
      <c r="HP344" s="47"/>
      <c r="HS344" s="47"/>
      <c r="HT344" s="47"/>
      <c r="HU344" s="47"/>
      <c r="HV344" s="47"/>
      <c r="HW344" s="47"/>
      <c r="HX344" s="47"/>
      <c r="HY344" s="47"/>
      <c r="HZ344" s="47"/>
      <c r="IC344" s="47"/>
      <c r="ID344" s="47"/>
      <c r="IE344" s="47"/>
      <c r="IF344" s="47"/>
      <c r="IG344" s="47"/>
      <c r="IH344" s="47"/>
      <c r="II344" s="47"/>
      <c r="IJ344" s="47"/>
      <c r="IM344" s="47"/>
      <c r="IN344" s="47"/>
      <c r="IO344" s="47"/>
      <c r="IP344" s="47"/>
      <c r="IQ344" s="47"/>
      <c r="IR344" s="47"/>
      <c r="IS344" s="47"/>
      <c r="IT344" s="47"/>
      <c r="IW344" s="47"/>
      <c r="IX344" s="47"/>
      <c r="IY344" s="47"/>
      <c r="IZ344" s="47"/>
      <c r="JA344" s="47"/>
      <c r="JB344" s="47"/>
      <c r="JC344" s="47"/>
      <c r="JD344" s="47"/>
      <c r="JG344" s="47"/>
      <c r="JH344" s="47"/>
      <c r="JI344" s="47"/>
      <c r="JJ344" s="47"/>
      <c r="JK344" s="47"/>
      <c r="JL344" s="47"/>
      <c r="JM344" s="47"/>
      <c r="JN344" s="47"/>
      <c r="JQ344" s="47"/>
      <c r="JR344" s="47"/>
      <c r="JS344" s="47"/>
      <c r="JT344" s="47"/>
      <c r="JU344" s="47"/>
      <c r="JV344" s="47"/>
      <c r="JW344" s="47"/>
      <c r="JX344" s="47"/>
      <c r="KA344" s="47"/>
      <c r="KB344" s="47"/>
      <c r="KC344" s="47"/>
      <c r="KD344" s="47"/>
      <c r="KE344" s="47"/>
      <c r="KF344" s="47"/>
      <c r="KG344" s="47"/>
      <c r="KH344" s="47"/>
      <c r="KK344" s="47"/>
      <c r="KL344" s="47"/>
      <c r="KM344" s="47"/>
      <c r="KN344" s="47"/>
      <c r="KO344" s="47"/>
      <c r="KP344" s="47"/>
      <c r="KQ344" s="47"/>
      <c r="KR344" s="47"/>
      <c r="KU344" s="47"/>
      <c r="KV344" s="47"/>
      <c r="KW344" s="47"/>
      <c r="KX344" s="47"/>
      <c r="KY344" s="47"/>
      <c r="KZ344" s="47"/>
      <c r="LA344" s="47"/>
      <c r="LB344" s="47"/>
    </row>
    <row r="345" spans="29:314" x14ac:dyDescent="0.25">
      <c r="AC345" s="47"/>
      <c r="AD345" s="47"/>
      <c r="AE345" s="47"/>
      <c r="AF345" s="47"/>
      <c r="AG345" s="49"/>
      <c r="AH345" s="47"/>
      <c r="AI345" s="47"/>
      <c r="AJ345" s="47"/>
      <c r="AK345" s="47"/>
      <c r="AL345" s="47"/>
      <c r="AM345" s="47"/>
      <c r="AN345" s="47"/>
      <c r="AO345" s="47"/>
      <c r="AP345" s="47"/>
      <c r="AQ345" s="47"/>
      <c r="AR345" s="47"/>
      <c r="AS345" s="47"/>
      <c r="AT345" s="47"/>
      <c r="AU345" s="47"/>
      <c r="AV345" s="47"/>
      <c r="AW345" s="47"/>
      <c r="AX345" s="47"/>
      <c r="AY345" s="47"/>
      <c r="AZ345" s="47"/>
      <c r="BA345" s="47"/>
      <c r="BB345" s="47"/>
      <c r="BC345" s="47"/>
      <c r="BD345" s="47"/>
      <c r="BE345" s="47"/>
      <c r="BF345" s="47"/>
      <c r="BG345" s="47"/>
      <c r="BH345" s="47"/>
      <c r="BI345" s="47"/>
      <c r="BJ345" s="47"/>
      <c r="BK345" s="47"/>
      <c r="BL345" s="47"/>
      <c r="BM345" s="47"/>
      <c r="BN345" s="49"/>
      <c r="BO345" s="47"/>
      <c r="BP345" s="47"/>
      <c r="BQ345" s="47"/>
      <c r="BR345" s="47"/>
      <c r="BS345" s="47"/>
      <c r="BT345" s="47"/>
      <c r="BU345" s="47"/>
      <c r="BV345" s="47"/>
      <c r="BW345" s="47"/>
      <c r="BX345" s="47"/>
      <c r="BY345" s="47"/>
      <c r="BZ345" s="47"/>
      <c r="CA345" s="47"/>
      <c r="CB345" s="47"/>
      <c r="CC345" s="47"/>
      <c r="CD345" s="47"/>
      <c r="CE345" s="47"/>
      <c r="CF345" s="47"/>
      <c r="CG345" s="49"/>
      <c r="CH345" s="47"/>
      <c r="CI345" s="47"/>
      <c r="CJ345" s="47"/>
      <c r="CK345" s="47"/>
      <c r="CL345" s="47"/>
      <c r="CM345" s="47"/>
      <c r="CN345" s="47"/>
      <c r="CO345" s="47"/>
      <c r="CP345" s="47"/>
      <c r="CQ345" s="47"/>
      <c r="CS345" s="47"/>
      <c r="CT345" s="47"/>
      <c r="CU345" s="47"/>
      <c r="CV345" s="47"/>
      <c r="CW345" s="47"/>
      <c r="CX345" s="47"/>
      <c r="CY345" s="47"/>
      <c r="CZ345" s="47"/>
      <c r="DA345" s="47"/>
      <c r="DB345" s="47"/>
      <c r="DC345" s="47"/>
      <c r="DD345" s="47"/>
      <c r="DE345" s="47"/>
      <c r="DF345" s="47"/>
      <c r="DG345" s="47"/>
      <c r="DH345" s="47"/>
      <c r="DI345" s="47"/>
      <c r="DJ345" s="47"/>
      <c r="DK345" s="47"/>
      <c r="DM345" s="47"/>
      <c r="DN345" s="47"/>
      <c r="DO345" s="47"/>
      <c r="DP345" s="47"/>
      <c r="DQ345" s="47"/>
      <c r="DR345" s="47"/>
      <c r="DS345" s="47"/>
      <c r="DT345" s="47"/>
      <c r="DU345" s="47"/>
      <c r="DV345" s="49"/>
      <c r="DW345" s="47"/>
      <c r="DX345" s="47"/>
      <c r="DY345" s="47"/>
      <c r="DZ345" s="47"/>
      <c r="EA345" s="47"/>
      <c r="EB345" s="47"/>
      <c r="EC345" s="47"/>
      <c r="ED345" s="47"/>
      <c r="EE345" s="47"/>
      <c r="EF345" s="47"/>
      <c r="EG345" s="47"/>
      <c r="EH345" s="47"/>
      <c r="EI345" s="47"/>
      <c r="EJ345" s="47"/>
      <c r="EK345" s="47"/>
      <c r="EL345" s="47"/>
      <c r="EM345" s="47"/>
      <c r="EN345" s="47"/>
      <c r="EO345" s="47"/>
      <c r="EP345" s="47"/>
      <c r="EQ345" s="47"/>
      <c r="ER345" s="47"/>
      <c r="ES345" s="47"/>
      <c r="ET345" s="47"/>
      <c r="EU345" s="47"/>
      <c r="EV345" s="47"/>
      <c r="EW345" s="47"/>
      <c r="EX345" s="47"/>
      <c r="EY345" s="47"/>
      <c r="EZ345" s="47"/>
      <c r="FA345" s="47"/>
      <c r="FB345" s="47"/>
      <c r="FC345" s="47"/>
      <c r="FD345" s="47"/>
      <c r="FE345" s="47"/>
      <c r="FF345" s="47"/>
      <c r="FG345" s="47"/>
      <c r="FH345" s="47"/>
      <c r="FI345" s="47"/>
      <c r="FJ345" s="49"/>
      <c r="FK345" s="47"/>
      <c r="FL345" s="47"/>
      <c r="FM345" s="47"/>
      <c r="FN345" s="47"/>
      <c r="FO345" s="47"/>
      <c r="FP345" s="47"/>
      <c r="FQ345" s="47"/>
      <c r="FR345" s="47"/>
      <c r="FS345" s="47"/>
      <c r="FT345" s="47"/>
      <c r="FU345" s="47"/>
      <c r="FV345" s="47"/>
      <c r="FW345" s="47"/>
      <c r="FX345" s="47"/>
      <c r="FY345" s="47"/>
      <c r="FZ345" s="47"/>
      <c r="GA345" s="47"/>
      <c r="GB345" s="47"/>
      <c r="GC345" s="47"/>
      <c r="GD345" s="47"/>
      <c r="GE345" s="47"/>
      <c r="GF345" s="47"/>
      <c r="GG345" s="47"/>
      <c r="GH345" s="47"/>
      <c r="GI345" s="47"/>
      <c r="GJ345" s="47"/>
      <c r="GK345" s="47"/>
      <c r="GL345" s="47"/>
      <c r="GM345" s="47"/>
      <c r="GN345" s="47"/>
      <c r="GO345" s="47"/>
      <c r="GP345" s="47"/>
      <c r="GQ345" s="47"/>
      <c r="GR345" s="47"/>
      <c r="GS345" s="47"/>
      <c r="GT345" s="47"/>
      <c r="GU345" s="47"/>
      <c r="GV345" s="47"/>
      <c r="GW345" s="47"/>
      <c r="GX345" s="47"/>
      <c r="GY345" s="47"/>
      <c r="GZ345" s="47"/>
      <c r="HA345" s="47"/>
      <c r="HB345" s="47"/>
      <c r="HC345" s="47"/>
      <c r="HD345" s="47"/>
      <c r="HE345" s="47"/>
      <c r="HF345" s="47"/>
      <c r="HI345" s="47"/>
      <c r="HJ345" s="47"/>
      <c r="HK345" s="47"/>
      <c r="HL345" s="47"/>
      <c r="HM345" s="47"/>
      <c r="HN345" s="47"/>
      <c r="HO345" s="47"/>
      <c r="HP345" s="47"/>
      <c r="HS345" s="47"/>
      <c r="HT345" s="47"/>
      <c r="HU345" s="47"/>
      <c r="HV345" s="47"/>
      <c r="HW345" s="47"/>
      <c r="HX345" s="47"/>
      <c r="HY345" s="47"/>
      <c r="HZ345" s="47"/>
      <c r="IC345" s="47"/>
      <c r="ID345" s="47"/>
      <c r="IE345" s="47"/>
      <c r="IF345" s="47"/>
      <c r="IG345" s="47"/>
      <c r="IH345" s="47"/>
      <c r="II345" s="47"/>
      <c r="IJ345" s="47"/>
      <c r="IM345" s="47"/>
      <c r="IN345" s="47"/>
      <c r="IO345" s="47"/>
      <c r="IP345" s="47"/>
      <c r="IQ345" s="47"/>
      <c r="IR345" s="47"/>
      <c r="IS345" s="47"/>
      <c r="IT345" s="47"/>
      <c r="IW345" s="47"/>
      <c r="IX345" s="47"/>
      <c r="IY345" s="47"/>
      <c r="IZ345" s="47"/>
      <c r="JA345" s="47"/>
      <c r="JB345" s="47"/>
      <c r="JC345" s="47"/>
      <c r="JD345" s="47"/>
      <c r="JG345" s="47"/>
      <c r="JH345" s="47"/>
      <c r="JI345" s="47"/>
      <c r="JJ345" s="47"/>
      <c r="JK345" s="47"/>
      <c r="JL345" s="47"/>
      <c r="JM345" s="47"/>
      <c r="JN345" s="47"/>
      <c r="JQ345" s="47"/>
      <c r="JR345" s="47"/>
      <c r="JS345" s="47"/>
      <c r="JT345" s="47"/>
      <c r="JU345" s="47"/>
      <c r="JV345" s="47"/>
      <c r="JW345" s="47"/>
      <c r="JX345" s="47"/>
      <c r="KA345" s="47"/>
      <c r="KB345" s="47"/>
      <c r="KC345" s="47"/>
      <c r="KD345" s="47"/>
      <c r="KE345" s="47"/>
      <c r="KF345" s="47"/>
      <c r="KG345" s="47"/>
      <c r="KH345" s="47"/>
      <c r="KK345" s="47"/>
      <c r="KL345" s="47"/>
      <c r="KM345" s="47"/>
      <c r="KN345" s="47"/>
      <c r="KO345" s="47"/>
      <c r="KP345" s="47"/>
      <c r="KQ345" s="47"/>
      <c r="KR345" s="47"/>
      <c r="KU345" s="47"/>
      <c r="KV345" s="47"/>
      <c r="KW345" s="47"/>
      <c r="KX345" s="47"/>
      <c r="KY345" s="47"/>
      <c r="KZ345" s="47"/>
      <c r="LA345" s="47"/>
      <c r="LB345" s="47"/>
    </row>
    <row r="346" spans="29:314" x14ac:dyDescent="0.25">
      <c r="AC346" s="47"/>
      <c r="AD346" s="47"/>
      <c r="AE346" s="47"/>
      <c r="AF346" s="47"/>
      <c r="AG346" s="49"/>
      <c r="AH346" s="47"/>
      <c r="AI346" s="47"/>
      <c r="AJ346" s="47"/>
      <c r="AK346" s="47"/>
      <c r="AL346" s="47"/>
      <c r="AM346" s="47"/>
      <c r="AN346" s="47"/>
      <c r="AO346" s="47"/>
      <c r="AP346" s="47"/>
      <c r="AQ346" s="47"/>
      <c r="AR346" s="47"/>
      <c r="AS346" s="47"/>
      <c r="AT346" s="47"/>
      <c r="AU346" s="47"/>
      <c r="AV346" s="47"/>
      <c r="AW346" s="47"/>
      <c r="AX346" s="47"/>
      <c r="AY346" s="47"/>
      <c r="AZ346" s="47"/>
      <c r="BA346" s="47"/>
      <c r="BB346" s="47"/>
      <c r="BC346" s="47"/>
      <c r="BD346" s="47"/>
      <c r="BE346" s="47"/>
      <c r="BF346" s="47"/>
      <c r="BG346" s="47"/>
      <c r="BH346" s="47"/>
      <c r="BI346" s="47"/>
      <c r="BJ346" s="47"/>
      <c r="BK346" s="47"/>
      <c r="BL346" s="47"/>
      <c r="BM346" s="47"/>
      <c r="BN346" s="49"/>
      <c r="BO346" s="47"/>
      <c r="BP346" s="47"/>
      <c r="BQ346" s="47"/>
      <c r="BR346" s="47"/>
      <c r="BS346" s="47"/>
      <c r="BT346" s="47"/>
      <c r="BU346" s="47"/>
      <c r="BV346" s="47"/>
      <c r="BW346" s="47"/>
      <c r="BX346" s="47"/>
      <c r="BY346" s="47"/>
      <c r="BZ346" s="47"/>
      <c r="CA346" s="47"/>
      <c r="CB346" s="47"/>
      <c r="CC346" s="47"/>
      <c r="CD346" s="47"/>
      <c r="CE346" s="47"/>
      <c r="CF346" s="47"/>
      <c r="CG346" s="49"/>
      <c r="CH346" s="47"/>
      <c r="CI346" s="47"/>
      <c r="CJ346" s="47"/>
      <c r="CK346" s="47"/>
      <c r="CL346" s="47"/>
      <c r="CM346" s="47"/>
      <c r="CN346" s="47"/>
      <c r="CO346" s="47"/>
      <c r="CP346" s="47"/>
      <c r="CQ346" s="47"/>
      <c r="CS346" s="47"/>
      <c r="CT346" s="47"/>
      <c r="CU346" s="47"/>
      <c r="CV346" s="47"/>
      <c r="CW346" s="47"/>
      <c r="CX346" s="47"/>
      <c r="CY346" s="47"/>
      <c r="CZ346" s="47"/>
      <c r="DA346" s="47"/>
      <c r="DB346" s="47"/>
      <c r="DC346" s="47"/>
      <c r="DD346" s="47"/>
      <c r="DE346" s="47"/>
      <c r="DF346" s="47"/>
      <c r="DG346" s="47"/>
      <c r="DH346" s="47"/>
      <c r="DI346" s="47"/>
      <c r="DJ346" s="47"/>
      <c r="DK346" s="47"/>
      <c r="DM346" s="47"/>
      <c r="DN346" s="47"/>
      <c r="DO346" s="47"/>
      <c r="DP346" s="47"/>
      <c r="DQ346" s="47"/>
      <c r="DR346" s="47"/>
      <c r="DS346" s="47"/>
      <c r="DT346" s="47"/>
      <c r="DU346" s="47"/>
      <c r="DV346" s="49"/>
      <c r="DW346" s="47"/>
      <c r="DX346" s="47"/>
      <c r="DY346" s="47"/>
      <c r="DZ346" s="47"/>
      <c r="EA346" s="47"/>
      <c r="EB346" s="47"/>
      <c r="EC346" s="47"/>
      <c r="ED346" s="47"/>
      <c r="EE346" s="47"/>
      <c r="EF346" s="47"/>
      <c r="EG346" s="47"/>
      <c r="EH346" s="47"/>
      <c r="EI346" s="47"/>
      <c r="EJ346" s="47"/>
      <c r="EK346" s="47"/>
      <c r="EL346" s="47"/>
      <c r="EM346" s="47"/>
      <c r="EN346" s="47"/>
      <c r="EO346" s="47"/>
      <c r="EP346" s="47"/>
      <c r="EQ346" s="47"/>
      <c r="ER346" s="47"/>
      <c r="ES346" s="47"/>
      <c r="ET346" s="47"/>
      <c r="EU346" s="47"/>
      <c r="EV346" s="47"/>
      <c r="EW346" s="47"/>
      <c r="EX346" s="47"/>
      <c r="EY346" s="47"/>
      <c r="EZ346" s="47"/>
      <c r="FA346" s="47"/>
      <c r="FB346" s="47"/>
      <c r="FC346" s="47"/>
      <c r="FD346" s="47"/>
      <c r="FE346" s="47"/>
      <c r="FF346" s="47"/>
      <c r="FG346" s="47"/>
      <c r="FH346" s="47"/>
      <c r="FI346" s="47"/>
      <c r="FJ346" s="49"/>
      <c r="FK346" s="47"/>
      <c r="FL346" s="47"/>
      <c r="FM346" s="47"/>
      <c r="FN346" s="47"/>
      <c r="FO346" s="47"/>
      <c r="FP346" s="47"/>
      <c r="FQ346" s="47"/>
      <c r="FR346" s="47"/>
      <c r="FS346" s="47"/>
      <c r="FT346" s="47"/>
      <c r="FU346" s="47"/>
      <c r="FV346" s="47"/>
      <c r="FW346" s="47"/>
      <c r="FX346" s="47"/>
      <c r="FY346" s="47"/>
      <c r="FZ346" s="47"/>
      <c r="GA346" s="47"/>
      <c r="GB346" s="47"/>
      <c r="GC346" s="47"/>
      <c r="GD346" s="47"/>
      <c r="GE346" s="47"/>
      <c r="GF346" s="47"/>
      <c r="GG346" s="47"/>
      <c r="GH346" s="47"/>
      <c r="GI346" s="47"/>
      <c r="GJ346" s="47"/>
      <c r="GK346" s="47"/>
      <c r="GL346" s="47"/>
      <c r="GM346" s="47"/>
      <c r="GN346" s="47"/>
      <c r="GO346" s="47"/>
      <c r="GP346" s="47"/>
      <c r="GQ346" s="47"/>
      <c r="GR346" s="47"/>
      <c r="GS346" s="47"/>
      <c r="GT346" s="47"/>
      <c r="GU346" s="47"/>
      <c r="GV346" s="47"/>
      <c r="GW346" s="47"/>
      <c r="GX346" s="47"/>
      <c r="GY346" s="47"/>
      <c r="GZ346" s="47"/>
      <c r="HA346" s="47"/>
      <c r="HB346" s="47"/>
      <c r="HC346" s="47"/>
      <c r="HD346" s="47"/>
      <c r="HE346" s="47"/>
      <c r="HF346" s="47"/>
      <c r="HI346" s="47"/>
      <c r="HJ346" s="47"/>
      <c r="HK346" s="47"/>
      <c r="HL346" s="47"/>
      <c r="HM346" s="47"/>
      <c r="HN346" s="47"/>
      <c r="HO346" s="47"/>
      <c r="HP346" s="47"/>
      <c r="HS346" s="47"/>
      <c r="HT346" s="47"/>
      <c r="HU346" s="47"/>
      <c r="HV346" s="47"/>
      <c r="HW346" s="47"/>
      <c r="HX346" s="47"/>
      <c r="HY346" s="47"/>
      <c r="HZ346" s="47"/>
      <c r="IC346" s="47"/>
      <c r="ID346" s="47"/>
      <c r="IE346" s="47"/>
      <c r="IF346" s="47"/>
      <c r="IG346" s="47"/>
      <c r="IH346" s="47"/>
      <c r="II346" s="47"/>
      <c r="IJ346" s="47"/>
      <c r="IM346" s="47"/>
      <c r="IN346" s="47"/>
      <c r="IO346" s="47"/>
      <c r="IP346" s="47"/>
      <c r="IQ346" s="47"/>
      <c r="IR346" s="47"/>
      <c r="IS346" s="47"/>
      <c r="IT346" s="47"/>
      <c r="IW346" s="47"/>
      <c r="IX346" s="47"/>
      <c r="IY346" s="47"/>
      <c r="IZ346" s="47"/>
      <c r="JA346" s="47"/>
      <c r="JB346" s="47"/>
      <c r="JC346" s="47"/>
      <c r="JD346" s="47"/>
      <c r="JG346" s="47"/>
      <c r="JH346" s="47"/>
      <c r="JI346" s="47"/>
      <c r="JJ346" s="47"/>
      <c r="JK346" s="47"/>
      <c r="JL346" s="47"/>
      <c r="JM346" s="47"/>
      <c r="JN346" s="47"/>
      <c r="JQ346" s="47"/>
      <c r="JR346" s="47"/>
      <c r="JS346" s="47"/>
      <c r="JT346" s="47"/>
      <c r="JU346" s="47"/>
      <c r="JV346" s="47"/>
      <c r="JW346" s="47"/>
      <c r="JX346" s="47"/>
      <c r="KA346" s="47"/>
      <c r="KB346" s="47"/>
      <c r="KC346" s="47"/>
      <c r="KD346" s="47"/>
      <c r="KE346" s="47"/>
      <c r="KF346" s="47"/>
      <c r="KG346" s="47"/>
      <c r="KH346" s="47"/>
      <c r="KK346" s="47"/>
      <c r="KL346" s="47"/>
      <c r="KM346" s="47"/>
      <c r="KN346" s="47"/>
      <c r="KO346" s="47"/>
      <c r="KP346" s="47"/>
      <c r="KQ346" s="47"/>
      <c r="KR346" s="47"/>
      <c r="KU346" s="47"/>
      <c r="KV346" s="47"/>
      <c r="KW346" s="47"/>
      <c r="KX346" s="47"/>
      <c r="KY346" s="47"/>
      <c r="KZ346" s="47"/>
      <c r="LA346" s="47"/>
      <c r="LB346" s="47"/>
    </row>
    <row r="347" spans="29:314" x14ac:dyDescent="0.25">
      <c r="AC347" s="47"/>
      <c r="AD347" s="47"/>
      <c r="AE347" s="47"/>
      <c r="AF347" s="47"/>
      <c r="AG347" s="49"/>
      <c r="AH347" s="47"/>
      <c r="AI347" s="47"/>
      <c r="AJ347" s="47"/>
      <c r="AK347" s="47"/>
      <c r="AL347" s="47"/>
      <c r="AM347" s="47"/>
      <c r="AN347" s="47"/>
      <c r="AO347" s="47"/>
      <c r="AP347" s="47"/>
      <c r="AQ347" s="47"/>
      <c r="AR347" s="47"/>
      <c r="AS347" s="47"/>
      <c r="AT347" s="47"/>
      <c r="AU347" s="47"/>
      <c r="AV347" s="47"/>
      <c r="AW347" s="47"/>
      <c r="AX347" s="47"/>
      <c r="AY347" s="47"/>
      <c r="AZ347" s="47"/>
      <c r="BA347" s="47"/>
      <c r="BB347" s="47"/>
      <c r="BC347" s="47"/>
      <c r="BD347" s="47"/>
      <c r="BE347" s="47"/>
      <c r="BF347" s="47"/>
      <c r="BG347" s="47"/>
      <c r="BH347" s="47"/>
      <c r="BI347" s="47"/>
      <c r="BJ347" s="47"/>
      <c r="BK347" s="47"/>
      <c r="BL347" s="47"/>
      <c r="BM347" s="47"/>
      <c r="BN347" s="49"/>
      <c r="BO347" s="47"/>
      <c r="BP347" s="47"/>
      <c r="BQ347" s="47"/>
      <c r="BR347" s="47"/>
      <c r="BS347" s="47"/>
      <c r="BT347" s="47"/>
      <c r="BU347" s="47"/>
      <c r="BV347" s="47"/>
      <c r="BW347" s="47"/>
      <c r="BX347" s="47"/>
      <c r="BY347" s="47"/>
      <c r="BZ347" s="47"/>
      <c r="CA347" s="47"/>
      <c r="CB347" s="47"/>
      <c r="CC347" s="47"/>
      <c r="CD347" s="47"/>
      <c r="CE347" s="47"/>
      <c r="CF347" s="47"/>
      <c r="CG347" s="49"/>
      <c r="CH347" s="47"/>
      <c r="CI347" s="47"/>
      <c r="CJ347" s="47"/>
      <c r="CK347" s="47"/>
      <c r="CL347" s="47"/>
      <c r="CM347" s="47"/>
      <c r="CN347" s="47"/>
      <c r="CO347" s="47"/>
      <c r="CP347" s="47"/>
      <c r="CQ347" s="47"/>
      <c r="CS347" s="47"/>
      <c r="CT347" s="47"/>
      <c r="CU347" s="47"/>
      <c r="CV347" s="47"/>
      <c r="CW347" s="47"/>
      <c r="CX347" s="47"/>
      <c r="CY347" s="47"/>
      <c r="CZ347" s="47"/>
      <c r="DA347" s="47"/>
      <c r="DB347" s="47"/>
      <c r="DC347" s="47"/>
      <c r="DD347" s="47"/>
      <c r="DE347" s="47"/>
      <c r="DF347" s="47"/>
      <c r="DG347" s="47"/>
      <c r="DH347" s="47"/>
      <c r="DI347" s="47"/>
      <c r="DJ347" s="47"/>
      <c r="DK347" s="47"/>
      <c r="DM347" s="47"/>
      <c r="DN347" s="47"/>
      <c r="DO347" s="47"/>
      <c r="DP347" s="47"/>
      <c r="DQ347" s="47"/>
      <c r="DR347" s="47"/>
      <c r="DS347" s="47"/>
      <c r="DT347" s="47"/>
      <c r="DU347" s="47"/>
      <c r="DV347" s="49"/>
      <c r="DW347" s="47"/>
      <c r="DX347" s="47"/>
      <c r="DY347" s="47"/>
      <c r="DZ347" s="47"/>
      <c r="EA347" s="47"/>
      <c r="EB347" s="47"/>
      <c r="EC347" s="47"/>
      <c r="ED347" s="47"/>
      <c r="EE347" s="47"/>
      <c r="EF347" s="47"/>
      <c r="EG347" s="47"/>
      <c r="EH347" s="47"/>
      <c r="EI347" s="47"/>
      <c r="EJ347" s="47"/>
      <c r="EK347" s="47"/>
      <c r="EL347" s="47"/>
      <c r="EM347" s="47"/>
      <c r="EN347" s="47"/>
      <c r="EO347" s="47"/>
      <c r="EP347" s="47"/>
      <c r="EQ347" s="47"/>
      <c r="ER347" s="47"/>
      <c r="ES347" s="47"/>
      <c r="ET347" s="47"/>
      <c r="EU347" s="47"/>
      <c r="EV347" s="47"/>
      <c r="EW347" s="47"/>
      <c r="EX347" s="47"/>
      <c r="EY347" s="47"/>
      <c r="EZ347" s="47"/>
      <c r="FA347" s="47"/>
      <c r="FB347" s="47"/>
      <c r="FC347" s="47"/>
      <c r="FD347" s="47"/>
      <c r="FE347" s="47"/>
      <c r="FF347" s="47"/>
      <c r="FG347" s="47"/>
      <c r="FH347" s="47"/>
      <c r="FI347" s="47"/>
      <c r="FJ347" s="49"/>
      <c r="FK347" s="47"/>
      <c r="FL347" s="47"/>
      <c r="FM347" s="47"/>
      <c r="FN347" s="47"/>
      <c r="FO347" s="47"/>
      <c r="FP347" s="47"/>
      <c r="FQ347" s="47"/>
      <c r="FR347" s="47"/>
      <c r="FS347" s="47"/>
      <c r="FT347" s="47"/>
      <c r="FU347" s="47"/>
      <c r="FV347" s="47"/>
      <c r="FW347" s="47"/>
      <c r="FX347" s="47"/>
      <c r="FY347" s="47"/>
      <c r="FZ347" s="47"/>
      <c r="GA347" s="47"/>
      <c r="GB347" s="47"/>
      <c r="GC347" s="47"/>
      <c r="GD347" s="47"/>
      <c r="GE347" s="47"/>
      <c r="GF347" s="47"/>
      <c r="GG347" s="47"/>
      <c r="GH347" s="47"/>
      <c r="GI347" s="47"/>
      <c r="GJ347" s="47"/>
      <c r="GK347" s="47"/>
      <c r="GL347" s="47"/>
      <c r="GM347" s="47"/>
      <c r="GN347" s="47"/>
      <c r="GO347" s="47"/>
      <c r="GP347" s="47"/>
      <c r="GQ347" s="47"/>
      <c r="GR347" s="47"/>
      <c r="GS347" s="47"/>
      <c r="GT347" s="47"/>
      <c r="GU347" s="47"/>
      <c r="GV347" s="47"/>
      <c r="GW347" s="47"/>
      <c r="GX347" s="47"/>
      <c r="GY347" s="47"/>
      <c r="GZ347" s="47"/>
      <c r="HA347" s="47"/>
      <c r="HB347" s="47"/>
      <c r="HC347" s="47"/>
      <c r="HD347" s="47"/>
      <c r="HE347" s="47"/>
      <c r="HF347" s="47"/>
      <c r="HI347" s="47"/>
      <c r="HJ347" s="47"/>
      <c r="HK347" s="47"/>
      <c r="HL347" s="47"/>
      <c r="HM347" s="47"/>
      <c r="HN347" s="47"/>
      <c r="HO347" s="47"/>
      <c r="HP347" s="47"/>
      <c r="HS347" s="47"/>
      <c r="HT347" s="47"/>
      <c r="HU347" s="47"/>
      <c r="HV347" s="47"/>
      <c r="HW347" s="47"/>
      <c r="HX347" s="47"/>
      <c r="HY347" s="47"/>
      <c r="HZ347" s="47"/>
      <c r="IC347" s="47"/>
      <c r="ID347" s="47"/>
      <c r="IE347" s="47"/>
      <c r="IF347" s="47"/>
      <c r="IG347" s="47"/>
      <c r="IH347" s="47"/>
      <c r="II347" s="47"/>
      <c r="IJ347" s="47"/>
      <c r="IM347" s="47"/>
      <c r="IN347" s="47"/>
      <c r="IO347" s="47"/>
      <c r="IP347" s="47"/>
      <c r="IQ347" s="47"/>
      <c r="IR347" s="47"/>
      <c r="IS347" s="47"/>
      <c r="IT347" s="47"/>
      <c r="IW347" s="47"/>
      <c r="IX347" s="47"/>
      <c r="IY347" s="47"/>
      <c r="IZ347" s="47"/>
      <c r="JA347" s="47"/>
      <c r="JB347" s="47"/>
      <c r="JC347" s="47"/>
      <c r="JD347" s="47"/>
      <c r="JG347" s="47"/>
      <c r="JH347" s="47"/>
      <c r="JI347" s="47"/>
      <c r="JJ347" s="47"/>
      <c r="JK347" s="47"/>
      <c r="JL347" s="47"/>
      <c r="JM347" s="47"/>
      <c r="JN347" s="47"/>
      <c r="JQ347" s="47"/>
      <c r="JR347" s="47"/>
      <c r="JS347" s="47"/>
      <c r="JT347" s="47"/>
      <c r="JU347" s="47"/>
      <c r="JV347" s="47"/>
      <c r="JW347" s="47"/>
      <c r="JX347" s="47"/>
      <c r="KA347" s="47"/>
      <c r="KB347" s="47"/>
      <c r="KC347" s="47"/>
      <c r="KD347" s="47"/>
      <c r="KE347" s="47"/>
      <c r="KF347" s="47"/>
      <c r="KG347" s="47"/>
      <c r="KH347" s="47"/>
      <c r="KK347" s="47"/>
      <c r="KL347" s="47"/>
      <c r="KM347" s="47"/>
      <c r="KN347" s="47"/>
      <c r="KO347" s="47"/>
      <c r="KP347" s="47"/>
      <c r="KQ347" s="47"/>
      <c r="KR347" s="47"/>
      <c r="KU347" s="47"/>
      <c r="KV347" s="47"/>
      <c r="KW347" s="47"/>
      <c r="KX347" s="47"/>
      <c r="KY347" s="47"/>
      <c r="KZ347" s="47"/>
      <c r="LA347" s="47"/>
      <c r="LB347" s="47"/>
    </row>
    <row r="348" spans="29:314" x14ac:dyDescent="0.25">
      <c r="AC348" s="47"/>
      <c r="AD348" s="47"/>
      <c r="AE348" s="47"/>
      <c r="AF348" s="47"/>
      <c r="AG348" s="49"/>
      <c r="AH348" s="47"/>
      <c r="AI348" s="47"/>
      <c r="AJ348" s="47"/>
      <c r="AK348" s="47"/>
      <c r="AL348" s="47"/>
      <c r="AM348" s="47"/>
      <c r="AN348" s="47"/>
      <c r="AO348" s="47"/>
      <c r="AP348" s="47"/>
      <c r="AQ348" s="47"/>
      <c r="AR348" s="47"/>
      <c r="AS348" s="47"/>
      <c r="AT348" s="47"/>
      <c r="AU348" s="47"/>
      <c r="AV348" s="47"/>
      <c r="AW348" s="47"/>
      <c r="AX348" s="47"/>
      <c r="AY348" s="47"/>
      <c r="AZ348" s="47"/>
      <c r="BA348" s="47"/>
      <c r="BB348" s="47"/>
      <c r="BC348" s="47"/>
      <c r="BD348" s="47"/>
      <c r="BE348" s="47"/>
      <c r="BF348" s="47"/>
      <c r="BG348" s="47"/>
      <c r="BH348" s="47"/>
      <c r="BI348" s="47"/>
      <c r="BJ348" s="47"/>
      <c r="BK348" s="47"/>
      <c r="BL348" s="47"/>
      <c r="BM348" s="47"/>
      <c r="BN348" s="49"/>
      <c r="BO348" s="47"/>
      <c r="BP348" s="47"/>
      <c r="BQ348" s="47"/>
      <c r="BR348" s="47"/>
      <c r="BS348" s="47"/>
      <c r="BT348" s="47"/>
      <c r="BU348" s="47"/>
      <c r="BV348" s="47"/>
      <c r="BW348" s="47"/>
      <c r="BX348" s="47"/>
      <c r="BY348" s="47"/>
      <c r="BZ348" s="47"/>
      <c r="CA348" s="47"/>
      <c r="CB348" s="47"/>
      <c r="CC348" s="47"/>
      <c r="CD348" s="47"/>
      <c r="CE348" s="47"/>
      <c r="CF348" s="47"/>
      <c r="CG348" s="49"/>
      <c r="CH348" s="47"/>
      <c r="CI348" s="47"/>
      <c r="CJ348" s="47"/>
      <c r="CK348" s="47"/>
      <c r="CL348" s="47"/>
      <c r="CM348" s="47"/>
      <c r="CN348" s="47"/>
      <c r="CO348" s="47"/>
      <c r="CP348" s="47"/>
      <c r="CQ348" s="47"/>
      <c r="CS348" s="47"/>
      <c r="CT348" s="47"/>
      <c r="CU348" s="47"/>
      <c r="CV348" s="47"/>
      <c r="CW348" s="47"/>
      <c r="CX348" s="47"/>
      <c r="CY348" s="47"/>
      <c r="CZ348" s="47"/>
      <c r="DA348" s="47"/>
      <c r="DB348" s="47"/>
      <c r="DC348" s="47"/>
      <c r="DD348" s="47"/>
      <c r="DE348" s="47"/>
      <c r="DF348" s="47"/>
      <c r="DG348" s="47"/>
      <c r="DH348" s="47"/>
      <c r="DI348" s="47"/>
      <c r="DJ348" s="47"/>
      <c r="DK348" s="47"/>
      <c r="DM348" s="47"/>
      <c r="DN348" s="47"/>
      <c r="DO348" s="47"/>
      <c r="DP348" s="47"/>
      <c r="DQ348" s="47"/>
      <c r="DR348" s="47"/>
      <c r="DS348" s="47"/>
      <c r="DT348" s="47"/>
      <c r="DU348" s="47"/>
      <c r="DV348" s="49"/>
      <c r="DW348" s="47"/>
      <c r="DX348" s="47"/>
      <c r="DY348" s="47"/>
      <c r="DZ348" s="47"/>
      <c r="EA348" s="47"/>
      <c r="EB348" s="47"/>
      <c r="EC348" s="47"/>
      <c r="ED348" s="47"/>
      <c r="EE348" s="47"/>
      <c r="EF348" s="47"/>
      <c r="EG348" s="47"/>
      <c r="EH348" s="47"/>
      <c r="EI348" s="47"/>
      <c r="EJ348" s="47"/>
      <c r="EK348" s="47"/>
      <c r="EL348" s="47"/>
      <c r="EM348" s="47"/>
      <c r="EN348" s="47"/>
      <c r="EO348" s="47"/>
      <c r="EP348" s="47"/>
      <c r="EQ348" s="47"/>
      <c r="ER348" s="47"/>
      <c r="ES348" s="47"/>
      <c r="ET348" s="47"/>
      <c r="EU348" s="47"/>
      <c r="EV348" s="47"/>
      <c r="EW348" s="47"/>
      <c r="EX348" s="47"/>
      <c r="EY348" s="47"/>
      <c r="EZ348" s="47"/>
      <c r="FA348" s="47"/>
      <c r="FB348" s="47"/>
      <c r="FC348" s="47"/>
      <c r="FD348" s="47"/>
      <c r="FE348" s="47"/>
      <c r="FF348" s="47"/>
      <c r="FG348" s="47"/>
      <c r="FH348" s="47"/>
      <c r="FI348" s="47"/>
      <c r="FJ348" s="49"/>
      <c r="FK348" s="47"/>
      <c r="FL348" s="47"/>
      <c r="FM348" s="47"/>
      <c r="FN348" s="47"/>
      <c r="FO348" s="47"/>
      <c r="FP348" s="47"/>
      <c r="FQ348" s="47"/>
      <c r="FR348" s="47"/>
      <c r="FS348" s="47"/>
      <c r="FT348" s="47"/>
      <c r="FU348" s="47"/>
      <c r="FV348" s="47"/>
      <c r="FW348" s="47"/>
      <c r="FX348" s="47"/>
      <c r="FY348" s="47"/>
      <c r="FZ348" s="47"/>
      <c r="GA348" s="47"/>
      <c r="GB348" s="47"/>
      <c r="GC348" s="47"/>
      <c r="GD348" s="47"/>
      <c r="GE348" s="47"/>
      <c r="GF348" s="47"/>
      <c r="GG348" s="47"/>
      <c r="GH348" s="47"/>
      <c r="GI348" s="47"/>
      <c r="GJ348" s="47"/>
      <c r="GK348" s="47"/>
      <c r="GL348" s="47"/>
      <c r="GM348" s="47"/>
      <c r="GN348" s="47"/>
      <c r="GO348" s="47"/>
      <c r="GP348" s="47"/>
      <c r="GQ348" s="47"/>
      <c r="GR348" s="47"/>
      <c r="GS348" s="47"/>
      <c r="GT348" s="47"/>
      <c r="GU348" s="47"/>
      <c r="GV348" s="47"/>
      <c r="GW348" s="47"/>
      <c r="GX348" s="47"/>
      <c r="GY348" s="47"/>
      <c r="GZ348" s="47"/>
      <c r="HA348" s="47"/>
      <c r="HB348" s="47"/>
      <c r="HC348" s="47"/>
      <c r="HD348" s="47"/>
      <c r="HE348" s="47"/>
      <c r="HF348" s="47"/>
      <c r="HI348" s="47"/>
      <c r="HJ348" s="47"/>
      <c r="HK348" s="47"/>
      <c r="HL348" s="47"/>
      <c r="HM348" s="47"/>
      <c r="HN348" s="47"/>
      <c r="HO348" s="47"/>
      <c r="HP348" s="47"/>
      <c r="HS348" s="47"/>
      <c r="HT348" s="47"/>
      <c r="HU348" s="47"/>
      <c r="HV348" s="47"/>
      <c r="HW348" s="47"/>
      <c r="HX348" s="47"/>
      <c r="HY348" s="47"/>
      <c r="HZ348" s="47"/>
      <c r="IC348" s="47"/>
      <c r="ID348" s="47"/>
      <c r="IE348" s="47"/>
      <c r="IF348" s="47"/>
      <c r="IG348" s="47"/>
      <c r="IH348" s="47"/>
      <c r="II348" s="47"/>
      <c r="IJ348" s="47"/>
      <c r="IM348" s="47"/>
      <c r="IN348" s="47"/>
      <c r="IO348" s="47"/>
      <c r="IP348" s="47"/>
      <c r="IQ348" s="47"/>
      <c r="IR348" s="47"/>
      <c r="IS348" s="47"/>
      <c r="IT348" s="47"/>
      <c r="IW348" s="47"/>
      <c r="IX348" s="47"/>
      <c r="IY348" s="47"/>
      <c r="IZ348" s="47"/>
      <c r="JA348" s="47"/>
      <c r="JB348" s="47"/>
      <c r="JC348" s="47"/>
      <c r="JD348" s="47"/>
      <c r="JG348" s="47"/>
      <c r="JH348" s="47"/>
      <c r="JI348" s="47"/>
      <c r="JJ348" s="47"/>
      <c r="JK348" s="47"/>
      <c r="JL348" s="47"/>
      <c r="JM348" s="47"/>
      <c r="JN348" s="47"/>
      <c r="JQ348" s="47"/>
      <c r="JR348" s="47"/>
      <c r="JS348" s="47"/>
      <c r="JT348" s="47"/>
      <c r="JU348" s="47"/>
      <c r="JV348" s="47"/>
      <c r="JW348" s="47"/>
      <c r="JX348" s="47"/>
      <c r="KA348" s="47"/>
      <c r="KB348" s="47"/>
      <c r="KC348" s="47"/>
      <c r="KD348" s="47"/>
      <c r="KE348" s="47"/>
      <c r="KF348" s="47"/>
      <c r="KG348" s="47"/>
      <c r="KH348" s="47"/>
      <c r="KK348" s="47"/>
      <c r="KL348" s="47"/>
      <c r="KM348" s="47"/>
      <c r="KN348" s="47"/>
      <c r="KO348" s="47"/>
      <c r="KP348" s="47"/>
      <c r="KQ348" s="47"/>
      <c r="KR348" s="47"/>
      <c r="KU348" s="47"/>
      <c r="KV348" s="47"/>
      <c r="KW348" s="47"/>
      <c r="KX348" s="47"/>
      <c r="KY348" s="47"/>
      <c r="KZ348" s="47"/>
      <c r="LA348" s="47"/>
      <c r="LB348" s="47"/>
    </row>
    <row r="349" spans="29:314" x14ac:dyDescent="0.25">
      <c r="AC349" s="47"/>
      <c r="AD349" s="47"/>
      <c r="AE349" s="47"/>
      <c r="AF349" s="47"/>
      <c r="AG349" s="49"/>
      <c r="AH349" s="47"/>
      <c r="AI349" s="47"/>
      <c r="AJ349" s="47"/>
      <c r="AK349" s="47"/>
      <c r="AL349" s="47"/>
      <c r="AM349" s="47"/>
      <c r="AN349" s="47"/>
      <c r="AO349" s="47"/>
      <c r="AP349" s="47"/>
      <c r="AQ349" s="47"/>
      <c r="AR349" s="47"/>
      <c r="AS349" s="47"/>
      <c r="AT349" s="47"/>
      <c r="AU349" s="47"/>
      <c r="AV349" s="47"/>
      <c r="AW349" s="47"/>
      <c r="AX349" s="47"/>
      <c r="AY349" s="47"/>
      <c r="AZ349" s="47"/>
      <c r="BA349" s="47"/>
      <c r="BB349" s="47"/>
      <c r="BC349" s="47"/>
      <c r="BD349" s="47"/>
      <c r="BE349" s="47"/>
      <c r="BF349" s="47"/>
      <c r="BG349" s="47"/>
      <c r="BH349" s="47"/>
      <c r="BI349" s="47"/>
      <c r="BJ349" s="47"/>
      <c r="BK349" s="47"/>
      <c r="BL349" s="47"/>
      <c r="BM349" s="47"/>
      <c r="BN349" s="49"/>
      <c r="BO349" s="47"/>
      <c r="BP349" s="47"/>
      <c r="BQ349" s="47"/>
      <c r="BR349" s="47"/>
      <c r="BS349" s="47"/>
      <c r="BT349" s="47"/>
      <c r="BU349" s="47"/>
      <c r="BV349" s="47"/>
      <c r="BW349" s="47"/>
      <c r="BX349" s="47"/>
      <c r="BY349" s="47"/>
      <c r="BZ349" s="47"/>
      <c r="CA349" s="47"/>
      <c r="CB349" s="47"/>
      <c r="CC349" s="47"/>
      <c r="CD349" s="47"/>
      <c r="CE349" s="47"/>
      <c r="CF349" s="47"/>
      <c r="CG349" s="49"/>
      <c r="CH349" s="47"/>
      <c r="CI349" s="47"/>
      <c r="CJ349" s="47"/>
      <c r="CK349" s="47"/>
      <c r="CL349" s="47"/>
      <c r="CM349" s="47"/>
      <c r="CN349" s="47"/>
      <c r="CO349" s="47"/>
      <c r="CP349" s="47"/>
      <c r="CQ349" s="47"/>
      <c r="CS349" s="47"/>
      <c r="CT349" s="47"/>
      <c r="CU349" s="47"/>
      <c r="CV349" s="47"/>
      <c r="CW349" s="47"/>
      <c r="CX349" s="47"/>
      <c r="CY349" s="47"/>
      <c r="CZ349" s="47"/>
      <c r="DA349" s="47"/>
      <c r="DB349" s="47"/>
      <c r="DC349" s="47"/>
      <c r="DD349" s="47"/>
      <c r="DE349" s="47"/>
      <c r="DF349" s="47"/>
      <c r="DG349" s="47"/>
      <c r="DH349" s="47"/>
      <c r="DI349" s="47"/>
      <c r="DJ349" s="47"/>
      <c r="DK349" s="47"/>
      <c r="DM349" s="47"/>
      <c r="DN349" s="47"/>
      <c r="DO349" s="47"/>
      <c r="DP349" s="47"/>
      <c r="DQ349" s="47"/>
      <c r="DR349" s="47"/>
      <c r="DS349" s="47"/>
      <c r="DT349" s="47"/>
      <c r="DU349" s="47"/>
      <c r="DV349" s="49"/>
      <c r="DW349" s="47"/>
      <c r="DX349" s="47"/>
      <c r="DY349" s="47"/>
      <c r="DZ349" s="47"/>
      <c r="EA349" s="47"/>
      <c r="EB349" s="47"/>
      <c r="EC349" s="47"/>
      <c r="ED349" s="47"/>
      <c r="EE349" s="47"/>
      <c r="EF349" s="47"/>
      <c r="EG349" s="47"/>
      <c r="EH349" s="47"/>
      <c r="EI349" s="47"/>
      <c r="EJ349" s="47"/>
      <c r="EK349" s="47"/>
      <c r="EL349" s="47"/>
      <c r="EM349" s="47"/>
      <c r="EN349" s="47"/>
      <c r="EO349" s="47"/>
      <c r="EP349" s="47"/>
      <c r="EQ349" s="47"/>
      <c r="ER349" s="47"/>
      <c r="ES349" s="47"/>
      <c r="ET349" s="47"/>
      <c r="EU349" s="47"/>
      <c r="EV349" s="47"/>
      <c r="EW349" s="47"/>
      <c r="EX349" s="47"/>
      <c r="EY349" s="47"/>
      <c r="EZ349" s="47"/>
      <c r="FA349" s="47"/>
      <c r="FB349" s="47"/>
      <c r="FC349" s="47"/>
      <c r="FD349" s="47"/>
      <c r="FE349" s="47"/>
      <c r="FF349" s="47"/>
      <c r="FG349" s="47"/>
      <c r="FH349" s="47"/>
      <c r="FI349" s="47"/>
      <c r="FJ349" s="49"/>
      <c r="FK349" s="47"/>
      <c r="FL349" s="47"/>
      <c r="FM349" s="47"/>
      <c r="FN349" s="47"/>
      <c r="FO349" s="47"/>
      <c r="FP349" s="47"/>
      <c r="FQ349" s="47"/>
      <c r="FR349" s="47"/>
      <c r="FS349" s="47"/>
      <c r="FT349" s="47"/>
      <c r="FU349" s="47"/>
      <c r="FV349" s="47"/>
      <c r="FW349" s="47"/>
      <c r="FX349" s="47"/>
      <c r="FY349" s="47"/>
      <c r="FZ349" s="47"/>
      <c r="GA349" s="47"/>
      <c r="GB349" s="47"/>
      <c r="GC349" s="47"/>
      <c r="GD349" s="47"/>
      <c r="GE349" s="47"/>
      <c r="GF349" s="47"/>
      <c r="GG349" s="47"/>
      <c r="GH349" s="47"/>
      <c r="GI349" s="47"/>
      <c r="GJ349" s="47"/>
      <c r="GK349" s="47"/>
      <c r="GL349" s="47"/>
      <c r="GM349" s="47"/>
      <c r="GN349" s="47"/>
      <c r="GO349" s="47"/>
      <c r="GP349" s="47"/>
      <c r="GQ349" s="47"/>
      <c r="GR349" s="47"/>
      <c r="GS349" s="47"/>
      <c r="GT349" s="47"/>
      <c r="GU349" s="47"/>
      <c r="GV349" s="47"/>
      <c r="GW349" s="47"/>
      <c r="GX349" s="47"/>
      <c r="GY349" s="47"/>
      <c r="GZ349" s="47"/>
      <c r="HA349" s="47"/>
      <c r="HB349" s="47"/>
      <c r="HC349" s="47"/>
      <c r="HD349" s="47"/>
      <c r="HE349" s="47"/>
      <c r="HF349" s="47"/>
      <c r="HI349" s="47"/>
      <c r="HJ349" s="47"/>
      <c r="HK349" s="47"/>
      <c r="HL349" s="47"/>
      <c r="HM349" s="47"/>
      <c r="HN349" s="47"/>
      <c r="HO349" s="47"/>
      <c r="HP349" s="47"/>
      <c r="HS349" s="47"/>
      <c r="HT349" s="47"/>
      <c r="HU349" s="47"/>
      <c r="HV349" s="47"/>
      <c r="HW349" s="47"/>
      <c r="HX349" s="47"/>
      <c r="HY349" s="47"/>
      <c r="HZ349" s="47"/>
      <c r="IC349" s="47"/>
      <c r="ID349" s="47"/>
      <c r="IE349" s="47"/>
      <c r="IF349" s="47"/>
      <c r="IG349" s="47"/>
      <c r="IH349" s="47"/>
      <c r="II349" s="47"/>
      <c r="IJ349" s="47"/>
      <c r="IM349" s="47"/>
      <c r="IN349" s="47"/>
      <c r="IO349" s="47"/>
      <c r="IP349" s="47"/>
      <c r="IQ349" s="47"/>
      <c r="IR349" s="47"/>
      <c r="IS349" s="47"/>
      <c r="IT349" s="47"/>
      <c r="IW349" s="47"/>
      <c r="IX349" s="47"/>
      <c r="IY349" s="47"/>
      <c r="IZ349" s="47"/>
      <c r="JA349" s="47"/>
      <c r="JB349" s="47"/>
      <c r="JC349" s="47"/>
      <c r="JD349" s="47"/>
      <c r="JG349" s="47"/>
      <c r="JH349" s="47"/>
      <c r="JI349" s="47"/>
      <c r="JJ349" s="47"/>
      <c r="JK349" s="47"/>
      <c r="JL349" s="47"/>
      <c r="JM349" s="47"/>
      <c r="JN349" s="47"/>
      <c r="JQ349" s="47"/>
      <c r="JR349" s="47"/>
      <c r="JS349" s="47"/>
      <c r="JT349" s="47"/>
      <c r="JU349" s="47"/>
      <c r="JV349" s="47"/>
      <c r="JW349" s="47"/>
      <c r="JX349" s="47"/>
      <c r="KA349" s="47"/>
      <c r="KB349" s="47"/>
      <c r="KC349" s="47"/>
      <c r="KD349" s="47"/>
      <c r="KE349" s="47"/>
      <c r="KF349" s="47"/>
      <c r="KG349" s="47"/>
      <c r="KH349" s="47"/>
      <c r="KK349" s="47"/>
      <c r="KL349" s="47"/>
      <c r="KM349" s="47"/>
      <c r="KN349" s="47"/>
      <c r="KO349" s="47"/>
      <c r="KP349" s="47"/>
      <c r="KQ349" s="47"/>
      <c r="KR349" s="47"/>
      <c r="KU349" s="47"/>
      <c r="KV349" s="47"/>
      <c r="KW349" s="47"/>
      <c r="KX349" s="47"/>
      <c r="KY349" s="47"/>
      <c r="KZ349" s="47"/>
      <c r="LA349" s="47"/>
      <c r="LB349" s="47"/>
    </row>
    <row r="350" spans="29:314" x14ac:dyDescent="0.25">
      <c r="AC350" s="47"/>
      <c r="AD350" s="47"/>
      <c r="AE350" s="47"/>
      <c r="AF350" s="47"/>
      <c r="AG350" s="49"/>
      <c r="AH350" s="47"/>
      <c r="AI350" s="47"/>
      <c r="AJ350" s="47"/>
      <c r="AK350" s="47"/>
      <c r="AL350" s="47"/>
      <c r="AM350" s="47"/>
      <c r="AN350" s="47"/>
      <c r="AO350" s="47"/>
      <c r="AP350" s="47"/>
      <c r="AQ350" s="47"/>
      <c r="AR350" s="47"/>
      <c r="AS350" s="47"/>
      <c r="AT350" s="47"/>
      <c r="AU350" s="47"/>
      <c r="AV350" s="47"/>
      <c r="AW350" s="47"/>
      <c r="AX350" s="47"/>
      <c r="AY350" s="47"/>
      <c r="AZ350" s="47"/>
      <c r="BA350" s="47"/>
      <c r="BB350" s="47"/>
      <c r="BC350" s="47"/>
      <c r="BD350" s="47"/>
      <c r="BE350" s="47"/>
      <c r="BF350" s="47"/>
      <c r="BG350" s="47"/>
      <c r="BH350" s="47"/>
      <c r="BI350" s="47"/>
      <c r="BJ350" s="47"/>
      <c r="BK350" s="47"/>
      <c r="BL350" s="47"/>
      <c r="BM350" s="47"/>
      <c r="BN350" s="49"/>
      <c r="BO350" s="47"/>
      <c r="BP350" s="47"/>
      <c r="BQ350" s="47"/>
      <c r="BR350" s="47"/>
      <c r="BS350" s="47"/>
      <c r="BT350" s="47"/>
      <c r="BU350" s="47"/>
      <c r="BV350" s="47"/>
      <c r="BW350" s="47"/>
      <c r="BX350" s="47"/>
      <c r="BY350" s="47"/>
      <c r="BZ350" s="47"/>
      <c r="CA350" s="47"/>
      <c r="CB350" s="47"/>
      <c r="CC350" s="47"/>
      <c r="CD350" s="47"/>
      <c r="CE350" s="47"/>
      <c r="CF350" s="47"/>
      <c r="CG350" s="49"/>
      <c r="CH350" s="47"/>
      <c r="CI350" s="47"/>
      <c r="CJ350" s="47"/>
      <c r="CK350" s="47"/>
      <c r="CL350" s="47"/>
      <c r="CM350" s="47"/>
      <c r="CN350" s="47"/>
      <c r="CO350" s="47"/>
      <c r="CP350" s="47"/>
      <c r="CQ350" s="47"/>
      <c r="CS350" s="47"/>
      <c r="CT350" s="47"/>
      <c r="CU350" s="47"/>
      <c r="CV350" s="47"/>
      <c r="CW350" s="47"/>
      <c r="CX350" s="47"/>
      <c r="CY350" s="47"/>
      <c r="CZ350" s="47"/>
      <c r="DA350" s="47"/>
      <c r="DB350" s="47"/>
      <c r="DC350" s="47"/>
      <c r="DD350" s="47"/>
      <c r="DE350" s="47"/>
      <c r="DF350" s="47"/>
      <c r="DG350" s="47"/>
      <c r="DH350" s="47"/>
      <c r="DI350" s="47"/>
      <c r="DJ350" s="47"/>
      <c r="DK350" s="47"/>
      <c r="DM350" s="47"/>
      <c r="DN350" s="47"/>
      <c r="DO350" s="47"/>
      <c r="DP350" s="47"/>
      <c r="DQ350" s="47"/>
      <c r="DR350" s="47"/>
      <c r="DS350" s="47"/>
      <c r="DT350" s="47"/>
      <c r="DU350" s="47"/>
      <c r="DV350" s="49"/>
      <c r="DW350" s="47"/>
      <c r="DX350" s="47"/>
      <c r="DY350" s="47"/>
      <c r="DZ350" s="47"/>
      <c r="EA350" s="47"/>
      <c r="EB350" s="47"/>
      <c r="EC350" s="47"/>
      <c r="ED350" s="47"/>
      <c r="EE350" s="47"/>
      <c r="EF350" s="47"/>
      <c r="EG350" s="47"/>
      <c r="EH350" s="47"/>
      <c r="EI350" s="47"/>
      <c r="EJ350" s="47"/>
      <c r="EK350" s="47"/>
      <c r="EL350" s="47"/>
      <c r="EM350" s="47"/>
      <c r="EN350" s="47"/>
      <c r="EO350" s="47"/>
      <c r="EP350" s="47"/>
      <c r="EQ350" s="47"/>
      <c r="ER350" s="47"/>
      <c r="ES350" s="47"/>
      <c r="ET350" s="47"/>
      <c r="EU350" s="47"/>
      <c r="EV350" s="47"/>
      <c r="EW350" s="47"/>
      <c r="EX350" s="47"/>
      <c r="EY350" s="47"/>
      <c r="EZ350" s="47"/>
      <c r="FA350" s="47"/>
      <c r="FB350" s="47"/>
      <c r="FC350" s="47"/>
      <c r="FD350" s="47"/>
      <c r="FE350" s="47"/>
      <c r="FF350" s="47"/>
      <c r="FG350" s="47"/>
      <c r="FH350" s="47"/>
      <c r="FI350" s="47"/>
      <c r="FJ350" s="49"/>
      <c r="FK350" s="47"/>
      <c r="FL350" s="47"/>
      <c r="FM350" s="47"/>
      <c r="FN350" s="47"/>
      <c r="FO350" s="47"/>
      <c r="FP350" s="47"/>
      <c r="FQ350" s="47"/>
      <c r="FR350" s="47"/>
      <c r="FS350" s="47"/>
      <c r="FT350" s="47"/>
      <c r="FU350" s="47"/>
      <c r="FV350" s="47"/>
      <c r="FW350" s="47"/>
      <c r="FX350" s="47"/>
      <c r="FY350" s="47"/>
      <c r="FZ350" s="47"/>
      <c r="GA350" s="47"/>
      <c r="GB350" s="47"/>
      <c r="GC350" s="47"/>
      <c r="GD350" s="47"/>
      <c r="GE350" s="47"/>
      <c r="GF350" s="47"/>
      <c r="GG350" s="47"/>
      <c r="GH350" s="47"/>
      <c r="GI350" s="47"/>
      <c r="GJ350" s="47"/>
      <c r="GK350" s="47"/>
      <c r="GL350" s="47"/>
      <c r="GM350" s="47"/>
      <c r="GN350" s="47"/>
      <c r="GO350" s="47"/>
      <c r="GP350" s="47"/>
      <c r="GQ350" s="47"/>
      <c r="GR350" s="47"/>
      <c r="GS350" s="47"/>
      <c r="GT350" s="47"/>
      <c r="GU350" s="47"/>
      <c r="GV350" s="47"/>
      <c r="GW350" s="47"/>
      <c r="GX350" s="47"/>
      <c r="GY350" s="47"/>
      <c r="GZ350" s="47"/>
      <c r="HA350" s="47"/>
      <c r="HB350" s="47"/>
      <c r="HC350" s="47"/>
      <c r="HD350" s="47"/>
      <c r="HE350" s="47"/>
      <c r="HF350" s="47"/>
      <c r="HI350" s="47"/>
      <c r="HJ350" s="47"/>
      <c r="HK350" s="47"/>
      <c r="HL350" s="47"/>
      <c r="HM350" s="47"/>
      <c r="HN350" s="47"/>
      <c r="HO350" s="47"/>
      <c r="HP350" s="47"/>
      <c r="HS350" s="47"/>
      <c r="HT350" s="47"/>
      <c r="HU350" s="47"/>
      <c r="HV350" s="47"/>
      <c r="HW350" s="47"/>
      <c r="HX350" s="47"/>
      <c r="HY350" s="47"/>
      <c r="HZ350" s="47"/>
      <c r="IC350" s="47"/>
      <c r="ID350" s="47"/>
      <c r="IE350" s="47"/>
      <c r="IF350" s="47"/>
      <c r="IG350" s="47"/>
      <c r="IH350" s="47"/>
      <c r="II350" s="47"/>
      <c r="IJ350" s="47"/>
      <c r="IM350" s="47"/>
      <c r="IN350" s="47"/>
      <c r="IO350" s="47"/>
      <c r="IP350" s="47"/>
      <c r="IQ350" s="47"/>
      <c r="IR350" s="47"/>
      <c r="IS350" s="47"/>
      <c r="IT350" s="47"/>
      <c r="IW350" s="47"/>
      <c r="IX350" s="47"/>
      <c r="IY350" s="47"/>
      <c r="IZ350" s="47"/>
      <c r="JA350" s="47"/>
      <c r="JB350" s="47"/>
      <c r="JC350" s="47"/>
      <c r="JD350" s="47"/>
      <c r="JG350" s="47"/>
      <c r="JH350" s="47"/>
      <c r="JI350" s="47"/>
      <c r="JJ350" s="47"/>
      <c r="JK350" s="47"/>
      <c r="JL350" s="47"/>
      <c r="JM350" s="47"/>
      <c r="JN350" s="47"/>
      <c r="JQ350" s="47"/>
      <c r="JR350" s="47"/>
      <c r="JS350" s="47"/>
      <c r="JT350" s="47"/>
      <c r="JU350" s="47"/>
      <c r="JV350" s="47"/>
      <c r="JW350" s="47"/>
      <c r="JX350" s="47"/>
      <c r="KA350" s="47"/>
      <c r="KB350" s="47"/>
      <c r="KC350" s="47"/>
      <c r="KD350" s="47"/>
      <c r="KE350" s="47"/>
      <c r="KF350" s="47"/>
      <c r="KG350" s="47"/>
      <c r="KH350" s="47"/>
      <c r="KK350" s="47"/>
      <c r="KL350" s="47"/>
      <c r="KM350" s="47"/>
      <c r="KN350" s="47"/>
      <c r="KO350" s="47"/>
      <c r="KP350" s="47"/>
      <c r="KQ350" s="47"/>
      <c r="KR350" s="47"/>
      <c r="KU350" s="47"/>
      <c r="KV350" s="47"/>
      <c r="KW350" s="47"/>
      <c r="KX350" s="47"/>
      <c r="KY350" s="47"/>
      <c r="KZ350" s="47"/>
      <c r="LA350" s="47"/>
      <c r="LB350" s="47"/>
    </row>
    <row r="351" spans="29:314" x14ac:dyDescent="0.25">
      <c r="AC351" s="47"/>
      <c r="AD351" s="47"/>
      <c r="AE351" s="47"/>
      <c r="AF351" s="47"/>
      <c r="AG351" s="49"/>
      <c r="AH351" s="47"/>
      <c r="AI351" s="47"/>
      <c r="AJ351" s="47"/>
      <c r="AK351" s="47"/>
      <c r="AL351" s="47"/>
      <c r="AM351" s="47"/>
      <c r="AN351" s="47"/>
      <c r="AO351" s="47"/>
      <c r="AP351" s="47"/>
      <c r="AQ351" s="47"/>
      <c r="AR351" s="47"/>
      <c r="AS351" s="47"/>
      <c r="AT351" s="47"/>
      <c r="AU351" s="47"/>
      <c r="AV351" s="47"/>
      <c r="AW351" s="47"/>
      <c r="AX351" s="47"/>
      <c r="AY351" s="47"/>
      <c r="AZ351" s="47"/>
      <c r="BA351" s="47"/>
      <c r="BB351" s="47"/>
      <c r="BC351" s="47"/>
      <c r="BD351" s="47"/>
      <c r="BE351" s="47"/>
      <c r="BF351" s="47"/>
      <c r="BG351" s="47"/>
      <c r="BH351" s="47"/>
      <c r="BI351" s="47"/>
      <c r="BJ351" s="47"/>
      <c r="BK351" s="47"/>
      <c r="BL351" s="47"/>
      <c r="BM351" s="47"/>
      <c r="BN351" s="49"/>
      <c r="BO351" s="47"/>
      <c r="BP351" s="47"/>
      <c r="BQ351" s="47"/>
      <c r="BR351" s="47"/>
      <c r="BS351" s="47"/>
      <c r="BT351" s="47"/>
      <c r="BU351" s="47"/>
      <c r="BV351" s="47"/>
      <c r="BW351" s="47"/>
      <c r="BX351" s="47"/>
      <c r="BY351" s="47"/>
      <c r="BZ351" s="47"/>
      <c r="CA351" s="47"/>
      <c r="CB351" s="47"/>
      <c r="CC351" s="47"/>
      <c r="CD351" s="47"/>
      <c r="CE351" s="47"/>
      <c r="CF351" s="47"/>
      <c r="CG351" s="49"/>
      <c r="CH351" s="47"/>
      <c r="CI351" s="47"/>
      <c r="CJ351" s="47"/>
      <c r="CK351" s="47"/>
      <c r="CL351" s="47"/>
      <c r="CM351" s="47"/>
      <c r="CN351" s="47"/>
      <c r="CO351" s="47"/>
      <c r="CP351" s="47"/>
      <c r="CQ351" s="47"/>
      <c r="CS351" s="47"/>
      <c r="CT351" s="47"/>
      <c r="CU351" s="47"/>
      <c r="CV351" s="47"/>
      <c r="CW351" s="47"/>
      <c r="CX351" s="47"/>
      <c r="CY351" s="47"/>
      <c r="CZ351" s="47"/>
      <c r="DA351" s="47"/>
      <c r="DB351" s="47"/>
      <c r="DC351" s="47"/>
      <c r="DD351" s="47"/>
      <c r="DE351" s="47"/>
      <c r="DF351" s="47"/>
      <c r="DG351" s="47"/>
      <c r="DH351" s="47"/>
      <c r="DI351" s="47"/>
      <c r="DJ351" s="47"/>
      <c r="DK351" s="47"/>
      <c r="DM351" s="47"/>
      <c r="DN351" s="47"/>
      <c r="DO351" s="47"/>
      <c r="DP351" s="47"/>
      <c r="DQ351" s="47"/>
      <c r="DR351" s="47"/>
      <c r="DS351" s="47"/>
      <c r="DT351" s="47"/>
      <c r="DU351" s="47"/>
      <c r="DV351" s="49"/>
      <c r="DW351" s="47"/>
      <c r="DX351" s="47"/>
      <c r="DY351" s="47"/>
      <c r="DZ351" s="47"/>
      <c r="EA351" s="47"/>
      <c r="EB351" s="47"/>
      <c r="EC351" s="47"/>
      <c r="ED351" s="47"/>
      <c r="EE351" s="47"/>
      <c r="EF351" s="47"/>
      <c r="EG351" s="47"/>
      <c r="EH351" s="47"/>
      <c r="EI351" s="47"/>
      <c r="EJ351" s="47"/>
      <c r="EK351" s="47"/>
      <c r="EL351" s="47"/>
      <c r="EM351" s="47"/>
      <c r="EN351" s="47"/>
      <c r="EO351" s="47"/>
      <c r="EP351" s="47"/>
      <c r="EQ351" s="47"/>
      <c r="ER351" s="47"/>
      <c r="ES351" s="47"/>
      <c r="ET351" s="47"/>
      <c r="EU351" s="47"/>
      <c r="EV351" s="47"/>
      <c r="EW351" s="47"/>
      <c r="EX351" s="47"/>
      <c r="EY351" s="47"/>
      <c r="EZ351" s="47"/>
      <c r="FA351" s="47"/>
      <c r="FB351" s="47"/>
      <c r="FC351" s="47"/>
      <c r="FD351" s="47"/>
      <c r="FE351" s="47"/>
      <c r="FF351" s="47"/>
      <c r="FG351" s="47"/>
      <c r="FH351" s="47"/>
      <c r="FI351" s="47"/>
      <c r="FJ351" s="49"/>
      <c r="FK351" s="47"/>
      <c r="FL351" s="47"/>
      <c r="FM351" s="47"/>
      <c r="FN351" s="47"/>
      <c r="FO351" s="47"/>
      <c r="FP351" s="47"/>
      <c r="FQ351" s="47"/>
      <c r="FR351" s="47"/>
      <c r="FS351" s="47"/>
      <c r="FT351" s="47"/>
      <c r="FU351" s="47"/>
      <c r="FV351" s="47"/>
      <c r="FW351" s="47"/>
      <c r="FX351" s="47"/>
      <c r="FY351" s="47"/>
      <c r="FZ351" s="47"/>
      <c r="GA351" s="47"/>
      <c r="GB351" s="47"/>
      <c r="GC351" s="47"/>
      <c r="GD351" s="47"/>
      <c r="GE351" s="47"/>
      <c r="GF351" s="47"/>
      <c r="GG351" s="47"/>
      <c r="GH351" s="47"/>
      <c r="GI351" s="47"/>
      <c r="GJ351" s="47"/>
      <c r="GK351" s="47"/>
      <c r="GL351" s="47"/>
      <c r="GM351" s="47"/>
      <c r="GN351" s="47"/>
      <c r="GO351" s="47"/>
      <c r="GP351" s="47"/>
      <c r="GQ351" s="47"/>
      <c r="GR351" s="47"/>
      <c r="GS351" s="47"/>
      <c r="GT351" s="47"/>
      <c r="GU351" s="47"/>
      <c r="GV351" s="47"/>
      <c r="GW351" s="47"/>
      <c r="GX351" s="47"/>
      <c r="GY351" s="47"/>
      <c r="GZ351" s="47"/>
      <c r="HA351" s="47"/>
      <c r="HB351" s="47"/>
      <c r="HC351" s="47"/>
      <c r="HD351" s="47"/>
      <c r="HE351" s="47"/>
      <c r="HF351" s="47"/>
      <c r="HI351" s="47"/>
      <c r="HJ351" s="47"/>
      <c r="HK351" s="47"/>
      <c r="HL351" s="47"/>
      <c r="HM351" s="47"/>
      <c r="HN351" s="47"/>
      <c r="HO351" s="47"/>
      <c r="HP351" s="47"/>
      <c r="HS351" s="47"/>
      <c r="HT351" s="47"/>
      <c r="HU351" s="47"/>
      <c r="HV351" s="47"/>
      <c r="HW351" s="47"/>
      <c r="HX351" s="47"/>
      <c r="HY351" s="47"/>
      <c r="HZ351" s="47"/>
      <c r="IC351" s="47"/>
      <c r="ID351" s="47"/>
      <c r="IE351" s="47"/>
      <c r="IF351" s="47"/>
      <c r="IG351" s="47"/>
      <c r="IH351" s="47"/>
      <c r="II351" s="47"/>
      <c r="IJ351" s="47"/>
      <c r="IM351" s="47"/>
      <c r="IN351" s="47"/>
      <c r="IO351" s="47"/>
      <c r="IP351" s="47"/>
      <c r="IQ351" s="47"/>
      <c r="IR351" s="47"/>
      <c r="IS351" s="47"/>
      <c r="IT351" s="47"/>
      <c r="IW351" s="47"/>
      <c r="IX351" s="47"/>
      <c r="IY351" s="47"/>
      <c r="IZ351" s="47"/>
      <c r="JA351" s="47"/>
      <c r="JB351" s="47"/>
      <c r="JC351" s="47"/>
      <c r="JD351" s="47"/>
      <c r="JG351" s="47"/>
      <c r="JH351" s="47"/>
      <c r="JI351" s="47"/>
      <c r="JJ351" s="47"/>
      <c r="JK351" s="47"/>
      <c r="JL351" s="47"/>
      <c r="JM351" s="47"/>
      <c r="JN351" s="47"/>
      <c r="JQ351" s="47"/>
      <c r="JR351" s="47"/>
      <c r="JS351" s="47"/>
      <c r="JT351" s="47"/>
      <c r="JU351" s="47"/>
      <c r="JV351" s="47"/>
      <c r="JW351" s="47"/>
      <c r="JX351" s="47"/>
      <c r="KA351" s="47"/>
      <c r="KB351" s="47"/>
      <c r="KC351" s="47"/>
      <c r="KD351" s="47"/>
      <c r="KE351" s="47"/>
      <c r="KF351" s="47"/>
      <c r="KG351" s="47"/>
      <c r="KH351" s="47"/>
      <c r="KK351" s="47"/>
      <c r="KL351" s="47"/>
      <c r="KM351" s="47"/>
      <c r="KN351" s="47"/>
      <c r="KO351" s="47"/>
      <c r="KP351" s="47"/>
      <c r="KQ351" s="47"/>
      <c r="KR351" s="47"/>
      <c r="KU351" s="47"/>
      <c r="KV351" s="47"/>
      <c r="KW351" s="47"/>
      <c r="KX351" s="47"/>
      <c r="KY351" s="47"/>
      <c r="KZ351" s="47"/>
      <c r="LA351" s="47"/>
      <c r="LB351" s="47"/>
    </row>
    <row r="352" spans="29:314" x14ac:dyDescent="0.25">
      <c r="AC352" s="47"/>
      <c r="AD352" s="47"/>
      <c r="AE352" s="47"/>
      <c r="AF352" s="47"/>
      <c r="AG352" s="49"/>
      <c r="AH352" s="47"/>
      <c r="AI352" s="47"/>
      <c r="AJ352" s="47"/>
      <c r="AK352" s="47"/>
      <c r="AL352" s="47"/>
      <c r="AM352" s="47"/>
      <c r="AN352" s="47"/>
      <c r="AO352" s="47"/>
      <c r="AP352" s="47"/>
      <c r="AQ352" s="47"/>
      <c r="AR352" s="47"/>
      <c r="AS352" s="47"/>
      <c r="AT352" s="47"/>
      <c r="AU352" s="47"/>
      <c r="AV352" s="47"/>
      <c r="AW352" s="47"/>
      <c r="AX352" s="47"/>
      <c r="AY352" s="47"/>
      <c r="AZ352" s="47"/>
      <c r="BA352" s="47"/>
      <c r="BB352" s="47"/>
      <c r="BC352" s="47"/>
      <c r="BD352" s="47"/>
      <c r="BE352" s="47"/>
      <c r="BF352" s="47"/>
      <c r="BG352" s="47"/>
      <c r="BH352" s="47"/>
      <c r="BI352" s="47"/>
      <c r="BJ352" s="47"/>
      <c r="BK352" s="47"/>
      <c r="BL352" s="47"/>
      <c r="BM352" s="47"/>
      <c r="BN352" s="49"/>
      <c r="BO352" s="47"/>
      <c r="BP352" s="47"/>
      <c r="BQ352" s="47"/>
      <c r="BR352" s="47"/>
      <c r="BS352" s="47"/>
      <c r="BT352" s="47"/>
      <c r="BU352" s="47"/>
      <c r="BV352" s="47"/>
      <c r="BW352" s="47"/>
      <c r="BX352" s="47"/>
      <c r="BY352" s="47"/>
      <c r="BZ352" s="47"/>
      <c r="CA352" s="47"/>
      <c r="CB352" s="47"/>
      <c r="CC352" s="47"/>
      <c r="CD352" s="47"/>
      <c r="CE352" s="47"/>
      <c r="CF352" s="47"/>
      <c r="CG352" s="49"/>
      <c r="CH352" s="47"/>
      <c r="CI352" s="47"/>
      <c r="CJ352" s="47"/>
      <c r="CK352" s="47"/>
      <c r="CL352" s="47"/>
      <c r="CM352" s="47"/>
      <c r="CN352" s="47"/>
      <c r="CO352" s="47"/>
      <c r="CP352" s="47"/>
      <c r="CQ352" s="47"/>
      <c r="CS352" s="47"/>
      <c r="CT352" s="47"/>
      <c r="CU352" s="47"/>
      <c r="CV352" s="47"/>
      <c r="CW352" s="47"/>
      <c r="CX352" s="47"/>
      <c r="CY352" s="47"/>
      <c r="CZ352" s="47"/>
      <c r="DA352" s="47"/>
      <c r="DB352" s="47"/>
      <c r="DC352" s="47"/>
      <c r="DD352" s="47"/>
      <c r="DE352" s="47"/>
      <c r="DF352" s="47"/>
      <c r="DG352" s="47"/>
      <c r="DH352" s="47"/>
      <c r="DI352" s="47"/>
      <c r="DJ352" s="47"/>
      <c r="DK352" s="47"/>
      <c r="DM352" s="47"/>
      <c r="DN352" s="47"/>
      <c r="DO352" s="47"/>
      <c r="DP352" s="47"/>
      <c r="DQ352" s="47"/>
      <c r="DR352" s="47"/>
      <c r="DS352" s="47"/>
      <c r="DT352" s="47"/>
      <c r="DU352" s="47"/>
      <c r="DV352" s="49"/>
      <c r="DW352" s="47"/>
      <c r="DX352" s="47"/>
      <c r="DY352" s="47"/>
      <c r="DZ352" s="47"/>
      <c r="EA352" s="47"/>
      <c r="EB352" s="47"/>
      <c r="EC352" s="47"/>
      <c r="ED352" s="47"/>
      <c r="EE352" s="47"/>
      <c r="EF352" s="47"/>
      <c r="EG352" s="47"/>
      <c r="EH352" s="47"/>
      <c r="EI352" s="47"/>
      <c r="EJ352" s="47"/>
      <c r="EK352" s="47"/>
      <c r="EL352" s="47"/>
      <c r="EM352" s="47"/>
      <c r="EN352" s="47"/>
      <c r="EO352" s="47"/>
      <c r="EP352" s="47"/>
      <c r="EQ352" s="47"/>
      <c r="ER352" s="47"/>
      <c r="ES352" s="47"/>
      <c r="ET352" s="47"/>
      <c r="EU352" s="47"/>
      <c r="EV352" s="47"/>
      <c r="EW352" s="47"/>
      <c r="EX352" s="47"/>
      <c r="EY352" s="47"/>
      <c r="EZ352" s="47"/>
      <c r="FA352" s="47"/>
      <c r="FB352" s="47"/>
      <c r="FC352" s="47"/>
      <c r="FD352" s="47"/>
      <c r="FE352" s="47"/>
      <c r="FF352" s="47"/>
      <c r="FG352" s="47"/>
      <c r="FH352" s="47"/>
      <c r="FI352" s="47"/>
      <c r="FJ352" s="49"/>
      <c r="FK352" s="47"/>
      <c r="FL352" s="47"/>
      <c r="FM352" s="47"/>
      <c r="FN352" s="47"/>
      <c r="FO352" s="47"/>
      <c r="FP352" s="47"/>
      <c r="FQ352" s="47"/>
      <c r="FR352" s="47"/>
      <c r="FS352" s="47"/>
      <c r="FT352" s="47"/>
      <c r="FU352" s="47"/>
      <c r="FV352" s="47"/>
      <c r="FW352" s="47"/>
      <c r="FX352" s="47"/>
      <c r="FY352" s="47"/>
      <c r="FZ352" s="47"/>
      <c r="GA352" s="47"/>
      <c r="GB352" s="47"/>
      <c r="GC352" s="47"/>
      <c r="GD352" s="47"/>
      <c r="GE352" s="47"/>
      <c r="GF352" s="47"/>
      <c r="GG352" s="47"/>
      <c r="GH352" s="47"/>
      <c r="GI352" s="47"/>
      <c r="GJ352" s="47"/>
      <c r="GK352" s="47"/>
      <c r="GL352" s="47"/>
      <c r="GM352" s="47"/>
      <c r="GN352" s="47"/>
      <c r="GO352" s="47"/>
      <c r="GP352" s="47"/>
      <c r="GQ352" s="47"/>
      <c r="GR352" s="47"/>
      <c r="GS352" s="47"/>
      <c r="GT352" s="47"/>
      <c r="GU352" s="47"/>
      <c r="GV352" s="47"/>
      <c r="GW352" s="47"/>
      <c r="GX352" s="47"/>
      <c r="GY352" s="47"/>
      <c r="GZ352" s="47"/>
      <c r="HA352" s="47"/>
      <c r="HB352" s="47"/>
      <c r="HC352" s="47"/>
      <c r="HD352" s="47"/>
      <c r="HE352" s="47"/>
      <c r="HF352" s="47"/>
      <c r="HI352" s="47"/>
      <c r="HJ352" s="47"/>
      <c r="HK352" s="47"/>
      <c r="HL352" s="47"/>
      <c r="HM352" s="47"/>
      <c r="HN352" s="47"/>
      <c r="HO352" s="47"/>
      <c r="HP352" s="47"/>
      <c r="HS352" s="47"/>
      <c r="HT352" s="47"/>
      <c r="HU352" s="47"/>
      <c r="HV352" s="47"/>
      <c r="HW352" s="47"/>
      <c r="HX352" s="47"/>
      <c r="HY352" s="47"/>
      <c r="HZ352" s="47"/>
      <c r="IC352" s="47"/>
      <c r="ID352" s="47"/>
      <c r="IE352" s="47"/>
      <c r="IF352" s="47"/>
      <c r="IG352" s="47"/>
      <c r="IH352" s="47"/>
      <c r="II352" s="47"/>
      <c r="IJ352" s="47"/>
      <c r="IM352" s="47"/>
      <c r="IN352" s="47"/>
      <c r="IO352" s="47"/>
      <c r="IP352" s="47"/>
      <c r="IQ352" s="47"/>
      <c r="IR352" s="47"/>
      <c r="IS352" s="47"/>
      <c r="IT352" s="47"/>
      <c r="IW352" s="47"/>
      <c r="IX352" s="47"/>
      <c r="IY352" s="47"/>
      <c r="IZ352" s="47"/>
      <c r="JA352" s="47"/>
      <c r="JB352" s="47"/>
      <c r="JC352" s="47"/>
      <c r="JD352" s="47"/>
      <c r="JG352" s="47"/>
      <c r="JH352" s="47"/>
      <c r="JI352" s="47"/>
      <c r="JJ352" s="47"/>
      <c r="JK352" s="47"/>
      <c r="JL352" s="47"/>
      <c r="JM352" s="47"/>
      <c r="JN352" s="47"/>
      <c r="JQ352" s="47"/>
      <c r="JR352" s="47"/>
      <c r="JS352" s="47"/>
      <c r="JT352" s="47"/>
      <c r="JU352" s="47"/>
      <c r="JV352" s="47"/>
      <c r="JW352" s="47"/>
      <c r="JX352" s="47"/>
      <c r="KA352" s="47"/>
      <c r="KB352" s="47"/>
      <c r="KC352" s="47"/>
      <c r="KD352" s="47"/>
      <c r="KE352" s="47"/>
      <c r="KF352" s="47"/>
      <c r="KG352" s="47"/>
      <c r="KH352" s="47"/>
      <c r="KK352" s="47"/>
      <c r="KL352" s="47"/>
      <c r="KM352" s="47"/>
      <c r="KN352" s="47"/>
      <c r="KO352" s="47"/>
      <c r="KP352" s="47"/>
      <c r="KQ352" s="47"/>
      <c r="KR352" s="47"/>
      <c r="KU352" s="47"/>
      <c r="KV352" s="47"/>
      <c r="KW352" s="47"/>
      <c r="KX352" s="47"/>
      <c r="KY352" s="47"/>
      <c r="KZ352" s="47"/>
      <c r="LA352" s="47"/>
      <c r="LB352" s="47"/>
    </row>
    <row r="353" spans="29:314" x14ac:dyDescent="0.25">
      <c r="AC353" s="47"/>
      <c r="AD353" s="47"/>
      <c r="AE353" s="47"/>
      <c r="AF353" s="47"/>
      <c r="AG353" s="49"/>
      <c r="AH353" s="47"/>
      <c r="AI353" s="47"/>
      <c r="AJ353" s="47"/>
      <c r="AK353" s="47"/>
      <c r="AL353" s="47"/>
      <c r="AM353" s="47"/>
      <c r="AN353" s="47"/>
      <c r="AO353" s="47"/>
      <c r="AP353" s="47"/>
      <c r="AQ353" s="47"/>
      <c r="AR353" s="47"/>
      <c r="AS353" s="47"/>
      <c r="AT353" s="47"/>
      <c r="AU353" s="47"/>
      <c r="AV353" s="47"/>
      <c r="AW353" s="47"/>
      <c r="AX353" s="47"/>
      <c r="AY353" s="47"/>
      <c r="AZ353" s="47"/>
      <c r="BA353" s="47"/>
      <c r="BB353" s="47"/>
      <c r="BC353" s="47"/>
      <c r="BD353" s="47"/>
      <c r="BE353" s="47"/>
      <c r="BF353" s="47"/>
      <c r="BG353" s="47"/>
      <c r="BH353" s="47"/>
      <c r="BI353" s="47"/>
      <c r="BJ353" s="47"/>
      <c r="BK353" s="47"/>
      <c r="BL353" s="47"/>
      <c r="BM353" s="47"/>
      <c r="BN353" s="49"/>
      <c r="BO353" s="47"/>
      <c r="BP353" s="47"/>
      <c r="BQ353" s="47"/>
      <c r="BR353" s="47"/>
      <c r="BS353" s="47"/>
      <c r="BT353" s="47"/>
      <c r="BU353" s="47"/>
      <c r="BV353" s="47"/>
      <c r="BW353" s="47"/>
      <c r="BX353" s="47"/>
      <c r="BY353" s="47"/>
      <c r="BZ353" s="47"/>
      <c r="CA353" s="47"/>
      <c r="CB353" s="47"/>
      <c r="CC353" s="47"/>
      <c r="CD353" s="47"/>
      <c r="CE353" s="47"/>
      <c r="CF353" s="47"/>
      <c r="CG353" s="49"/>
      <c r="CH353" s="47"/>
      <c r="CI353" s="47"/>
      <c r="CJ353" s="47"/>
      <c r="CK353" s="47"/>
      <c r="CL353" s="47"/>
      <c r="CM353" s="47"/>
      <c r="CN353" s="47"/>
      <c r="CO353" s="47"/>
      <c r="CP353" s="47"/>
      <c r="CQ353" s="47"/>
      <c r="CS353" s="47"/>
      <c r="CT353" s="47"/>
      <c r="CU353" s="47"/>
      <c r="CV353" s="47"/>
      <c r="CW353" s="47"/>
      <c r="CX353" s="47"/>
      <c r="CY353" s="47"/>
      <c r="CZ353" s="47"/>
      <c r="DA353" s="47"/>
      <c r="DB353" s="47"/>
      <c r="DC353" s="47"/>
      <c r="DD353" s="47"/>
      <c r="DE353" s="47"/>
      <c r="DF353" s="47"/>
      <c r="DG353" s="47"/>
      <c r="DH353" s="47"/>
      <c r="DI353" s="47"/>
      <c r="DJ353" s="47"/>
      <c r="DK353" s="47"/>
      <c r="DM353" s="47"/>
      <c r="DN353" s="47"/>
      <c r="DO353" s="47"/>
      <c r="DP353" s="47"/>
      <c r="DQ353" s="47"/>
      <c r="DR353" s="47"/>
      <c r="DS353" s="47"/>
      <c r="DT353" s="47"/>
      <c r="DU353" s="47"/>
      <c r="DV353" s="49"/>
      <c r="DW353" s="47"/>
      <c r="DX353" s="47"/>
      <c r="DY353" s="47"/>
      <c r="DZ353" s="47"/>
      <c r="EA353" s="47"/>
      <c r="EB353" s="47"/>
      <c r="EC353" s="47"/>
      <c r="ED353" s="47"/>
      <c r="EE353" s="47"/>
      <c r="EF353" s="47"/>
      <c r="EG353" s="47"/>
      <c r="EH353" s="47"/>
      <c r="EI353" s="47"/>
      <c r="EJ353" s="47"/>
      <c r="EK353" s="47"/>
      <c r="EL353" s="47"/>
      <c r="EM353" s="47"/>
      <c r="EN353" s="47"/>
      <c r="EO353" s="47"/>
      <c r="EP353" s="47"/>
      <c r="EQ353" s="47"/>
      <c r="ER353" s="47"/>
      <c r="ES353" s="47"/>
      <c r="ET353" s="47"/>
      <c r="EU353" s="47"/>
      <c r="EV353" s="47"/>
      <c r="EW353" s="47"/>
      <c r="EX353" s="47"/>
      <c r="EY353" s="47"/>
      <c r="EZ353" s="47"/>
      <c r="FA353" s="47"/>
      <c r="FB353" s="47"/>
      <c r="FC353" s="47"/>
      <c r="FD353" s="47"/>
      <c r="FE353" s="47"/>
      <c r="FF353" s="47"/>
      <c r="FG353" s="47"/>
      <c r="FH353" s="47"/>
      <c r="FI353" s="47"/>
      <c r="FJ353" s="49"/>
      <c r="FK353" s="47"/>
      <c r="FL353" s="47"/>
      <c r="FM353" s="47"/>
      <c r="FN353" s="47"/>
      <c r="FO353" s="47"/>
      <c r="FP353" s="47"/>
      <c r="FQ353" s="47"/>
      <c r="FR353" s="47"/>
      <c r="FS353" s="47"/>
      <c r="FT353" s="47"/>
      <c r="FU353" s="47"/>
      <c r="FV353" s="47"/>
      <c r="FW353" s="47"/>
      <c r="FX353" s="47"/>
      <c r="FY353" s="47"/>
      <c r="FZ353" s="47"/>
      <c r="GA353" s="47"/>
      <c r="GB353" s="47"/>
      <c r="GC353" s="47"/>
      <c r="GD353" s="47"/>
      <c r="GE353" s="47"/>
      <c r="GF353" s="47"/>
      <c r="GG353" s="47"/>
      <c r="GH353" s="47"/>
      <c r="GI353" s="47"/>
      <c r="GJ353" s="47"/>
      <c r="GK353" s="47"/>
      <c r="GL353" s="47"/>
      <c r="GM353" s="47"/>
      <c r="GN353" s="47"/>
      <c r="GO353" s="47"/>
      <c r="GP353" s="47"/>
      <c r="GQ353" s="47"/>
      <c r="GR353" s="47"/>
      <c r="GS353" s="47"/>
      <c r="GT353" s="47"/>
      <c r="GU353" s="47"/>
      <c r="GV353" s="47"/>
      <c r="GW353" s="47"/>
      <c r="GX353" s="47"/>
      <c r="GY353" s="47"/>
      <c r="GZ353" s="47"/>
      <c r="HA353" s="47"/>
      <c r="HB353" s="47"/>
      <c r="HC353" s="47"/>
      <c r="HD353" s="47"/>
      <c r="HE353" s="47"/>
      <c r="HF353" s="47"/>
      <c r="HI353" s="47"/>
      <c r="HJ353" s="47"/>
      <c r="HK353" s="47"/>
      <c r="HL353" s="47"/>
      <c r="HM353" s="47"/>
      <c r="HN353" s="47"/>
      <c r="HO353" s="47"/>
      <c r="HP353" s="47"/>
      <c r="HS353" s="47"/>
      <c r="HT353" s="47"/>
      <c r="HU353" s="47"/>
      <c r="HV353" s="47"/>
      <c r="HW353" s="47"/>
      <c r="HX353" s="47"/>
      <c r="HY353" s="47"/>
      <c r="HZ353" s="47"/>
      <c r="IC353" s="47"/>
      <c r="ID353" s="47"/>
      <c r="IE353" s="47"/>
      <c r="IF353" s="47"/>
      <c r="IG353" s="47"/>
      <c r="IH353" s="47"/>
      <c r="II353" s="47"/>
      <c r="IJ353" s="47"/>
      <c r="IM353" s="47"/>
      <c r="IN353" s="47"/>
      <c r="IO353" s="47"/>
      <c r="IP353" s="47"/>
      <c r="IQ353" s="47"/>
      <c r="IR353" s="47"/>
      <c r="IS353" s="47"/>
      <c r="IT353" s="47"/>
      <c r="IW353" s="47"/>
      <c r="IX353" s="47"/>
      <c r="IY353" s="47"/>
      <c r="IZ353" s="47"/>
      <c r="JA353" s="47"/>
      <c r="JB353" s="47"/>
      <c r="JC353" s="47"/>
      <c r="JD353" s="47"/>
      <c r="JG353" s="47"/>
      <c r="JH353" s="47"/>
      <c r="JI353" s="47"/>
      <c r="JJ353" s="47"/>
      <c r="JK353" s="47"/>
      <c r="JL353" s="47"/>
      <c r="JM353" s="47"/>
      <c r="JN353" s="47"/>
      <c r="JQ353" s="47"/>
      <c r="JR353" s="47"/>
      <c r="JS353" s="47"/>
      <c r="JT353" s="47"/>
      <c r="JU353" s="47"/>
      <c r="JV353" s="47"/>
      <c r="JW353" s="47"/>
      <c r="JX353" s="47"/>
      <c r="KA353" s="47"/>
      <c r="KB353" s="47"/>
      <c r="KC353" s="47"/>
      <c r="KD353" s="47"/>
      <c r="KE353" s="47"/>
      <c r="KF353" s="47"/>
      <c r="KG353" s="47"/>
      <c r="KH353" s="47"/>
      <c r="KK353" s="47"/>
      <c r="KL353" s="47"/>
      <c r="KM353" s="47"/>
      <c r="KN353" s="47"/>
      <c r="KO353" s="47"/>
      <c r="KP353" s="47"/>
      <c r="KQ353" s="47"/>
      <c r="KR353" s="47"/>
      <c r="KU353" s="47"/>
      <c r="KV353" s="47"/>
      <c r="KW353" s="47"/>
      <c r="KX353" s="47"/>
      <c r="KY353" s="47"/>
      <c r="KZ353" s="47"/>
      <c r="LA353" s="47"/>
      <c r="LB353" s="47"/>
    </row>
    <row r="354" spans="29:314" x14ac:dyDescent="0.25">
      <c r="AC354" s="47"/>
      <c r="AD354" s="47"/>
      <c r="AE354" s="47"/>
      <c r="AF354" s="47"/>
      <c r="AG354" s="49"/>
      <c r="AH354" s="47"/>
      <c r="AI354" s="47"/>
      <c r="AJ354" s="47"/>
      <c r="AK354" s="47"/>
      <c r="AL354" s="47"/>
      <c r="AM354" s="47"/>
      <c r="AN354" s="47"/>
      <c r="AO354" s="47"/>
      <c r="AP354" s="47"/>
      <c r="AQ354" s="47"/>
      <c r="AR354" s="47"/>
      <c r="AS354" s="47"/>
      <c r="AT354" s="47"/>
      <c r="AU354" s="47"/>
      <c r="AV354" s="47"/>
      <c r="AW354" s="47"/>
      <c r="AX354" s="47"/>
      <c r="AY354" s="47"/>
      <c r="AZ354" s="47"/>
      <c r="BA354" s="47"/>
      <c r="BB354" s="47"/>
      <c r="BC354" s="47"/>
      <c r="BD354" s="47"/>
      <c r="BE354" s="47"/>
      <c r="BF354" s="47"/>
      <c r="BG354" s="47"/>
      <c r="BH354" s="47"/>
      <c r="BI354" s="47"/>
      <c r="BJ354" s="47"/>
      <c r="BK354" s="47"/>
      <c r="BL354" s="47"/>
      <c r="BM354" s="47"/>
      <c r="BN354" s="49"/>
      <c r="BO354" s="47"/>
      <c r="BP354" s="47"/>
      <c r="BQ354" s="47"/>
      <c r="BR354" s="47"/>
      <c r="BS354" s="47"/>
      <c r="BT354" s="47"/>
      <c r="BU354" s="47"/>
      <c r="BV354" s="47"/>
      <c r="BW354" s="47"/>
      <c r="BX354" s="47"/>
      <c r="BY354" s="47"/>
      <c r="BZ354" s="47"/>
      <c r="CA354" s="47"/>
      <c r="CB354" s="47"/>
      <c r="CC354" s="47"/>
      <c r="CD354" s="47"/>
      <c r="CE354" s="47"/>
      <c r="CF354" s="47"/>
      <c r="CG354" s="49"/>
      <c r="CH354" s="47"/>
      <c r="CI354" s="47"/>
      <c r="CJ354" s="47"/>
      <c r="CK354" s="47"/>
      <c r="CL354" s="47"/>
      <c r="CM354" s="47"/>
      <c r="CN354" s="47"/>
      <c r="CO354" s="47"/>
      <c r="CP354" s="47"/>
      <c r="CQ354" s="47"/>
      <c r="CS354" s="47"/>
      <c r="CT354" s="47"/>
      <c r="CU354" s="47"/>
      <c r="CV354" s="47"/>
      <c r="CW354" s="47"/>
      <c r="CX354" s="47"/>
      <c r="CY354" s="47"/>
      <c r="CZ354" s="47"/>
      <c r="DA354" s="47"/>
      <c r="DB354" s="47"/>
      <c r="DC354" s="47"/>
      <c r="DD354" s="47"/>
      <c r="DE354" s="47"/>
      <c r="DF354" s="47"/>
      <c r="DG354" s="47"/>
      <c r="DH354" s="47"/>
      <c r="DI354" s="47"/>
      <c r="DJ354" s="47"/>
      <c r="DK354" s="47"/>
      <c r="DM354" s="47"/>
      <c r="DN354" s="47"/>
      <c r="DO354" s="47"/>
      <c r="DP354" s="47"/>
      <c r="DQ354" s="47"/>
      <c r="DR354" s="47"/>
      <c r="DS354" s="47"/>
      <c r="DT354" s="47"/>
      <c r="DU354" s="47"/>
      <c r="DV354" s="49"/>
      <c r="DW354" s="47"/>
      <c r="DX354" s="47"/>
      <c r="DY354" s="47"/>
      <c r="DZ354" s="47"/>
      <c r="EA354" s="47"/>
      <c r="EB354" s="47"/>
      <c r="EC354" s="47"/>
      <c r="ED354" s="47"/>
      <c r="EE354" s="47"/>
      <c r="EF354" s="47"/>
      <c r="EG354" s="47"/>
      <c r="EH354" s="47"/>
      <c r="EI354" s="47"/>
      <c r="EJ354" s="47"/>
      <c r="EK354" s="47"/>
      <c r="EL354" s="47"/>
      <c r="EM354" s="47"/>
      <c r="EN354" s="47"/>
      <c r="EO354" s="47"/>
      <c r="EP354" s="47"/>
      <c r="EQ354" s="47"/>
      <c r="ER354" s="47"/>
      <c r="ES354" s="47"/>
      <c r="ET354" s="47"/>
      <c r="EU354" s="47"/>
      <c r="EV354" s="47"/>
      <c r="EW354" s="47"/>
      <c r="EX354" s="47"/>
      <c r="EY354" s="47"/>
      <c r="EZ354" s="47"/>
      <c r="FA354" s="47"/>
      <c r="FB354" s="47"/>
      <c r="FC354" s="47"/>
      <c r="FD354" s="47"/>
      <c r="FE354" s="47"/>
      <c r="FF354" s="47"/>
      <c r="FG354" s="47"/>
      <c r="FH354" s="47"/>
      <c r="FI354" s="47"/>
      <c r="FJ354" s="49"/>
      <c r="FK354" s="47"/>
      <c r="FL354" s="47"/>
      <c r="FM354" s="47"/>
      <c r="FN354" s="47"/>
      <c r="FO354" s="47"/>
      <c r="FP354" s="47"/>
      <c r="FQ354" s="47"/>
      <c r="FR354" s="47"/>
      <c r="FS354" s="47"/>
      <c r="FT354" s="47"/>
      <c r="FU354" s="47"/>
      <c r="FV354" s="47"/>
      <c r="FW354" s="47"/>
      <c r="FX354" s="47"/>
      <c r="FY354" s="47"/>
      <c r="FZ354" s="47"/>
      <c r="GA354" s="47"/>
      <c r="GB354" s="47"/>
      <c r="GC354" s="47"/>
      <c r="GD354" s="47"/>
      <c r="GE354" s="47"/>
      <c r="GF354" s="47"/>
      <c r="GG354" s="47"/>
      <c r="GH354" s="47"/>
      <c r="GI354" s="47"/>
      <c r="GJ354" s="47"/>
      <c r="GK354" s="47"/>
      <c r="GL354" s="47"/>
      <c r="GM354" s="47"/>
      <c r="GN354" s="47"/>
      <c r="GO354" s="47"/>
      <c r="GP354" s="47"/>
      <c r="GQ354" s="47"/>
      <c r="GR354" s="47"/>
      <c r="GS354" s="47"/>
      <c r="GT354" s="47"/>
      <c r="GU354" s="47"/>
      <c r="GV354" s="47"/>
      <c r="GW354" s="47"/>
      <c r="GX354" s="47"/>
      <c r="GY354" s="47"/>
      <c r="GZ354" s="47"/>
      <c r="HA354" s="47"/>
      <c r="HB354" s="47"/>
      <c r="HC354" s="47"/>
      <c r="HD354" s="47"/>
      <c r="HE354" s="47"/>
      <c r="HF354" s="47"/>
      <c r="HI354" s="47"/>
      <c r="HJ354" s="47"/>
      <c r="HK354" s="47"/>
      <c r="HL354" s="47"/>
      <c r="HM354" s="47"/>
      <c r="HN354" s="47"/>
      <c r="HO354" s="47"/>
      <c r="HP354" s="47"/>
      <c r="HS354" s="47"/>
      <c r="HT354" s="47"/>
      <c r="HU354" s="47"/>
      <c r="HV354" s="47"/>
      <c r="HW354" s="47"/>
      <c r="HX354" s="47"/>
      <c r="HY354" s="47"/>
      <c r="HZ354" s="47"/>
      <c r="IC354" s="47"/>
      <c r="ID354" s="47"/>
      <c r="IE354" s="47"/>
      <c r="IF354" s="47"/>
      <c r="IG354" s="47"/>
      <c r="IH354" s="47"/>
      <c r="II354" s="47"/>
      <c r="IJ354" s="47"/>
      <c r="IM354" s="47"/>
      <c r="IN354" s="47"/>
      <c r="IO354" s="47"/>
      <c r="IP354" s="47"/>
      <c r="IQ354" s="47"/>
      <c r="IR354" s="47"/>
      <c r="IS354" s="47"/>
      <c r="IT354" s="47"/>
      <c r="IW354" s="47"/>
      <c r="IX354" s="47"/>
      <c r="IY354" s="47"/>
      <c r="IZ354" s="47"/>
      <c r="JA354" s="47"/>
      <c r="JB354" s="47"/>
      <c r="JC354" s="47"/>
      <c r="JD354" s="47"/>
      <c r="JG354" s="47"/>
      <c r="JH354" s="47"/>
      <c r="JI354" s="47"/>
      <c r="JJ354" s="47"/>
      <c r="JK354" s="47"/>
      <c r="JL354" s="47"/>
      <c r="JM354" s="47"/>
      <c r="JN354" s="47"/>
      <c r="JQ354" s="47"/>
      <c r="JR354" s="47"/>
      <c r="JS354" s="47"/>
      <c r="JT354" s="47"/>
      <c r="JU354" s="47"/>
      <c r="JV354" s="47"/>
      <c r="JW354" s="47"/>
      <c r="JX354" s="47"/>
      <c r="KA354" s="47"/>
      <c r="KB354" s="47"/>
      <c r="KC354" s="47"/>
      <c r="KD354" s="47"/>
      <c r="KE354" s="47"/>
      <c r="KF354" s="47"/>
      <c r="KG354" s="47"/>
      <c r="KH354" s="47"/>
      <c r="KK354" s="47"/>
      <c r="KL354" s="47"/>
      <c r="KM354" s="47"/>
      <c r="KN354" s="47"/>
      <c r="KO354" s="47"/>
      <c r="KP354" s="47"/>
      <c r="KQ354" s="47"/>
      <c r="KR354" s="47"/>
      <c r="KU354" s="47"/>
      <c r="KV354" s="47"/>
      <c r="KW354" s="47"/>
      <c r="KX354" s="47"/>
      <c r="KY354" s="47"/>
      <c r="KZ354" s="47"/>
      <c r="LA354" s="47"/>
      <c r="LB354" s="47"/>
    </row>
    <row r="355" spans="29:314" x14ac:dyDescent="0.25">
      <c r="AC355" s="47"/>
      <c r="AD355" s="47"/>
      <c r="AE355" s="47"/>
      <c r="AF355" s="47"/>
      <c r="AG355" s="49"/>
      <c r="AH355" s="47"/>
      <c r="AI355" s="47"/>
      <c r="AJ355" s="47"/>
      <c r="AK355" s="47"/>
      <c r="AL355" s="47"/>
      <c r="AM355" s="47"/>
      <c r="AN355" s="47"/>
      <c r="AO355" s="47"/>
      <c r="AP355" s="47"/>
      <c r="AQ355" s="47"/>
      <c r="AR355" s="47"/>
      <c r="AS355" s="47"/>
      <c r="AT355" s="47"/>
      <c r="AU355" s="47"/>
      <c r="AV355" s="47"/>
      <c r="AW355" s="47"/>
      <c r="AX355" s="47"/>
      <c r="AY355" s="47"/>
      <c r="AZ355" s="47"/>
      <c r="BA355" s="47"/>
      <c r="BB355" s="47"/>
      <c r="BC355" s="47"/>
      <c r="BD355" s="47"/>
      <c r="BE355" s="47"/>
      <c r="BF355" s="47"/>
      <c r="BG355" s="47"/>
      <c r="BH355" s="47"/>
      <c r="BI355" s="47"/>
      <c r="BJ355" s="47"/>
      <c r="BK355" s="47"/>
      <c r="BL355" s="47"/>
      <c r="BM355" s="47"/>
      <c r="BN355" s="49"/>
      <c r="BO355" s="47"/>
      <c r="BP355" s="47"/>
      <c r="BQ355" s="47"/>
      <c r="BR355" s="47"/>
      <c r="BS355" s="47"/>
      <c r="BT355" s="47"/>
      <c r="BU355" s="47"/>
      <c r="BV355" s="47"/>
      <c r="BW355" s="47"/>
      <c r="BX355" s="47"/>
      <c r="BY355" s="47"/>
      <c r="BZ355" s="47"/>
      <c r="CA355" s="47"/>
      <c r="CB355" s="47"/>
      <c r="CC355" s="47"/>
      <c r="CD355" s="47"/>
      <c r="CE355" s="47"/>
      <c r="CF355" s="47"/>
      <c r="CG355" s="49"/>
      <c r="CH355" s="47"/>
      <c r="CI355" s="47"/>
      <c r="CJ355" s="47"/>
      <c r="CK355" s="47"/>
      <c r="CL355" s="47"/>
      <c r="CM355" s="47"/>
      <c r="CN355" s="47"/>
      <c r="CO355" s="47"/>
      <c r="CP355" s="47"/>
      <c r="CQ355" s="47"/>
      <c r="CS355" s="47"/>
      <c r="CT355" s="47"/>
      <c r="CU355" s="47"/>
      <c r="CV355" s="47"/>
      <c r="CW355" s="47"/>
      <c r="CX355" s="47"/>
      <c r="CY355" s="47"/>
      <c r="CZ355" s="47"/>
      <c r="DA355" s="47"/>
      <c r="DB355" s="47"/>
      <c r="DC355" s="47"/>
      <c r="DD355" s="47"/>
      <c r="DE355" s="47"/>
      <c r="DF355" s="47"/>
      <c r="DG355" s="47"/>
      <c r="DH355" s="47"/>
      <c r="DI355" s="47"/>
      <c r="DJ355" s="47"/>
      <c r="DK355" s="47"/>
      <c r="DM355" s="47"/>
      <c r="DN355" s="47"/>
      <c r="DO355" s="47"/>
      <c r="DP355" s="47"/>
      <c r="DQ355" s="47"/>
      <c r="DR355" s="47"/>
      <c r="DS355" s="47"/>
      <c r="DT355" s="47"/>
      <c r="DU355" s="47"/>
      <c r="DV355" s="49"/>
      <c r="DW355" s="47"/>
      <c r="DX355" s="47"/>
      <c r="DY355" s="47"/>
      <c r="DZ355" s="47"/>
      <c r="EA355" s="47"/>
      <c r="EB355" s="47"/>
      <c r="EC355" s="47"/>
      <c r="ED355" s="47"/>
      <c r="EE355" s="47"/>
      <c r="EF355" s="47"/>
      <c r="EG355" s="47"/>
      <c r="EH355" s="47"/>
      <c r="EI355" s="47"/>
      <c r="EJ355" s="47"/>
      <c r="EK355" s="47"/>
      <c r="EL355" s="47"/>
      <c r="EM355" s="47"/>
      <c r="EN355" s="47"/>
      <c r="EO355" s="47"/>
      <c r="EP355" s="47"/>
      <c r="EQ355" s="47"/>
      <c r="ER355" s="47"/>
      <c r="ES355" s="47"/>
      <c r="ET355" s="47"/>
      <c r="EU355" s="47"/>
      <c r="EV355" s="47"/>
      <c r="EW355" s="47"/>
      <c r="EX355" s="47"/>
      <c r="EY355" s="47"/>
      <c r="EZ355" s="47"/>
      <c r="FA355" s="47"/>
      <c r="FB355" s="47"/>
      <c r="FC355" s="47"/>
      <c r="FD355" s="47"/>
      <c r="FE355" s="47"/>
      <c r="FF355" s="47"/>
      <c r="FG355" s="47"/>
      <c r="FH355" s="47"/>
      <c r="FI355" s="47"/>
      <c r="FJ355" s="49"/>
      <c r="FK355" s="47"/>
      <c r="FL355" s="47"/>
      <c r="FM355" s="47"/>
      <c r="FN355" s="47"/>
      <c r="FO355" s="47"/>
      <c r="FP355" s="47"/>
      <c r="FQ355" s="47"/>
      <c r="FR355" s="47"/>
      <c r="FS355" s="47"/>
      <c r="FT355" s="47"/>
      <c r="FU355" s="47"/>
      <c r="FV355" s="47"/>
      <c r="FW355" s="47"/>
      <c r="FX355" s="47"/>
      <c r="FY355" s="47"/>
      <c r="FZ355" s="47"/>
      <c r="GA355" s="47"/>
      <c r="GB355" s="47"/>
      <c r="GC355" s="47"/>
      <c r="GD355" s="47"/>
      <c r="GE355" s="47"/>
      <c r="GF355" s="47"/>
      <c r="GG355" s="47"/>
      <c r="GH355" s="47"/>
      <c r="GI355" s="47"/>
      <c r="GJ355" s="47"/>
      <c r="GK355" s="47"/>
      <c r="GL355" s="47"/>
      <c r="GM355" s="47"/>
      <c r="GN355" s="47"/>
      <c r="GO355" s="47"/>
      <c r="GP355" s="47"/>
      <c r="GQ355" s="47"/>
      <c r="GR355" s="47"/>
      <c r="GS355" s="47"/>
      <c r="GT355" s="47"/>
      <c r="GU355" s="47"/>
      <c r="GV355" s="47"/>
      <c r="GW355" s="47"/>
      <c r="GX355" s="47"/>
      <c r="GY355" s="47"/>
      <c r="GZ355" s="47"/>
      <c r="HA355" s="47"/>
      <c r="HB355" s="47"/>
      <c r="HC355" s="47"/>
      <c r="HD355" s="47"/>
      <c r="HE355" s="47"/>
      <c r="HF355" s="47"/>
      <c r="HI355" s="47"/>
      <c r="HJ355" s="47"/>
      <c r="HK355" s="47"/>
      <c r="HL355" s="47"/>
      <c r="HM355" s="47"/>
      <c r="HN355" s="47"/>
      <c r="HO355" s="47"/>
      <c r="HP355" s="47"/>
      <c r="HS355" s="47"/>
      <c r="HT355" s="47"/>
      <c r="HU355" s="47"/>
      <c r="HV355" s="47"/>
      <c r="HW355" s="47"/>
      <c r="HX355" s="47"/>
      <c r="HY355" s="47"/>
      <c r="HZ355" s="47"/>
      <c r="IC355" s="47"/>
      <c r="ID355" s="47"/>
      <c r="IE355" s="47"/>
      <c r="IF355" s="47"/>
      <c r="IG355" s="47"/>
      <c r="IH355" s="47"/>
      <c r="II355" s="47"/>
      <c r="IJ355" s="47"/>
      <c r="IM355" s="47"/>
      <c r="IN355" s="47"/>
      <c r="IO355" s="47"/>
      <c r="IP355" s="47"/>
      <c r="IQ355" s="47"/>
      <c r="IR355" s="47"/>
      <c r="IS355" s="47"/>
      <c r="IT355" s="47"/>
      <c r="IW355" s="47"/>
      <c r="IX355" s="47"/>
      <c r="IY355" s="47"/>
      <c r="IZ355" s="47"/>
      <c r="JA355" s="47"/>
      <c r="JB355" s="47"/>
      <c r="JC355" s="47"/>
      <c r="JD355" s="47"/>
      <c r="JG355" s="47"/>
      <c r="JH355" s="47"/>
      <c r="JI355" s="47"/>
      <c r="JJ355" s="47"/>
      <c r="JK355" s="47"/>
      <c r="JL355" s="47"/>
      <c r="JM355" s="47"/>
      <c r="JN355" s="47"/>
      <c r="JQ355" s="47"/>
      <c r="JR355" s="47"/>
      <c r="JS355" s="47"/>
      <c r="JT355" s="47"/>
      <c r="JU355" s="47"/>
      <c r="JV355" s="47"/>
      <c r="JW355" s="47"/>
      <c r="JX355" s="47"/>
      <c r="KA355" s="47"/>
      <c r="KB355" s="47"/>
      <c r="KC355" s="47"/>
      <c r="KD355" s="47"/>
      <c r="KE355" s="47"/>
      <c r="KF355" s="47"/>
      <c r="KG355" s="47"/>
      <c r="KH355" s="47"/>
      <c r="KK355" s="47"/>
      <c r="KL355" s="47"/>
      <c r="KM355" s="47"/>
      <c r="KN355" s="47"/>
      <c r="KO355" s="47"/>
      <c r="KP355" s="47"/>
      <c r="KQ355" s="47"/>
      <c r="KR355" s="47"/>
      <c r="KU355" s="47"/>
      <c r="KV355" s="47"/>
      <c r="KW355" s="47"/>
      <c r="KX355" s="47"/>
      <c r="KY355" s="47"/>
      <c r="KZ355" s="47"/>
      <c r="LA355" s="47"/>
      <c r="LB355" s="47"/>
    </row>
    <row r="356" spans="29:314" x14ac:dyDescent="0.25">
      <c r="AC356" s="47"/>
      <c r="AD356" s="47"/>
      <c r="AE356" s="47"/>
      <c r="AF356" s="47"/>
      <c r="AG356" s="49"/>
      <c r="AH356" s="47"/>
      <c r="AI356" s="47"/>
      <c r="AJ356" s="47"/>
      <c r="AK356" s="47"/>
      <c r="AL356" s="47"/>
      <c r="AM356" s="47"/>
      <c r="AN356" s="47"/>
      <c r="AO356" s="47"/>
      <c r="AP356" s="47"/>
      <c r="AQ356" s="47"/>
      <c r="AR356" s="47"/>
      <c r="AS356" s="47"/>
      <c r="AT356" s="47"/>
      <c r="AU356" s="47"/>
      <c r="AV356" s="47"/>
      <c r="AW356" s="47"/>
      <c r="AX356" s="47"/>
      <c r="AY356" s="47"/>
      <c r="AZ356" s="47"/>
      <c r="BA356" s="47"/>
      <c r="BB356" s="47"/>
      <c r="BC356" s="47"/>
      <c r="BD356" s="47"/>
      <c r="BE356" s="47"/>
      <c r="BF356" s="47"/>
      <c r="BG356" s="47"/>
      <c r="BH356" s="47"/>
      <c r="BI356" s="47"/>
      <c r="BJ356" s="47"/>
      <c r="BK356" s="47"/>
      <c r="BL356" s="47"/>
      <c r="BM356" s="47"/>
      <c r="BN356" s="49"/>
      <c r="BO356" s="47"/>
      <c r="BP356" s="47"/>
      <c r="BQ356" s="47"/>
      <c r="BR356" s="47"/>
      <c r="BS356" s="47"/>
      <c r="BT356" s="47"/>
      <c r="BU356" s="47"/>
      <c r="BV356" s="47"/>
      <c r="BW356" s="47"/>
      <c r="BX356" s="47"/>
      <c r="BY356" s="47"/>
      <c r="BZ356" s="47"/>
      <c r="CA356" s="47"/>
      <c r="CB356" s="47"/>
      <c r="CC356" s="47"/>
      <c r="CD356" s="47"/>
      <c r="CE356" s="47"/>
      <c r="CF356" s="47"/>
      <c r="CG356" s="49"/>
      <c r="CH356" s="47"/>
      <c r="CI356" s="47"/>
      <c r="CJ356" s="47"/>
      <c r="CK356" s="47"/>
      <c r="CL356" s="47"/>
      <c r="CM356" s="47"/>
      <c r="CN356" s="47"/>
      <c r="CO356" s="47"/>
      <c r="CP356" s="47"/>
      <c r="CQ356" s="47"/>
      <c r="CS356" s="47"/>
      <c r="CT356" s="47"/>
      <c r="CU356" s="47"/>
      <c r="CV356" s="47"/>
      <c r="CW356" s="47"/>
      <c r="CX356" s="47"/>
      <c r="CY356" s="47"/>
      <c r="CZ356" s="47"/>
      <c r="DA356" s="47"/>
      <c r="DB356" s="47"/>
      <c r="DC356" s="47"/>
      <c r="DD356" s="47"/>
      <c r="DE356" s="47"/>
      <c r="DF356" s="47"/>
      <c r="DG356" s="47"/>
      <c r="DH356" s="47"/>
      <c r="DI356" s="47"/>
      <c r="DJ356" s="47"/>
      <c r="DK356" s="47"/>
      <c r="DM356" s="47"/>
      <c r="DN356" s="47"/>
      <c r="DO356" s="47"/>
      <c r="DP356" s="47"/>
      <c r="DQ356" s="47"/>
      <c r="DR356" s="47"/>
      <c r="DS356" s="47"/>
      <c r="DT356" s="47"/>
      <c r="DU356" s="47"/>
      <c r="DV356" s="49"/>
      <c r="DW356" s="47"/>
      <c r="DX356" s="47"/>
      <c r="DY356" s="47"/>
      <c r="DZ356" s="47"/>
      <c r="EA356" s="47"/>
      <c r="EB356" s="47"/>
      <c r="EC356" s="47"/>
      <c r="ED356" s="47"/>
      <c r="EE356" s="47"/>
      <c r="EF356" s="47"/>
      <c r="EG356" s="47"/>
      <c r="EH356" s="47"/>
      <c r="EI356" s="47"/>
      <c r="EJ356" s="47"/>
      <c r="EK356" s="47"/>
      <c r="EL356" s="47"/>
      <c r="EM356" s="47"/>
      <c r="EN356" s="47"/>
      <c r="EO356" s="47"/>
      <c r="EP356" s="47"/>
      <c r="EQ356" s="47"/>
      <c r="ER356" s="47"/>
      <c r="ES356" s="47"/>
      <c r="ET356" s="47"/>
      <c r="EU356" s="47"/>
      <c r="EV356" s="47"/>
      <c r="EW356" s="47"/>
      <c r="EX356" s="47"/>
      <c r="EY356" s="47"/>
      <c r="EZ356" s="47"/>
      <c r="FA356" s="47"/>
      <c r="FB356" s="47"/>
      <c r="FC356" s="47"/>
      <c r="FD356" s="47"/>
      <c r="FE356" s="47"/>
      <c r="FF356" s="47"/>
      <c r="FG356" s="47"/>
      <c r="FH356" s="47"/>
      <c r="FI356" s="47"/>
      <c r="FJ356" s="49"/>
      <c r="FK356" s="47"/>
      <c r="FL356" s="47"/>
      <c r="FM356" s="47"/>
      <c r="FN356" s="47"/>
      <c r="FO356" s="47"/>
      <c r="FP356" s="47"/>
      <c r="FQ356" s="47"/>
      <c r="FR356" s="47"/>
      <c r="FS356" s="47"/>
      <c r="FT356" s="47"/>
      <c r="FU356" s="47"/>
      <c r="FV356" s="47"/>
      <c r="FW356" s="47"/>
      <c r="FX356" s="47"/>
      <c r="FY356" s="47"/>
      <c r="FZ356" s="47"/>
      <c r="GA356" s="47"/>
      <c r="GB356" s="47"/>
      <c r="GC356" s="47"/>
      <c r="GD356" s="47"/>
      <c r="GE356" s="47"/>
      <c r="GF356" s="47"/>
      <c r="GG356" s="47"/>
      <c r="GH356" s="47"/>
      <c r="GI356" s="47"/>
      <c r="GJ356" s="47"/>
      <c r="GK356" s="47"/>
      <c r="GL356" s="47"/>
      <c r="GM356" s="47"/>
      <c r="GN356" s="47"/>
      <c r="GO356" s="47"/>
      <c r="GP356" s="47"/>
      <c r="GQ356" s="47"/>
      <c r="GR356" s="47"/>
      <c r="GS356" s="47"/>
      <c r="GT356" s="47"/>
      <c r="GU356" s="47"/>
      <c r="GV356" s="47"/>
      <c r="GW356" s="47"/>
      <c r="GX356" s="47"/>
      <c r="GY356" s="47"/>
      <c r="GZ356" s="47"/>
      <c r="HA356" s="47"/>
      <c r="HB356" s="47"/>
      <c r="HC356" s="47"/>
      <c r="HD356" s="47"/>
      <c r="HE356" s="47"/>
      <c r="HF356" s="47"/>
      <c r="HI356" s="47"/>
      <c r="HJ356" s="47"/>
      <c r="HK356" s="47"/>
      <c r="HL356" s="47"/>
      <c r="HM356" s="47"/>
      <c r="HN356" s="47"/>
      <c r="HO356" s="47"/>
      <c r="HP356" s="47"/>
      <c r="HS356" s="47"/>
      <c r="HT356" s="47"/>
      <c r="HU356" s="47"/>
      <c r="HV356" s="47"/>
      <c r="HW356" s="47"/>
      <c r="HX356" s="47"/>
      <c r="HY356" s="47"/>
      <c r="HZ356" s="47"/>
      <c r="IC356" s="47"/>
      <c r="ID356" s="47"/>
      <c r="IE356" s="47"/>
      <c r="IF356" s="47"/>
      <c r="IG356" s="47"/>
      <c r="IH356" s="47"/>
      <c r="II356" s="47"/>
      <c r="IJ356" s="47"/>
      <c r="IM356" s="47"/>
      <c r="IN356" s="47"/>
      <c r="IO356" s="47"/>
      <c r="IP356" s="47"/>
      <c r="IQ356" s="47"/>
      <c r="IR356" s="47"/>
      <c r="IS356" s="47"/>
      <c r="IT356" s="47"/>
      <c r="IW356" s="47"/>
      <c r="IX356" s="47"/>
      <c r="IY356" s="47"/>
      <c r="IZ356" s="47"/>
      <c r="JA356" s="47"/>
      <c r="JB356" s="47"/>
      <c r="JC356" s="47"/>
      <c r="JD356" s="47"/>
      <c r="JG356" s="47"/>
      <c r="JH356" s="47"/>
      <c r="JI356" s="47"/>
      <c r="JJ356" s="47"/>
      <c r="JK356" s="47"/>
      <c r="JL356" s="47"/>
      <c r="JM356" s="47"/>
      <c r="JN356" s="47"/>
      <c r="JQ356" s="47"/>
      <c r="JR356" s="47"/>
      <c r="JS356" s="47"/>
      <c r="JT356" s="47"/>
      <c r="JU356" s="47"/>
      <c r="JV356" s="47"/>
      <c r="JW356" s="47"/>
      <c r="JX356" s="47"/>
      <c r="KA356" s="47"/>
      <c r="KB356" s="47"/>
      <c r="KC356" s="47"/>
      <c r="KD356" s="47"/>
      <c r="KE356" s="47"/>
      <c r="KF356" s="47"/>
      <c r="KG356" s="47"/>
      <c r="KH356" s="47"/>
      <c r="KK356" s="47"/>
      <c r="KL356" s="47"/>
      <c r="KM356" s="47"/>
      <c r="KN356" s="47"/>
      <c r="KO356" s="47"/>
      <c r="KP356" s="47"/>
      <c r="KQ356" s="47"/>
      <c r="KR356" s="47"/>
      <c r="KU356" s="47"/>
      <c r="KV356" s="47"/>
      <c r="KW356" s="47"/>
      <c r="KX356" s="47"/>
      <c r="KY356" s="47"/>
      <c r="KZ356" s="47"/>
      <c r="LA356" s="47"/>
      <c r="LB356" s="47"/>
    </row>
    <row r="357" spans="29:314" x14ac:dyDescent="0.25">
      <c r="AC357" s="47"/>
      <c r="AD357" s="47"/>
      <c r="AE357" s="47"/>
      <c r="AF357" s="47"/>
      <c r="AG357" s="49"/>
      <c r="AH357" s="47"/>
      <c r="AI357" s="47"/>
      <c r="AJ357" s="47"/>
      <c r="AK357" s="47"/>
      <c r="AL357" s="47"/>
      <c r="AM357" s="47"/>
      <c r="AN357" s="47"/>
      <c r="AO357" s="47"/>
      <c r="AP357" s="47"/>
      <c r="AQ357" s="47"/>
      <c r="AR357" s="47"/>
      <c r="AS357" s="47"/>
      <c r="AT357" s="47"/>
      <c r="AU357" s="47"/>
      <c r="AV357" s="47"/>
      <c r="AW357" s="47"/>
      <c r="AX357" s="47"/>
      <c r="AY357" s="47"/>
      <c r="AZ357" s="47"/>
      <c r="BA357" s="47"/>
      <c r="BB357" s="47"/>
      <c r="BC357" s="47"/>
      <c r="BD357" s="47"/>
      <c r="BE357" s="47"/>
      <c r="BF357" s="47"/>
      <c r="BG357" s="47"/>
      <c r="BH357" s="47"/>
      <c r="BI357" s="47"/>
      <c r="BJ357" s="47"/>
      <c r="BK357" s="47"/>
      <c r="BL357" s="47"/>
      <c r="BM357" s="47"/>
      <c r="BN357" s="49"/>
      <c r="BO357" s="47"/>
      <c r="BP357" s="47"/>
      <c r="BQ357" s="47"/>
      <c r="BR357" s="47"/>
      <c r="BS357" s="47"/>
      <c r="BT357" s="47"/>
      <c r="BU357" s="47"/>
      <c r="BV357" s="47"/>
      <c r="BW357" s="47"/>
      <c r="BX357" s="47"/>
      <c r="BY357" s="47"/>
      <c r="BZ357" s="47"/>
      <c r="CA357" s="47"/>
      <c r="CB357" s="47"/>
      <c r="CC357" s="47"/>
      <c r="CD357" s="47"/>
      <c r="CE357" s="47"/>
      <c r="CF357" s="47"/>
      <c r="CG357" s="49"/>
      <c r="CH357" s="47"/>
      <c r="CI357" s="47"/>
      <c r="CJ357" s="47"/>
      <c r="CK357" s="47"/>
      <c r="CL357" s="47"/>
      <c r="CM357" s="47"/>
      <c r="CN357" s="47"/>
      <c r="CO357" s="47"/>
      <c r="CP357" s="47"/>
      <c r="CQ357" s="47"/>
      <c r="CS357" s="47"/>
      <c r="CT357" s="47"/>
      <c r="CU357" s="47"/>
      <c r="CV357" s="47"/>
      <c r="CW357" s="47"/>
      <c r="CX357" s="47"/>
      <c r="CY357" s="47"/>
      <c r="CZ357" s="47"/>
      <c r="DA357" s="47"/>
      <c r="DB357" s="47"/>
      <c r="DC357" s="47"/>
      <c r="DD357" s="47"/>
      <c r="DE357" s="47"/>
      <c r="DF357" s="47"/>
      <c r="DG357" s="47"/>
      <c r="DH357" s="47"/>
      <c r="DI357" s="47"/>
      <c r="DJ357" s="47"/>
      <c r="DK357" s="47"/>
      <c r="DM357" s="47"/>
      <c r="DN357" s="47"/>
      <c r="DO357" s="47"/>
      <c r="DP357" s="47"/>
      <c r="DQ357" s="47"/>
      <c r="DR357" s="47"/>
      <c r="DS357" s="47"/>
      <c r="DT357" s="47"/>
      <c r="DU357" s="47"/>
      <c r="DV357" s="49"/>
      <c r="DW357" s="47"/>
      <c r="DX357" s="47"/>
      <c r="DY357" s="47"/>
      <c r="DZ357" s="47"/>
      <c r="EA357" s="47"/>
      <c r="EB357" s="47"/>
      <c r="EC357" s="47"/>
      <c r="ED357" s="47"/>
      <c r="EE357" s="47"/>
      <c r="EF357" s="47"/>
      <c r="EG357" s="47"/>
      <c r="EH357" s="47"/>
      <c r="EI357" s="47"/>
      <c r="EJ357" s="47"/>
      <c r="EK357" s="47"/>
      <c r="EL357" s="47"/>
      <c r="EM357" s="47"/>
      <c r="EN357" s="47"/>
      <c r="EO357" s="47"/>
      <c r="EP357" s="47"/>
      <c r="EQ357" s="47"/>
      <c r="ER357" s="47"/>
      <c r="ES357" s="47"/>
      <c r="ET357" s="47"/>
      <c r="EU357" s="47"/>
      <c r="EV357" s="47"/>
      <c r="EW357" s="47"/>
      <c r="EX357" s="47"/>
      <c r="EY357" s="47"/>
      <c r="EZ357" s="47"/>
      <c r="FA357" s="47"/>
      <c r="FB357" s="47"/>
      <c r="FC357" s="47"/>
      <c r="FD357" s="47"/>
      <c r="FE357" s="47"/>
      <c r="FF357" s="47"/>
      <c r="FG357" s="47"/>
      <c r="FH357" s="47"/>
      <c r="FI357" s="47"/>
      <c r="FJ357" s="49"/>
      <c r="FK357" s="47"/>
      <c r="FL357" s="47"/>
      <c r="FM357" s="47"/>
      <c r="FN357" s="47"/>
      <c r="FO357" s="47"/>
      <c r="FP357" s="47"/>
      <c r="FQ357" s="47"/>
      <c r="FR357" s="47"/>
      <c r="FS357" s="47"/>
      <c r="FT357" s="47"/>
      <c r="FU357" s="47"/>
      <c r="FV357" s="47"/>
      <c r="FW357" s="47"/>
      <c r="FX357" s="47"/>
      <c r="FY357" s="47"/>
      <c r="FZ357" s="47"/>
      <c r="GA357" s="47"/>
      <c r="GB357" s="47"/>
      <c r="GC357" s="47"/>
      <c r="GD357" s="47"/>
      <c r="GE357" s="47"/>
      <c r="GF357" s="47"/>
      <c r="GG357" s="47"/>
      <c r="GH357" s="47"/>
      <c r="GI357" s="47"/>
      <c r="GJ357" s="47"/>
      <c r="GK357" s="47"/>
      <c r="GL357" s="47"/>
      <c r="GM357" s="47"/>
      <c r="GN357" s="47"/>
      <c r="GO357" s="47"/>
      <c r="GP357" s="47"/>
      <c r="GQ357" s="47"/>
      <c r="GR357" s="47"/>
      <c r="GS357" s="47"/>
      <c r="GT357" s="47"/>
      <c r="GU357" s="47"/>
      <c r="GV357" s="47"/>
      <c r="GW357" s="47"/>
      <c r="GX357" s="47"/>
      <c r="GY357" s="47"/>
      <c r="GZ357" s="47"/>
      <c r="HA357" s="47"/>
      <c r="HB357" s="47"/>
      <c r="HC357" s="47"/>
      <c r="HD357" s="47"/>
      <c r="HE357" s="47"/>
      <c r="HF357" s="47"/>
      <c r="HI357" s="47"/>
      <c r="HJ357" s="47"/>
      <c r="HK357" s="47"/>
      <c r="HL357" s="47"/>
      <c r="HM357" s="47"/>
      <c r="HN357" s="47"/>
      <c r="HO357" s="47"/>
      <c r="HP357" s="47"/>
      <c r="HS357" s="47"/>
      <c r="HT357" s="47"/>
      <c r="HU357" s="47"/>
      <c r="HV357" s="47"/>
      <c r="HW357" s="47"/>
      <c r="HX357" s="47"/>
      <c r="HY357" s="47"/>
      <c r="HZ357" s="47"/>
      <c r="IC357" s="47"/>
      <c r="ID357" s="47"/>
      <c r="IE357" s="47"/>
      <c r="IF357" s="47"/>
      <c r="IG357" s="47"/>
      <c r="IH357" s="47"/>
      <c r="II357" s="47"/>
      <c r="IJ357" s="47"/>
      <c r="IM357" s="47"/>
      <c r="IN357" s="47"/>
      <c r="IO357" s="47"/>
      <c r="IP357" s="47"/>
      <c r="IQ357" s="47"/>
      <c r="IR357" s="47"/>
      <c r="IS357" s="47"/>
      <c r="IT357" s="47"/>
      <c r="IW357" s="47"/>
      <c r="IX357" s="47"/>
      <c r="IY357" s="47"/>
      <c r="IZ357" s="47"/>
      <c r="JA357" s="47"/>
      <c r="JB357" s="47"/>
      <c r="JC357" s="47"/>
      <c r="JD357" s="47"/>
      <c r="JG357" s="47"/>
      <c r="JH357" s="47"/>
      <c r="JI357" s="47"/>
      <c r="JJ357" s="47"/>
      <c r="JK357" s="47"/>
      <c r="JL357" s="47"/>
      <c r="JM357" s="47"/>
      <c r="JN357" s="47"/>
      <c r="JQ357" s="47"/>
      <c r="JR357" s="47"/>
      <c r="JS357" s="47"/>
      <c r="JT357" s="47"/>
      <c r="JU357" s="47"/>
      <c r="JV357" s="47"/>
      <c r="JW357" s="47"/>
      <c r="JX357" s="47"/>
      <c r="KA357" s="47"/>
      <c r="KB357" s="47"/>
      <c r="KC357" s="47"/>
      <c r="KD357" s="47"/>
      <c r="KE357" s="47"/>
      <c r="KF357" s="47"/>
      <c r="KG357" s="47"/>
      <c r="KH357" s="47"/>
      <c r="KK357" s="47"/>
      <c r="KL357" s="47"/>
      <c r="KM357" s="47"/>
      <c r="KN357" s="47"/>
      <c r="KO357" s="47"/>
      <c r="KP357" s="47"/>
      <c r="KQ357" s="47"/>
      <c r="KR357" s="47"/>
      <c r="KU357" s="47"/>
      <c r="KV357" s="47"/>
      <c r="KW357" s="47"/>
      <c r="KX357" s="47"/>
      <c r="KY357" s="47"/>
      <c r="KZ357" s="47"/>
      <c r="LA357" s="47"/>
      <c r="LB357" s="47"/>
    </row>
    <row r="358" spans="29:314" x14ac:dyDescent="0.25">
      <c r="AC358" s="47"/>
      <c r="AD358" s="47"/>
      <c r="AE358" s="47"/>
      <c r="AF358" s="47"/>
      <c r="AG358" s="49"/>
      <c r="AH358" s="47"/>
      <c r="AI358" s="47"/>
      <c r="AJ358" s="47"/>
      <c r="AK358" s="47"/>
      <c r="AL358" s="47"/>
      <c r="AM358" s="47"/>
      <c r="AN358" s="47"/>
      <c r="AO358" s="47"/>
      <c r="AP358" s="47"/>
      <c r="AQ358" s="47"/>
      <c r="AR358" s="47"/>
      <c r="AS358" s="47"/>
      <c r="AT358" s="47"/>
      <c r="AU358" s="47"/>
      <c r="AV358" s="47"/>
      <c r="AW358" s="47"/>
      <c r="AX358" s="47"/>
      <c r="AY358" s="47"/>
      <c r="AZ358" s="47"/>
      <c r="BA358" s="47"/>
      <c r="BB358" s="47"/>
      <c r="BC358" s="47"/>
      <c r="BD358" s="47"/>
      <c r="BE358" s="47"/>
      <c r="BF358" s="47"/>
      <c r="BG358" s="47"/>
      <c r="BH358" s="47"/>
      <c r="BI358" s="47"/>
      <c r="BJ358" s="47"/>
      <c r="BK358" s="47"/>
      <c r="BL358" s="47"/>
      <c r="BM358" s="47"/>
      <c r="BN358" s="49"/>
      <c r="BO358" s="47"/>
      <c r="BP358" s="47"/>
      <c r="BQ358" s="47"/>
      <c r="BR358" s="47"/>
      <c r="BS358" s="47"/>
      <c r="BT358" s="47"/>
      <c r="BU358" s="47"/>
      <c r="BV358" s="47"/>
      <c r="BW358" s="47"/>
      <c r="BX358" s="47"/>
      <c r="BY358" s="47"/>
      <c r="BZ358" s="47"/>
      <c r="CA358" s="47"/>
      <c r="CB358" s="47"/>
      <c r="CC358" s="47"/>
      <c r="CD358" s="47"/>
      <c r="CE358" s="47"/>
      <c r="CF358" s="47"/>
      <c r="CG358" s="49"/>
      <c r="CH358" s="47"/>
      <c r="CI358" s="47"/>
      <c r="CJ358" s="47"/>
      <c r="CK358" s="47"/>
      <c r="CL358" s="47"/>
      <c r="CM358" s="47"/>
      <c r="CN358" s="47"/>
      <c r="CO358" s="47"/>
      <c r="CP358" s="47"/>
      <c r="CQ358" s="47"/>
      <c r="CS358" s="47"/>
      <c r="CT358" s="47"/>
      <c r="CU358" s="47"/>
      <c r="CV358" s="47"/>
      <c r="CW358" s="47"/>
      <c r="CX358" s="47"/>
      <c r="CY358" s="47"/>
      <c r="CZ358" s="47"/>
      <c r="DA358" s="47"/>
      <c r="DB358" s="47"/>
      <c r="DC358" s="47"/>
      <c r="DD358" s="47"/>
      <c r="DE358" s="47"/>
      <c r="DF358" s="47"/>
      <c r="DG358" s="47"/>
      <c r="DH358" s="47"/>
      <c r="DI358" s="47"/>
      <c r="DJ358" s="47"/>
      <c r="DK358" s="47"/>
      <c r="DM358" s="47"/>
      <c r="DN358" s="47"/>
      <c r="DO358" s="47"/>
      <c r="DP358" s="47"/>
      <c r="DQ358" s="47"/>
      <c r="DR358" s="47"/>
      <c r="DS358" s="47"/>
      <c r="DT358" s="47"/>
      <c r="DU358" s="47"/>
      <c r="DV358" s="49"/>
      <c r="DW358" s="47"/>
      <c r="DX358" s="47"/>
      <c r="DY358" s="47"/>
      <c r="DZ358" s="47"/>
      <c r="EA358" s="47"/>
      <c r="EB358" s="47"/>
      <c r="EC358" s="47"/>
      <c r="ED358" s="47"/>
      <c r="EE358" s="47"/>
      <c r="EF358" s="47"/>
      <c r="EG358" s="47"/>
      <c r="EH358" s="47"/>
      <c r="EI358" s="47"/>
      <c r="EJ358" s="47"/>
      <c r="EK358" s="47"/>
      <c r="EL358" s="47"/>
      <c r="EM358" s="47"/>
      <c r="EN358" s="47"/>
      <c r="EO358" s="47"/>
      <c r="EP358" s="47"/>
      <c r="EQ358" s="47"/>
      <c r="ER358" s="47"/>
      <c r="ES358" s="47"/>
      <c r="ET358" s="47"/>
      <c r="EU358" s="47"/>
      <c r="EV358" s="47"/>
      <c r="EW358" s="47"/>
      <c r="EX358" s="47"/>
      <c r="EY358" s="47"/>
      <c r="EZ358" s="47"/>
      <c r="FA358" s="47"/>
      <c r="FB358" s="47"/>
      <c r="FC358" s="47"/>
      <c r="FD358" s="47"/>
      <c r="FE358" s="47"/>
      <c r="FF358" s="47"/>
      <c r="FG358" s="47"/>
      <c r="FH358" s="47"/>
      <c r="FI358" s="47"/>
      <c r="FJ358" s="49"/>
      <c r="FK358" s="47"/>
      <c r="FL358" s="47"/>
      <c r="FM358" s="47"/>
      <c r="FN358" s="47"/>
      <c r="FO358" s="47"/>
      <c r="FP358" s="47"/>
      <c r="FQ358" s="47"/>
      <c r="FR358" s="47"/>
      <c r="FS358" s="47"/>
      <c r="FT358" s="47"/>
      <c r="FU358" s="47"/>
      <c r="FV358" s="47"/>
      <c r="FW358" s="47"/>
      <c r="FX358" s="47"/>
      <c r="FY358" s="47"/>
      <c r="FZ358" s="47"/>
      <c r="GA358" s="47"/>
      <c r="GB358" s="47"/>
      <c r="GC358" s="47"/>
      <c r="GD358" s="47"/>
      <c r="GE358" s="47"/>
      <c r="GF358" s="47"/>
      <c r="GG358" s="47"/>
      <c r="GH358" s="47"/>
      <c r="GI358" s="47"/>
      <c r="GJ358" s="47"/>
      <c r="GK358" s="47"/>
      <c r="GL358" s="47"/>
      <c r="GM358" s="47"/>
      <c r="GN358" s="47"/>
      <c r="GO358" s="47"/>
      <c r="GP358" s="47"/>
      <c r="GQ358" s="47"/>
      <c r="GR358" s="47"/>
      <c r="GS358" s="47"/>
      <c r="GT358" s="47"/>
      <c r="GU358" s="47"/>
      <c r="GV358" s="47"/>
      <c r="GW358" s="47"/>
      <c r="GX358" s="47"/>
      <c r="GY358" s="47"/>
      <c r="GZ358" s="47"/>
      <c r="HA358" s="47"/>
      <c r="HB358" s="47"/>
      <c r="HC358" s="47"/>
      <c r="HD358" s="47"/>
      <c r="HE358" s="47"/>
      <c r="HF358" s="47"/>
      <c r="HI358" s="47"/>
      <c r="HJ358" s="47"/>
      <c r="HK358" s="47"/>
      <c r="HL358" s="47"/>
      <c r="HM358" s="47"/>
      <c r="HN358" s="47"/>
      <c r="HO358" s="47"/>
      <c r="HP358" s="47"/>
      <c r="HS358" s="47"/>
      <c r="HT358" s="47"/>
      <c r="HU358" s="47"/>
      <c r="HV358" s="47"/>
      <c r="HW358" s="47"/>
      <c r="HX358" s="47"/>
      <c r="HY358" s="47"/>
      <c r="HZ358" s="47"/>
      <c r="IC358" s="47"/>
      <c r="ID358" s="47"/>
      <c r="IE358" s="47"/>
      <c r="IF358" s="47"/>
      <c r="IG358" s="47"/>
      <c r="IH358" s="47"/>
      <c r="II358" s="47"/>
      <c r="IJ358" s="47"/>
      <c r="IM358" s="47"/>
      <c r="IN358" s="47"/>
      <c r="IO358" s="47"/>
      <c r="IP358" s="47"/>
      <c r="IQ358" s="47"/>
      <c r="IR358" s="47"/>
      <c r="IS358" s="47"/>
      <c r="IT358" s="47"/>
      <c r="IW358" s="47"/>
      <c r="IX358" s="47"/>
      <c r="IY358" s="47"/>
      <c r="IZ358" s="47"/>
      <c r="JA358" s="47"/>
      <c r="JB358" s="47"/>
      <c r="JC358" s="47"/>
      <c r="JD358" s="47"/>
      <c r="JG358" s="47"/>
      <c r="JH358" s="47"/>
      <c r="JI358" s="47"/>
      <c r="JJ358" s="47"/>
      <c r="JK358" s="47"/>
      <c r="JL358" s="47"/>
      <c r="JM358" s="47"/>
      <c r="JN358" s="47"/>
      <c r="JQ358" s="47"/>
      <c r="JR358" s="47"/>
      <c r="JS358" s="47"/>
      <c r="JT358" s="47"/>
      <c r="JU358" s="47"/>
      <c r="JV358" s="47"/>
      <c r="JW358" s="47"/>
      <c r="JX358" s="47"/>
      <c r="KA358" s="47"/>
      <c r="KB358" s="47"/>
      <c r="KC358" s="47"/>
      <c r="KD358" s="47"/>
      <c r="KE358" s="47"/>
      <c r="KF358" s="47"/>
      <c r="KG358" s="47"/>
      <c r="KH358" s="47"/>
      <c r="KK358" s="47"/>
      <c r="KL358" s="47"/>
      <c r="KM358" s="47"/>
      <c r="KN358" s="47"/>
      <c r="KO358" s="47"/>
      <c r="KP358" s="47"/>
      <c r="KQ358" s="47"/>
      <c r="KR358" s="47"/>
      <c r="KU358" s="47"/>
      <c r="KV358" s="47"/>
      <c r="KW358" s="47"/>
      <c r="KX358" s="47"/>
      <c r="KY358" s="47"/>
      <c r="KZ358" s="47"/>
      <c r="LA358" s="47"/>
      <c r="LB358" s="47"/>
    </row>
    <row r="359" spans="29:314" x14ac:dyDescent="0.25">
      <c r="AC359" s="47"/>
      <c r="AD359" s="47"/>
      <c r="AE359" s="47"/>
      <c r="AF359" s="47"/>
      <c r="AG359" s="49"/>
      <c r="AH359" s="47"/>
      <c r="AI359" s="47"/>
      <c r="AJ359" s="47"/>
      <c r="AK359" s="47"/>
      <c r="AL359" s="47"/>
      <c r="AM359" s="47"/>
      <c r="AN359" s="47"/>
      <c r="AO359" s="47"/>
      <c r="AP359" s="47"/>
      <c r="AQ359" s="47"/>
      <c r="AR359" s="47"/>
      <c r="AS359" s="47"/>
      <c r="AT359" s="47"/>
      <c r="AU359" s="47"/>
      <c r="AV359" s="47"/>
      <c r="AW359" s="47"/>
      <c r="AX359" s="47"/>
      <c r="AY359" s="47"/>
      <c r="AZ359" s="47"/>
      <c r="BA359" s="47"/>
      <c r="BB359" s="47"/>
      <c r="BC359" s="47"/>
      <c r="BD359" s="47"/>
      <c r="BE359" s="47"/>
      <c r="BF359" s="47"/>
      <c r="BG359" s="47"/>
      <c r="BH359" s="47"/>
      <c r="BI359" s="47"/>
      <c r="BJ359" s="47"/>
      <c r="BK359" s="47"/>
      <c r="BL359" s="47"/>
      <c r="BM359" s="47"/>
      <c r="BN359" s="49"/>
      <c r="BO359" s="47"/>
      <c r="BP359" s="47"/>
      <c r="BQ359" s="47"/>
      <c r="BR359" s="47"/>
      <c r="BS359" s="47"/>
      <c r="BT359" s="47"/>
      <c r="BU359" s="47"/>
      <c r="BV359" s="47"/>
      <c r="BW359" s="47"/>
      <c r="BX359" s="47"/>
      <c r="BY359" s="47"/>
      <c r="BZ359" s="47"/>
      <c r="CA359" s="47"/>
      <c r="CB359" s="47"/>
      <c r="CC359" s="47"/>
      <c r="CD359" s="47"/>
      <c r="CE359" s="47"/>
      <c r="CF359" s="47"/>
      <c r="CG359" s="49"/>
      <c r="CH359" s="47"/>
      <c r="CI359" s="47"/>
      <c r="CJ359" s="47"/>
      <c r="CK359" s="47"/>
      <c r="CL359" s="47"/>
      <c r="CM359" s="47"/>
      <c r="CN359" s="47"/>
      <c r="CO359" s="47"/>
      <c r="CP359" s="47"/>
      <c r="CQ359" s="47"/>
      <c r="CS359" s="47"/>
      <c r="CT359" s="47"/>
      <c r="CU359" s="47"/>
      <c r="CV359" s="47"/>
      <c r="CW359" s="47"/>
      <c r="CX359" s="47"/>
      <c r="CY359" s="47"/>
      <c r="CZ359" s="47"/>
      <c r="DA359" s="47"/>
      <c r="DB359" s="47"/>
      <c r="DC359" s="47"/>
      <c r="DD359" s="47"/>
      <c r="DE359" s="47"/>
      <c r="DF359" s="47"/>
      <c r="DG359" s="47"/>
      <c r="DH359" s="47"/>
      <c r="DI359" s="47"/>
      <c r="DJ359" s="47"/>
      <c r="DK359" s="47"/>
      <c r="DM359" s="47"/>
      <c r="DN359" s="47"/>
      <c r="DO359" s="47"/>
      <c r="DP359" s="47"/>
      <c r="DQ359" s="47"/>
      <c r="DR359" s="47"/>
      <c r="DS359" s="47"/>
      <c r="DT359" s="47"/>
      <c r="DU359" s="47"/>
      <c r="DV359" s="49"/>
      <c r="DW359" s="47"/>
      <c r="DX359" s="47"/>
      <c r="DY359" s="47"/>
      <c r="DZ359" s="47"/>
      <c r="EA359" s="47"/>
      <c r="EB359" s="47"/>
      <c r="EC359" s="47"/>
      <c r="ED359" s="47"/>
      <c r="EE359" s="47"/>
      <c r="EF359" s="47"/>
      <c r="EG359" s="47"/>
      <c r="EH359" s="47"/>
      <c r="EI359" s="47"/>
      <c r="EJ359" s="47"/>
      <c r="EK359" s="47"/>
      <c r="EL359" s="47"/>
      <c r="EM359" s="47"/>
      <c r="EN359" s="47"/>
      <c r="EO359" s="47"/>
      <c r="EP359" s="47"/>
      <c r="EQ359" s="47"/>
      <c r="ER359" s="47"/>
      <c r="ES359" s="47"/>
      <c r="ET359" s="47"/>
      <c r="EU359" s="47"/>
      <c r="EV359" s="47"/>
      <c r="EW359" s="47"/>
      <c r="EX359" s="47"/>
      <c r="EY359" s="47"/>
      <c r="EZ359" s="47"/>
      <c r="FA359" s="47"/>
      <c r="FB359" s="47"/>
      <c r="FC359" s="47"/>
      <c r="FD359" s="47"/>
      <c r="FE359" s="47"/>
      <c r="FF359" s="47"/>
      <c r="FG359" s="47"/>
      <c r="FH359" s="47"/>
      <c r="FI359" s="47"/>
      <c r="FJ359" s="49"/>
      <c r="FK359" s="47"/>
      <c r="FL359" s="47"/>
      <c r="FM359" s="47"/>
      <c r="FN359" s="47"/>
      <c r="FO359" s="47"/>
      <c r="FP359" s="47"/>
      <c r="FQ359" s="47"/>
      <c r="FR359" s="47"/>
      <c r="FS359" s="47"/>
      <c r="FT359" s="47"/>
      <c r="FU359" s="47"/>
      <c r="FV359" s="47"/>
      <c r="FW359" s="47"/>
      <c r="FX359" s="47"/>
      <c r="FY359" s="47"/>
      <c r="FZ359" s="47"/>
      <c r="GA359" s="47"/>
      <c r="GB359" s="47"/>
      <c r="GC359" s="47"/>
      <c r="GD359" s="47"/>
      <c r="GE359" s="47"/>
      <c r="GF359" s="47"/>
      <c r="GG359" s="47"/>
      <c r="GH359" s="47"/>
      <c r="GI359" s="47"/>
      <c r="GJ359" s="47"/>
      <c r="GK359" s="47"/>
      <c r="GL359" s="47"/>
      <c r="GM359" s="47"/>
      <c r="GN359" s="47"/>
      <c r="GO359" s="47"/>
      <c r="GP359" s="47"/>
      <c r="GQ359" s="47"/>
      <c r="GR359" s="47"/>
      <c r="GS359" s="47"/>
      <c r="GT359" s="47"/>
      <c r="GU359" s="47"/>
      <c r="GV359" s="47"/>
      <c r="GW359" s="47"/>
      <c r="GX359" s="47"/>
      <c r="GY359" s="47"/>
      <c r="GZ359" s="47"/>
      <c r="HA359" s="47"/>
      <c r="HB359" s="47"/>
      <c r="HC359" s="47"/>
      <c r="HD359" s="47"/>
      <c r="HE359" s="47"/>
      <c r="HF359" s="47"/>
      <c r="HI359" s="47"/>
      <c r="HJ359" s="47"/>
      <c r="HK359" s="47"/>
      <c r="HL359" s="47"/>
      <c r="HM359" s="47"/>
      <c r="HN359" s="47"/>
      <c r="HO359" s="47"/>
      <c r="HP359" s="47"/>
      <c r="HS359" s="47"/>
      <c r="HT359" s="47"/>
      <c r="HU359" s="47"/>
      <c r="HV359" s="47"/>
      <c r="HW359" s="47"/>
      <c r="HX359" s="47"/>
      <c r="HY359" s="47"/>
      <c r="HZ359" s="47"/>
      <c r="IC359" s="47"/>
      <c r="ID359" s="47"/>
      <c r="IE359" s="47"/>
      <c r="IF359" s="47"/>
      <c r="IG359" s="47"/>
      <c r="IH359" s="47"/>
      <c r="II359" s="47"/>
      <c r="IJ359" s="47"/>
      <c r="IM359" s="47"/>
      <c r="IN359" s="47"/>
      <c r="IO359" s="47"/>
      <c r="IP359" s="47"/>
      <c r="IQ359" s="47"/>
      <c r="IR359" s="47"/>
      <c r="IS359" s="47"/>
      <c r="IT359" s="47"/>
      <c r="IW359" s="47"/>
      <c r="IX359" s="47"/>
      <c r="IY359" s="47"/>
      <c r="IZ359" s="47"/>
      <c r="JA359" s="47"/>
      <c r="JB359" s="47"/>
      <c r="JC359" s="47"/>
      <c r="JD359" s="47"/>
      <c r="JG359" s="47"/>
      <c r="JH359" s="47"/>
      <c r="JI359" s="47"/>
      <c r="JJ359" s="47"/>
      <c r="JK359" s="47"/>
      <c r="JL359" s="47"/>
      <c r="JM359" s="47"/>
      <c r="JN359" s="47"/>
      <c r="JQ359" s="47"/>
      <c r="JR359" s="47"/>
      <c r="JS359" s="47"/>
      <c r="JT359" s="47"/>
      <c r="JU359" s="47"/>
      <c r="JV359" s="47"/>
      <c r="JW359" s="47"/>
      <c r="JX359" s="47"/>
      <c r="KA359" s="47"/>
      <c r="KB359" s="47"/>
      <c r="KC359" s="47"/>
      <c r="KD359" s="47"/>
      <c r="KE359" s="47"/>
      <c r="KF359" s="47"/>
      <c r="KG359" s="47"/>
      <c r="KH359" s="47"/>
      <c r="KK359" s="47"/>
      <c r="KL359" s="47"/>
      <c r="KM359" s="47"/>
      <c r="KN359" s="47"/>
      <c r="KO359" s="47"/>
      <c r="KP359" s="47"/>
      <c r="KQ359" s="47"/>
      <c r="KR359" s="47"/>
      <c r="KU359" s="47"/>
      <c r="KV359" s="47"/>
      <c r="KW359" s="47"/>
      <c r="KX359" s="47"/>
      <c r="KY359" s="47"/>
      <c r="KZ359" s="47"/>
      <c r="LA359" s="47"/>
      <c r="LB359" s="47"/>
    </row>
    <row r="360" spans="29:314" x14ac:dyDescent="0.25">
      <c r="AC360" s="47"/>
      <c r="AD360" s="47"/>
      <c r="AE360" s="47"/>
      <c r="AF360" s="47"/>
      <c r="AG360" s="49"/>
      <c r="AH360" s="47"/>
      <c r="AI360" s="47"/>
      <c r="AJ360" s="47"/>
      <c r="AK360" s="47"/>
      <c r="AL360" s="47"/>
      <c r="AM360" s="47"/>
      <c r="AN360" s="47"/>
      <c r="AO360" s="47"/>
      <c r="AP360" s="47"/>
      <c r="AQ360" s="47"/>
      <c r="AR360" s="47"/>
      <c r="AS360" s="47"/>
      <c r="AT360" s="47"/>
      <c r="AU360" s="47"/>
      <c r="AV360" s="47"/>
      <c r="AW360" s="47"/>
      <c r="AX360" s="47"/>
      <c r="AY360" s="47"/>
      <c r="AZ360" s="47"/>
      <c r="BA360" s="47"/>
      <c r="BB360" s="47"/>
      <c r="BC360" s="47"/>
      <c r="BD360" s="47"/>
      <c r="BE360" s="47"/>
      <c r="BF360" s="47"/>
      <c r="BG360" s="47"/>
      <c r="BH360" s="47"/>
      <c r="BI360" s="47"/>
      <c r="BJ360" s="47"/>
      <c r="BK360" s="47"/>
      <c r="BL360" s="47"/>
      <c r="BM360" s="47"/>
      <c r="BN360" s="49"/>
      <c r="BO360" s="47"/>
      <c r="BP360" s="47"/>
      <c r="BQ360" s="47"/>
      <c r="BR360" s="47"/>
      <c r="BS360" s="47"/>
      <c r="BT360" s="47"/>
      <c r="BU360" s="47"/>
      <c r="BV360" s="47"/>
      <c r="BW360" s="47"/>
      <c r="BX360" s="47"/>
      <c r="BY360" s="47"/>
      <c r="BZ360" s="47"/>
      <c r="CA360" s="47"/>
      <c r="CB360" s="47"/>
      <c r="CC360" s="47"/>
      <c r="CD360" s="47"/>
      <c r="CE360" s="47"/>
      <c r="CF360" s="47"/>
      <c r="CG360" s="49"/>
      <c r="CH360" s="47"/>
      <c r="CI360" s="47"/>
      <c r="CJ360" s="47"/>
      <c r="CK360" s="47"/>
      <c r="CL360" s="47"/>
      <c r="CM360" s="47"/>
      <c r="CN360" s="47"/>
      <c r="CO360" s="47"/>
      <c r="CP360" s="47"/>
      <c r="CQ360" s="47"/>
      <c r="CS360" s="47"/>
      <c r="CT360" s="47"/>
      <c r="CU360" s="47"/>
      <c r="CV360" s="47"/>
      <c r="CW360" s="47"/>
      <c r="CX360" s="47"/>
      <c r="CY360" s="47"/>
      <c r="CZ360" s="47"/>
      <c r="DA360" s="47"/>
      <c r="DB360" s="47"/>
      <c r="DC360" s="47"/>
      <c r="DD360" s="47"/>
      <c r="DE360" s="47"/>
      <c r="DF360" s="47"/>
      <c r="DG360" s="47"/>
      <c r="DH360" s="47"/>
      <c r="DI360" s="47"/>
      <c r="DJ360" s="47"/>
      <c r="DK360" s="47"/>
      <c r="DM360" s="47"/>
      <c r="DN360" s="47"/>
      <c r="DO360" s="47"/>
      <c r="DP360" s="47"/>
      <c r="DQ360" s="47"/>
      <c r="DR360" s="47"/>
      <c r="DS360" s="47"/>
      <c r="DT360" s="47"/>
      <c r="DU360" s="47"/>
      <c r="DV360" s="49"/>
      <c r="DW360" s="47"/>
      <c r="DX360" s="47"/>
      <c r="DY360" s="47"/>
      <c r="DZ360" s="47"/>
      <c r="EA360" s="47"/>
      <c r="EB360" s="47"/>
      <c r="EC360" s="47"/>
      <c r="ED360" s="47"/>
      <c r="EE360" s="47"/>
      <c r="EF360" s="47"/>
      <c r="EG360" s="47"/>
      <c r="EH360" s="47"/>
      <c r="EI360" s="47"/>
      <c r="EJ360" s="47"/>
      <c r="EK360" s="47"/>
      <c r="EL360" s="47"/>
      <c r="EM360" s="47"/>
      <c r="EN360" s="47"/>
      <c r="EO360" s="47"/>
      <c r="EP360" s="47"/>
      <c r="EQ360" s="47"/>
      <c r="ER360" s="47"/>
      <c r="ES360" s="47"/>
      <c r="ET360" s="47"/>
      <c r="EU360" s="47"/>
      <c r="EV360" s="47"/>
      <c r="EW360" s="47"/>
      <c r="EX360" s="47"/>
      <c r="EY360" s="47"/>
      <c r="EZ360" s="47"/>
      <c r="FA360" s="47"/>
      <c r="FB360" s="47"/>
      <c r="FC360" s="47"/>
      <c r="FD360" s="47"/>
      <c r="FE360" s="47"/>
      <c r="FF360" s="47"/>
      <c r="FG360" s="47"/>
      <c r="FH360" s="47"/>
      <c r="FI360" s="47"/>
      <c r="FJ360" s="49"/>
      <c r="FK360" s="47"/>
      <c r="FL360" s="47"/>
      <c r="FM360" s="47"/>
      <c r="FN360" s="47"/>
      <c r="FO360" s="47"/>
      <c r="FP360" s="47"/>
      <c r="FQ360" s="47"/>
      <c r="FR360" s="47"/>
      <c r="FS360" s="47"/>
      <c r="FT360" s="47"/>
      <c r="FU360" s="47"/>
      <c r="FV360" s="47"/>
      <c r="FW360" s="47"/>
      <c r="FX360" s="47"/>
      <c r="FY360" s="47"/>
      <c r="FZ360" s="47"/>
      <c r="GA360" s="47"/>
      <c r="GB360" s="47"/>
      <c r="GC360" s="47"/>
      <c r="GD360" s="47"/>
      <c r="GE360" s="47"/>
      <c r="GF360" s="47"/>
      <c r="GG360" s="47"/>
      <c r="GH360" s="47"/>
      <c r="GI360" s="47"/>
      <c r="GJ360" s="47"/>
      <c r="GK360" s="47"/>
      <c r="GL360" s="47"/>
      <c r="GM360" s="47"/>
      <c r="GN360" s="47"/>
      <c r="GO360" s="47"/>
      <c r="GP360" s="47"/>
      <c r="GQ360" s="47"/>
      <c r="GR360" s="47"/>
      <c r="GS360" s="47"/>
      <c r="GT360" s="47"/>
      <c r="GU360" s="47"/>
      <c r="GV360" s="47"/>
      <c r="GW360" s="47"/>
      <c r="GX360" s="47"/>
      <c r="GY360" s="47"/>
      <c r="GZ360" s="47"/>
      <c r="HA360" s="47"/>
      <c r="HB360" s="47"/>
      <c r="HC360" s="47"/>
      <c r="HD360" s="47"/>
      <c r="HE360" s="47"/>
      <c r="HF360" s="47"/>
      <c r="HI360" s="47"/>
      <c r="HJ360" s="47"/>
      <c r="HK360" s="47"/>
      <c r="HL360" s="47"/>
      <c r="HM360" s="47"/>
      <c r="HN360" s="47"/>
      <c r="HO360" s="47"/>
      <c r="HP360" s="47"/>
      <c r="HS360" s="47"/>
      <c r="HT360" s="47"/>
      <c r="HU360" s="47"/>
      <c r="HV360" s="47"/>
      <c r="HW360" s="47"/>
      <c r="HX360" s="47"/>
      <c r="HY360" s="47"/>
      <c r="HZ360" s="47"/>
      <c r="IC360" s="47"/>
      <c r="ID360" s="47"/>
      <c r="IE360" s="47"/>
      <c r="IF360" s="47"/>
      <c r="IG360" s="47"/>
      <c r="IH360" s="47"/>
      <c r="II360" s="47"/>
      <c r="IJ360" s="47"/>
      <c r="IM360" s="47"/>
      <c r="IN360" s="47"/>
      <c r="IO360" s="47"/>
      <c r="IP360" s="47"/>
      <c r="IQ360" s="47"/>
      <c r="IR360" s="47"/>
      <c r="IS360" s="47"/>
      <c r="IT360" s="47"/>
      <c r="IW360" s="47"/>
      <c r="IX360" s="47"/>
      <c r="IY360" s="47"/>
      <c r="IZ360" s="47"/>
      <c r="JA360" s="47"/>
      <c r="JB360" s="47"/>
      <c r="JC360" s="47"/>
      <c r="JD360" s="47"/>
      <c r="JG360" s="47"/>
      <c r="JH360" s="47"/>
      <c r="JI360" s="47"/>
      <c r="JJ360" s="47"/>
      <c r="JK360" s="47"/>
      <c r="JL360" s="47"/>
      <c r="JM360" s="47"/>
      <c r="JN360" s="47"/>
      <c r="JQ360" s="47"/>
      <c r="JR360" s="47"/>
      <c r="JS360" s="47"/>
      <c r="JT360" s="47"/>
      <c r="JU360" s="47"/>
      <c r="JV360" s="47"/>
      <c r="JW360" s="47"/>
      <c r="JX360" s="47"/>
      <c r="KA360" s="47"/>
      <c r="KB360" s="47"/>
      <c r="KC360" s="47"/>
      <c r="KD360" s="47"/>
      <c r="KE360" s="47"/>
      <c r="KF360" s="47"/>
      <c r="KG360" s="47"/>
      <c r="KH360" s="47"/>
      <c r="KK360" s="47"/>
      <c r="KL360" s="47"/>
      <c r="KM360" s="47"/>
      <c r="KN360" s="47"/>
      <c r="KO360" s="47"/>
      <c r="KP360" s="47"/>
      <c r="KQ360" s="47"/>
      <c r="KR360" s="47"/>
      <c r="KU360" s="47"/>
      <c r="KV360" s="47"/>
      <c r="KW360" s="47"/>
      <c r="KX360" s="47"/>
      <c r="KY360" s="47"/>
      <c r="KZ360" s="47"/>
      <c r="LA360" s="47"/>
      <c r="LB360" s="47"/>
    </row>
  </sheetData>
  <mergeCells count="10">
    <mergeCell ref="C2:D2"/>
    <mergeCell ref="K8:M8"/>
    <mergeCell ref="O8:P8"/>
    <mergeCell ref="Q8:R8"/>
    <mergeCell ref="T8:U8"/>
    <mergeCell ref="K7:M7"/>
    <mergeCell ref="N7:W7"/>
    <mergeCell ref="W8:X8"/>
    <mergeCell ref="E7:G7"/>
    <mergeCell ref="E8:G8"/>
  </mergeCells>
  <conditionalFormatting sqref="AA2">
    <cfRule type="cellIs" dxfId="172" priority="72" operator="equal">
      <formula>"OK"</formula>
    </cfRule>
  </conditionalFormatting>
  <conditionalFormatting sqref="D3">
    <cfRule type="cellIs" dxfId="171" priority="69" operator="equal">
      <formula>"OK"</formula>
    </cfRule>
  </conditionalFormatting>
  <conditionalFormatting sqref="J7:K7">
    <cfRule type="expression" dxfId="170" priority="75">
      <formula>#REF!&lt;&gt;""</formula>
    </cfRule>
  </conditionalFormatting>
  <conditionalFormatting sqref="AK2">
    <cfRule type="cellIs" dxfId="169" priority="39" operator="equal">
      <formula>"OK"</formula>
    </cfRule>
  </conditionalFormatting>
  <conditionalFormatting sqref="AU2">
    <cfRule type="cellIs" dxfId="168" priority="38" operator="equal">
      <formula>"OK"</formula>
    </cfRule>
  </conditionalFormatting>
  <conditionalFormatting sqref="BE2">
    <cfRule type="cellIs" dxfId="167" priority="37" operator="equal">
      <formula>"OK"</formula>
    </cfRule>
  </conditionalFormatting>
  <conditionalFormatting sqref="BO2">
    <cfRule type="cellIs" dxfId="166" priority="36" operator="equal">
      <formula>"OK"</formula>
    </cfRule>
  </conditionalFormatting>
  <conditionalFormatting sqref="BY2">
    <cfRule type="cellIs" dxfId="165" priority="35" operator="equal">
      <formula>"OK"</formula>
    </cfRule>
  </conditionalFormatting>
  <conditionalFormatting sqref="CS2">
    <cfRule type="cellIs" dxfId="164" priority="34" operator="equal">
      <formula>"OK"</formula>
    </cfRule>
  </conditionalFormatting>
  <conditionalFormatting sqref="DC2">
    <cfRule type="cellIs" dxfId="163" priority="33" operator="equal">
      <formula>"OK"</formula>
    </cfRule>
  </conditionalFormatting>
  <conditionalFormatting sqref="DM2">
    <cfRule type="cellIs" dxfId="162" priority="32" operator="equal">
      <formula>"OK"</formula>
    </cfRule>
  </conditionalFormatting>
  <conditionalFormatting sqref="DW2">
    <cfRule type="cellIs" dxfId="161" priority="31" operator="equal">
      <formula>"OK"</formula>
    </cfRule>
  </conditionalFormatting>
  <conditionalFormatting sqref="EG2">
    <cfRule type="cellIs" dxfId="160" priority="30" operator="equal">
      <formula>"OK"</formula>
    </cfRule>
  </conditionalFormatting>
  <conditionalFormatting sqref="EQ2">
    <cfRule type="cellIs" dxfId="159" priority="29" operator="equal">
      <formula>"OK"</formula>
    </cfRule>
  </conditionalFormatting>
  <conditionalFormatting sqref="FA2">
    <cfRule type="cellIs" dxfId="158" priority="28" operator="equal">
      <formula>"OK"</formula>
    </cfRule>
  </conditionalFormatting>
  <conditionalFormatting sqref="FK2">
    <cfRule type="cellIs" dxfId="157" priority="27" operator="equal">
      <formula>"OK"</formula>
    </cfRule>
  </conditionalFormatting>
  <conditionalFormatting sqref="FU2">
    <cfRule type="cellIs" dxfId="156" priority="26" operator="equal">
      <formula>"OK"</formula>
    </cfRule>
  </conditionalFormatting>
  <conditionalFormatting sqref="GE2">
    <cfRule type="cellIs" dxfId="155" priority="25" operator="equal">
      <formula>"OK"</formula>
    </cfRule>
  </conditionalFormatting>
  <conditionalFormatting sqref="GY2">
    <cfRule type="cellIs" dxfId="154" priority="24" operator="equal">
      <formula>"OK"</formula>
    </cfRule>
  </conditionalFormatting>
  <conditionalFormatting sqref="HI2">
    <cfRule type="cellIs" dxfId="153" priority="23" operator="equal">
      <formula>"OK"</formula>
    </cfRule>
  </conditionalFormatting>
  <conditionalFormatting sqref="IC2">
    <cfRule type="cellIs" dxfId="152" priority="22" operator="equal">
      <formula>"OK"</formula>
    </cfRule>
  </conditionalFormatting>
  <conditionalFormatting sqref="HS2">
    <cfRule type="cellIs" dxfId="151" priority="21" operator="equal">
      <formula>"OK"</formula>
    </cfRule>
  </conditionalFormatting>
  <conditionalFormatting sqref="IM2">
    <cfRule type="cellIs" dxfId="150" priority="20" operator="equal">
      <formula>"OK"</formula>
    </cfRule>
  </conditionalFormatting>
  <conditionalFormatting sqref="KU2">
    <cfRule type="cellIs" dxfId="149" priority="17" operator="equal">
      <formula>"OK"</formula>
    </cfRule>
  </conditionalFormatting>
  <conditionalFormatting sqref="CI2">
    <cfRule type="cellIs" dxfId="148" priority="16" operator="equal">
      <formula>"OK"</formula>
    </cfRule>
  </conditionalFormatting>
  <conditionalFormatting sqref="GO2">
    <cfRule type="cellIs" dxfId="147" priority="15" operator="equal">
      <formula>"OK"</formula>
    </cfRule>
  </conditionalFormatting>
  <conditionalFormatting sqref="S10:S31">
    <cfRule type="cellIs" dxfId="146" priority="13" operator="equal">
      <formula>"OK"</formula>
    </cfRule>
  </conditionalFormatting>
  <conditionalFormatting sqref="D10:D31">
    <cfRule type="cellIs" dxfId="145" priority="12" operator="equal">
      <formula>"OK"</formula>
    </cfRule>
  </conditionalFormatting>
  <conditionalFormatting sqref="D7">
    <cfRule type="cellIs" dxfId="144" priority="11" operator="equal">
      <formula>"OK"</formula>
    </cfRule>
  </conditionalFormatting>
  <conditionalFormatting sqref="A1">
    <cfRule type="cellIs" dxfId="143" priority="10" operator="equal">
      <formula>"OK"</formula>
    </cfRule>
  </conditionalFormatting>
  <conditionalFormatting sqref="X10:X31">
    <cfRule type="cellIs" dxfId="142" priority="9" operator="equal">
      <formula>"OK"</formula>
    </cfRule>
  </conditionalFormatting>
  <conditionalFormatting sqref="X7">
    <cfRule type="cellIs" dxfId="141" priority="7" operator="equal">
      <formula>"OK"</formula>
    </cfRule>
  </conditionalFormatting>
  <conditionalFormatting sqref="X11:X31">
    <cfRule type="cellIs" dxfId="140" priority="8" operator="equal">
      <formula>"OK"</formula>
    </cfRule>
  </conditionalFormatting>
  <conditionalFormatting sqref="IW2">
    <cfRule type="cellIs" dxfId="139" priority="6" operator="equal">
      <formula>"OK"</formula>
    </cfRule>
  </conditionalFormatting>
  <conditionalFormatting sqref="JG2">
    <cfRule type="cellIs" dxfId="138" priority="4" operator="equal">
      <formula>"OK"</formula>
    </cfRule>
  </conditionalFormatting>
  <conditionalFormatting sqref="JQ2">
    <cfRule type="cellIs" dxfId="137" priority="3" operator="equal">
      <formula>"OK"</formula>
    </cfRule>
  </conditionalFormatting>
  <conditionalFormatting sqref="KK2">
    <cfRule type="cellIs" dxfId="136" priority="2" operator="equal">
      <formula>"OK"</formula>
    </cfRule>
  </conditionalFormatting>
  <conditionalFormatting sqref="KA2">
    <cfRule type="cellIs" dxfId="135" priority="1" operator="equal">
      <formula>"OK"</formula>
    </cfRule>
  </conditionalFormatting>
  <conditionalFormatting sqref="H1:J1">
    <cfRule type="expression" dxfId="134" priority="76">
      <formula>$C1048568&lt;&gt;""</formula>
    </cfRule>
  </conditionalFormatting>
  <pageMargins left="0.7" right="0.7" top="0.75" bottom="0.75" header="0.3" footer="0.3"/>
  <pageSetup paperSize="9" orientation="portrait" r:id="rId1"/>
  <drawing r:id="rId2"/>
  <legacyDrawing r:id="rId3"/>
  <tableParts count="1">
    <tablePart r:id="rId4"/>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Feuil6"/>
  <dimension ref="A1:AG44"/>
  <sheetViews>
    <sheetView zoomScale="80" zoomScaleNormal="80" workbookViewId="0">
      <selection activeCell="G37" sqref="G37"/>
    </sheetView>
  </sheetViews>
  <sheetFormatPr baseColWidth="10" defaultRowHeight="15" x14ac:dyDescent="0.25"/>
  <cols>
    <col min="1" max="1" width="7.7109375" style="33" customWidth="1"/>
    <col min="3" max="3" width="6.5703125" bestFit="1" customWidth="1"/>
    <col min="4" max="4" width="5" customWidth="1"/>
    <col min="5" max="5" width="8.28515625" customWidth="1"/>
    <col min="6" max="6" width="52.5703125" customWidth="1"/>
    <col min="7" max="7" width="7.85546875" customWidth="1"/>
    <col min="8" max="8" width="10.28515625" customWidth="1"/>
    <col min="9" max="9" width="11.7109375" bestFit="1" customWidth="1"/>
    <col min="10" max="12" width="11.7109375" customWidth="1"/>
    <col min="13" max="13" width="12" bestFit="1" customWidth="1"/>
    <col min="14" max="14" width="10.5703125" customWidth="1"/>
    <col min="15" max="15" width="11.85546875" customWidth="1"/>
    <col min="16" max="16" width="10.7109375" customWidth="1"/>
    <col min="17" max="17" width="11" customWidth="1"/>
    <col min="18" max="18" width="10.140625" bestFit="1" customWidth="1"/>
    <col min="19" max="20" width="6.7109375" customWidth="1"/>
    <col min="21" max="21" width="9.42578125" customWidth="1"/>
    <col min="22" max="22" width="9.140625" bestFit="1" customWidth="1"/>
    <col min="23" max="23" width="10.140625" bestFit="1" customWidth="1"/>
    <col min="24" max="24" width="11.7109375" bestFit="1" customWidth="1"/>
    <col min="25" max="26" width="9.140625" bestFit="1" customWidth="1"/>
    <col min="27" max="29" width="5" customWidth="1"/>
    <col min="30" max="30" width="7.85546875" customWidth="1"/>
    <col min="31" max="31" width="8.5703125" customWidth="1"/>
    <col min="32" max="32" width="7.5703125" customWidth="1"/>
    <col min="33" max="33" width="10.85546875" bestFit="1" customWidth="1"/>
  </cols>
  <sheetData>
    <row r="1" spans="1:33" s="33" customFormat="1" ht="16.5" customHeight="1" x14ac:dyDescent="0.25">
      <c r="A1" s="729" t="str">
        <f>IF(AND(L2="OK",Z3="OK"),"OK","KO")</f>
        <v>OK</v>
      </c>
      <c r="AE1" s="504"/>
      <c r="AF1" s="504"/>
    </row>
    <row r="2" spans="1:33" x14ac:dyDescent="0.25">
      <c r="B2" s="33"/>
      <c r="C2" s="33"/>
      <c r="D2" s="33"/>
      <c r="E2" s="33"/>
      <c r="F2" s="33"/>
      <c r="G2" s="33"/>
      <c r="H2" s="1110" t="s">
        <v>346</v>
      </c>
      <c r="I2" s="1111"/>
      <c r="J2" s="1111"/>
      <c r="K2" s="1112"/>
      <c r="L2" s="158" t="str">
        <f>IF(N2=L3,"OK","KO")</f>
        <v>OK</v>
      </c>
      <c r="M2" s="732" t="s">
        <v>414</v>
      </c>
      <c r="N2" s="733">
        <f>Recap!I36</f>
        <v>0</v>
      </c>
      <c r="O2" s="545"/>
      <c r="P2" s="33"/>
      <c r="Q2" s="33"/>
      <c r="R2" s="33"/>
      <c r="S2" s="33"/>
      <c r="T2" s="33"/>
      <c r="U2" s="33"/>
      <c r="V2" s="33"/>
      <c r="W2" s="33"/>
      <c r="X2" s="33"/>
      <c r="Y2" s="33"/>
      <c r="Z2" s="33"/>
      <c r="AA2" s="33"/>
      <c r="AB2" s="33"/>
      <c r="AC2" s="33"/>
      <c r="AD2" s="33"/>
      <c r="AE2" s="33"/>
      <c r="AF2" s="33"/>
      <c r="AG2" s="33"/>
    </row>
    <row r="3" spans="1:33" x14ac:dyDescent="0.25">
      <c r="B3" s="33"/>
      <c r="C3" s="33"/>
      <c r="D3" s="33"/>
      <c r="E3" s="534"/>
      <c r="F3" s="536" t="s">
        <v>311</v>
      </c>
      <c r="G3" s="535"/>
      <c r="H3" s="460">
        <v>1</v>
      </c>
      <c r="I3" s="542">
        <f>INDEX(Recap_Lifting,$H$3,I$4)</f>
        <v>9</v>
      </c>
      <c r="J3" s="542">
        <f>INDEX(Recap_Lifting,$H$3,J$4)</f>
        <v>1.5</v>
      </c>
      <c r="K3" s="543">
        <f>INDEX(Recap_Lifting,$H$3,K$4)</f>
        <v>7.9</v>
      </c>
      <c r="L3" s="546">
        <f>SUMIF(Tbl_Lifting[Weight Fact],"&lt;&gt;#N/A")</f>
        <v>0</v>
      </c>
      <c r="M3" s="1116" t="s">
        <v>225</v>
      </c>
      <c r="N3" s="1116"/>
      <c r="O3" s="1117"/>
      <c r="P3" s="1078" t="s">
        <v>0</v>
      </c>
      <c r="Q3" s="1079"/>
      <c r="R3" s="1079"/>
      <c r="S3" s="1079"/>
      <c r="T3" s="1079"/>
      <c r="U3" s="1079"/>
      <c r="V3" s="1079"/>
      <c r="W3" s="1079"/>
      <c r="X3" s="1079"/>
      <c r="Y3" s="1079"/>
      <c r="Z3" s="848" t="str">
        <f>IF(COUNTIF(Tbl_Lifting[Repart position],"OK")=COUNTA(Tbl_Lifting[Repart position]),"OK","KO")</f>
        <v>OK</v>
      </c>
      <c r="AA3" s="33"/>
      <c r="AB3" s="33"/>
      <c r="AC3" s="33"/>
      <c r="AD3" s="33"/>
      <c r="AE3" s="33"/>
      <c r="AF3" s="33"/>
    </row>
    <row r="4" spans="1:33" x14ac:dyDescent="0.25">
      <c r="B4" s="33"/>
      <c r="C4" s="33"/>
      <c r="D4" s="33"/>
      <c r="E4" s="460"/>
      <c r="F4" s="463">
        <v>2</v>
      </c>
      <c r="G4" s="516"/>
      <c r="H4" s="460">
        <v>9</v>
      </c>
      <c r="I4" s="461">
        <v>10</v>
      </c>
      <c r="J4" s="461">
        <v>11</v>
      </c>
      <c r="K4" s="518">
        <v>12</v>
      </c>
      <c r="L4" s="77"/>
      <c r="M4" s="1091" t="s">
        <v>3</v>
      </c>
      <c r="N4" s="1092"/>
      <c r="O4" s="1093"/>
      <c r="P4" s="125"/>
      <c r="Q4" s="1076" t="s">
        <v>150</v>
      </c>
      <c r="R4" s="1077"/>
      <c r="S4" s="1074" t="s">
        <v>149</v>
      </c>
      <c r="T4" s="1075"/>
      <c r="U4" s="78" t="s">
        <v>151</v>
      </c>
      <c r="V4" s="1080" t="s">
        <v>219</v>
      </c>
      <c r="W4" s="1081"/>
      <c r="X4" s="146" t="s">
        <v>152</v>
      </c>
      <c r="Y4" s="1094" t="s">
        <v>151</v>
      </c>
      <c r="Z4" s="1077"/>
      <c r="AA4" s="33"/>
      <c r="AB4" s="33"/>
    </row>
    <row r="5" spans="1:33" ht="30" x14ac:dyDescent="0.25">
      <c r="B5" s="33"/>
      <c r="C5" s="33"/>
      <c r="D5" s="33"/>
      <c r="E5" s="521" t="s">
        <v>179</v>
      </c>
      <c r="F5" s="455" t="s">
        <v>13</v>
      </c>
      <c r="G5" s="538" t="s">
        <v>308</v>
      </c>
      <c r="H5" s="540" t="s">
        <v>336</v>
      </c>
      <c r="I5" s="488" t="s">
        <v>337</v>
      </c>
      <c r="J5" s="488" t="s">
        <v>338</v>
      </c>
      <c r="K5" s="488" t="s">
        <v>339</v>
      </c>
      <c r="L5" s="81" t="s">
        <v>195</v>
      </c>
      <c r="M5" s="88" t="s">
        <v>7</v>
      </c>
      <c r="N5" s="89" t="s">
        <v>8</v>
      </c>
      <c r="O5" s="89" t="s">
        <v>9</v>
      </c>
      <c r="P5" s="92" t="s">
        <v>161</v>
      </c>
      <c r="Q5" s="92" t="s">
        <v>198</v>
      </c>
      <c r="R5" s="93" t="s">
        <v>199</v>
      </c>
      <c r="S5" s="90" t="s">
        <v>196</v>
      </c>
      <c r="T5" s="91" t="s">
        <v>197</v>
      </c>
      <c r="U5" s="92" t="s">
        <v>183</v>
      </c>
      <c r="V5" s="126" t="s">
        <v>217</v>
      </c>
      <c r="W5" s="127" t="s">
        <v>218</v>
      </c>
      <c r="X5" s="128" t="s">
        <v>153</v>
      </c>
      <c r="Y5" s="92" t="s">
        <v>224</v>
      </c>
      <c r="Z5" s="847" t="s">
        <v>428</v>
      </c>
      <c r="AA5" s="33"/>
      <c r="AB5" s="33"/>
    </row>
    <row r="6" spans="1:33" x14ac:dyDescent="0.25">
      <c r="B6" s="33"/>
      <c r="C6" s="33"/>
      <c r="D6" s="33"/>
      <c r="E6" s="520">
        <f>IF(ISNUMBER($E5),E5+1,0)</f>
        <v>0</v>
      </c>
      <c r="F6" s="519" t="str">
        <f>INDEX(INDEX(Recap_Lifting,,F$4),Tbl_Lifting[[#This Row],[Recap Row]])</f>
        <v>Crane SL6000</v>
      </c>
      <c r="G6" s="539">
        <f>MATCH(Tbl_Lifting[[#This Row],[Index]],INDEX(Recap_Lifting,,1),0)</f>
        <v>1</v>
      </c>
      <c r="H6" s="541">
        <f>INDEX(INDEX(Recap_Lifting,,H$4),Tbl_Lifting[[#This Row],[Recap Row]])</f>
        <v>0</v>
      </c>
      <c r="I6" s="522">
        <f>INDEX(INDEX(Recap_Lifting,,I$4),Tbl_Lifting[[#This Row],[Recap Row]])</f>
        <v>9</v>
      </c>
      <c r="J6" s="522">
        <f>INDEX(INDEX(Recap_Lifting,,J$4),Tbl_Lifting[[#This Row],[Recap Row]])</f>
        <v>1.5</v>
      </c>
      <c r="K6" s="522">
        <f>INDEX(INDEX(Recap_Lifting,,K$4),Tbl_Lifting[[#This Row],[Recap Row]])</f>
        <v>7.9</v>
      </c>
      <c r="L6" s="103">
        <f>Tbl_Lifting[[#This Row],[Recap Weight]]</f>
        <v>0</v>
      </c>
      <c r="M6" s="427">
        <f>Tbl_Lifting[[#This Row],[Recap X]]</f>
        <v>9</v>
      </c>
      <c r="N6" s="428">
        <f>Tbl_Lifting[[#This Row],[Recap Y]]</f>
        <v>1.5</v>
      </c>
      <c r="O6" s="429">
        <f>Tbl_Lifting[[#This Row],[Recap Z]]</f>
        <v>7.9</v>
      </c>
      <c r="P6" s="438">
        <f>Lifting_Track_Length</f>
        <v>10</v>
      </c>
      <c r="Q6" s="437" t="str">
        <f>IF(Tbl_Lifting[[#This Row],[Weight Fact]],$I$3-Tbl_Lifting[[#This Row],[Distrib]]/2,"")</f>
        <v/>
      </c>
      <c r="R6" s="439" t="str">
        <f>IF(Tbl_Lifting[[#This Row],[Weight Fact]],$I$3+Tbl_Lifting[[#This Row],[Distrib]]/2,"")</f>
        <v/>
      </c>
      <c r="S6" s="440" t="str">
        <f>IF(Tbl_Lifting[[#This Row],[Weight Fact]],ROUND(Tbl_Lifting[[#This Row],[AP from]]/FE_size,0),"")</f>
        <v/>
      </c>
      <c r="T6" s="441" t="str">
        <f>IF(Tbl_Lifting[[#This Row],[Weight Fact]],ROUND(Tbl_Lifting[[#This Row],[AP to]]/FE_size,0),"")</f>
        <v/>
      </c>
      <c r="U6" s="114" t="str">
        <f>IF(Tbl_Lifting[[#This Row],[Weight Fact]]=0,"",IF(AND(Tbl_Lifting[[#This Row],[COG x ]]&gt;=(Tbl_Lifting[[#This Row],[L to]]-Tbl_Lifting[[#This Row],[L from]])/3+Tbl_Lifting[[#This Row],[L from]],Tbl_Lifting[[#This Row],[COG x ]]&lt;=(Tbl_Lifting[[#This Row],[L to]]-Tbl_Lifting[[#This Row],[L from]])*2/3+Tbl_Lifting[[#This Row],[L from]],Tbl_Lifting[[#This Row],[L to]]&gt;Tbl_Lifting[[#This Row],[L from]]),"OK","KO"))</f>
        <v/>
      </c>
      <c r="V6" s="442" t="str">
        <f>IF(Tbl_Lifting[[#This Row],[Weight Fact]],IF(Tbl_Lifting[[#This Row],[Fr from]]*FE_size&lt;0,0,Tbl_Lifting[[#This Row],[Fr from]]*FE_size),"")</f>
        <v/>
      </c>
      <c r="W6" s="443" t="str">
        <f>IF(Tbl_Lifting[[#This Row],[Weight Fact]],IF(Tbl_Lifting[[#This Row],[Fr to]]*FE_size=Tbl_Lifting[[#This Row],[L from]],Tbl_Lifting[[#This Row],[L from]]+FE_size,IF(Tbl_Lifting[[#This Row],[Fr to]]*FE_size&gt;Lpp,Lpp,Tbl_Lifting[[#This Row],[Fr to]]*FE_size)),"")</f>
        <v/>
      </c>
      <c r="X6" s="444" t="str">
        <f>IFERROR(Tbl_Lifting[[#This Row],[Weight Fact]]/(Tbl_Lifting[[#This Row],[L to]]-Tbl_Lifting[[#This Row],[L from]]),"")</f>
        <v/>
      </c>
      <c r="Y6" s="145" t="str">
        <f>IF(Tbl_Lifting[[#This Row],[Weight Fact]],Tbl_Lifting[[#This Row],[Spread]]*(Tbl_Lifting[[#This Row],[L to]]-Tbl_Lifting[[#This Row],[L from]])-Tbl_Lifting[[#This Row],[Weight Fact]],"")</f>
        <v/>
      </c>
      <c r="Z6" s="141" t="str">
        <f>IF(AND(ISNUMBER(Tbl_Lifting[[#This Row],[L from]]),ISNUMBER(Tbl_Lifting[[#This Row],[L to]])),IF(AND(Tbl_Lifting[[#This Row],[L from]]&gt;=0,Tbl_Lifting[[#This Row],[L to]]&lt;=Lpp),"OK","KO"),"OK")</f>
        <v>OK</v>
      </c>
      <c r="AA6" s="33"/>
      <c r="AB6" s="33"/>
    </row>
    <row r="7" spans="1:33" x14ac:dyDescent="0.25">
      <c r="B7" s="33"/>
      <c r="C7" s="33"/>
      <c r="D7" s="33"/>
      <c r="E7" s="520">
        <f>IF(ISNUMBER($E6),E6+1,0)</f>
        <v>1</v>
      </c>
      <c r="F7" s="519" t="str">
        <f>INDEX(INDEX(Recap_Lifting,,F$4),Tbl_Lifting[[#This Row],[Recap Row]])</f>
        <v>Crane Load position 1 (Lift Longi)</v>
      </c>
      <c r="G7" s="539">
        <f>MATCH(Tbl_Lifting[[#This Row],[Index]],INDEX(Recap_Lifting,,1),0)</f>
        <v>2</v>
      </c>
      <c r="H7" s="541">
        <f>INDEX(INDEX(Recap_Lifting,,H$4),Tbl_Lifting[[#This Row],[Recap Row]])</f>
        <v>0</v>
      </c>
      <c r="I7" s="522">
        <f>INDEX(INDEX(Recap_Lifting,,I$4),Tbl_Lifting[[#This Row],[Recap Row]])</f>
        <v>-15</v>
      </c>
      <c r="J7" s="522">
        <f>INDEX(INDEX(Recap_Lifting,,J$4),Tbl_Lifting[[#This Row],[Recap Row]])</f>
        <v>7</v>
      </c>
      <c r="K7" s="523">
        <f>INDEX(INDEX(Recap_Lifting,,K$4),Tbl_Lifting[[#This Row],[Recap Row]])</f>
        <v>43.9</v>
      </c>
      <c r="L7" s="103">
        <f>Tbl_Lifting[[#This Row],[Recap Weight]]</f>
        <v>0</v>
      </c>
      <c r="M7" s="427">
        <f>Tbl_Lifting[[#This Row],[Recap X]]</f>
        <v>-15</v>
      </c>
      <c r="N7" s="428">
        <f>Tbl_Lifting[[#This Row],[Recap Y]]</f>
        <v>7</v>
      </c>
      <c r="O7" s="429">
        <f>Tbl_Lifting[[#This Row],[Recap Z]]</f>
        <v>43.9</v>
      </c>
      <c r="P7" s="438">
        <f>Lifting_Track_Length</f>
        <v>10</v>
      </c>
      <c r="Q7" s="437" t="str">
        <f>IF(Tbl_Lifting[[#This Row],[Weight Fact]],$I$3-Tbl_Lifting[[#This Row],[Distrib]]/2,"")</f>
        <v/>
      </c>
      <c r="R7" s="439" t="str">
        <f>IF(Tbl_Lifting[[#This Row],[Weight Fact]],$I$3+Tbl_Lifting[[#This Row],[Distrib]]/2,"")</f>
        <v/>
      </c>
      <c r="S7" s="440" t="str">
        <f>IF(Tbl_Lifting[[#This Row],[Weight Fact]],ROUND(Tbl_Lifting[[#This Row],[AP from]]/FE_size,0),"")</f>
        <v/>
      </c>
      <c r="T7" s="441" t="str">
        <f>IF(Tbl_Lifting[[#This Row],[Weight Fact]],ROUND(Tbl_Lifting[[#This Row],[AP to]]/FE_size,0),"")</f>
        <v/>
      </c>
      <c r="U7" s="114" t="str">
        <f>IF(Tbl_Lifting[[#This Row],[Weight Fact]]=0,"",IF(AND(Tbl_Lifting[[#This Row],[COG x ]]&gt;=(Tbl_Lifting[[#This Row],[L to]]-Tbl_Lifting[[#This Row],[L from]])/3+Tbl_Lifting[[#This Row],[L from]],Tbl_Lifting[[#This Row],[COG x ]]&lt;=(Tbl_Lifting[[#This Row],[L to]]-Tbl_Lifting[[#This Row],[L from]])*2/3+Tbl_Lifting[[#This Row],[L from]],Tbl_Lifting[[#This Row],[L to]]&gt;Tbl_Lifting[[#This Row],[L from]]),"OK","KO"))</f>
        <v/>
      </c>
      <c r="V7" s="442" t="str">
        <f>IF(Tbl_Lifting[[#This Row],[Weight Fact]],IF(Tbl_Lifting[[#This Row],[Fr from]]*FE_size&lt;0,0,Tbl_Lifting[[#This Row],[Fr from]]*FE_size),"")</f>
        <v/>
      </c>
      <c r="W7" s="443" t="str">
        <f>IF(Tbl_Lifting[[#This Row],[Weight Fact]],IF(Tbl_Lifting[[#This Row],[Fr to]]*FE_size=Tbl_Lifting[[#This Row],[L from]],Tbl_Lifting[[#This Row],[L from]]+FE_size,IF(Tbl_Lifting[[#This Row],[Fr to]]*FE_size&gt;Lpp,Lpp,Tbl_Lifting[[#This Row],[Fr to]]*FE_size)),"")</f>
        <v/>
      </c>
      <c r="X7" s="444" t="str">
        <f>IFERROR(Tbl_Lifting[[#This Row],[Weight Fact]]/(Tbl_Lifting[[#This Row],[L to]]-Tbl_Lifting[[#This Row],[L from]]),"")</f>
        <v/>
      </c>
      <c r="Y7" s="145" t="str">
        <f>IF(Tbl_Lifting[[#This Row],[Weight Fact]],Tbl_Lifting[[#This Row],[Spread]]*(Tbl_Lifting[[#This Row],[L to]]-Tbl_Lifting[[#This Row],[L from]])-Tbl_Lifting[[#This Row],[Weight Fact]],"")</f>
        <v/>
      </c>
      <c r="Z7" s="141" t="str">
        <f>IF(AND(ISNUMBER(Tbl_Lifting[[#This Row],[L from]]),ISNUMBER(Tbl_Lifting[[#This Row],[L to]])),IF(AND(Tbl_Lifting[[#This Row],[L from]]&gt;=0,Tbl_Lifting[[#This Row],[L to]]&lt;=Lpp),"OK","KO"),"OK")</f>
        <v>OK</v>
      </c>
      <c r="AA7" s="33"/>
      <c r="AB7" s="33"/>
    </row>
    <row r="8" spans="1:33" x14ac:dyDescent="0.25">
      <c r="B8" s="33"/>
      <c r="C8" s="33"/>
      <c r="D8" s="33"/>
      <c r="E8" s="520">
        <f>IF(ISNUMBER($E7),E7+1,0)</f>
        <v>2</v>
      </c>
      <c r="F8" s="519" t="str">
        <f>INDEX(INDEX(Recap_Lifting,,F$4),Tbl_Lifting[[#This Row],[Recap Row]])</f>
        <v>Crane Load position 2 (Install longi)</v>
      </c>
      <c r="G8" s="539">
        <f>MATCH(Tbl_Lifting[[#This Row],[Index]],INDEX(Recap_Lifting,,1),0)</f>
        <v>3</v>
      </c>
      <c r="H8" s="541">
        <f>INDEX(INDEX(Recap_Lifting,,H$4),Tbl_Lifting[[#This Row],[Recap Row]])</f>
        <v>0</v>
      </c>
      <c r="I8" s="522">
        <f>INDEX(INDEX(Recap_Lifting,,I$4),Tbl_Lifting[[#This Row],[Recap Row]])</f>
        <v>22.5</v>
      </c>
      <c r="J8" s="522">
        <f>INDEX(INDEX(Recap_Lifting,,J$4),Tbl_Lifting[[#This Row],[Recap Row]])</f>
        <v>26.5</v>
      </c>
      <c r="K8" s="523">
        <f>INDEX(INDEX(Recap_Lifting,,K$4),Tbl_Lifting[[#This Row],[Recap Row]])</f>
        <v>43.9</v>
      </c>
      <c r="L8" s="103">
        <f>Tbl_Lifting[[#This Row],[Recap Weight]]</f>
        <v>0</v>
      </c>
      <c r="M8" s="427">
        <f>Tbl_Lifting[[#This Row],[Recap X]]</f>
        <v>22.5</v>
      </c>
      <c r="N8" s="428">
        <f>Tbl_Lifting[[#This Row],[Recap Y]]</f>
        <v>26.5</v>
      </c>
      <c r="O8" s="429">
        <f>Tbl_Lifting[[#This Row],[Recap Z]]</f>
        <v>43.9</v>
      </c>
      <c r="P8" s="438">
        <f>Lifting_Track_Length</f>
        <v>10</v>
      </c>
      <c r="Q8" s="437" t="str">
        <f>IF(Tbl_Lifting[[#This Row],[Weight Fact]],$I$3-Tbl_Lifting[[#This Row],[Distrib]]/2,"")</f>
        <v/>
      </c>
      <c r="R8" s="439" t="str">
        <f>IF(Tbl_Lifting[[#This Row],[Weight Fact]],$I$3+Tbl_Lifting[[#This Row],[Distrib]]/2,"")</f>
        <v/>
      </c>
      <c r="S8" s="440" t="str">
        <f>IF(Tbl_Lifting[[#This Row],[Weight Fact]],ROUND(Tbl_Lifting[[#This Row],[AP from]]/FE_size,0),"")</f>
        <v/>
      </c>
      <c r="T8" s="441" t="str">
        <f>IF(Tbl_Lifting[[#This Row],[Weight Fact]],ROUND(Tbl_Lifting[[#This Row],[AP to]]/FE_size,0),"")</f>
        <v/>
      </c>
      <c r="U8" s="114" t="str">
        <f>IF(Tbl_Lifting[[#This Row],[Weight Fact]]=0,"",IF(AND(Tbl_Lifting[[#This Row],[COG x ]]&gt;=(Tbl_Lifting[[#This Row],[L to]]-Tbl_Lifting[[#This Row],[L from]])/3+Tbl_Lifting[[#This Row],[L from]],Tbl_Lifting[[#This Row],[COG x ]]&lt;=(Tbl_Lifting[[#This Row],[L to]]-Tbl_Lifting[[#This Row],[L from]])*2/3+Tbl_Lifting[[#This Row],[L from]],Tbl_Lifting[[#This Row],[L to]]&gt;Tbl_Lifting[[#This Row],[L from]]),"OK","KO"))</f>
        <v/>
      </c>
      <c r="V8" s="442" t="str">
        <f>IF(Tbl_Lifting[[#This Row],[Weight Fact]],IF(Tbl_Lifting[[#This Row],[Fr from]]*FE_size&lt;0,0,Tbl_Lifting[[#This Row],[Fr from]]*FE_size),"")</f>
        <v/>
      </c>
      <c r="W8" s="443" t="str">
        <f>IF(Tbl_Lifting[[#This Row],[Weight Fact]],IF(Tbl_Lifting[[#This Row],[Fr to]]*FE_size=Tbl_Lifting[[#This Row],[L from]],Tbl_Lifting[[#This Row],[L from]]+FE_size,IF(Tbl_Lifting[[#This Row],[Fr to]]*FE_size&gt;Lpp,Lpp,Tbl_Lifting[[#This Row],[Fr to]]*FE_size)),"")</f>
        <v/>
      </c>
      <c r="X8" s="444" t="str">
        <f>IFERROR(Tbl_Lifting[[#This Row],[Weight Fact]]/(Tbl_Lifting[[#This Row],[L to]]-Tbl_Lifting[[#This Row],[L from]]),"")</f>
        <v/>
      </c>
      <c r="Y8" s="145" t="str">
        <f>IF(Tbl_Lifting[[#This Row],[Weight Fact]],Tbl_Lifting[[#This Row],[Spread]]*(Tbl_Lifting[[#This Row],[L to]]-Tbl_Lifting[[#This Row],[L from]])-Tbl_Lifting[[#This Row],[Weight Fact]],"")</f>
        <v/>
      </c>
      <c r="Z8" s="141" t="str">
        <f>IF(AND(ISNUMBER(Tbl_Lifting[[#This Row],[L from]]),ISNUMBER(Tbl_Lifting[[#This Row],[L to]])),IF(AND(Tbl_Lifting[[#This Row],[L from]]&gt;=0,Tbl_Lifting[[#This Row],[L to]]&lt;=Lpp),"OK","KO"),"OK")</f>
        <v>OK</v>
      </c>
      <c r="AA8" s="33"/>
      <c r="AB8" s="33"/>
    </row>
    <row r="9" spans="1:33" x14ac:dyDescent="0.25">
      <c r="B9" s="33"/>
      <c r="C9" s="33"/>
      <c r="D9" s="33"/>
      <c r="E9" s="520">
        <f>IF(ISNUMBER($E8),E8+1,0)</f>
        <v>3</v>
      </c>
      <c r="F9" s="519" t="str">
        <f>INDEX(INDEX(Recap_Lifting,,F$4),Tbl_Lifting[[#This Row],[Recap Row]])</f>
        <v>Crane Load Position 3 (Install cap beam)</v>
      </c>
      <c r="G9" s="539">
        <f>MATCH(Tbl_Lifting[[#This Row],[Index]],INDEX(Recap_Lifting,,1),0)</f>
        <v>4</v>
      </c>
      <c r="H9" s="541">
        <f>INDEX(INDEX(Recap_Lifting,,H$4),Tbl_Lifting[[#This Row],[Recap Row]])</f>
        <v>0</v>
      </c>
      <c r="I9" s="522">
        <f>INDEX(INDEX(Recap_Lifting,,I$4),Tbl_Lifting[[#This Row],[Recap Row]])</f>
        <v>-6</v>
      </c>
      <c r="J9" s="522">
        <f>INDEX(INDEX(Recap_Lifting,,J$4),Tbl_Lifting[[#This Row],[Recap Row]])</f>
        <v>22.4</v>
      </c>
      <c r="K9" s="523">
        <f>INDEX(INDEX(Recap_Lifting,,K$4),Tbl_Lifting[[#This Row],[Recap Row]])</f>
        <v>43.9</v>
      </c>
      <c r="L9" s="103">
        <f>Tbl_Lifting[[#This Row],[Recap Weight]]</f>
        <v>0</v>
      </c>
      <c r="M9" s="427">
        <f>Tbl_Lifting[[#This Row],[Recap X]]</f>
        <v>-6</v>
      </c>
      <c r="N9" s="428">
        <f>Tbl_Lifting[[#This Row],[Recap Y]]</f>
        <v>22.4</v>
      </c>
      <c r="O9" s="429">
        <f>Tbl_Lifting[[#This Row],[Recap Z]]</f>
        <v>43.9</v>
      </c>
      <c r="P9" s="438">
        <f>Lifting_Track_Length</f>
        <v>10</v>
      </c>
      <c r="Q9" s="437" t="str">
        <f>IF(Tbl_Lifting[[#This Row],[Weight Fact]],$I$3-Tbl_Lifting[[#This Row],[Distrib]]/2,"")</f>
        <v/>
      </c>
      <c r="R9" s="439" t="str">
        <f>IF(Tbl_Lifting[[#This Row],[Weight Fact]],$I$3+Tbl_Lifting[[#This Row],[Distrib]]/2,"")</f>
        <v/>
      </c>
      <c r="S9" s="440" t="str">
        <f>IF(Tbl_Lifting[[#This Row],[Weight Fact]],ROUND(Tbl_Lifting[[#This Row],[AP from]]/FE_size,0),"")</f>
        <v/>
      </c>
      <c r="T9" s="441" t="str">
        <f>IF(Tbl_Lifting[[#This Row],[Weight Fact]],ROUND(Tbl_Lifting[[#This Row],[AP to]]/FE_size,0),"")</f>
        <v/>
      </c>
      <c r="U9" s="114" t="str">
        <f>IF(Tbl_Lifting[[#This Row],[Weight Fact]]=0,"",IF(AND(Tbl_Lifting[[#This Row],[COG x ]]&gt;=(Tbl_Lifting[[#This Row],[L to]]-Tbl_Lifting[[#This Row],[L from]])/3+Tbl_Lifting[[#This Row],[L from]],Tbl_Lifting[[#This Row],[COG x ]]&lt;=(Tbl_Lifting[[#This Row],[L to]]-Tbl_Lifting[[#This Row],[L from]])*2/3+Tbl_Lifting[[#This Row],[L from]],Tbl_Lifting[[#This Row],[L to]]&gt;Tbl_Lifting[[#This Row],[L from]]),"OK","KO"))</f>
        <v/>
      </c>
      <c r="V9" s="442" t="str">
        <f>IF(Tbl_Lifting[[#This Row],[Weight Fact]],IF(Tbl_Lifting[[#This Row],[Fr from]]*FE_size&lt;0,0,Tbl_Lifting[[#This Row],[Fr from]]*FE_size),"")</f>
        <v/>
      </c>
      <c r="W9" s="443" t="str">
        <f>IF(Tbl_Lifting[[#This Row],[Weight Fact]],IF(Tbl_Lifting[[#This Row],[Fr to]]*FE_size=Tbl_Lifting[[#This Row],[L from]],Tbl_Lifting[[#This Row],[L from]]+FE_size,IF(Tbl_Lifting[[#This Row],[Fr to]]*FE_size&gt;Lpp,Lpp,Tbl_Lifting[[#This Row],[Fr to]]*FE_size)),"")</f>
        <v/>
      </c>
      <c r="X9" s="444" t="str">
        <f>IFERROR(Tbl_Lifting[[#This Row],[Weight Fact]]/(Tbl_Lifting[[#This Row],[L to]]-Tbl_Lifting[[#This Row],[L from]]),"")</f>
        <v/>
      </c>
      <c r="Y9" s="145" t="str">
        <f>IF(Tbl_Lifting[[#This Row],[Weight Fact]],Tbl_Lifting[[#This Row],[Spread]]*(Tbl_Lifting[[#This Row],[L to]]-Tbl_Lifting[[#This Row],[L from]])-Tbl_Lifting[[#This Row],[Weight Fact]],"")</f>
        <v/>
      </c>
      <c r="Z9" s="141" t="str">
        <f>IF(AND(ISNUMBER(Tbl_Lifting[[#This Row],[L from]]),ISNUMBER(Tbl_Lifting[[#This Row],[L to]])),IF(AND(Tbl_Lifting[[#This Row],[L from]]&gt;=0,Tbl_Lifting[[#This Row],[L to]]&lt;=Lpp),"OK","KO"),"OK")</f>
        <v>OK</v>
      </c>
      <c r="AA9" s="33"/>
      <c r="AB9" s="33"/>
    </row>
    <row r="10" spans="1:33" x14ac:dyDescent="0.25">
      <c r="B10" s="33"/>
      <c r="C10" s="33"/>
      <c r="D10" s="33"/>
      <c r="E10" s="529"/>
      <c r="F10" s="530"/>
      <c r="G10" s="517"/>
      <c r="H10" s="531"/>
      <c r="I10" s="532"/>
      <c r="J10" s="523"/>
      <c r="K10" s="523"/>
      <c r="L10" s="523"/>
      <c r="M10" s="447"/>
      <c r="N10" s="360"/>
      <c r="O10" s="360"/>
      <c r="P10" s="360"/>
      <c r="Q10" s="448"/>
      <c r="R10" s="448"/>
      <c r="S10" s="448"/>
      <c r="T10" s="449"/>
      <c r="U10" s="450"/>
      <c r="W10" s="452"/>
      <c r="X10" s="452"/>
      <c r="Y10" s="453"/>
      <c r="Z10" s="533"/>
      <c r="AA10" s="33"/>
      <c r="AB10" s="33"/>
      <c r="AC10" s="33"/>
    </row>
    <row r="11" spans="1:33" x14ac:dyDescent="0.25">
      <c r="B11" s="33"/>
      <c r="C11" s="33"/>
      <c r="D11" s="33"/>
      <c r="AA11" s="33"/>
      <c r="AB11" s="33"/>
      <c r="AC11" s="33"/>
    </row>
    <row r="12" spans="1:33" x14ac:dyDescent="0.25">
      <c r="B12" s="33"/>
      <c r="C12" s="33"/>
      <c r="D12" s="33"/>
      <c r="AA12" s="33"/>
      <c r="AB12" s="33"/>
      <c r="AC12" s="33"/>
    </row>
    <row r="13" spans="1:33" x14ac:dyDescent="0.25">
      <c r="B13" s="33"/>
      <c r="C13" s="33"/>
      <c r="D13" s="33"/>
      <c r="F13" s="1107" t="s">
        <v>340</v>
      </c>
      <c r="G13" s="1108"/>
      <c r="H13" s="1109"/>
      <c r="AA13" s="33"/>
      <c r="AB13" s="33"/>
      <c r="AC13" s="33"/>
    </row>
    <row r="14" spans="1:33" x14ac:dyDescent="0.25">
      <c r="B14" s="33"/>
      <c r="C14" s="33"/>
      <c r="D14" s="33"/>
      <c r="F14" s="524" t="s">
        <v>341</v>
      </c>
      <c r="G14" s="203">
        <v>3.5</v>
      </c>
      <c r="H14" s="525" t="s">
        <v>12</v>
      </c>
      <c r="AA14" s="33"/>
      <c r="AB14" s="33"/>
      <c r="AC14" s="33"/>
    </row>
    <row r="15" spans="1:33" x14ac:dyDescent="0.25">
      <c r="B15" s="33"/>
      <c r="C15" s="33"/>
      <c r="D15" s="33"/>
      <c r="F15" s="524" t="s">
        <v>342</v>
      </c>
      <c r="G15" s="203">
        <v>0.4</v>
      </c>
      <c r="H15" s="525" t="s">
        <v>12</v>
      </c>
      <c r="AA15" s="33"/>
      <c r="AB15" s="33"/>
      <c r="AC15" s="33"/>
    </row>
    <row r="16" spans="1:33" x14ac:dyDescent="0.25">
      <c r="B16" s="33"/>
      <c r="C16" s="33"/>
      <c r="D16" s="33"/>
      <c r="F16" s="524"/>
      <c r="G16" s="203"/>
      <c r="H16" s="525"/>
      <c r="AA16" s="33"/>
      <c r="AB16" s="33"/>
      <c r="AC16" s="33"/>
    </row>
    <row r="17" spans="2:29" x14ac:dyDescent="0.25">
      <c r="B17" s="33"/>
      <c r="C17" s="33"/>
      <c r="D17" s="33"/>
      <c r="F17" s="524" t="s">
        <v>343</v>
      </c>
      <c r="G17" s="203">
        <v>10</v>
      </c>
      <c r="H17" s="525" t="s">
        <v>12</v>
      </c>
      <c r="AA17" s="33"/>
      <c r="AB17" s="33"/>
      <c r="AC17" s="33"/>
    </row>
    <row r="18" spans="2:29" x14ac:dyDescent="0.25">
      <c r="B18" s="33"/>
      <c r="C18" s="33"/>
      <c r="D18" s="33"/>
      <c r="F18" s="524" t="s">
        <v>344</v>
      </c>
      <c r="G18" s="203">
        <v>84</v>
      </c>
      <c r="H18" s="525" t="s">
        <v>12</v>
      </c>
      <c r="AA18" s="33"/>
      <c r="AB18" s="33"/>
      <c r="AC18" s="33"/>
    </row>
    <row r="19" spans="2:29" x14ac:dyDescent="0.25">
      <c r="B19" s="33"/>
      <c r="C19" s="33"/>
      <c r="D19" s="33"/>
      <c r="F19" s="526"/>
      <c r="G19" s="527"/>
      <c r="H19" s="528"/>
      <c r="AA19" s="33"/>
      <c r="AB19" s="33"/>
      <c r="AC19" s="33"/>
    </row>
    <row r="20" spans="2:29" x14ac:dyDescent="0.25">
      <c r="B20" s="33"/>
      <c r="C20" s="33"/>
      <c r="D20" s="33"/>
      <c r="AA20" s="33"/>
      <c r="AB20" s="33"/>
      <c r="AC20" s="33"/>
    </row>
    <row r="21" spans="2:29" x14ac:dyDescent="0.25">
      <c r="B21" s="1113" t="s">
        <v>184</v>
      </c>
      <c r="C21" s="1114"/>
      <c r="D21" s="1115"/>
      <c r="E21" s="1104" t="s">
        <v>201</v>
      </c>
      <c r="F21" s="1105"/>
      <c r="G21" s="1104" t="s">
        <v>334</v>
      </c>
      <c r="H21" s="1105"/>
      <c r="I21" s="1106"/>
      <c r="AA21" s="33"/>
      <c r="AB21" s="33"/>
      <c r="AC21" s="33"/>
    </row>
    <row r="22" spans="2:29" ht="30" x14ac:dyDescent="0.25">
      <c r="B22" s="505" t="s">
        <v>191</v>
      </c>
      <c r="C22" s="506" t="s">
        <v>187</v>
      </c>
      <c r="D22" s="507" t="s">
        <v>185</v>
      </c>
      <c r="E22" s="508" t="s">
        <v>186</v>
      </c>
      <c r="F22" s="509" t="s">
        <v>4</v>
      </c>
      <c r="G22" s="510" t="s">
        <v>192</v>
      </c>
      <c r="H22" s="511" t="s">
        <v>5</v>
      </c>
      <c r="I22" s="512" t="s">
        <v>193</v>
      </c>
      <c r="AA22" s="33"/>
      <c r="AB22" s="33"/>
      <c r="AC22" s="33"/>
    </row>
    <row r="23" spans="2:29" x14ac:dyDescent="0.25">
      <c r="B23" s="94">
        <f>IF(NOT(ISBLANK(C23)),C23,B22)</f>
        <v>0</v>
      </c>
      <c r="C23" s="514">
        <v>0</v>
      </c>
      <c r="D23" s="513"/>
      <c r="E23" s="213" t="str">
        <f>IF(NOT(ISBLANK(Tbl_Crane[[#This Row],[Num]])),TEXT(Tbl_Crane[[#This Row],[Group]],"00")&amp;"-"&amp;TEXT(Tbl_Crane[[#This Row],[Num]],"000"),"")</f>
        <v/>
      </c>
      <c r="F23" s="218" t="s">
        <v>335</v>
      </c>
      <c r="G23" s="219"/>
      <c r="H23" s="220"/>
      <c r="I23" s="222">
        <f>Tbl_Crane[[#This Row],[Qty]]*Tbl_Crane[[#This Row],[Unitary ]]</f>
        <v>0</v>
      </c>
      <c r="AA23" s="33"/>
      <c r="AB23" s="33"/>
      <c r="AC23" s="33"/>
    </row>
    <row r="24" spans="2:29" x14ac:dyDescent="0.25">
      <c r="B24" s="94">
        <f t="shared" ref="B24:B29" si="0">IF(NOT(ISBLANK(C24)),C24,B23)</f>
        <v>0</v>
      </c>
      <c r="C24" s="515"/>
      <c r="D24" s="513">
        <v>0</v>
      </c>
      <c r="E24" s="213" t="str">
        <f>IF(NOT(ISBLANK(Tbl_Crane[[#This Row],[Num]])),TEXT(Tbl_Crane[[#This Row],[Group]],"00")&amp;"-"&amp;TEXT(Tbl_Crane[[#This Row],[Num]],"000"),"")</f>
        <v>00-000</v>
      </c>
      <c r="F24" s="218" t="s">
        <v>54</v>
      </c>
      <c r="G24" s="219">
        <v>1</v>
      </c>
      <c r="H24" s="220">
        <v>63.53</v>
      </c>
      <c r="I24" s="222">
        <f>Tbl_Crane[[#This Row],[Qty]]*Tbl_Crane[[#This Row],[Unitary ]]</f>
        <v>63.53</v>
      </c>
      <c r="AA24" s="33"/>
      <c r="AB24" s="33"/>
      <c r="AC24" s="33"/>
    </row>
    <row r="25" spans="2:29" x14ac:dyDescent="0.25">
      <c r="B25" s="94">
        <f t="shared" si="0"/>
        <v>0</v>
      </c>
      <c r="C25" s="515"/>
      <c r="D25" s="513">
        <v>1</v>
      </c>
      <c r="E25" s="213" t="str">
        <f>IF(NOT(ISBLANK(Tbl_Crane[[#This Row],[Num]])),TEXT(Tbl_Crane[[#This Row],[Group]],"00")&amp;"-"&amp;TEXT(Tbl_Crane[[#This Row],[Num]],"000"),"")</f>
        <v>00-001</v>
      </c>
      <c r="F25" s="218" t="s">
        <v>55</v>
      </c>
      <c r="G25" s="219">
        <v>2</v>
      </c>
      <c r="H25" s="220">
        <v>40</v>
      </c>
      <c r="I25" s="222">
        <f>Tbl_Crane[[#This Row],[Qty]]*Tbl_Crane[[#This Row],[Unitary ]]</f>
        <v>80</v>
      </c>
      <c r="AA25" s="33"/>
      <c r="AB25" s="33"/>
      <c r="AC25" s="33"/>
    </row>
    <row r="26" spans="2:29" x14ac:dyDescent="0.25">
      <c r="B26" s="94">
        <f t="shared" si="0"/>
        <v>0</v>
      </c>
      <c r="C26" s="515"/>
      <c r="D26" s="513">
        <v>2</v>
      </c>
      <c r="E26" s="213" t="str">
        <f>IF(NOT(ISBLANK(Tbl_Crane[[#This Row],[Num]])),TEXT(Tbl_Crane[[#This Row],[Group]],"00")&amp;"-"&amp;TEXT(Tbl_Crane[[#This Row],[Num]],"000"),"")</f>
        <v>00-002</v>
      </c>
      <c r="F26" s="218" t="s">
        <v>162</v>
      </c>
      <c r="G26" s="219">
        <v>0</v>
      </c>
      <c r="H26" s="220">
        <v>15</v>
      </c>
      <c r="I26" s="222">
        <f>Tbl_Crane[[#This Row],[Qty]]*Tbl_Crane[[#This Row],[Unitary ]]</f>
        <v>0</v>
      </c>
      <c r="AA26" s="33"/>
      <c r="AB26" s="33"/>
      <c r="AC26" s="33"/>
    </row>
    <row r="27" spans="2:29" x14ac:dyDescent="0.25">
      <c r="B27" s="94">
        <f t="shared" si="0"/>
        <v>0</v>
      </c>
      <c r="C27" s="515"/>
      <c r="D27" s="513">
        <v>3</v>
      </c>
      <c r="E27" s="213" t="str">
        <f>IF(NOT(ISBLANK(Tbl_Crane[[#This Row],[Num]])),TEXT(Tbl_Crane[[#This Row],[Group]],"00")&amp;"-"&amp;TEXT(Tbl_Crane[[#This Row],[Num]],"000"),"")</f>
        <v>00-003</v>
      </c>
      <c r="F27" s="218" t="s">
        <v>163</v>
      </c>
      <c r="G27" s="219">
        <v>0</v>
      </c>
      <c r="H27" s="220">
        <v>0.9</v>
      </c>
      <c r="I27" s="222">
        <f>Tbl_Crane[[#This Row],[Qty]]*Tbl_Crane[[#This Row],[Unitary ]]</f>
        <v>0</v>
      </c>
      <c r="AA27" s="33"/>
      <c r="AB27" s="33"/>
      <c r="AC27" s="33"/>
    </row>
    <row r="28" spans="2:29" x14ac:dyDescent="0.25">
      <c r="B28" s="94">
        <f t="shared" si="0"/>
        <v>0</v>
      </c>
      <c r="C28" s="515"/>
      <c r="D28" s="513"/>
      <c r="E28" s="213" t="str">
        <f>IF(NOT(ISBLANK(Tbl_Crane[[#This Row],[Num]])),TEXT(Tbl_Crane[[#This Row],[Group]],"00")&amp;"-"&amp;TEXT(Tbl_Crane[[#This Row],[Num]],"000"),"")</f>
        <v/>
      </c>
      <c r="F28" s="218"/>
      <c r="G28" s="219"/>
      <c r="H28" s="220"/>
      <c r="I28" s="222">
        <f>Tbl_Crane[[#This Row],[Qty]]*Tbl_Crane[[#This Row],[Unitary ]]</f>
        <v>0</v>
      </c>
      <c r="AA28" s="33"/>
      <c r="AB28" s="33"/>
      <c r="AC28" s="33"/>
    </row>
    <row r="29" spans="2:29" x14ac:dyDescent="0.25">
      <c r="B29" s="94">
        <f t="shared" si="0"/>
        <v>0</v>
      </c>
      <c r="C29" s="515"/>
      <c r="D29" s="513">
        <v>4</v>
      </c>
      <c r="E29" s="213" t="str">
        <f>IF(NOT(ISBLANK(Tbl_Crane[[#This Row],[Num]])),TEXT(Tbl_Crane[[#This Row],[Group]],"00")&amp;"-"&amp;TEXT(Tbl_Crane[[#This Row],[Num]],"000"),"")</f>
        <v>00-004</v>
      </c>
      <c r="F29" s="218" t="s">
        <v>52</v>
      </c>
      <c r="G29" s="219">
        <v>1</v>
      </c>
      <c r="H29" s="220">
        <v>200</v>
      </c>
      <c r="I29" s="222">
        <f>Tbl_Crane[[#This Row],[Qty]]*Tbl_Crane[[#This Row],[Unitary ]]</f>
        <v>200</v>
      </c>
      <c r="AA29" s="33"/>
      <c r="AB29" s="33"/>
      <c r="AC29" s="33"/>
    </row>
    <row r="30" spans="2:29" x14ac:dyDescent="0.25">
      <c r="B30" s="94">
        <f t="shared" ref="B30:B43" si="1">IF(NOT(ISBLANK(C30)),C30,B29)</f>
        <v>0</v>
      </c>
      <c r="C30" s="515"/>
      <c r="D30" s="513">
        <v>5</v>
      </c>
      <c r="E30" s="213" t="str">
        <f>IF(NOT(ISBLANK(Tbl_Crane[[#This Row],[Num]])),TEXT(Tbl_Crane[[#This Row],[Group]],"00")&amp;"-"&amp;TEXT(Tbl_Crane[[#This Row],[Num]],"000"),"")</f>
        <v>00-005</v>
      </c>
      <c r="F30" s="218" t="s">
        <v>53</v>
      </c>
      <c r="G30" s="219">
        <v>1</v>
      </c>
      <c r="H30" s="220">
        <v>50</v>
      </c>
      <c r="I30" s="222">
        <f>Tbl_Crane[[#This Row],[Qty]]*Tbl_Crane[[#This Row],[Unitary ]]</f>
        <v>50</v>
      </c>
      <c r="AA30" s="33"/>
      <c r="AB30" s="33"/>
      <c r="AC30" s="33"/>
    </row>
    <row r="31" spans="2:29" x14ac:dyDescent="0.25">
      <c r="B31" s="94">
        <f t="shared" si="1"/>
        <v>0</v>
      </c>
      <c r="C31" s="515"/>
      <c r="D31" s="513"/>
      <c r="E31" s="213" t="str">
        <f>IF(NOT(ISBLANK(Tbl_Crane[[#This Row],[Num]])),TEXT(Tbl_Crane[[#This Row],[Group]],"00")&amp;"-"&amp;TEXT(Tbl_Crane[[#This Row],[Num]],"000"),"")</f>
        <v/>
      </c>
      <c r="F31" s="218"/>
      <c r="G31" s="219"/>
      <c r="H31" s="220"/>
      <c r="I31" s="222">
        <f>Tbl_Crane[[#This Row],[Qty]]*Tbl_Crane[[#This Row],[Unitary ]]</f>
        <v>0</v>
      </c>
      <c r="AA31" s="33"/>
      <c r="AB31" s="33"/>
      <c r="AC31" s="33"/>
    </row>
    <row r="32" spans="2:29" x14ac:dyDescent="0.25">
      <c r="B32" s="94">
        <f t="shared" si="1"/>
        <v>0</v>
      </c>
      <c r="C32" s="515"/>
      <c r="D32" s="513">
        <v>6</v>
      </c>
      <c r="E32" s="213" t="str">
        <f>IF(NOT(ISBLANK(Tbl_Crane[[#This Row],[Num]])),TEXT(Tbl_Crane[[#This Row],[Group]],"00")&amp;"-"&amp;TEXT(Tbl_Crane[[#This Row],[Num]],"000"),"")</f>
        <v>00-006</v>
      </c>
      <c r="F32" s="218" t="s">
        <v>56</v>
      </c>
      <c r="G32" s="219">
        <v>1</v>
      </c>
      <c r="H32" s="220">
        <v>28.44</v>
      </c>
      <c r="I32" s="222">
        <f>Tbl_Crane[[#This Row],[Qty]]*Tbl_Crane[[#This Row],[Unitary ]]</f>
        <v>28.44</v>
      </c>
      <c r="AA32" s="33"/>
      <c r="AB32" s="33"/>
      <c r="AC32" s="33"/>
    </row>
    <row r="33" spans="2:29" x14ac:dyDescent="0.25">
      <c r="B33" s="94">
        <f t="shared" si="1"/>
        <v>0</v>
      </c>
      <c r="C33" s="515"/>
      <c r="D33" s="513">
        <v>7</v>
      </c>
      <c r="E33" s="213" t="str">
        <f>IF(NOT(ISBLANK(Tbl_Crane[[#This Row],[Num]])),TEXT(Tbl_Crane[[#This Row],[Group]],"00")&amp;"-"&amp;TEXT(Tbl_Crane[[#This Row],[Num]],"000"),"")</f>
        <v>00-007</v>
      </c>
      <c r="F33" s="218" t="s">
        <v>57</v>
      </c>
      <c r="G33" s="219">
        <v>1</v>
      </c>
      <c r="H33" s="220">
        <v>5.21</v>
      </c>
      <c r="I33" s="222">
        <f>Tbl_Crane[[#This Row],[Qty]]*Tbl_Crane[[#This Row],[Unitary ]]</f>
        <v>5.21</v>
      </c>
      <c r="AA33" s="33"/>
      <c r="AB33" s="33"/>
      <c r="AC33" s="33"/>
    </row>
    <row r="34" spans="2:29" x14ac:dyDescent="0.25">
      <c r="B34" s="94">
        <f t="shared" si="1"/>
        <v>0</v>
      </c>
      <c r="C34" s="515"/>
      <c r="D34" s="513">
        <v>8</v>
      </c>
      <c r="E34" s="213" t="str">
        <f>IF(NOT(ISBLANK(Tbl_Crane[[#This Row],[Num]])),TEXT(Tbl_Crane[[#This Row],[Group]],"00")&amp;"-"&amp;TEXT(Tbl_Crane[[#This Row],[Num]],"000"),"")</f>
        <v>00-008</v>
      </c>
      <c r="F34" s="218" t="s">
        <v>495</v>
      </c>
      <c r="G34" s="219">
        <v>1</v>
      </c>
      <c r="H34" s="220">
        <v>4.91</v>
      </c>
      <c r="I34" s="222">
        <f>Tbl_Crane[[#This Row],[Qty]]*Tbl_Crane[[#This Row],[Unitary ]]</f>
        <v>4.91</v>
      </c>
      <c r="AA34" s="33"/>
      <c r="AB34" s="33"/>
      <c r="AC34" s="33"/>
    </row>
    <row r="35" spans="2:29" x14ac:dyDescent="0.25">
      <c r="B35" s="94">
        <f t="shared" si="1"/>
        <v>0</v>
      </c>
      <c r="C35" s="515"/>
      <c r="D35" s="513">
        <v>9</v>
      </c>
      <c r="E35" s="213" t="str">
        <f>IF(NOT(ISBLANK(Tbl_Crane[[#This Row],[Num]])),TEXT(Tbl_Crane[[#This Row],[Group]],"00")&amp;"-"&amp;TEXT(Tbl_Crane[[#This Row],[Num]],"000"),"")</f>
        <v>00-009</v>
      </c>
      <c r="F35" s="218" t="s">
        <v>496</v>
      </c>
      <c r="G35" s="219">
        <v>1</v>
      </c>
      <c r="H35" s="220">
        <v>3.74</v>
      </c>
      <c r="I35" s="222">
        <f>Tbl_Crane[[#This Row],[Qty]]*Tbl_Crane[[#This Row],[Unitary ]]</f>
        <v>3.74</v>
      </c>
    </row>
    <row r="36" spans="2:29" ht="15" customHeight="1" x14ac:dyDescent="0.25">
      <c r="B36" s="94">
        <f t="shared" si="1"/>
        <v>0</v>
      </c>
      <c r="C36" s="515"/>
      <c r="D36" s="513">
        <v>10</v>
      </c>
      <c r="E36" s="213" t="str">
        <f>IF(NOT(ISBLANK(Tbl_Crane[[#This Row],[Num]])),TEXT(Tbl_Crane[[#This Row],[Group]],"00")&amp;"-"&amp;TEXT(Tbl_Crane[[#This Row],[Num]],"000"),"")</f>
        <v>00-010</v>
      </c>
      <c r="F36" s="218" t="s">
        <v>497</v>
      </c>
      <c r="G36" s="219">
        <v>1</v>
      </c>
      <c r="H36" s="220">
        <v>6.74</v>
      </c>
      <c r="I36" s="222">
        <f>Tbl_Crane[[#This Row],[Qty]]*Tbl_Crane[[#This Row],[Unitary ]]</f>
        <v>6.74</v>
      </c>
    </row>
    <row r="37" spans="2:29" ht="15.75" customHeight="1" x14ac:dyDescent="0.25">
      <c r="B37" s="94">
        <f t="shared" si="1"/>
        <v>0</v>
      </c>
      <c r="C37" s="515"/>
      <c r="D37" s="513">
        <v>11</v>
      </c>
      <c r="E37" s="213" t="str">
        <f>IF(NOT(ISBLANK(Tbl_Crane[[#This Row],[Num]])),TEXT(Tbl_Crane[[#This Row],[Group]],"00")&amp;"-"&amp;TEXT(Tbl_Crane[[#This Row],[Num]],"000"),"")</f>
        <v>00-011</v>
      </c>
      <c r="F37" s="218"/>
      <c r="G37" s="219">
        <v>0</v>
      </c>
      <c r="H37" s="220">
        <v>0</v>
      </c>
      <c r="I37" s="222">
        <f>Tbl_Crane[[#This Row],[Qty]]*Tbl_Crane[[#This Row],[Unitary ]]</f>
        <v>0</v>
      </c>
    </row>
    <row r="38" spans="2:29" x14ac:dyDescent="0.25">
      <c r="B38" s="94">
        <f t="shared" si="1"/>
        <v>0</v>
      </c>
      <c r="C38" s="515"/>
      <c r="D38" s="513"/>
      <c r="E38" s="213" t="str">
        <f>IF(NOT(ISBLANK(Tbl_Crane[[#This Row],[Num]])),TEXT(Tbl_Crane[[#This Row],[Group]],"00")&amp;"-"&amp;TEXT(Tbl_Crane[[#This Row],[Num]],"000"),"")</f>
        <v/>
      </c>
      <c r="F38" s="218"/>
      <c r="G38" s="219"/>
      <c r="H38" s="220"/>
      <c r="I38" s="222">
        <f>Tbl_Crane[[#This Row],[Qty]]*Tbl_Crane[[#This Row],[Unitary ]]</f>
        <v>0</v>
      </c>
    </row>
    <row r="39" spans="2:29" x14ac:dyDescent="0.25">
      <c r="B39" s="94">
        <f t="shared" si="1"/>
        <v>0</v>
      </c>
      <c r="C39" s="515"/>
      <c r="D39" s="513">
        <v>12</v>
      </c>
      <c r="E39" s="213" t="str">
        <f>IF(NOT(ISBLANK(Tbl_Crane[[#This Row],[Num]])),TEXT(Tbl_Crane[[#This Row],[Group]],"00")&amp;"-"&amp;TEXT(Tbl_Crane[[#This Row],[Num]],"000"),"")</f>
        <v>00-012</v>
      </c>
      <c r="F39" s="218" t="s">
        <v>58</v>
      </c>
      <c r="G39" s="219">
        <v>1</v>
      </c>
      <c r="H39" s="220">
        <v>1.9</v>
      </c>
      <c r="I39" s="222">
        <f>Tbl_Crane[[#This Row],[Qty]]*Tbl_Crane[[#This Row],[Unitary ]]</f>
        <v>1.9</v>
      </c>
    </row>
    <row r="40" spans="2:29" x14ac:dyDescent="0.25">
      <c r="B40" s="94">
        <f t="shared" si="1"/>
        <v>0</v>
      </c>
      <c r="C40" s="515"/>
      <c r="D40" s="513">
        <v>13</v>
      </c>
      <c r="E40" s="213" t="str">
        <f>IF(NOT(ISBLANK(Tbl_Crane[[#This Row],[Num]])),TEXT(Tbl_Crane[[#This Row],[Group]],"00")&amp;"-"&amp;TEXT(Tbl_Crane[[#This Row],[Num]],"000"),"")</f>
        <v>00-013</v>
      </c>
      <c r="F40" s="218" t="s">
        <v>59</v>
      </c>
      <c r="G40" s="219">
        <v>1</v>
      </c>
      <c r="H40" s="220">
        <v>0.7</v>
      </c>
      <c r="I40" s="222">
        <f>Tbl_Crane[[#This Row],[Qty]]*Tbl_Crane[[#This Row],[Unitary ]]</f>
        <v>0.7</v>
      </c>
    </row>
    <row r="41" spans="2:29" x14ac:dyDescent="0.25">
      <c r="B41" s="94">
        <f t="shared" si="1"/>
        <v>0</v>
      </c>
      <c r="C41" s="515"/>
      <c r="D41" s="513"/>
      <c r="E41" s="213" t="str">
        <f>IF(NOT(ISBLANK(Tbl_Crane[[#This Row],[Num]])),TEXT(Tbl_Crane[[#This Row],[Group]],"00")&amp;"-"&amp;TEXT(Tbl_Crane[[#This Row],[Num]],"000"),"")</f>
        <v/>
      </c>
      <c r="F41" s="218"/>
      <c r="G41" s="219"/>
      <c r="H41" s="220"/>
      <c r="I41" s="222">
        <f>Tbl_Crane[[#This Row],[Qty]]*Tbl_Crane[[#This Row],[Unitary ]]</f>
        <v>0</v>
      </c>
    </row>
    <row r="42" spans="2:29" x14ac:dyDescent="0.25">
      <c r="B42" s="94">
        <f t="shared" si="1"/>
        <v>0</v>
      </c>
      <c r="C42" s="515"/>
      <c r="D42" s="513">
        <v>14</v>
      </c>
      <c r="E42" s="213" t="str">
        <f>IF(NOT(ISBLANK(Tbl_Crane[[#This Row],[Num]])),TEXT(Tbl_Crane[[#This Row],[Group]],"00")&amp;"-"&amp;TEXT(Tbl_Crane[[#This Row],[Num]],"000"),"")</f>
        <v>00-014</v>
      </c>
      <c r="F42" s="218" t="s">
        <v>331</v>
      </c>
      <c r="G42" s="219">
        <v>1</v>
      </c>
      <c r="H42" s="220">
        <v>0.8</v>
      </c>
      <c r="I42" s="222">
        <f>Tbl_Crane[[#This Row],[Qty]]*Tbl_Crane[[#This Row],[Unitary ]]</f>
        <v>0.8</v>
      </c>
    </row>
    <row r="43" spans="2:29" x14ac:dyDescent="0.25">
      <c r="B43" s="94">
        <f t="shared" si="1"/>
        <v>0</v>
      </c>
      <c r="C43" s="515"/>
      <c r="D43" s="513">
        <v>15</v>
      </c>
      <c r="E43" s="213" t="str">
        <f>IF(NOT(ISBLANK(Tbl_Crane[[#This Row],[Num]])),TEXT(Tbl_Crane[[#This Row],[Group]],"00")&amp;"-"&amp;TEXT(Tbl_Crane[[#This Row],[Num]],"000"),"")</f>
        <v>00-015</v>
      </c>
      <c r="F43" s="218" t="s">
        <v>330</v>
      </c>
      <c r="G43" s="219">
        <v>1</v>
      </c>
      <c r="H43" s="220">
        <v>0.6</v>
      </c>
      <c r="I43" s="222">
        <f>Tbl_Crane[[#This Row],[Qty]]*Tbl_Crane[[#This Row],[Unitary ]]</f>
        <v>0.6</v>
      </c>
    </row>
    <row r="44" spans="2:29" x14ac:dyDescent="0.25">
      <c r="B44" s="94">
        <f>IF(NOT(ISBLANK(C44)),C44,B43)</f>
        <v>0</v>
      </c>
      <c r="C44" s="515"/>
      <c r="D44" s="513"/>
      <c r="E44" s="213" t="str">
        <f>IF(NOT(ISBLANK(Tbl_Crane[[#This Row],[Num]])),TEXT(Tbl_Crane[[#This Row],[Group]],"00")&amp;"-"&amp;TEXT(Tbl_Crane[[#This Row],[Num]],"000"),"")</f>
        <v/>
      </c>
      <c r="F44" s="218"/>
      <c r="G44" s="219"/>
      <c r="H44" s="220"/>
      <c r="I44" s="222">
        <f>Tbl_Crane[[#This Row],[Qty]]*Tbl_Crane[[#This Row],[Unitary ]]</f>
        <v>0</v>
      </c>
    </row>
  </sheetData>
  <mergeCells count="12">
    <mergeCell ref="M3:O3"/>
    <mergeCell ref="P3:Y3"/>
    <mergeCell ref="M4:O4"/>
    <mergeCell ref="Q4:R4"/>
    <mergeCell ref="S4:T4"/>
    <mergeCell ref="V4:W4"/>
    <mergeCell ref="Y4:Z4"/>
    <mergeCell ref="G21:I21"/>
    <mergeCell ref="F13:H13"/>
    <mergeCell ref="H2:K2"/>
    <mergeCell ref="B21:D21"/>
    <mergeCell ref="E21:F21"/>
  </mergeCells>
  <conditionalFormatting sqref="F14:H19">
    <cfRule type="expression" dxfId="110" priority="22">
      <formula>MOD(ROW(),2)</formula>
    </cfRule>
  </conditionalFormatting>
  <conditionalFormatting sqref="U6:U9">
    <cfRule type="cellIs" dxfId="109" priority="19" operator="equal">
      <formula>"OK"</formula>
    </cfRule>
  </conditionalFormatting>
  <conditionalFormatting sqref="L3:M3">
    <cfRule type="expression" dxfId="108" priority="13">
      <formula>#REF!&lt;&gt;""</formula>
    </cfRule>
  </conditionalFormatting>
  <conditionalFormatting sqref="F18:H18">
    <cfRule type="expression" dxfId="107" priority="7">
      <formula>MOD(ROW(),2)</formula>
    </cfRule>
  </conditionalFormatting>
  <conditionalFormatting sqref="F19:H19">
    <cfRule type="expression" dxfId="106" priority="6">
      <formula>MOD(ROW(),2)</formula>
    </cfRule>
  </conditionalFormatting>
  <conditionalFormatting sqref="B23:I44">
    <cfRule type="expression" dxfId="105" priority="71">
      <formula>$C23&lt;&gt;""</formula>
    </cfRule>
  </conditionalFormatting>
  <conditionalFormatting sqref="L2">
    <cfRule type="cellIs" dxfId="104" priority="5" operator="equal">
      <formula>"OK"</formula>
    </cfRule>
  </conditionalFormatting>
  <conditionalFormatting sqref="A1">
    <cfRule type="cellIs" dxfId="103" priority="4" operator="equal">
      <formula>"OK"</formula>
    </cfRule>
  </conditionalFormatting>
  <conditionalFormatting sqref="Z3">
    <cfRule type="cellIs" dxfId="102" priority="1" operator="equal">
      <formula>"OK"</formula>
    </cfRule>
  </conditionalFormatting>
  <conditionalFormatting sqref="Z6:Z9">
    <cfRule type="cellIs" dxfId="101" priority="2" operator="equal">
      <formula>"OK"</formula>
    </cfRule>
  </conditionalFormatting>
  <pageMargins left="0.7" right="0.7" top="0.75" bottom="0.75" header="0.3" footer="0.3"/>
  <pageSetup paperSize="9" orientation="portrait" horizontalDpi="300" verticalDpi="300" r:id="rId1"/>
  <drawing r:id="rId2"/>
  <legacyDrawing r:id="rId3"/>
  <tableParts count="2">
    <tablePart r:id="rId4"/>
    <tablePart r:id="rId5"/>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Feuil11"/>
  <dimension ref="A1:V31"/>
  <sheetViews>
    <sheetView zoomScale="80" zoomScaleNormal="80" workbookViewId="0">
      <selection activeCell="L7" sqref="L7"/>
    </sheetView>
  </sheetViews>
  <sheetFormatPr baseColWidth="10" defaultRowHeight="15" x14ac:dyDescent="0.25"/>
  <cols>
    <col min="1" max="1" width="3.7109375" style="33" customWidth="1"/>
    <col min="2" max="2" width="6.85546875" customWidth="1"/>
    <col min="3" max="3" width="7.85546875" customWidth="1"/>
    <col min="4" max="4" width="35.7109375" customWidth="1"/>
    <col min="5" max="5" width="14.140625" customWidth="1"/>
    <col min="6" max="6" width="12.42578125" bestFit="1" customWidth="1"/>
    <col min="9" max="10" width="10.42578125" customWidth="1"/>
    <col min="11" max="12" width="10.7109375" bestFit="1" customWidth="1"/>
    <col min="13" max="13" width="11" customWidth="1"/>
    <col min="14" max="14" width="10.7109375" customWidth="1"/>
    <col min="15" max="15" width="12.7109375" bestFit="1" customWidth="1"/>
    <col min="16" max="16" width="10.140625" bestFit="1" customWidth="1"/>
    <col min="17" max="17" width="13" bestFit="1" customWidth="1"/>
    <col min="18" max="18" width="14.85546875" bestFit="1" customWidth="1"/>
    <col min="19" max="16384" width="11.42578125" style="33"/>
  </cols>
  <sheetData>
    <row r="1" spans="1:19" x14ac:dyDescent="0.25">
      <c r="A1" s="729" t="str">
        <f>IF(AND(B2="OK",E2="OK",S2="OK"),"OK","KO")</f>
        <v>OK</v>
      </c>
      <c r="B1" s="293">
        <f>MAX(INDEX(Recap_Additionals,,1))</f>
        <v>6</v>
      </c>
      <c r="C1" s="269" t="s">
        <v>281</v>
      </c>
      <c r="D1" s="271">
        <v>2</v>
      </c>
      <c r="E1" s="271">
        <v>9</v>
      </c>
      <c r="F1" s="271">
        <v>10</v>
      </c>
      <c r="G1" s="271">
        <v>11</v>
      </c>
      <c r="H1" s="271">
        <v>12</v>
      </c>
      <c r="I1" s="271">
        <v>13</v>
      </c>
      <c r="J1" s="33"/>
      <c r="K1" s="33"/>
      <c r="L1" s="33"/>
      <c r="M1" s="33"/>
      <c r="N1" s="33"/>
      <c r="O1" s="33"/>
      <c r="P1" s="33"/>
      <c r="Q1" s="33"/>
      <c r="R1" s="33"/>
    </row>
    <row r="2" spans="1:19" x14ac:dyDescent="0.25">
      <c r="B2" s="158" t="str">
        <f>IF($B$3&gt;=$B$1,"OK","KO")</f>
        <v>OK</v>
      </c>
      <c r="C2" s="33"/>
      <c r="D2" s="33"/>
      <c r="E2" s="276" t="str">
        <f>IF(ABS(E3-F2)&lt;Δ_calc,"OK","KO")</f>
        <v>OK</v>
      </c>
      <c r="F2" s="272">
        <f>Recap!I42</f>
        <v>500</v>
      </c>
      <c r="G2" s="273" t="s">
        <v>280</v>
      </c>
      <c r="H2" s="274"/>
      <c r="I2" s="1078" t="s">
        <v>0</v>
      </c>
      <c r="J2" s="1079"/>
      <c r="K2" s="1079"/>
      <c r="L2" s="1079"/>
      <c r="M2" s="1079"/>
      <c r="N2" s="1079"/>
      <c r="O2" s="1079"/>
      <c r="P2" s="1079"/>
      <c r="Q2" s="1079"/>
      <c r="R2" s="1079"/>
      <c r="S2" s="848" t="str">
        <f>IF(COUNTIF(Tbl_Additionals[Repart position],"OK")=COUNTA(Tbl_Additionals[Repart position]),"OK","KO")</f>
        <v>OK</v>
      </c>
    </row>
    <row r="3" spans="1:19" x14ac:dyDescent="0.25">
      <c r="B3" s="293">
        <f>MAX(Tbl_Additionals[N])</f>
        <v>13</v>
      </c>
      <c r="C3" s="33"/>
      <c r="D3" s="33"/>
      <c r="E3" s="275">
        <f>SUM(Tbl_Additionals[Weight Fact])</f>
        <v>500</v>
      </c>
      <c r="F3" s="1091" t="s">
        <v>3</v>
      </c>
      <c r="G3" s="1092"/>
      <c r="H3" s="1093"/>
      <c r="I3" s="125"/>
      <c r="J3" s="1076" t="s">
        <v>150</v>
      </c>
      <c r="K3" s="1077"/>
      <c r="L3" s="1074" t="s">
        <v>149</v>
      </c>
      <c r="M3" s="1075"/>
      <c r="N3" s="78" t="s">
        <v>151</v>
      </c>
      <c r="O3" s="1080" t="s">
        <v>219</v>
      </c>
      <c r="P3" s="1081"/>
      <c r="Q3" s="146" t="s">
        <v>152</v>
      </c>
      <c r="R3" s="1118" t="s">
        <v>151</v>
      </c>
      <c r="S3" s="1095"/>
    </row>
    <row r="4" spans="1:19" ht="30" x14ac:dyDescent="0.25">
      <c r="B4" s="861" t="s">
        <v>269</v>
      </c>
      <c r="C4" s="294" t="s">
        <v>282</v>
      </c>
      <c r="D4" s="270" t="s">
        <v>13</v>
      </c>
      <c r="E4" s="81" t="s">
        <v>195</v>
      </c>
      <c r="F4" s="88" t="s">
        <v>7</v>
      </c>
      <c r="G4" s="89" t="s">
        <v>8</v>
      </c>
      <c r="H4" s="89" t="s">
        <v>9</v>
      </c>
      <c r="I4" s="92" t="s">
        <v>161</v>
      </c>
      <c r="J4" s="92" t="s">
        <v>198</v>
      </c>
      <c r="K4" s="93" t="s">
        <v>199</v>
      </c>
      <c r="L4" s="90" t="s">
        <v>196</v>
      </c>
      <c r="M4" s="91" t="s">
        <v>197</v>
      </c>
      <c r="N4" s="92" t="s">
        <v>183</v>
      </c>
      <c r="O4" s="126" t="s">
        <v>217</v>
      </c>
      <c r="P4" s="127" t="s">
        <v>218</v>
      </c>
      <c r="Q4" s="128" t="s">
        <v>153</v>
      </c>
      <c r="R4" s="92" t="s">
        <v>224</v>
      </c>
      <c r="S4" s="847" t="s">
        <v>428</v>
      </c>
    </row>
    <row r="5" spans="1:19" x14ac:dyDescent="0.25">
      <c r="B5" s="281">
        <f t="shared" ref="B5:B11" si="0">IF(ISNUMBER($B4),$B4+1,0)</f>
        <v>0</v>
      </c>
      <c r="C5" s="73">
        <f t="shared" ref="C5:C18" si="1">MATCH($B5,INDEX(Recap_Additionals,,1),0)</f>
        <v>1</v>
      </c>
      <c r="D5" s="280" t="str">
        <f>IFERROR(INDEX(Recap_Additionals,Tbl_Additionals[[#This Row],[Li]],D$1),"")</f>
        <v>Bilge water</v>
      </c>
      <c r="E5" s="279">
        <f>IFERROR(INDEX(Recap_Additionals,Tbl_Additionals[[#This Row],[Li]],E$1),)</f>
        <v>0</v>
      </c>
      <c r="F5" s="277" t="str">
        <f>IF(Tbl_Additionals[[#This Row],[Weight Fact]]&gt;0,INDEX(Recap_Additionals,Tbl_Additionals[[#This Row],[Li]],F$1),"")</f>
        <v/>
      </c>
      <c r="G5" s="278" t="str">
        <f>IF(Tbl_Additionals[[#This Row],[Weight Fact]]&gt;0,INDEX(Recap_Additionals,Tbl_Additionals[[#This Row],[Li]],G$1),"")</f>
        <v/>
      </c>
      <c r="H5" s="278" t="str">
        <f>IF(Tbl_Additionals[[#This Row],[Weight Fact]]&gt;0,INDEX(Recap_Additionals,Tbl_Additionals[[#This Row],[Li]],H$1),"")</f>
        <v/>
      </c>
      <c r="I5" s="282" t="str">
        <f>IF(Tbl_Additionals[[#This Row],[Weight Fact]]&gt;0,INDEX(Recap_Additionals,Tbl_Additionals[[#This Row],[Li]],I$1),"")</f>
        <v/>
      </c>
      <c r="J5" s="283" t="str">
        <f>IF(Tbl_Additionals[[#This Row],[Weight Fact]],Tbl_Additionals[[#This Row],[COG x ]]-Tbl_Additionals[[#This Row],[Distrib]]/2,"")</f>
        <v/>
      </c>
      <c r="K5" s="284" t="str">
        <f>IF(Tbl_Additionals[[#This Row],[Weight Fact]],Tbl_Additionals[[#This Row],[COG x ]]+Tbl_Additionals[[#This Row],[Distrib]]/2,"")</f>
        <v/>
      </c>
      <c r="L5" s="286" t="str">
        <f>IF(Tbl_Additionals[[#This Row],[Weight Fact]],ROUND(Tbl_Additionals[[#This Row],[AP from]]/FE_size,0),"")</f>
        <v/>
      </c>
      <c r="M5" s="285" t="str">
        <f>IF(Tbl_Additionals[[#This Row],[Weight Fact]],ROUND(Tbl_Additionals[[#This Row],[AP to]]/FE_size,0),"")</f>
        <v/>
      </c>
      <c r="N5" s="288" t="str">
        <f>IF(Tbl_Additionals[[#This Row],[Weight Fact]]=0,"",IF(AND(Tbl_Additionals[[#This Row],[COG x ]]&gt;=(Tbl_Additionals[[#This Row],[L to]]-Tbl_Additionals[[#This Row],[L from]])/3+Tbl_Additionals[[#This Row],[L from]],Tbl_Additionals[[#This Row],[COG x ]]&lt;=(Tbl_Additionals[[#This Row],[L to]]-Tbl_Additionals[[#This Row],[L from]])*2/3+Tbl_Additionals[[#This Row],[L from]],Tbl_Additionals[[#This Row],[L to]]&gt;Tbl_Additionals[[#This Row],[L from]]),"OK","KO"))</f>
        <v/>
      </c>
      <c r="O5" s="290" t="str">
        <f>IF(Tbl_Additionals[[#This Row],[Weight Fact]],IF(Tbl_Additionals[[#This Row],[Fr from]]*FE_size&lt;0,0,Tbl_Additionals[[#This Row],[Fr from]]*FE_size),"")</f>
        <v/>
      </c>
      <c r="P5" s="291" t="str">
        <f>IF(Tbl_Additionals[[#This Row],[Weight Fact]],IF(Tbl_Additionals[[#This Row],[Fr to]]*FE_size=Tbl_Additionals[[#This Row],[L from]],Tbl_Additionals[[#This Row],[L from]]+FE_size,IF(Tbl_Additionals[[#This Row],[Fr to]]*FE_size&gt;Lpp,Lpp,Tbl_Additionals[[#This Row],[Fr to]]*FE_size)),"")</f>
        <v/>
      </c>
      <c r="Q5" s="143" t="str">
        <f>IFERROR(Tbl_Additionals[[#This Row],[Weight Fact]]/(Tbl_Additionals[[#This Row],[L to]]-Tbl_Additionals[[#This Row],[L from]]),"")</f>
        <v/>
      </c>
      <c r="R5" s="292" t="str">
        <f>IF(Tbl_Additionals[[#This Row],[Weight Fact]],Tbl_Additionals[[#This Row],[Spread]]*(Tbl_Additionals[[#This Row],[L to]]-Tbl_Additionals[[#This Row],[L from]])-Tbl_Additionals[[#This Row],[Weight Fact]],"")</f>
        <v/>
      </c>
      <c r="S5" s="141" t="str">
        <f>IF(AND(ISNUMBER(Tbl_Additionals[[#This Row],[L from]]),ISNUMBER(Tbl_Additionals[[#This Row],[L to]])),IF(AND(Tbl_Additionals[[#This Row],[L from]]&gt;=0,Tbl_Additionals[[#This Row],[L to]]&lt;=Lpp),"OK","KO"),"OK")</f>
        <v>OK</v>
      </c>
    </row>
    <row r="6" spans="1:19" x14ac:dyDescent="0.25">
      <c r="B6" s="281">
        <f t="shared" si="0"/>
        <v>1</v>
      </c>
      <c r="C6" s="73">
        <f t="shared" si="1"/>
        <v>2</v>
      </c>
      <c r="D6" s="280" t="str">
        <f>IFERROR(INDEX(Recap_Additionals,Tbl_Additionals[[#This Row],[Li]],D$1),"")</f>
        <v>Deck Equipment (sh Deck Equipment)</v>
      </c>
      <c r="E6" s="279">
        <f>IFERROR(INDEX(Recap_Additionals,Tbl_Additionals[[#This Row],[Li]],E$1),)</f>
        <v>500</v>
      </c>
      <c r="F6" s="277">
        <f>IF(Tbl_Additionals[[#This Row],[Weight Fact]]&gt;0,INDEX(Recap_Additionals,Tbl_Additionals[[#This Row],[Li]],F$1),"")</f>
        <v>30</v>
      </c>
      <c r="G6" s="278">
        <f>IF(Tbl_Additionals[[#This Row],[Weight Fact]]&gt;0,INDEX(Recap_Additionals,Tbl_Additionals[[#This Row],[Li]],G$1),"")</f>
        <v>0</v>
      </c>
      <c r="H6" s="278">
        <f>IF(Tbl_Additionals[[#This Row],[Weight Fact]]&gt;0,INDEX(Recap_Additionals,Tbl_Additionals[[#This Row],[Li]],H$1),"")</f>
        <v>4</v>
      </c>
      <c r="I6" s="282">
        <f>IF(Tbl_Additionals[[#This Row],[Weight Fact]]&gt;0,INDEX(Recap_Additionals,Tbl_Additionals[[#This Row],[Li]],I$1),"")</f>
        <v>60</v>
      </c>
      <c r="J6" s="283">
        <f>IF(Tbl_Additionals[[#This Row],[Weight Fact]],Tbl_Additionals[[#This Row],[COG x ]]-Tbl_Additionals[[#This Row],[Distrib]]/2,"")</f>
        <v>0</v>
      </c>
      <c r="K6" s="284">
        <f>IF(Tbl_Additionals[[#This Row],[Weight Fact]],Tbl_Additionals[[#This Row],[COG x ]]+Tbl_Additionals[[#This Row],[Distrib]]/2,"")</f>
        <v>60</v>
      </c>
      <c r="L6" s="286">
        <f>IF(Tbl_Additionals[[#This Row],[Weight Fact]],ROUND(Tbl_Additionals[[#This Row],[AP from]]/FE_size,0),"")</f>
        <v>0</v>
      </c>
      <c r="M6" s="285">
        <f>IF(Tbl_Additionals[[#This Row],[Weight Fact]],ROUND(Tbl_Additionals[[#This Row],[AP to]]/FE_size,0),"")</f>
        <v>120</v>
      </c>
      <c r="N6" s="288" t="str">
        <f>IF(Tbl_Additionals[[#This Row],[Weight Fact]]=0,"",IF(AND(Tbl_Additionals[[#This Row],[COG x ]]&gt;=(Tbl_Additionals[[#This Row],[L to]]-Tbl_Additionals[[#This Row],[L from]])/3+Tbl_Additionals[[#This Row],[L from]],Tbl_Additionals[[#This Row],[COG x ]]&lt;=(Tbl_Additionals[[#This Row],[L to]]-Tbl_Additionals[[#This Row],[L from]])*2/3+Tbl_Additionals[[#This Row],[L from]],Tbl_Additionals[[#This Row],[L to]]&gt;Tbl_Additionals[[#This Row],[L from]]),"OK","KO"))</f>
        <v>OK</v>
      </c>
      <c r="O6" s="290">
        <f>IF(Tbl_Additionals[[#This Row],[Weight Fact]],IF(Tbl_Additionals[[#This Row],[Fr from]]*FE_size&lt;0,0,Tbl_Additionals[[#This Row],[Fr from]]*FE_size),"")</f>
        <v>0</v>
      </c>
      <c r="P6" s="291">
        <f>IF(Tbl_Additionals[[#This Row],[Weight Fact]],IF(Tbl_Additionals[[#This Row],[Fr to]]*FE_size=Tbl_Additionals[[#This Row],[L from]],Tbl_Additionals[[#This Row],[L from]]+FE_size,IF(Tbl_Additionals[[#This Row],[Fr to]]*FE_size&gt;Lpp,Lpp,Tbl_Additionals[[#This Row],[Fr to]]*FE_size)),"")</f>
        <v>60</v>
      </c>
      <c r="Q6" s="143">
        <f>IFERROR(Tbl_Additionals[[#This Row],[Weight Fact]]/(Tbl_Additionals[[#This Row],[L to]]-Tbl_Additionals[[#This Row],[L from]]),"")</f>
        <v>8.3333333333333339</v>
      </c>
      <c r="R6" s="292">
        <f>IF(Tbl_Additionals[[#This Row],[Weight Fact]],Tbl_Additionals[[#This Row],[Spread]]*(Tbl_Additionals[[#This Row],[L to]]-Tbl_Additionals[[#This Row],[L from]])-Tbl_Additionals[[#This Row],[Weight Fact]],"")</f>
        <v>5.6843418860808015E-14</v>
      </c>
      <c r="S6" s="141" t="str">
        <f>IF(AND(ISNUMBER(Tbl_Additionals[[#This Row],[L from]]),ISNUMBER(Tbl_Additionals[[#This Row],[L to]])),IF(AND(Tbl_Additionals[[#This Row],[L from]]&gt;=0,Tbl_Additionals[[#This Row],[L to]]&lt;=Lpp),"OK","KO"),"OK")</f>
        <v>OK</v>
      </c>
    </row>
    <row r="7" spans="1:19" x14ac:dyDescent="0.25">
      <c r="B7" s="281">
        <f t="shared" si="0"/>
        <v>2</v>
      </c>
      <c r="C7" s="73">
        <f t="shared" si="1"/>
        <v>3</v>
      </c>
      <c r="D7" s="280" t="str">
        <f>IFERROR(INDEX(Recap_Additionals,Tbl_Additionals[[#This Row],[Li]],D$1),"")</f>
        <v>Install Equipment</v>
      </c>
      <c r="E7" s="279">
        <f>IFERROR(INDEX(Recap_Additionals,Tbl_Additionals[[#This Row],[Li]],E$1),)</f>
        <v>0</v>
      </c>
      <c r="F7" s="277" t="str">
        <f>IF(Tbl_Additionals[[#This Row],[Weight Fact]]&gt;0,INDEX(Recap_Additionals,Tbl_Additionals[[#This Row],[Li]],F$1),"")</f>
        <v/>
      </c>
      <c r="G7" s="278" t="str">
        <f>IF(Tbl_Additionals[[#This Row],[Weight Fact]]&gt;0,INDEX(Recap_Additionals,Tbl_Additionals[[#This Row],[Li]],G$1),"")</f>
        <v/>
      </c>
      <c r="H7" s="278" t="str">
        <f>IF(Tbl_Additionals[[#This Row],[Weight Fact]]&gt;0,INDEX(Recap_Additionals,Tbl_Additionals[[#This Row],[Li]],H$1),"")</f>
        <v/>
      </c>
      <c r="I7" s="282" t="str">
        <f>IF(Tbl_Additionals[[#This Row],[Weight Fact]]&gt;0,INDEX(Recap_Additionals,Tbl_Additionals[[#This Row],[Li]],I$1),"")</f>
        <v/>
      </c>
      <c r="J7" s="283" t="str">
        <f>IF(Tbl_Additionals[[#This Row],[Weight Fact]],Tbl_Additionals[[#This Row],[COG x ]]-Tbl_Additionals[[#This Row],[Distrib]]/2,"")</f>
        <v/>
      </c>
      <c r="K7" s="284" t="str">
        <f>IF(Tbl_Additionals[[#This Row],[Weight Fact]],Tbl_Additionals[[#This Row],[COG x ]]+Tbl_Additionals[[#This Row],[Distrib]]/2,"")</f>
        <v/>
      </c>
      <c r="L7" s="286" t="str">
        <f>IF(Tbl_Additionals[[#This Row],[Weight Fact]],ROUND(Tbl_Additionals[[#This Row],[AP from]]/FE_size,0),"")</f>
        <v/>
      </c>
      <c r="M7" s="285" t="str">
        <f>IF(Tbl_Additionals[[#This Row],[Weight Fact]],ROUND(Tbl_Additionals[[#This Row],[AP to]]/FE_size,0),"")</f>
        <v/>
      </c>
      <c r="N7" s="288" t="str">
        <f>IF(Tbl_Additionals[[#This Row],[Weight Fact]]=0,"",IF(AND(Tbl_Additionals[[#This Row],[COG x ]]&gt;=(Tbl_Additionals[[#This Row],[L to]]-Tbl_Additionals[[#This Row],[L from]])/3+Tbl_Additionals[[#This Row],[L from]],Tbl_Additionals[[#This Row],[COG x ]]&lt;=(Tbl_Additionals[[#This Row],[L to]]-Tbl_Additionals[[#This Row],[L from]])*2/3+Tbl_Additionals[[#This Row],[L from]],Tbl_Additionals[[#This Row],[L to]]&gt;Tbl_Additionals[[#This Row],[L from]]),"OK","KO"))</f>
        <v/>
      </c>
      <c r="O7" s="290" t="str">
        <f>IF(Tbl_Additionals[[#This Row],[Weight Fact]],IF(Tbl_Additionals[[#This Row],[Fr from]]*FE_size&lt;0,0,Tbl_Additionals[[#This Row],[Fr from]]*FE_size),"")</f>
        <v/>
      </c>
      <c r="P7" s="291" t="str">
        <f>IF(Tbl_Additionals[[#This Row],[Weight Fact]],IF(Tbl_Additionals[[#This Row],[Fr to]]*FE_size=Tbl_Additionals[[#This Row],[L from]],Tbl_Additionals[[#This Row],[L from]]+FE_size,IF(Tbl_Additionals[[#This Row],[Fr to]]*FE_size&gt;Lpp,Lpp,Tbl_Additionals[[#This Row],[Fr to]]*FE_size)),"")</f>
        <v/>
      </c>
      <c r="Q7" s="143" t="str">
        <f>IFERROR(Tbl_Additionals[[#This Row],[Weight Fact]]/(Tbl_Additionals[[#This Row],[L to]]-Tbl_Additionals[[#This Row],[L from]]),"")</f>
        <v/>
      </c>
      <c r="R7" s="292" t="str">
        <f>IF(Tbl_Additionals[[#This Row],[Weight Fact]],Tbl_Additionals[[#This Row],[Spread]]*(Tbl_Additionals[[#This Row],[L to]]-Tbl_Additionals[[#This Row],[L from]])-Tbl_Additionals[[#This Row],[Weight Fact]],"")</f>
        <v/>
      </c>
      <c r="S7" s="141" t="str">
        <f>IF(AND(ISNUMBER(Tbl_Additionals[[#This Row],[L from]]),ISNUMBER(Tbl_Additionals[[#This Row],[L to]])),IF(AND(Tbl_Additionals[[#This Row],[L from]]&gt;=0,Tbl_Additionals[[#This Row],[L to]]&lt;=Lpp),"OK","KO"),"OK")</f>
        <v>OK</v>
      </c>
    </row>
    <row r="8" spans="1:19" x14ac:dyDescent="0.25">
      <c r="B8" s="281">
        <f t="shared" si="0"/>
        <v>3</v>
      </c>
      <c r="C8" s="73">
        <f t="shared" si="1"/>
        <v>4</v>
      </c>
      <c r="D8" s="280" t="str">
        <f>IFERROR(INDEX(Recap_Additionals,Tbl_Additionals[[#This Row],[Li]],D$1),"")</f>
        <v>Counterweight</v>
      </c>
      <c r="E8" s="279">
        <f>IFERROR(INDEX(Recap_Additionals,Tbl_Additionals[[#This Row],[Li]],E$1),)</f>
        <v>0</v>
      </c>
      <c r="F8" s="277" t="str">
        <f>IF(Tbl_Additionals[[#This Row],[Weight Fact]]&gt;0,INDEX(Recap_Additionals,Tbl_Additionals[[#This Row],[Li]],F$1),"")</f>
        <v/>
      </c>
      <c r="G8" s="278" t="str">
        <f>IF(Tbl_Additionals[[#This Row],[Weight Fact]]&gt;0,INDEX(Recap_Additionals,Tbl_Additionals[[#This Row],[Li]],G$1),"")</f>
        <v/>
      </c>
      <c r="H8" s="278" t="str">
        <f>IF(Tbl_Additionals[[#This Row],[Weight Fact]]&gt;0,INDEX(Recap_Additionals,Tbl_Additionals[[#This Row],[Li]],H$1),"")</f>
        <v/>
      </c>
      <c r="I8" s="282" t="str">
        <f>IF(Tbl_Additionals[[#This Row],[Weight Fact]]&gt;0,INDEX(Recap_Additionals,Tbl_Additionals[[#This Row],[Li]],I$1),"")</f>
        <v/>
      </c>
      <c r="J8" s="283" t="str">
        <f>IF(Tbl_Additionals[[#This Row],[Weight Fact]],Tbl_Additionals[[#This Row],[COG x ]]-Tbl_Additionals[[#This Row],[Distrib]]/2,"")</f>
        <v/>
      </c>
      <c r="K8" s="284" t="str">
        <f>IF(Tbl_Additionals[[#This Row],[Weight Fact]],Tbl_Additionals[[#This Row],[COG x ]]+Tbl_Additionals[[#This Row],[Distrib]]/2,"")</f>
        <v/>
      </c>
      <c r="L8" s="286" t="str">
        <f>IF(Tbl_Additionals[[#This Row],[Weight Fact]],ROUND(Tbl_Additionals[[#This Row],[AP from]]/FE_size,0),"")</f>
        <v/>
      </c>
      <c r="M8" s="285" t="str">
        <f>IF(Tbl_Additionals[[#This Row],[Weight Fact]],ROUND(Tbl_Additionals[[#This Row],[AP to]]/FE_size,0),"")</f>
        <v/>
      </c>
      <c r="N8" s="288" t="str">
        <f>IF(Tbl_Additionals[[#This Row],[Weight Fact]]=0,"",IF(AND(Tbl_Additionals[[#This Row],[COG x ]]&gt;=(Tbl_Additionals[[#This Row],[L to]]-Tbl_Additionals[[#This Row],[L from]])/3+Tbl_Additionals[[#This Row],[L from]],Tbl_Additionals[[#This Row],[COG x ]]&lt;=(Tbl_Additionals[[#This Row],[L to]]-Tbl_Additionals[[#This Row],[L from]])*2/3+Tbl_Additionals[[#This Row],[L from]],Tbl_Additionals[[#This Row],[L to]]&gt;Tbl_Additionals[[#This Row],[L from]]),"OK","KO"))</f>
        <v/>
      </c>
      <c r="O8" s="290" t="str">
        <f>IF(Tbl_Additionals[[#This Row],[Weight Fact]],IF(Tbl_Additionals[[#This Row],[Fr from]]*FE_size&lt;0,0,Tbl_Additionals[[#This Row],[Fr from]]*FE_size),"")</f>
        <v/>
      </c>
      <c r="P8" s="291" t="str">
        <f>IF(Tbl_Additionals[[#This Row],[Weight Fact]],IF(Tbl_Additionals[[#This Row],[Fr to]]*FE_size=Tbl_Additionals[[#This Row],[L from]],Tbl_Additionals[[#This Row],[L from]]+FE_size,IF(Tbl_Additionals[[#This Row],[Fr to]]*FE_size&gt;Lpp,Lpp,Tbl_Additionals[[#This Row],[Fr to]]*FE_size)),"")</f>
        <v/>
      </c>
      <c r="Q8" s="143" t="str">
        <f>IFERROR(Tbl_Additionals[[#This Row],[Weight Fact]]/(Tbl_Additionals[[#This Row],[L to]]-Tbl_Additionals[[#This Row],[L from]]),"")</f>
        <v/>
      </c>
      <c r="R8" s="292" t="str">
        <f>IF(Tbl_Additionals[[#This Row],[Weight Fact]],Tbl_Additionals[[#This Row],[Spread]]*(Tbl_Additionals[[#This Row],[L to]]-Tbl_Additionals[[#This Row],[L from]])-Tbl_Additionals[[#This Row],[Weight Fact]],"")</f>
        <v/>
      </c>
      <c r="S8" s="141" t="str">
        <f>IF(AND(ISNUMBER(Tbl_Additionals[[#This Row],[L from]]),ISNUMBER(Tbl_Additionals[[#This Row],[L to]])),IF(AND(Tbl_Additionals[[#This Row],[L from]]&gt;=0,Tbl_Additionals[[#This Row],[L to]]&lt;=Lpp),"OK","KO"),"OK")</f>
        <v>OK</v>
      </c>
    </row>
    <row r="9" spans="1:19" x14ac:dyDescent="0.25">
      <c r="B9" s="281">
        <f t="shared" si="0"/>
        <v>4</v>
      </c>
      <c r="C9" s="73">
        <f t="shared" si="1"/>
        <v>5</v>
      </c>
      <c r="D9" s="280" t="str">
        <f>IFERROR(INDEX(Recap_Additionals,Tbl_Additionals[[#This Row],[Li]],D$1),"")</f>
        <v>Mecanic</v>
      </c>
      <c r="E9" s="279">
        <f>IFERROR(INDEX(Recap_Additionals,Tbl_Additionals[[#This Row],[Li]],E$1),)</f>
        <v>0</v>
      </c>
      <c r="F9" s="277" t="str">
        <f>IF(Tbl_Additionals[[#This Row],[Weight Fact]]&gt;0,INDEX(Recap_Additionals,Tbl_Additionals[[#This Row],[Li]],F$1),"")</f>
        <v/>
      </c>
      <c r="G9" s="278" t="str">
        <f>IF(Tbl_Additionals[[#This Row],[Weight Fact]]&gt;0,INDEX(Recap_Additionals,Tbl_Additionals[[#This Row],[Li]],G$1),"")</f>
        <v/>
      </c>
      <c r="H9" s="278" t="str">
        <f>IF(Tbl_Additionals[[#This Row],[Weight Fact]]&gt;0,INDEX(Recap_Additionals,Tbl_Additionals[[#This Row],[Li]],H$1),"")</f>
        <v/>
      </c>
      <c r="I9" s="282" t="str">
        <f>IF(Tbl_Additionals[[#This Row],[Weight Fact]]&gt;0,INDEX(Recap_Additionals,Tbl_Additionals[[#This Row],[Li]],I$1),"")</f>
        <v/>
      </c>
      <c r="J9" s="283" t="str">
        <f>IF(Tbl_Additionals[[#This Row],[Weight Fact]],Tbl_Additionals[[#This Row],[COG x ]]-Tbl_Additionals[[#This Row],[Distrib]]/2,"")</f>
        <v/>
      </c>
      <c r="K9" s="284" t="str">
        <f>IF(Tbl_Additionals[[#This Row],[Weight Fact]],Tbl_Additionals[[#This Row],[COG x ]]+Tbl_Additionals[[#This Row],[Distrib]]/2,"")</f>
        <v/>
      </c>
      <c r="L9" s="286" t="str">
        <f>IF(Tbl_Additionals[[#This Row],[Weight Fact]],ROUND(Tbl_Additionals[[#This Row],[AP from]]/FE_size,0),"")</f>
        <v/>
      </c>
      <c r="M9" s="285" t="str">
        <f>IF(Tbl_Additionals[[#This Row],[Weight Fact]],ROUND(Tbl_Additionals[[#This Row],[AP to]]/FE_size,0),"")</f>
        <v/>
      </c>
      <c r="N9" s="288" t="str">
        <f>IF(Tbl_Additionals[[#This Row],[Weight Fact]]=0,"",IF(AND(Tbl_Additionals[[#This Row],[COG x ]]&gt;=(Tbl_Additionals[[#This Row],[L to]]-Tbl_Additionals[[#This Row],[L from]])/3+Tbl_Additionals[[#This Row],[L from]],Tbl_Additionals[[#This Row],[COG x ]]&lt;=(Tbl_Additionals[[#This Row],[L to]]-Tbl_Additionals[[#This Row],[L from]])*2/3+Tbl_Additionals[[#This Row],[L from]],Tbl_Additionals[[#This Row],[L to]]&gt;Tbl_Additionals[[#This Row],[L from]]),"OK","KO"))</f>
        <v/>
      </c>
      <c r="O9" s="290" t="str">
        <f>IF(Tbl_Additionals[[#This Row],[Weight Fact]],IF(Tbl_Additionals[[#This Row],[Fr from]]*FE_size&lt;0,0,Tbl_Additionals[[#This Row],[Fr from]]*FE_size),"")</f>
        <v/>
      </c>
      <c r="P9" s="291" t="str">
        <f>IF(Tbl_Additionals[[#This Row],[Weight Fact]],IF(Tbl_Additionals[[#This Row],[Fr to]]*FE_size=Tbl_Additionals[[#This Row],[L from]],Tbl_Additionals[[#This Row],[L from]]+FE_size,IF(Tbl_Additionals[[#This Row],[Fr to]]*FE_size&gt;Lpp,Lpp,Tbl_Additionals[[#This Row],[Fr to]]*FE_size)),"")</f>
        <v/>
      </c>
      <c r="Q9" s="143" t="str">
        <f>IFERROR(Tbl_Additionals[[#This Row],[Weight Fact]]/(Tbl_Additionals[[#This Row],[L to]]-Tbl_Additionals[[#This Row],[L from]]),"")</f>
        <v/>
      </c>
      <c r="R9" s="292" t="str">
        <f>IF(Tbl_Additionals[[#This Row],[Weight Fact]],Tbl_Additionals[[#This Row],[Spread]]*(Tbl_Additionals[[#This Row],[L to]]-Tbl_Additionals[[#This Row],[L from]])-Tbl_Additionals[[#This Row],[Weight Fact]],"")</f>
        <v/>
      </c>
      <c r="S9" s="141" t="str">
        <f>IF(AND(ISNUMBER(Tbl_Additionals[[#This Row],[L from]]),ISNUMBER(Tbl_Additionals[[#This Row],[L to]])),IF(AND(Tbl_Additionals[[#This Row],[L from]]&gt;=0,Tbl_Additionals[[#This Row],[L to]]&lt;=Lpp),"OK","KO"),"OK")</f>
        <v>OK</v>
      </c>
    </row>
    <row r="10" spans="1:19" x14ac:dyDescent="0.25">
      <c r="B10" s="281">
        <f t="shared" si="0"/>
        <v>5</v>
      </c>
      <c r="C10" s="73">
        <f t="shared" si="1"/>
        <v>6</v>
      </c>
      <c r="D10" s="280" t="str">
        <f>IFERROR(INDEX(Recap_Additionals,Tbl_Additionals[[#This Row],[Li]],D$1),"")</f>
        <v>Spreader beam</v>
      </c>
      <c r="E10" s="279">
        <f>IFERROR(INDEX(Recap_Additionals,Tbl_Additionals[[#This Row],[Li]],E$1),)</f>
        <v>0</v>
      </c>
      <c r="F10" s="277" t="str">
        <f>IF(Tbl_Additionals[[#This Row],[Weight Fact]]&gt;0,INDEX(Recap_Additionals,Tbl_Additionals[[#This Row],[Li]],F$1),"")</f>
        <v/>
      </c>
      <c r="G10" s="278" t="str">
        <f>IF(Tbl_Additionals[[#This Row],[Weight Fact]]&gt;0,INDEX(Recap_Additionals,Tbl_Additionals[[#This Row],[Li]],G$1),"")</f>
        <v/>
      </c>
      <c r="H10" s="278" t="str">
        <f>IF(Tbl_Additionals[[#This Row],[Weight Fact]]&gt;0,INDEX(Recap_Additionals,Tbl_Additionals[[#This Row],[Li]],H$1),"")</f>
        <v/>
      </c>
      <c r="I10" s="282" t="str">
        <f>IF(Tbl_Additionals[[#This Row],[Weight Fact]]&gt;0,INDEX(Recap_Additionals,Tbl_Additionals[[#This Row],[Li]],I$1),"")</f>
        <v/>
      </c>
      <c r="J10" s="283" t="str">
        <f>IF(Tbl_Additionals[[#This Row],[Weight Fact]],Tbl_Additionals[[#This Row],[COG x ]]-Tbl_Additionals[[#This Row],[Distrib]]/2,"")</f>
        <v/>
      </c>
      <c r="K10" s="284" t="str">
        <f>IF(Tbl_Additionals[[#This Row],[Weight Fact]],Tbl_Additionals[[#This Row],[COG x ]]+Tbl_Additionals[[#This Row],[Distrib]]/2,"")</f>
        <v/>
      </c>
      <c r="L10" s="286" t="str">
        <f>IF(Tbl_Additionals[[#This Row],[Weight Fact]],ROUND(Tbl_Additionals[[#This Row],[AP from]]/FE_size,0),"")</f>
        <v/>
      </c>
      <c r="M10" s="285" t="str">
        <f>IF(Tbl_Additionals[[#This Row],[Weight Fact]],ROUND(Tbl_Additionals[[#This Row],[AP to]]/FE_size,0),"")</f>
        <v/>
      </c>
      <c r="N10" s="288" t="str">
        <f>IF(Tbl_Additionals[[#This Row],[Weight Fact]]=0,"",IF(AND(Tbl_Additionals[[#This Row],[COG x ]]&gt;=(Tbl_Additionals[[#This Row],[L to]]-Tbl_Additionals[[#This Row],[L from]])/3+Tbl_Additionals[[#This Row],[L from]],Tbl_Additionals[[#This Row],[COG x ]]&lt;=(Tbl_Additionals[[#This Row],[L to]]-Tbl_Additionals[[#This Row],[L from]])*2/3+Tbl_Additionals[[#This Row],[L from]],Tbl_Additionals[[#This Row],[L to]]&gt;Tbl_Additionals[[#This Row],[L from]]),"OK","KO"))</f>
        <v/>
      </c>
      <c r="O10" s="290" t="str">
        <f>IF(Tbl_Additionals[[#This Row],[Weight Fact]],IF(Tbl_Additionals[[#This Row],[Fr from]]*FE_size&lt;0,0,Tbl_Additionals[[#This Row],[Fr from]]*FE_size),"")</f>
        <v/>
      </c>
      <c r="P10" s="291" t="str">
        <f>IF(Tbl_Additionals[[#This Row],[Weight Fact]],IF(Tbl_Additionals[[#This Row],[Fr to]]*FE_size=Tbl_Additionals[[#This Row],[L from]],Tbl_Additionals[[#This Row],[L from]]+FE_size,IF(Tbl_Additionals[[#This Row],[Fr to]]*FE_size&gt;Lpp,Lpp,Tbl_Additionals[[#This Row],[Fr to]]*FE_size)),"")</f>
        <v/>
      </c>
      <c r="Q10" s="143" t="str">
        <f>IFERROR(Tbl_Additionals[[#This Row],[Weight Fact]]/(Tbl_Additionals[[#This Row],[L to]]-Tbl_Additionals[[#This Row],[L from]]),"")</f>
        <v/>
      </c>
      <c r="R10" s="292" t="str">
        <f>IF(Tbl_Additionals[[#This Row],[Weight Fact]],Tbl_Additionals[[#This Row],[Spread]]*(Tbl_Additionals[[#This Row],[L to]]-Tbl_Additionals[[#This Row],[L from]])-Tbl_Additionals[[#This Row],[Weight Fact]],"")</f>
        <v/>
      </c>
      <c r="S10" s="141" t="str">
        <f>IF(AND(ISNUMBER(Tbl_Additionals[[#This Row],[L from]]),ISNUMBER(Tbl_Additionals[[#This Row],[L to]])),IF(AND(Tbl_Additionals[[#This Row],[L from]]&gt;=0,Tbl_Additionals[[#This Row],[L to]]&lt;=Lpp),"OK","KO"),"OK")</f>
        <v>OK</v>
      </c>
    </row>
    <row r="11" spans="1:19" x14ac:dyDescent="0.25">
      <c r="B11" s="281">
        <f t="shared" si="0"/>
        <v>6</v>
      </c>
      <c r="C11" s="73">
        <f t="shared" si="1"/>
        <v>7</v>
      </c>
      <c r="D11" s="280" t="str">
        <f>IFERROR(INDEX(Recap_Additionals,Tbl_Additionals[[#This Row],[Li]],D$1),"")</f>
        <v>Platform</v>
      </c>
      <c r="E11" s="279">
        <f>IFERROR(INDEX(Recap_Additionals,Tbl_Additionals[[#This Row],[Li]],E$1),)</f>
        <v>0</v>
      </c>
      <c r="F11" s="277" t="str">
        <f>IF(Tbl_Additionals[[#This Row],[Weight Fact]]&gt;0,INDEX(Recap_Additionals,Tbl_Additionals[[#This Row],[Li]],F$1),"")</f>
        <v/>
      </c>
      <c r="G11" s="278" t="str">
        <f>IF(Tbl_Additionals[[#This Row],[Weight Fact]]&gt;0,INDEX(Recap_Additionals,Tbl_Additionals[[#This Row],[Li]],G$1),"")</f>
        <v/>
      </c>
      <c r="H11" s="278" t="str">
        <f>IF(Tbl_Additionals[[#This Row],[Weight Fact]]&gt;0,INDEX(Recap_Additionals,Tbl_Additionals[[#This Row],[Li]],H$1),"")</f>
        <v/>
      </c>
      <c r="I11" s="282" t="str">
        <f>IF(Tbl_Additionals[[#This Row],[Weight Fact]]&gt;0,INDEX(Recap_Additionals,Tbl_Additionals[[#This Row],[Li]],I$1),"")</f>
        <v/>
      </c>
      <c r="J11" s="283" t="str">
        <f>IF(Tbl_Additionals[[#This Row],[Weight Fact]],Tbl_Additionals[[#This Row],[COG x ]]-Tbl_Additionals[[#This Row],[Distrib]]/2,"")</f>
        <v/>
      </c>
      <c r="K11" s="284" t="str">
        <f>IF(Tbl_Additionals[[#This Row],[Weight Fact]],Tbl_Additionals[[#This Row],[COG x ]]+Tbl_Additionals[[#This Row],[Distrib]]/2,"")</f>
        <v/>
      </c>
      <c r="L11" s="286" t="str">
        <f>IF(Tbl_Additionals[[#This Row],[Weight Fact]],ROUND(Tbl_Additionals[[#This Row],[AP from]]/FE_size,0),"")</f>
        <v/>
      </c>
      <c r="M11" s="285" t="str">
        <f>IF(Tbl_Additionals[[#This Row],[Weight Fact]],ROUND(Tbl_Additionals[[#This Row],[AP to]]/FE_size,0),"")</f>
        <v/>
      </c>
      <c r="N11" s="288" t="str">
        <f>IF(Tbl_Additionals[[#This Row],[Weight Fact]]=0,"",IF(AND(Tbl_Additionals[[#This Row],[COG x ]]&gt;=(Tbl_Additionals[[#This Row],[L to]]-Tbl_Additionals[[#This Row],[L from]])/3+Tbl_Additionals[[#This Row],[L from]],Tbl_Additionals[[#This Row],[COG x ]]&lt;=(Tbl_Additionals[[#This Row],[L to]]-Tbl_Additionals[[#This Row],[L from]])*2/3+Tbl_Additionals[[#This Row],[L from]],Tbl_Additionals[[#This Row],[L to]]&gt;Tbl_Additionals[[#This Row],[L from]]),"OK","KO"))</f>
        <v/>
      </c>
      <c r="O11" s="290" t="str">
        <f>IF(Tbl_Additionals[[#This Row],[Weight Fact]],IF(Tbl_Additionals[[#This Row],[Fr from]]*FE_size&lt;0,0,Tbl_Additionals[[#This Row],[Fr from]]*FE_size),"")</f>
        <v/>
      </c>
      <c r="P11" s="291" t="str">
        <f>IF(Tbl_Additionals[[#This Row],[Weight Fact]],IF(Tbl_Additionals[[#This Row],[Fr to]]*FE_size=Tbl_Additionals[[#This Row],[L from]],Tbl_Additionals[[#This Row],[L from]]+FE_size,IF(Tbl_Additionals[[#This Row],[Fr to]]*FE_size&gt;Lpp,Lpp,Tbl_Additionals[[#This Row],[Fr to]]*FE_size)),"")</f>
        <v/>
      </c>
      <c r="Q11" s="143" t="str">
        <f>IFERROR(Tbl_Additionals[[#This Row],[Weight Fact]]/(Tbl_Additionals[[#This Row],[L to]]-Tbl_Additionals[[#This Row],[L from]]),"")</f>
        <v/>
      </c>
      <c r="R11" s="292" t="str">
        <f>IF(Tbl_Additionals[[#This Row],[Weight Fact]],Tbl_Additionals[[#This Row],[Spread]]*(Tbl_Additionals[[#This Row],[L to]]-Tbl_Additionals[[#This Row],[L from]])-Tbl_Additionals[[#This Row],[Weight Fact]],"")</f>
        <v/>
      </c>
      <c r="S11" s="141" t="str">
        <f>IF(AND(ISNUMBER(Tbl_Additionals[[#This Row],[L from]]),ISNUMBER(Tbl_Additionals[[#This Row],[L to]])),IF(AND(Tbl_Additionals[[#This Row],[L from]]&gt;=0,Tbl_Additionals[[#This Row],[L to]]&lt;=Lpp),"OK","KO"),"OK")</f>
        <v>OK</v>
      </c>
    </row>
    <row r="12" spans="1:19" x14ac:dyDescent="0.25">
      <c r="B12" s="281">
        <f t="shared" ref="B12:B18" si="2">IF(ISNUMBER($B11),$B11+1,0)</f>
        <v>7</v>
      </c>
      <c r="C12" s="287" t="e">
        <f t="shared" si="1"/>
        <v>#N/A</v>
      </c>
      <c r="D12" s="280" t="str">
        <f>IFERROR(INDEX(Recap_Additionals,Tbl_Additionals[[#This Row],[Li]],D$1),"")</f>
        <v/>
      </c>
      <c r="E12" s="279">
        <f>IFERROR(INDEX(Recap_Additionals,Tbl_Additionals[[#This Row],[Li]],E$1),)</f>
        <v>0</v>
      </c>
      <c r="F12" s="277" t="str">
        <f>IF(Tbl_Additionals[[#This Row],[Weight Fact]]&gt;0,INDEX(Recap_Additionals,Tbl_Additionals[[#This Row],[Li]],F$1),"")</f>
        <v/>
      </c>
      <c r="G12" s="278" t="str">
        <f>IF(Tbl_Additionals[[#This Row],[Weight Fact]]&gt;0,INDEX(Recap_Additionals,Tbl_Additionals[[#This Row],[Li]],G$1),"")</f>
        <v/>
      </c>
      <c r="H12" s="278" t="str">
        <f>IF(Tbl_Additionals[[#This Row],[Weight Fact]]&gt;0,INDEX(Recap_Additionals,Tbl_Additionals[[#This Row],[Li]],H$1),"")</f>
        <v/>
      </c>
      <c r="I12" s="282" t="str">
        <f>IF(Tbl_Additionals[[#This Row],[Weight Fact]]&gt;0,INDEX(Recap_Additionals,Tbl_Additionals[[#This Row],[Li]],I$1),"")</f>
        <v/>
      </c>
      <c r="J12" s="283" t="str">
        <f>IF(Tbl_Additionals[[#This Row],[Weight Fact]],Tbl_Additionals[[#This Row],[COG x ]]-Tbl_Additionals[[#This Row],[Distrib]]/2,"")</f>
        <v/>
      </c>
      <c r="K12" s="284" t="str">
        <f>IF(Tbl_Additionals[[#This Row],[Weight Fact]],Tbl_Additionals[[#This Row],[COG x ]]+Tbl_Additionals[[#This Row],[Distrib]]/2,"")</f>
        <v/>
      </c>
      <c r="L12" s="286" t="str">
        <f>IF(Tbl_Additionals[[#This Row],[Weight Fact]],ROUND(Tbl_Additionals[[#This Row],[AP from]]/FE_size,0),"")</f>
        <v/>
      </c>
      <c r="M12" s="285" t="str">
        <f>IF(Tbl_Additionals[[#This Row],[Weight Fact]],ROUND(Tbl_Additionals[[#This Row],[AP to]]/FE_size,0),"")</f>
        <v/>
      </c>
      <c r="N12" s="289" t="str">
        <f>IF(Tbl_Additionals[[#This Row],[Weight Fact]]=0,"",IF(AND(Tbl_Additionals[[#This Row],[COG x ]]&gt;=(Tbl_Additionals[[#This Row],[L to]]-Tbl_Additionals[[#This Row],[L from]])/3+Tbl_Additionals[[#This Row],[L from]],Tbl_Additionals[[#This Row],[COG x ]]&lt;=(Tbl_Additionals[[#This Row],[L to]]-Tbl_Additionals[[#This Row],[L from]])*2/3+Tbl_Additionals[[#This Row],[L from]],Tbl_Additionals[[#This Row],[L to]]&gt;Tbl_Additionals[[#This Row],[L from]]),"OK","KO"))</f>
        <v/>
      </c>
      <c r="O12" s="290" t="str">
        <f>IF(Tbl_Additionals[[#This Row],[Weight Fact]],IF(Tbl_Additionals[[#This Row],[Fr from]]*FE_size&lt;0,0,Tbl_Additionals[[#This Row],[Fr from]]*FE_size),"")</f>
        <v/>
      </c>
      <c r="P12" s="291" t="str">
        <f>IF(Tbl_Additionals[[#This Row],[Weight Fact]],IF(Tbl_Additionals[[#This Row],[Fr to]]*FE_size=Tbl_Additionals[[#This Row],[L from]],Tbl_Additionals[[#This Row],[L from]]+FE_size,IF(Tbl_Additionals[[#This Row],[Fr to]]*FE_size&gt;Lpp,Lpp,Tbl_Additionals[[#This Row],[Fr to]]*FE_size)),"")</f>
        <v/>
      </c>
      <c r="Q12" s="143" t="str">
        <f>IFERROR(Tbl_Additionals[[#This Row],[Weight Fact]]/(Tbl_Additionals[[#This Row],[L to]]-Tbl_Additionals[[#This Row],[L from]]),"")</f>
        <v/>
      </c>
      <c r="R12" s="292" t="str">
        <f>IF(Tbl_Additionals[[#This Row],[Weight Fact]],Tbl_Additionals[[#This Row],[Spread]]*(Tbl_Additionals[[#This Row],[L to]]-Tbl_Additionals[[#This Row],[L from]])-Tbl_Additionals[[#This Row],[Weight Fact]],"")</f>
        <v/>
      </c>
      <c r="S12" s="141" t="str">
        <f>IF(AND(ISNUMBER(Tbl_Additionals[[#This Row],[L from]]),ISNUMBER(Tbl_Additionals[[#This Row],[L to]])),IF(AND(Tbl_Additionals[[#This Row],[L from]]&gt;=0,Tbl_Additionals[[#This Row],[L to]]&lt;=Lpp),"OK","KO"),"OK")</f>
        <v>OK</v>
      </c>
    </row>
    <row r="13" spans="1:19" x14ac:dyDescent="0.25">
      <c r="B13" s="281">
        <f t="shared" si="2"/>
        <v>8</v>
      </c>
      <c r="C13" s="287" t="e">
        <f t="shared" si="1"/>
        <v>#N/A</v>
      </c>
      <c r="D13" s="280" t="str">
        <f>IFERROR(INDEX(Recap_Additionals,Tbl_Additionals[[#This Row],[Li]],D$1),"")</f>
        <v/>
      </c>
      <c r="E13" s="279">
        <f>IFERROR(INDEX(Recap_Additionals,Tbl_Additionals[[#This Row],[Li]],E$1),)</f>
        <v>0</v>
      </c>
      <c r="F13" s="277" t="str">
        <f>IF(Tbl_Additionals[[#This Row],[Weight Fact]]&gt;0,INDEX(Recap_Additionals,Tbl_Additionals[[#This Row],[Li]],F$1),"")</f>
        <v/>
      </c>
      <c r="G13" s="278" t="str">
        <f>IF(Tbl_Additionals[[#This Row],[Weight Fact]]&gt;0,INDEX(Recap_Additionals,Tbl_Additionals[[#This Row],[Li]],G$1),"")</f>
        <v/>
      </c>
      <c r="H13" s="278" t="str">
        <f>IF(Tbl_Additionals[[#This Row],[Weight Fact]]&gt;0,INDEX(Recap_Additionals,Tbl_Additionals[[#This Row],[Li]],H$1),"")</f>
        <v/>
      </c>
      <c r="I13" s="282" t="str">
        <f>IF(Tbl_Additionals[[#This Row],[Weight Fact]]&gt;0,INDEX(Recap_Additionals,Tbl_Additionals[[#This Row],[Li]],I$1),"")</f>
        <v/>
      </c>
      <c r="J13" s="283" t="str">
        <f>IF(Tbl_Additionals[[#This Row],[Weight Fact]],Tbl_Additionals[[#This Row],[COG x ]]-Tbl_Additionals[[#This Row],[Distrib]]/2,"")</f>
        <v/>
      </c>
      <c r="K13" s="284" t="str">
        <f>IF(Tbl_Additionals[[#This Row],[Weight Fact]],Tbl_Additionals[[#This Row],[COG x ]]+Tbl_Additionals[[#This Row],[Distrib]]/2,"")</f>
        <v/>
      </c>
      <c r="L13" s="286" t="str">
        <f>IF(Tbl_Additionals[[#This Row],[Weight Fact]],ROUND(Tbl_Additionals[[#This Row],[AP from]]/FE_size,0),"")</f>
        <v/>
      </c>
      <c r="M13" s="285" t="str">
        <f>IF(Tbl_Additionals[[#This Row],[Weight Fact]],ROUND(Tbl_Additionals[[#This Row],[AP to]]/FE_size,0),"")</f>
        <v/>
      </c>
      <c r="N13" s="289" t="str">
        <f>IF(Tbl_Additionals[[#This Row],[Weight Fact]]=0,"",IF(AND(Tbl_Additionals[[#This Row],[COG x ]]&gt;=(Tbl_Additionals[[#This Row],[L to]]-Tbl_Additionals[[#This Row],[L from]])/3+Tbl_Additionals[[#This Row],[L from]],Tbl_Additionals[[#This Row],[COG x ]]&lt;=(Tbl_Additionals[[#This Row],[L to]]-Tbl_Additionals[[#This Row],[L from]])*2/3+Tbl_Additionals[[#This Row],[L from]],Tbl_Additionals[[#This Row],[L to]]&gt;Tbl_Additionals[[#This Row],[L from]]),"OK","KO"))</f>
        <v/>
      </c>
      <c r="O13" s="290" t="str">
        <f>IF(Tbl_Additionals[[#This Row],[Weight Fact]],IF(Tbl_Additionals[[#This Row],[Fr from]]*FE_size&lt;0,0,Tbl_Additionals[[#This Row],[Fr from]]*FE_size),"")</f>
        <v/>
      </c>
      <c r="P13" s="291" t="str">
        <f>IF(Tbl_Additionals[[#This Row],[Weight Fact]],IF(Tbl_Additionals[[#This Row],[Fr to]]*FE_size=Tbl_Additionals[[#This Row],[L from]],Tbl_Additionals[[#This Row],[L from]]+FE_size,IF(Tbl_Additionals[[#This Row],[Fr to]]*FE_size&gt;Lpp,Lpp,Tbl_Additionals[[#This Row],[Fr to]]*FE_size)),"")</f>
        <v/>
      </c>
      <c r="Q13" s="143" t="str">
        <f>IFERROR(Tbl_Additionals[[#This Row],[Weight Fact]]/(Tbl_Additionals[[#This Row],[L to]]-Tbl_Additionals[[#This Row],[L from]]),"")</f>
        <v/>
      </c>
      <c r="R13" s="292" t="str">
        <f>IF(Tbl_Additionals[[#This Row],[Weight Fact]],Tbl_Additionals[[#This Row],[Spread]]*(Tbl_Additionals[[#This Row],[L to]]-Tbl_Additionals[[#This Row],[L from]])-Tbl_Additionals[[#This Row],[Weight Fact]],"")</f>
        <v/>
      </c>
      <c r="S13" s="141" t="str">
        <f>IF(AND(ISNUMBER(Tbl_Additionals[[#This Row],[L from]]),ISNUMBER(Tbl_Additionals[[#This Row],[L to]])),IF(AND(Tbl_Additionals[[#This Row],[L from]]&gt;=0,Tbl_Additionals[[#This Row],[L to]]&lt;=Lpp),"OK","KO"),"OK")</f>
        <v>OK</v>
      </c>
    </row>
    <row r="14" spans="1:19" x14ac:dyDescent="0.25">
      <c r="B14" s="281">
        <f t="shared" si="2"/>
        <v>9</v>
      </c>
      <c r="C14" s="287" t="e">
        <f t="shared" si="1"/>
        <v>#N/A</v>
      </c>
      <c r="D14" s="280" t="str">
        <f>IFERROR(INDEX(Recap_Additionals,Tbl_Additionals[[#This Row],[Li]],D$1),"")</f>
        <v/>
      </c>
      <c r="E14" s="279">
        <f>IFERROR(INDEX(Recap_Additionals,Tbl_Additionals[[#This Row],[Li]],E$1),)</f>
        <v>0</v>
      </c>
      <c r="F14" s="277" t="str">
        <f>IF(Tbl_Additionals[[#This Row],[Weight Fact]]&gt;0,INDEX(Recap_Additionals,Tbl_Additionals[[#This Row],[Li]],F$1),"")</f>
        <v/>
      </c>
      <c r="G14" s="278" t="str">
        <f>IF(Tbl_Additionals[[#This Row],[Weight Fact]]&gt;0,INDEX(Recap_Additionals,Tbl_Additionals[[#This Row],[Li]],G$1),"")</f>
        <v/>
      </c>
      <c r="H14" s="278" t="str">
        <f>IF(Tbl_Additionals[[#This Row],[Weight Fact]]&gt;0,INDEX(Recap_Additionals,Tbl_Additionals[[#This Row],[Li]],H$1),"")</f>
        <v/>
      </c>
      <c r="I14" s="282" t="str">
        <f>IF(Tbl_Additionals[[#This Row],[Weight Fact]]&gt;0,INDEX(Recap_Additionals,Tbl_Additionals[[#This Row],[Li]],I$1),"")</f>
        <v/>
      </c>
      <c r="J14" s="283" t="str">
        <f>IF(Tbl_Additionals[[#This Row],[Weight Fact]],Tbl_Additionals[[#This Row],[COG x ]]-Tbl_Additionals[[#This Row],[Distrib]]/2,"")</f>
        <v/>
      </c>
      <c r="K14" s="284" t="str">
        <f>IF(Tbl_Additionals[[#This Row],[Weight Fact]],Tbl_Additionals[[#This Row],[COG x ]]+Tbl_Additionals[[#This Row],[Distrib]]/2,"")</f>
        <v/>
      </c>
      <c r="L14" s="286" t="str">
        <f>IF(Tbl_Additionals[[#This Row],[Weight Fact]],ROUND(Tbl_Additionals[[#This Row],[AP from]]/FE_size,0),"")</f>
        <v/>
      </c>
      <c r="M14" s="285" t="str">
        <f>IF(Tbl_Additionals[[#This Row],[Weight Fact]],ROUND(Tbl_Additionals[[#This Row],[AP to]]/FE_size,0),"")</f>
        <v/>
      </c>
      <c r="N14" s="289" t="str">
        <f>IF(Tbl_Additionals[[#This Row],[Weight Fact]]=0,"",IF(AND(Tbl_Additionals[[#This Row],[COG x ]]&gt;=(Tbl_Additionals[[#This Row],[L to]]-Tbl_Additionals[[#This Row],[L from]])/3+Tbl_Additionals[[#This Row],[L from]],Tbl_Additionals[[#This Row],[COG x ]]&lt;=(Tbl_Additionals[[#This Row],[L to]]-Tbl_Additionals[[#This Row],[L from]])*2/3+Tbl_Additionals[[#This Row],[L from]],Tbl_Additionals[[#This Row],[L to]]&gt;Tbl_Additionals[[#This Row],[L from]]),"OK","KO"))</f>
        <v/>
      </c>
      <c r="O14" s="290" t="str">
        <f>IF(Tbl_Additionals[[#This Row],[Weight Fact]],IF(Tbl_Additionals[[#This Row],[Fr from]]*FE_size&lt;0,0,Tbl_Additionals[[#This Row],[Fr from]]*FE_size),"")</f>
        <v/>
      </c>
      <c r="P14" s="291" t="str">
        <f>IF(Tbl_Additionals[[#This Row],[Weight Fact]],IF(Tbl_Additionals[[#This Row],[Fr to]]*FE_size=Tbl_Additionals[[#This Row],[L from]],Tbl_Additionals[[#This Row],[L from]]+FE_size,IF(Tbl_Additionals[[#This Row],[Fr to]]*FE_size&gt;Lpp,Lpp,Tbl_Additionals[[#This Row],[Fr to]]*FE_size)),"")</f>
        <v/>
      </c>
      <c r="Q14" s="143" t="str">
        <f>IFERROR(Tbl_Additionals[[#This Row],[Weight Fact]]/(Tbl_Additionals[[#This Row],[L to]]-Tbl_Additionals[[#This Row],[L from]]),"")</f>
        <v/>
      </c>
      <c r="R14" s="292" t="str">
        <f>IF(Tbl_Additionals[[#This Row],[Weight Fact]],Tbl_Additionals[[#This Row],[Spread]]*(Tbl_Additionals[[#This Row],[L to]]-Tbl_Additionals[[#This Row],[L from]])-Tbl_Additionals[[#This Row],[Weight Fact]],"")</f>
        <v/>
      </c>
      <c r="S14" s="141" t="str">
        <f>IF(AND(ISNUMBER(Tbl_Additionals[[#This Row],[L from]]),ISNUMBER(Tbl_Additionals[[#This Row],[L to]])),IF(AND(Tbl_Additionals[[#This Row],[L from]]&gt;=0,Tbl_Additionals[[#This Row],[L to]]&lt;=Lpp),"OK","KO"),"OK")</f>
        <v>OK</v>
      </c>
    </row>
    <row r="15" spans="1:19" x14ac:dyDescent="0.25">
      <c r="B15" s="281">
        <f t="shared" si="2"/>
        <v>10</v>
      </c>
      <c r="C15" s="287" t="e">
        <f t="shared" si="1"/>
        <v>#N/A</v>
      </c>
      <c r="D15" s="280" t="str">
        <f>IFERROR(INDEX(Recap_Additionals,Tbl_Additionals[[#This Row],[Li]],D$1),"")</f>
        <v/>
      </c>
      <c r="E15" s="279">
        <f>IFERROR(INDEX(Recap_Additionals,Tbl_Additionals[[#This Row],[Li]],E$1),)</f>
        <v>0</v>
      </c>
      <c r="F15" s="277" t="str">
        <f>IF(Tbl_Additionals[[#This Row],[Weight Fact]]&gt;0,INDEX(Recap_Additionals,Tbl_Additionals[[#This Row],[Li]],F$1),"")</f>
        <v/>
      </c>
      <c r="G15" s="278" t="str">
        <f>IF(Tbl_Additionals[[#This Row],[Weight Fact]]&gt;0,INDEX(Recap_Additionals,Tbl_Additionals[[#This Row],[Li]],G$1),"")</f>
        <v/>
      </c>
      <c r="H15" s="278" t="str">
        <f>IF(Tbl_Additionals[[#This Row],[Weight Fact]]&gt;0,INDEX(Recap_Additionals,Tbl_Additionals[[#This Row],[Li]],H$1),"")</f>
        <v/>
      </c>
      <c r="I15" s="282" t="str">
        <f>IF(Tbl_Additionals[[#This Row],[Weight Fact]]&gt;0,INDEX(Recap_Additionals,Tbl_Additionals[[#This Row],[Li]],I$1),"")</f>
        <v/>
      </c>
      <c r="J15" s="283" t="str">
        <f>IF(Tbl_Additionals[[#This Row],[Weight Fact]],Tbl_Additionals[[#This Row],[COG x ]]-Tbl_Additionals[[#This Row],[Distrib]]/2,"")</f>
        <v/>
      </c>
      <c r="K15" s="284" t="str">
        <f>IF(Tbl_Additionals[[#This Row],[Weight Fact]],Tbl_Additionals[[#This Row],[COG x ]]+Tbl_Additionals[[#This Row],[Distrib]]/2,"")</f>
        <v/>
      </c>
      <c r="L15" s="286" t="str">
        <f>IF(Tbl_Additionals[[#This Row],[Weight Fact]],ROUND(Tbl_Additionals[[#This Row],[AP from]]/FE_size,0),"")</f>
        <v/>
      </c>
      <c r="M15" s="285" t="str">
        <f>IF(Tbl_Additionals[[#This Row],[Weight Fact]],ROUND(Tbl_Additionals[[#This Row],[AP to]]/FE_size,0),"")</f>
        <v/>
      </c>
      <c r="N15" s="289" t="str">
        <f>IF(Tbl_Additionals[[#This Row],[Weight Fact]]=0,"",IF(AND(Tbl_Additionals[[#This Row],[COG x ]]&gt;=(Tbl_Additionals[[#This Row],[L to]]-Tbl_Additionals[[#This Row],[L from]])/3+Tbl_Additionals[[#This Row],[L from]],Tbl_Additionals[[#This Row],[COG x ]]&lt;=(Tbl_Additionals[[#This Row],[L to]]-Tbl_Additionals[[#This Row],[L from]])*2/3+Tbl_Additionals[[#This Row],[L from]],Tbl_Additionals[[#This Row],[L to]]&gt;Tbl_Additionals[[#This Row],[L from]]),"OK","KO"))</f>
        <v/>
      </c>
      <c r="O15" s="290" t="str">
        <f>IF(Tbl_Additionals[[#This Row],[Weight Fact]],IF(Tbl_Additionals[[#This Row],[Fr from]]*FE_size&lt;0,0,Tbl_Additionals[[#This Row],[Fr from]]*FE_size),"")</f>
        <v/>
      </c>
      <c r="P15" s="291" t="str">
        <f>IF(Tbl_Additionals[[#This Row],[Weight Fact]],IF(Tbl_Additionals[[#This Row],[Fr to]]*FE_size=Tbl_Additionals[[#This Row],[L from]],Tbl_Additionals[[#This Row],[L from]]+FE_size,IF(Tbl_Additionals[[#This Row],[Fr to]]*FE_size&gt;Lpp,Lpp,Tbl_Additionals[[#This Row],[Fr to]]*FE_size)),"")</f>
        <v/>
      </c>
      <c r="Q15" s="143" t="str">
        <f>IFERROR(Tbl_Additionals[[#This Row],[Weight Fact]]/(Tbl_Additionals[[#This Row],[L to]]-Tbl_Additionals[[#This Row],[L from]]),"")</f>
        <v/>
      </c>
      <c r="R15" s="292" t="str">
        <f>IF(Tbl_Additionals[[#This Row],[Weight Fact]],Tbl_Additionals[[#This Row],[Spread]]*(Tbl_Additionals[[#This Row],[L to]]-Tbl_Additionals[[#This Row],[L from]])-Tbl_Additionals[[#This Row],[Weight Fact]],"")</f>
        <v/>
      </c>
      <c r="S15" s="141" t="str">
        <f>IF(AND(ISNUMBER(Tbl_Additionals[[#This Row],[L from]]),ISNUMBER(Tbl_Additionals[[#This Row],[L to]])),IF(AND(Tbl_Additionals[[#This Row],[L from]]&gt;=0,Tbl_Additionals[[#This Row],[L to]]&lt;=Lpp),"OK","KO"),"OK")</f>
        <v>OK</v>
      </c>
    </row>
    <row r="16" spans="1:19" x14ac:dyDescent="0.25">
      <c r="B16" s="281">
        <f t="shared" si="2"/>
        <v>11</v>
      </c>
      <c r="C16" s="287" t="e">
        <f t="shared" si="1"/>
        <v>#N/A</v>
      </c>
      <c r="D16" s="280" t="str">
        <f>IFERROR(INDEX(Recap_Additionals,Tbl_Additionals[[#This Row],[Li]],D$1),"")</f>
        <v/>
      </c>
      <c r="E16" s="279">
        <f>IFERROR(INDEX(Recap_Additionals,Tbl_Additionals[[#This Row],[Li]],E$1),)</f>
        <v>0</v>
      </c>
      <c r="F16" s="277" t="str">
        <f>IF(Tbl_Additionals[[#This Row],[Weight Fact]]&gt;0,INDEX(Recap_Additionals,Tbl_Additionals[[#This Row],[Li]],F$1),"")</f>
        <v/>
      </c>
      <c r="G16" s="278" t="str">
        <f>IF(Tbl_Additionals[[#This Row],[Weight Fact]]&gt;0,INDEX(Recap_Additionals,Tbl_Additionals[[#This Row],[Li]],G$1),"")</f>
        <v/>
      </c>
      <c r="H16" s="278" t="str">
        <f>IF(Tbl_Additionals[[#This Row],[Weight Fact]]&gt;0,INDEX(Recap_Additionals,Tbl_Additionals[[#This Row],[Li]],H$1),"")</f>
        <v/>
      </c>
      <c r="I16" s="282" t="str">
        <f>IF(Tbl_Additionals[[#This Row],[Weight Fact]]&gt;0,INDEX(Recap_Additionals,Tbl_Additionals[[#This Row],[Li]],I$1),"")</f>
        <v/>
      </c>
      <c r="J16" s="283" t="str">
        <f>IF(Tbl_Additionals[[#This Row],[Weight Fact]],Tbl_Additionals[[#This Row],[COG x ]]-Tbl_Additionals[[#This Row],[Distrib]]/2,"")</f>
        <v/>
      </c>
      <c r="K16" s="284" t="str">
        <f>IF(Tbl_Additionals[[#This Row],[Weight Fact]],Tbl_Additionals[[#This Row],[COG x ]]+Tbl_Additionals[[#This Row],[Distrib]]/2,"")</f>
        <v/>
      </c>
      <c r="L16" s="286" t="str">
        <f>IF(Tbl_Additionals[[#This Row],[Weight Fact]],ROUND(Tbl_Additionals[[#This Row],[AP from]]/FE_size,0),"")</f>
        <v/>
      </c>
      <c r="M16" s="285" t="str">
        <f>IF(Tbl_Additionals[[#This Row],[Weight Fact]],ROUND(Tbl_Additionals[[#This Row],[AP to]]/FE_size,0),"")</f>
        <v/>
      </c>
      <c r="N16" s="289" t="str">
        <f>IF(Tbl_Additionals[[#This Row],[Weight Fact]]=0,"",IF(AND(Tbl_Additionals[[#This Row],[COG x ]]&gt;=(Tbl_Additionals[[#This Row],[L to]]-Tbl_Additionals[[#This Row],[L from]])/3+Tbl_Additionals[[#This Row],[L from]],Tbl_Additionals[[#This Row],[COG x ]]&lt;=(Tbl_Additionals[[#This Row],[L to]]-Tbl_Additionals[[#This Row],[L from]])*2/3+Tbl_Additionals[[#This Row],[L from]],Tbl_Additionals[[#This Row],[L to]]&gt;Tbl_Additionals[[#This Row],[L from]]),"OK","KO"))</f>
        <v/>
      </c>
      <c r="O16" s="290" t="str">
        <f>IF(Tbl_Additionals[[#This Row],[Weight Fact]],IF(Tbl_Additionals[[#This Row],[Fr from]]*FE_size&lt;0,0,Tbl_Additionals[[#This Row],[Fr from]]*FE_size),"")</f>
        <v/>
      </c>
      <c r="P16" s="291" t="str">
        <f>IF(Tbl_Additionals[[#This Row],[Weight Fact]],IF(Tbl_Additionals[[#This Row],[Fr to]]*FE_size=Tbl_Additionals[[#This Row],[L from]],Tbl_Additionals[[#This Row],[L from]]+FE_size,IF(Tbl_Additionals[[#This Row],[Fr to]]*FE_size&gt;Lpp,Lpp,Tbl_Additionals[[#This Row],[Fr to]]*FE_size)),"")</f>
        <v/>
      </c>
      <c r="Q16" s="143" t="str">
        <f>IFERROR(Tbl_Additionals[[#This Row],[Weight Fact]]/(Tbl_Additionals[[#This Row],[L to]]-Tbl_Additionals[[#This Row],[L from]]),"")</f>
        <v/>
      </c>
      <c r="R16" s="292" t="str">
        <f>IF(Tbl_Additionals[[#This Row],[Weight Fact]],Tbl_Additionals[[#This Row],[Spread]]*(Tbl_Additionals[[#This Row],[L to]]-Tbl_Additionals[[#This Row],[L from]])-Tbl_Additionals[[#This Row],[Weight Fact]],"")</f>
        <v/>
      </c>
      <c r="S16" s="141" t="str">
        <f>IF(AND(ISNUMBER(Tbl_Additionals[[#This Row],[L from]]),ISNUMBER(Tbl_Additionals[[#This Row],[L to]])),IF(AND(Tbl_Additionals[[#This Row],[L from]]&gt;=0,Tbl_Additionals[[#This Row],[L to]]&lt;=Lpp),"OK","KO"),"OK")</f>
        <v>OK</v>
      </c>
    </row>
    <row r="17" spans="2:22" x14ac:dyDescent="0.25">
      <c r="B17" s="281">
        <f t="shared" si="2"/>
        <v>12</v>
      </c>
      <c r="C17" s="287" t="e">
        <f t="shared" si="1"/>
        <v>#N/A</v>
      </c>
      <c r="D17" s="280" t="str">
        <f>IFERROR(INDEX(Recap_Additionals,Tbl_Additionals[[#This Row],[Li]],D$1),"")</f>
        <v/>
      </c>
      <c r="E17" s="279">
        <f>IFERROR(INDEX(Recap_Additionals,Tbl_Additionals[[#This Row],[Li]],E$1),)</f>
        <v>0</v>
      </c>
      <c r="F17" s="277" t="str">
        <f>IF(Tbl_Additionals[[#This Row],[Weight Fact]]&gt;0,INDEX(Recap_Additionals,Tbl_Additionals[[#This Row],[Li]],F$1),"")</f>
        <v/>
      </c>
      <c r="G17" s="278" t="str">
        <f>IF(Tbl_Additionals[[#This Row],[Weight Fact]]&gt;0,INDEX(Recap_Additionals,Tbl_Additionals[[#This Row],[Li]],G$1),"")</f>
        <v/>
      </c>
      <c r="H17" s="278" t="str">
        <f>IF(Tbl_Additionals[[#This Row],[Weight Fact]]&gt;0,INDEX(Recap_Additionals,Tbl_Additionals[[#This Row],[Li]],H$1),"")</f>
        <v/>
      </c>
      <c r="I17" s="282" t="str">
        <f>IF(Tbl_Additionals[[#This Row],[Weight Fact]]&gt;0,INDEX(Recap_Additionals,Tbl_Additionals[[#This Row],[Li]],I$1),"")</f>
        <v/>
      </c>
      <c r="J17" s="283" t="str">
        <f>IF(Tbl_Additionals[[#This Row],[Weight Fact]],Tbl_Additionals[[#This Row],[COG x ]]-Tbl_Additionals[[#This Row],[Distrib]]/2,"")</f>
        <v/>
      </c>
      <c r="K17" s="284" t="str">
        <f>IF(Tbl_Additionals[[#This Row],[Weight Fact]],Tbl_Additionals[[#This Row],[COG x ]]+Tbl_Additionals[[#This Row],[Distrib]]/2,"")</f>
        <v/>
      </c>
      <c r="L17" s="286" t="str">
        <f>IF(Tbl_Additionals[[#This Row],[Weight Fact]],ROUND(Tbl_Additionals[[#This Row],[AP from]]/FE_size,0),"")</f>
        <v/>
      </c>
      <c r="M17" s="285" t="str">
        <f>IF(Tbl_Additionals[[#This Row],[Weight Fact]],ROUND(Tbl_Additionals[[#This Row],[AP to]]/FE_size,0),"")</f>
        <v/>
      </c>
      <c r="N17" s="289" t="str">
        <f>IF(Tbl_Additionals[[#This Row],[Weight Fact]]=0,"",IF(AND(Tbl_Additionals[[#This Row],[COG x ]]&gt;=(Tbl_Additionals[[#This Row],[L to]]-Tbl_Additionals[[#This Row],[L from]])/3+Tbl_Additionals[[#This Row],[L from]],Tbl_Additionals[[#This Row],[COG x ]]&lt;=(Tbl_Additionals[[#This Row],[L to]]-Tbl_Additionals[[#This Row],[L from]])*2/3+Tbl_Additionals[[#This Row],[L from]],Tbl_Additionals[[#This Row],[L to]]&gt;Tbl_Additionals[[#This Row],[L from]]),"OK","KO"))</f>
        <v/>
      </c>
      <c r="O17" s="290" t="str">
        <f>IF(Tbl_Additionals[[#This Row],[Weight Fact]],IF(Tbl_Additionals[[#This Row],[Fr from]]*FE_size&lt;0,0,Tbl_Additionals[[#This Row],[Fr from]]*FE_size),"")</f>
        <v/>
      </c>
      <c r="P17" s="291" t="str">
        <f>IF(Tbl_Additionals[[#This Row],[Weight Fact]],IF(Tbl_Additionals[[#This Row],[Fr to]]*FE_size=Tbl_Additionals[[#This Row],[L from]],Tbl_Additionals[[#This Row],[L from]]+FE_size,IF(Tbl_Additionals[[#This Row],[Fr to]]*FE_size&gt;Lpp,Lpp,Tbl_Additionals[[#This Row],[Fr to]]*FE_size)),"")</f>
        <v/>
      </c>
      <c r="Q17" s="143" t="str">
        <f>IFERROR(Tbl_Additionals[[#This Row],[Weight Fact]]/(Tbl_Additionals[[#This Row],[L to]]-Tbl_Additionals[[#This Row],[L from]]),"")</f>
        <v/>
      </c>
      <c r="R17" s="292" t="str">
        <f>IF(Tbl_Additionals[[#This Row],[Weight Fact]],Tbl_Additionals[[#This Row],[Spread]]*(Tbl_Additionals[[#This Row],[L to]]-Tbl_Additionals[[#This Row],[L from]])-Tbl_Additionals[[#This Row],[Weight Fact]],"")</f>
        <v/>
      </c>
      <c r="S17" s="141" t="str">
        <f>IF(AND(ISNUMBER(Tbl_Additionals[[#This Row],[L from]]),ISNUMBER(Tbl_Additionals[[#This Row],[L to]])),IF(AND(Tbl_Additionals[[#This Row],[L from]]&gt;=0,Tbl_Additionals[[#This Row],[L to]]&lt;=Lpp),"OK","KO"),"OK")</f>
        <v>OK</v>
      </c>
    </row>
    <row r="18" spans="2:22" x14ac:dyDescent="0.25">
      <c r="B18" s="281">
        <f t="shared" si="2"/>
        <v>13</v>
      </c>
      <c r="C18" s="287" t="e">
        <f t="shared" si="1"/>
        <v>#N/A</v>
      </c>
      <c r="D18" s="280" t="str">
        <f>IFERROR(INDEX(Recap_Additionals,Tbl_Additionals[[#This Row],[Li]],D$1),"")</f>
        <v/>
      </c>
      <c r="E18" s="279">
        <f>IFERROR(INDEX(Recap_Additionals,Tbl_Additionals[[#This Row],[Li]],E$1),)</f>
        <v>0</v>
      </c>
      <c r="F18" s="277" t="str">
        <f>IF(Tbl_Additionals[[#This Row],[Weight Fact]]&gt;0,INDEX(Recap_Additionals,Tbl_Additionals[[#This Row],[Li]],F$1),"")</f>
        <v/>
      </c>
      <c r="G18" s="278" t="str">
        <f>IF(Tbl_Additionals[[#This Row],[Weight Fact]]&gt;0,INDEX(Recap_Additionals,Tbl_Additionals[[#This Row],[Li]],G$1),"")</f>
        <v/>
      </c>
      <c r="H18" s="278" t="str">
        <f>IF(Tbl_Additionals[[#This Row],[Weight Fact]]&gt;0,INDEX(Recap_Additionals,Tbl_Additionals[[#This Row],[Li]],H$1),"")</f>
        <v/>
      </c>
      <c r="I18" s="282" t="str">
        <f>IF(Tbl_Additionals[[#This Row],[Weight Fact]]&gt;0,INDEX(Recap_Additionals,Tbl_Additionals[[#This Row],[Li]],I$1),"")</f>
        <v/>
      </c>
      <c r="J18" s="283" t="str">
        <f>IF(Tbl_Additionals[[#This Row],[Weight Fact]],Tbl_Additionals[[#This Row],[COG x ]]-Tbl_Additionals[[#This Row],[Distrib]]/2,"")</f>
        <v/>
      </c>
      <c r="K18" s="284" t="str">
        <f>IF(Tbl_Additionals[[#This Row],[Weight Fact]],Tbl_Additionals[[#This Row],[COG x ]]+Tbl_Additionals[[#This Row],[Distrib]]/2,"")</f>
        <v/>
      </c>
      <c r="L18" s="286" t="str">
        <f>IF(Tbl_Additionals[[#This Row],[Weight Fact]],ROUND(Tbl_Additionals[[#This Row],[AP from]]/FE_size,0),"")</f>
        <v/>
      </c>
      <c r="M18" s="285" t="str">
        <f>IF(Tbl_Additionals[[#This Row],[Weight Fact]],ROUND(Tbl_Additionals[[#This Row],[AP to]]/FE_size,0),"")</f>
        <v/>
      </c>
      <c r="N18" s="289" t="str">
        <f>IF(Tbl_Additionals[[#This Row],[Weight Fact]]=0,"",IF(AND(Tbl_Additionals[[#This Row],[COG x ]]&gt;=(Tbl_Additionals[[#This Row],[L to]]-Tbl_Additionals[[#This Row],[L from]])/3+Tbl_Additionals[[#This Row],[L from]],Tbl_Additionals[[#This Row],[COG x ]]&lt;=(Tbl_Additionals[[#This Row],[L to]]-Tbl_Additionals[[#This Row],[L from]])*2/3+Tbl_Additionals[[#This Row],[L from]],Tbl_Additionals[[#This Row],[L to]]&gt;Tbl_Additionals[[#This Row],[L from]]),"OK","KO"))</f>
        <v/>
      </c>
      <c r="O18" s="290" t="str">
        <f>IF(Tbl_Additionals[[#This Row],[Weight Fact]],IF(Tbl_Additionals[[#This Row],[Fr from]]*FE_size&lt;0,0,Tbl_Additionals[[#This Row],[Fr from]]*FE_size),"")</f>
        <v/>
      </c>
      <c r="P18" s="291" t="str">
        <f>IF(Tbl_Additionals[[#This Row],[Weight Fact]],IF(Tbl_Additionals[[#This Row],[Fr to]]*FE_size=Tbl_Additionals[[#This Row],[L from]],Tbl_Additionals[[#This Row],[L from]]+FE_size,IF(Tbl_Additionals[[#This Row],[Fr to]]*FE_size&gt;Lpp,Lpp,Tbl_Additionals[[#This Row],[Fr to]]*FE_size)),"")</f>
        <v/>
      </c>
      <c r="Q18" s="143" t="str">
        <f>IFERROR(Tbl_Additionals[[#This Row],[Weight Fact]]/(Tbl_Additionals[[#This Row],[L to]]-Tbl_Additionals[[#This Row],[L from]]),"")</f>
        <v/>
      </c>
      <c r="R18" s="292" t="str">
        <f>IF(Tbl_Additionals[[#This Row],[Weight Fact]],Tbl_Additionals[[#This Row],[Spread]]*(Tbl_Additionals[[#This Row],[L to]]-Tbl_Additionals[[#This Row],[L from]])-Tbl_Additionals[[#This Row],[Weight Fact]],"")</f>
        <v/>
      </c>
      <c r="S18" s="141" t="str">
        <f>IF(AND(ISNUMBER(Tbl_Additionals[[#This Row],[L from]]),ISNUMBER(Tbl_Additionals[[#This Row],[L to]])),IF(AND(Tbl_Additionals[[#This Row],[L from]]&gt;=0,Tbl_Additionals[[#This Row],[L to]]&lt;=Lpp),"OK","KO"),"OK")</f>
        <v>OK</v>
      </c>
    </row>
    <row r="27" spans="2:22" s="55" customFormat="1" x14ac:dyDescent="0.25">
      <c r="B27"/>
      <c r="C27"/>
      <c r="D27"/>
      <c r="E27"/>
      <c r="F27"/>
      <c r="G27"/>
      <c r="H27"/>
      <c r="I27"/>
      <c r="J27"/>
      <c r="K27"/>
      <c r="L27"/>
      <c r="M27"/>
      <c r="N27"/>
      <c r="O27"/>
      <c r="P27"/>
      <c r="Q27"/>
      <c r="R27"/>
      <c r="S27" s="33"/>
      <c r="T27" s="33"/>
      <c r="U27" s="33"/>
      <c r="V27" s="33"/>
    </row>
    <row r="28" spans="2:22" s="55" customFormat="1" x14ac:dyDescent="0.25">
      <c r="B28"/>
      <c r="C28"/>
      <c r="D28"/>
      <c r="E28"/>
      <c r="F28"/>
      <c r="G28"/>
      <c r="H28"/>
      <c r="I28"/>
      <c r="J28"/>
      <c r="K28"/>
      <c r="L28"/>
      <c r="M28"/>
      <c r="N28"/>
      <c r="O28"/>
      <c r="P28"/>
      <c r="Q28"/>
      <c r="R28"/>
      <c r="S28" s="33"/>
      <c r="T28" s="33"/>
      <c r="U28" s="33"/>
      <c r="V28" s="33"/>
    </row>
    <row r="29" spans="2:22" s="55" customFormat="1" x14ac:dyDescent="0.25">
      <c r="B29"/>
      <c r="C29"/>
      <c r="D29"/>
      <c r="E29"/>
      <c r="F29"/>
      <c r="G29"/>
      <c r="H29"/>
      <c r="I29"/>
      <c r="J29"/>
      <c r="K29"/>
      <c r="L29"/>
      <c r="M29"/>
      <c r="N29"/>
      <c r="O29"/>
      <c r="P29"/>
      <c r="Q29"/>
      <c r="R29"/>
      <c r="S29" s="33"/>
      <c r="T29" s="33"/>
      <c r="U29" s="33"/>
      <c r="V29" s="33"/>
    </row>
    <row r="30" spans="2:22" s="55" customFormat="1" x14ac:dyDescent="0.25">
      <c r="B30"/>
      <c r="C30"/>
      <c r="D30"/>
      <c r="E30"/>
      <c r="F30"/>
      <c r="G30"/>
      <c r="H30"/>
      <c r="I30"/>
      <c r="J30"/>
      <c r="K30"/>
      <c r="L30"/>
      <c r="M30"/>
      <c r="N30"/>
      <c r="O30"/>
      <c r="P30"/>
      <c r="Q30"/>
      <c r="R30"/>
      <c r="S30" s="33"/>
      <c r="T30" s="33"/>
      <c r="U30" s="33"/>
      <c r="V30" s="33"/>
    </row>
    <row r="31" spans="2:22" s="55" customFormat="1" x14ac:dyDescent="0.25">
      <c r="B31"/>
      <c r="C31"/>
      <c r="D31"/>
      <c r="E31"/>
      <c r="F31"/>
      <c r="G31"/>
      <c r="H31"/>
      <c r="I31"/>
      <c r="J31"/>
      <c r="K31"/>
      <c r="L31"/>
      <c r="M31"/>
      <c r="N31"/>
      <c r="O31"/>
      <c r="P31"/>
      <c r="Q31"/>
      <c r="R31"/>
      <c r="S31" s="33"/>
      <c r="T31" s="33"/>
      <c r="U31" s="33"/>
      <c r="V31" s="33"/>
    </row>
  </sheetData>
  <mergeCells count="6">
    <mergeCell ref="I2:R2"/>
    <mergeCell ref="F3:H3"/>
    <mergeCell ref="J3:K3"/>
    <mergeCell ref="L3:M3"/>
    <mergeCell ref="O3:P3"/>
    <mergeCell ref="R3:S3"/>
  </mergeCells>
  <conditionalFormatting sqref="F2">
    <cfRule type="expression" dxfId="67" priority="37">
      <formula>#REF!&lt;&gt;""</formula>
    </cfRule>
  </conditionalFormatting>
  <conditionalFormatting sqref="E2">
    <cfRule type="cellIs" dxfId="66" priority="10" operator="equal">
      <formula>"OK"</formula>
    </cfRule>
  </conditionalFormatting>
  <conditionalFormatting sqref="N5:N18">
    <cfRule type="cellIs" dxfId="65" priority="6" operator="equal">
      <formula>"OK"</formula>
    </cfRule>
  </conditionalFormatting>
  <conditionalFormatting sqref="B2">
    <cfRule type="cellIs" dxfId="64" priority="5" operator="equal">
      <formula>"OK"</formula>
    </cfRule>
  </conditionalFormatting>
  <conditionalFormatting sqref="A1">
    <cfRule type="cellIs" dxfId="63" priority="4" operator="equal">
      <formula>"OK"</formula>
    </cfRule>
  </conditionalFormatting>
  <conditionalFormatting sqref="S6:S18">
    <cfRule type="cellIs" dxfId="62" priority="3" operator="equal">
      <formula>"OK"</formula>
    </cfRule>
  </conditionalFormatting>
  <conditionalFormatting sqref="S2">
    <cfRule type="cellIs" dxfId="61" priority="2" operator="equal">
      <formula>"OK"</formula>
    </cfRule>
  </conditionalFormatting>
  <conditionalFormatting sqref="S5:S18">
    <cfRule type="cellIs" dxfId="60" priority="1" operator="equal">
      <formula>"OK"</formula>
    </cfRule>
  </conditionalFormatting>
  <pageMargins left="0.7" right="0.7" top="0.75" bottom="0.75" header="0.3" footer="0.3"/>
  <pageSetup paperSize="9" orientation="portrait" horizontalDpi="300" verticalDpi="300" r:id="rId1"/>
  <drawing r:id="rId2"/>
  <legacyDrawing r:id="rId3"/>
  <tableParts count="1">
    <tablePart r:id="rId4"/>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Feuil14"/>
  <dimension ref="A1:AU44"/>
  <sheetViews>
    <sheetView zoomScale="80" zoomScaleNormal="80" workbookViewId="0">
      <selection activeCell="Q36" sqref="Q36"/>
    </sheetView>
  </sheetViews>
  <sheetFormatPr baseColWidth="10" defaultRowHeight="15" x14ac:dyDescent="0.25"/>
  <cols>
    <col min="1" max="1" width="4.140625" customWidth="1"/>
    <col min="2" max="2" width="6.42578125" bestFit="1" customWidth="1"/>
    <col min="3" max="3" width="35.28515625" customWidth="1"/>
    <col min="4" max="4" width="9.28515625" bestFit="1" customWidth="1"/>
    <col min="5" max="5" width="10.5703125" bestFit="1" customWidth="1"/>
    <col min="6" max="6" width="11.140625" customWidth="1"/>
    <col min="7" max="7" width="11.42578125" customWidth="1"/>
    <col min="8" max="8" width="10.28515625" bestFit="1" customWidth="1"/>
    <col min="9" max="10" width="9.42578125" bestFit="1" customWidth="1"/>
    <col min="11" max="11" width="8.85546875" bestFit="1" customWidth="1"/>
    <col min="12" max="12" width="9.5703125" bestFit="1" customWidth="1"/>
    <col min="13" max="13" width="11.5703125" bestFit="1" customWidth="1"/>
    <col min="14" max="14" width="11.85546875" bestFit="1" customWidth="1"/>
    <col min="15" max="15" width="10.140625" bestFit="1" customWidth="1"/>
    <col min="16" max="17" width="9.5703125" bestFit="1" customWidth="1"/>
    <col min="18" max="18" width="10.140625" bestFit="1" customWidth="1"/>
    <col min="19" max="19" width="9.5703125" bestFit="1" customWidth="1"/>
    <col min="20" max="20" width="7.42578125" bestFit="1" customWidth="1"/>
    <col min="21" max="21" width="5.5703125" bestFit="1" customWidth="1"/>
    <col min="22" max="22" width="8.42578125" bestFit="1" customWidth="1"/>
    <col min="23" max="23" width="9.7109375" customWidth="1"/>
    <col min="24" max="24" width="9.5703125" bestFit="1" customWidth="1"/>
    <col min="25" max="25" width="11" customWidth="1"/>
    <col min="26" max="26" width="8.85546875" bestFit="1" customWidth="1"/>
    <col min="27" max="27" width="8.85546875" customWidth="1"/>
    <col min="28" max="29" width="5.7109375" customWidth="1"/>
    <col min="30" max="30" width="27.7109375" customWidth="1"/>
    <col min="31" max="31" width="8.5703125" customWidth="1"/>
    <col min="32" max="32" width="5.28515625" bestFit="1" customWidth="1"/>
    <col min="33" max="33" width="5.7109375" style="576" customWidth="1"/>
    <col min="34" max="34" width="5.7109375" style="577" customWidth="1"/>
    <col min="35" max="35" width="27.7109375" customWidth="1"/>
    <col min="36" max="36" width="7" customWidth="1"/>
    <col min="37" max="37" width="5.28515625" bestFit="1" customWidth="1"/>
    <col min="38" max="39" width="5.7109375" customWidth="1"/>
    <col min="40" max="40" width="29.85546875" bestFit="1" customWidth="1"/>
    <col min="41" max="41" width="8.7109375" customWidth="1"/>
    <col min="42" max="42" width="5.28515625" bestFit="1" customWidth="1"/>
    <col min="43" max="44" width="5.7109375" customWidth="1"/>
    <col min="45" max="45" width="24.85546875" customWidth="1"/>
    <col min="46" max="46" width="8" customWidth="1"/>
  </cols>
  <sheetData>
    <row r="1" spans="1:47" x14ac:dyDescent="0.25">
      <c r="A1" s="729" t="str">
        <f ca="1">IF(AND(M2="OK",AA4="OK"),"OK","KO")</f>
        <v>OK</v>
      </c>
    </row>
    <row r="2" spans="1:47" ht="15" customHeight="1" x14ac:dyDescent="0.25">
      <c r="C2" s="862" t="s">
        <v>433</v>
      </c>
      <c r="M2" s="158" t="str">
        <f ca="1">IF(ABS(M3-M4)&lt;Δ_calc,"OK","KO")</f>
        <v>OK</v>
      </c>
    </row>
    <row r="3" spans="1:47" ht="15.75" customHeight="1" x14ac:dyDescent="0.25">
      <c r="C3" s="863">
        <v>5</v>
      </c>
      <c r="G3" s="581"/>
      <c r="H3" s="581"/>
      <c r="I3" s="581"/>
      <c r="J3" s="581"/>
      <c r="K3" s="581"/>
      <c r="L3" s="582"/>
      <c r="M3" s="547">
        <f ca="1">Recap!$I$19</f>
        <v>0</v>
      </c>
      <c r="N3" s="544" t="s">
        <v>397</v>
      </c>
      <c r="O3" s="544"/>
      <c r="P3" s="545"/>
      <c r="V3" t="s">
        <v>376</v>
      </c>
    </row>
    <row r="4" spans="1:47" ht="15.75" x14ac:dyDescent="0.25">
      <c r="B4" s="458" t="s">
        <v>384</v>
      </c>
      <c r="C4" s="1119" t="s">
        <v>386</v>
      </c>
      <c r="D4" s="1111"/>
      <c r="E4" s="1120"/>
      <c r="F4" s="548"/>
      <c r="G4" s="585">
        <v>4</v>
      </c>
      <c r="H4" s="590" t="s">
        <v>387</v>
      </c>
      <c r="I4" s="591"/>
      <c r="J4" s="591"/>
      <c r="K4" s="591"/>
      <c r="L4" s="585">
        <v>1</v>
      </c>
      <c r="M4" s="546">
        <f ca="1">SUMIF(Tbl_Deck_Tank[Weight Fact],"&lt;&gt;#N/A")</f>
        <v>0</v>
      </c>
      <c r="N4" s="1116" t="s">
        <v>225</v>
      </c>
      <c r="O4" s="1116"/>
      <c r="P4" s="1117"/>
      <c r="Q4" s="1079" t="s">
        <v>0</v>
      </c>
      <c r="R4" s="1079"/>
      <c r="S4" s="1079"/>
      <c r="T4" s="1079"/>
      <c r="U4" s="1079"/>
      <c r="V4" s="1079"/>
      <c r="W4" s="1079"/>
      <c r="X4" s="1079"/>
      <c r="Y4" s="1079"/>
      <c r="Z4" s="1079"/>
      <c r="AA4" s="848" t="str">
        <f ca="1">IF(COUNTIF(Tbl_Deck_Tank[Repart position],"OK")=COUNTA(Tbl_Deck_Tank[Repart position]),"OK","KO")</f>
        <v>OK</v>
      </c>
      <c r="AD4" s="865" t="s">
        <v>179</v>
      </c>
      <c r="AE4" s="864">
        <v>0</v>
      </c>
      <c r="AF4" s="578"/>
      <c r="AH4" s="576"/>
      <c r="AI4" s="865" t="s">
        <v>179</v>
      </c>
      <c r="AJ4" s="864">
        <f>AE4+1</f>
        <v>1</v>
      </c>
      <c r="AK4" s="578"/>
      <c r="AL4" s="576"/>
      <c r="AM4" s="576"/>
      <c r="AN4" s="865" t="s">
        <v>179</v>
      </c>
      <c r="AO4" s="864">
        <f>AJ4+1</f>
        <v>2</v>
      </c>
      <c r="AP4" s="576"/>
      <c r="AQ4" s="576"/>
      <c r="AR4" s="576"/>
      <c r="AS4" s="865" t="s">
        <v>179</v>
      </c>
      <c r="AT4" s="864">
        <f>AO4+1</f>
        <v>3</v>
      </c>
      <c r="AU4" s="576"/>
    </row>
    <row r="5" spans="1:47" ht="15.75" x14ac:dyDescent="0.25">
      <c r="B5" s="460" t="s">
        <v>383</v>
      </c>
      <c r="C5" s="461">
        <v>0</v>
      </c>
      <c r="D5" s="518">
        <v>2</v>
      </c>
      <c r="E5" s="463">
        <v>27</v>
      </c>
      <c r="F5" s="463">
        <v>35</v>
      </c>
      <c r="G5" s="593" t="s">
        <v>388</v>
      </c>
      <c r="H5" s="460">
        <v>29</v>
      </c>
      <c r="I5" s="461">
        <v>9</v>
      </c>
      <c r="J5" s="461">
        <v>10</v>
      </c>
      <c r="K5" s="461">
        <v>32</v>
      </c>
      <c r="L5" s="518">
        <v>13</v>
      </c>
      <c r="M5" s="77"/>
      <c r="N5" s="1091" t="s">
        <v>3</v>
      </c>
      <c r="O5" s="1092"/>
      <c r="P5" s="1093"/>
      <c r="Q5" s="125"/>
      <c r="R5" s="1076" t="s">
        <v>150</v>
      </c>
      <c r="S5" s="1077"/>
      <c r="T5" s="1074" t="s">
        <v>149</v>
      </c>
      <c r="U5" s="1075"/>
      <c r="V5" s="78" t="s">
        <v>151</v>
      </c>
      <c r="W5" s="1080" t="s">
        <v>219</v>
      </c>
      <c r="X5" s="1081"/>
      <c r="Y5" s="146" t="s">
        <v>152</v>
      </c>
      <c r="Z5" s="1094" t="s">
        <v>151</v>
      </c>
      <c r="AA5" s="1095"/>
      <c r="AC5" s="744">
        <v>0</v>
      </c>
      <c r="AD5" s="1121" t="s">
        <v>373</v>
      </c>
      <c r="AE5" s="1122"/>
      <c r="AF5" s="1123"/>
      <c r="AG5" s="578"/>
      <c r="AI5" s="1121" t="s">
        <v>372</v>
      </c>
      <c r="AJ5" s="1122"/>
      <c r="AK5" s="1123"/>
      <c r="AN5" s="1121" t="s">
        <v>416</v>
      </c>
      <c r="AO5" s="1122"/>
      <c r="AP5" s="1123"/>
      <c r="AS5" s="1121" t="s">
        <v>416</v>
      </c>
      <c r="AT5" s="1122"/>
      <c r="AU5" s="1123"/>
    </row>
    <row r="6" spans="1:47" ht="30" x14ac:dyDescent="0.25">
      <c r="B6" s="562" t="s">
        <v>179</v>
      </c>
      <c r="C6" s="455" t="s">
        <v>13</v>
      </c>
      <c r="D6" s="574" t="s">
        <v>381</v>
      </c>
      <c r="E6" s="538" t="s">
        <v>42</v>
      </c>
      <c r="F6" s="592" t="s">
        <v>377</v>
      </c>
      <c r="G6" s="586" t="s">
        <v>382</v>
      </c>
      <c r="H6" s="584" t="s">
        <v>385</v>
      </c>
      <c r="I6" s="584" t="s">
        <v>389</v>
      </c>
      <c r="J6" s="584" t="s">
        <v>390</v>
      </c>
      <c r="K6" s="584" t="s">
        <v>391</v>
      </c>
      <c r="L6" s="488" t="s">
        <v>395</v>
      </c>
      <c r="M6" s="81" t="s">
        <v>195</v>
      </c>
      <c r="N6" s="88" t="s">
        <v>7</v>
      </c>
      <c r="O6" s="89" t="s">
        <v>8</v>
      </c>
      <c r="P6" s="89" t="s">
        <v>9</v>
      </c>
      <c r="Q6" s="92" t="s">
        <v>161</v>
      </c>
      <c r="R6" s="92" t="s">
        <v>198</v>
      </c>
      <c r="S6" s="93" t="s">
        <v>199</v>
      </c>
      <c r="T6" s="90" t="s">
        <v>196</v>
      </c>
      <c r="U6" s="91" t="s">
        <v>197</v>
      </c>
      <c r="V6" s="92" t="s">
        <v>183</v>
      </c>
      <c r="W6" s="126" t="s">
        <v>217</v>
      </c>
      <c r="X6" s="127" t="s">
        <v>218</v>
      </c>
      <c r="Y6" s="128" t="s">
        <v>153</v>
      </c>
      <c r="Z6" s="92" t="s">
        <v>224</v>
      </c>
      <c r="AA6" s="847" t="s">
        <v>428</v>
      </c>
      <c r="AC6" s="744">
        <v>1</v>
      </c>
      <c r="AD6" s="1127" t="s">
        <v>349</v>
      </c>
      <c r="AE6" s="1128"/>
      <c r="AF6" s="1129"/>
      <c r="AG6" s="578"/>
      <c r="AI6" s="1127" t="s">
        <v>349</v>
      </c>
      <c r="AJ6" s="1128"/>
      <c r="AK6" s="1129"/>
      <c r="AN6" s="1127" t="s">
        <v>349</v>
      </c>
      <c r="AO6" s="1128"/>
      <c r="AP6" s="1129"/>
      <c r="AS6" s="1127" t="s">
        <v>349</v>
      </c>
      <c r="AT6" s="1128"/>
      <c r="AU6" s="1129"/>
    </row>
    <row r="7" spans="1:47" ht="15.75" x14ac:dyDescent="0.25">
      <c r="B7" s="563">
        <f>IF(ISNUMBER($G6),B6+1,0)</f>
        <v>0</v>
      </c>
      <c r="C7" s="519" t="str">
        <f ca="1">OFFSET($AD$5,C$5,Tbl_Deck_Tank[[#This Row],[Index]]*DeckTank_column_step)</f>
        <v>Horizontal MDO tank 15 000L</v>
      </c>
      <c r="D7" s="579">
        <f ca="1">OFFSET($AD$5,D$5,Tbl_Deck_Tank[[#This Row],[Index]]*DeckTank_column_step+1)</f>
        <v>2.2000000000000002</v>
      </c>
      <c r="E7" s="580">
        <f ca="1">OFFSET($AD$5,E$5,Tbl_Deck_Tank[[#This Row],[Index]]*DeckTank_column_step+1)</f>
        <v>0</v>
      </c>
      <c r="F7" s="594">
        <f ca="1">OFFSET($AD$5,F$5,Tbl_Deck_Tank[[#This Row],[Index]]*DeckTank_column_step+1)</f>
        <v>0</v>
      </c>
      <c r="G7" s="587">
        <f>INDEX(INDEX(Recap_Deck_Tank,,G$4),Tbl_Deck_Tank[[#This Row],[Index]]+1)</f>
        <v>0</v>
      </c>
      <c r="H7" s="541">
        <f ca="1">OFFSET($AD$5,H$5,Tbl_Deck_Tank[[#This Row],[Index]]*DeckTank_column_step+1)</f>
        <v>0</v>
      </c>
      <c r="I7" s="583">
        <f ca="1">OFFSET($AD$5,I$5,Tbl_Deck_Tank[[#This Row],[Index]]*DeckTank_column_step+1)</f>
        <v>25</v>
      </c>
      <c r="J7" s="588">
        <f ca="1">OFFSET($AD$5,J$5,Tbl_Deck_Tank[[#This Row],[Index]]*DeckTank_column_step+1)</f>
        <v>-7.0250000000000004</v>
      </c>
      <c r="K7" s="588">
        <f ca="1">OFFSET($AD$5,K$5,Tbl_Deck_Tank[[#This Row],[Index]]*DeckTank_column_step+1)</f>
        <v>5.25</v>
      </c>
      <c r="L7" s="588">
        <f ca="1">IF(OFFSET($AD$5,L$5,Tbl_Deck_Tank[[#This Row],[Index]]*DeckTank_column_step+1)="T",OFFSET($AD$5,2,Tbl_Deck_Tank[[#This Row],[Index]]*DeckTank_column_step+1),OFFSET($AD$5,3,Tbl_Deck_Tank[[#This Row],[Index]]*DeckTank_column_step+1))</f>
        <v>5</v>
      </c>
      <c r="M7" s="103">
        <f ca="1">Tbl_Deck_Tank[[#This Row],[Computed weight]]</f>
        <v>0</v>
      </c>
      <c r="N7" s="595">
        <f ca="1">Tbl_Deck_Tank[[#This Row],[Comp. X]]</f>
        <v>25</v>
      </c>
      <c r="O7" s="596">
        <f ca="1">Tbl_Deck_Tank[[#This Row],[Comp. Y]]</f>
        <v>-7.0250000000000004</v>
      </c>
      <c r="P7" s="597">
        <f ca="1">Tbl_Deck_Tank[[#This Row],[Comp. Z]]</f>
        <v>5.25</v>
      </c>
      <c r="Q7" s="598">
        <f ca="1">Tbl_Deck_Tank[[#This Row],[Repart.]]</f>
        <v>5</v>
      </c>
      <c r="R7" s="437" t="str">
        <f ca="1">IF(Tbl_Deck_Tank[[#This Row],[Weight Fact]],Tbl_Deck_Tank[[#This Row],[COG x ]]-Tbl_Deck_Tank[[#This Row],[Distrib]]/2,"")</f>
        <v/>
      </c>
      <c r="S7" s="439" t="str">
        <f ca="1">IF(Tbl_Deck_Tank[[#This Row],[Weight Fact]],Tbl_Deck_Tank[[#This Row],[COG x ]]+Tbl_Deck_Tank[[#This Row],[Distrib]]/2,"")</f>
        <v/>
      </c>
      <c r="T7" s="440" t="str">
        <f ca="1">IF(Tbl_Deck_Tank[[#This Row],[Weight Fact]],ROUND(Tbl_Deck_Tank[[#This Row],[AP from]]/FE_size,0),"")</f>
        <v/>
      </c>
      <c r="U7" s="441" t="str">
        <f ca="1">IF(Tbl_Deck_Tank[[#This Row],[Weight Fact]],ROUND(Tbl_Deck_Tank[[#This Row],[AP to]]/FE_size,0),"")</f>
        <v/>
      </c>
      <c r="V7" s="114" t="str">
        <f ca="1">IF(Tbl_Deck_Tank[[#This Row],[Weight Fact]]=0,"",IF(AND(Tbl_Deck_Tank[[#This Row],[COG x ]]&gt;=(Tbl_Deck_Tank[[#This Row],[L to]]-Tbl_Deck_Tank[[#This Row],[L from]])/3+Tbl_Deck_Tank[[#This Row],[L from]],Tbl_Deck_Tank[[#This Row],[COG x ]]&lt;=(Tbl_Deck_Tank[[#This Row],[L to]]-Tbl_Deck_Tank[[#This Row],[L from]])*2/3+Tbl_Deck_Tank[[#This Row],[L from]],Tbl_Deck_Tank[[#This Row],[L to]]&gt;Tbl_Deck_Tank[[#This Row],[L from]]),"OK","KO"))</f>
        <v/>
      </c>
      <c r="W7" s="442" t="str">
        <f ca="1">IF(Tbl_Deck_Tank[[#This Row],[Weight Fact]],IF(Tbl_Deck_Tank[[#This Row],[Fr from]]*FE_size&lt;0,0,Tbl_Deck_Tank[[#This Row],[Fr from]]*FE_size),"")</f>
        <v/>
      </c>
      <c r="X7" s="443" t="str">
        <f ca="1">IF(Tbl_Deck_Tank[[#This Row],[Weight Fact]],IF(Tbl_Deck_Tank[[#This Row],[Fr to]]*FE_size=Tbl_Deck_Tank[[#This Row],[L from]],Tbl_Deck_Tank[[#This Row],[L from]]+FE_size,IF(Tbl_Deck_Tank[[#This Row],[Fr to]]*FE_size&gt;Lpp,Lpp,Tbl_Deck_Tank[[#This Row],[Fr to]]*FE_size)),"")</f>
        <v/>
      </c>
      <c r="Y7" s="444" t="str">
        <f ca="1">IFERROR(Tbl_Deck_Tank[[#This Row],[Weight Fact]]/(Tbl_Deck_Tank[[#This Row],[L to]]-Tbl_Deck_Tank[[#This Row],[L from]]),"")</f>
        <v/>
      </c>
      <c r="Z7" s="145" t="str">
        <f ca="1">IF(Tbl_Deck_Tank[[#This Row],[Weight Fact]],Tbl_Deck_Tank[[#This Row],[Spread]]*(Tbl_Deck_Tank[[#This Row],[L to]]-Tbl_Deck_Tank[[#This Row],[L from]])-Tbl_Deck_Tank[[#This Row],[Weight Fact]],"")</f>
        <v/>
      </c>
      <c r="AA7" s="141" t="str">
        <f ca="1">IF(AND(ISNUMBER(Tbl_Deck_Tank[[#This Row],[L from]]),ISNUMBER(Tbl_Deck_Tank[[#This Row],[L to]])),IF(AND(Tbl_Deck_Tank[[#This Row],[L from]]&gt;=0,Tbl_Deck_Tank[[#This Row],[L to]]&lt;=Lpp),"OK","KO"),"OK")</f>
        <v>OK</v>
      </c>
      <c r="AC7" s="744">
        <v>2</v>
      </c>
      <c r="AD7" s="524" t="s">
        <v>350</v>
      </c>
      <c r="AE7" s="203">
        <v>2.2000000000000002</v>
      </c>
      <c r="AF7" s="525" t="s">
        <v>12</v>
      </c>
      <c r="AG7" s="578"/>
      <c r="AI7" s="524" t="s">
        <v>350</v>
      </c>
      <c r="AJ7" s="203">
        <v>1.4</v>
      </c>
      <c r="AK7" s="525" t="s">
        <v>12</v>
      </c>
      <c r="AN7" s="524" t="s">
        <v>350</v>
      </c>
      <c r="AO7" s="203">
        <v>0</v>
      </c>
      <c r="AP7" s="525" t="s">
        <v>12</v>
      </c>
      <c r="AS7" s="524" t="s">
        <v>350</v>
      </c>
      <c r="AT7" s="203">
        <v>0</v>
      </c>
      <c r="AU7" s="525" t="s">
        <v>12</v>
      </c>
    </row>
    <row r="8" spans="1:47" ht="15.75" x14ac:dyDescent="0.25">
      <c r="B8" s="563">
        <f>IF(ISNUMBER($G7),B7+1,0)</f>
        <v>1</v>
      </c>
      <c r="C8" s="519" t="str">
        <f ca="1">OFFSET($AD$5,C$5,Tbl_Deck_Tank[[#This Row],[Index]]*DeckTank_column_step)</f>
        <v>Horizontal Fresh Water tank 5 000L</v>
      </c>
      <c r="D8" s="579">
        <f ca="1">OFFSET($AD$5,D$5,Tbl_Deck_Tank[[#This Row],[Index]]*DeckTank_column_step+1)</f>
        <v>1.4</v>
      </c>
      <c r="E8" s="580">
        <f ca="1">OFFSET($AD$5,E$5,Tbl_Deck_Tank[[#This Row],[Index]]*DeckTank_column_step+1)</f>
        <v>0</v>
      </c>
      <c r="F8" s="594">
        <f ca="1">OFFSET($AD$5,F$5,Tbl_Deck_Tank[[#This Row],[Index]]*DeckTank_column_step+1)</f>
        <v>0</v>
      </c>
      <c r="G8" s="587">
        <f>INDEX(INDEX(Recap_Deck_Tank,,G$4),Tbl_Deck_Tank[[#This Row],[Index]]+1)</f>
        <v>0</v>
      </c>
      <c r="H8" s="541">
        <f ca="1">OFFSET($AD$5,H$5,Tbl_Deck_Tank[[#This Row],[Index]]*DeckTank_column_step+1)</f>
        <v>0</v>
      </c>
      <c r="I8" s="583">
        <f ca="1">OFFSET($AD$5,I$5,Tbl_Deck_Tank[[#This Row],[Index]]*DeckTank_column_step+1)</f>
        <v>35.25</v>
      </c>
      <c r="J8" s="588">
        <f ca="1">OFFSET($AD$5,J$5,Tbl_Deck_Tank[[#This Row],[Index]]*DeckTank_column_step+1)</f>
        <v>12.2</v>
      </c>
      <c r="K8" s="588">
        <f ca="1">OFFSET($AD$5,K$5,Tbl_Deck_Tank[[#This Row],[Index]]*DeckTank_column_step+1)</f>
        <v>0.5</v>
      </c>
      <c r="L8" s="589">
        <f ca="1">IF(OFFSET($AD$5,L$5,Tbl_Deck_Tank[[#This Row],[Index]]*DeckTank_column_step+1)="T",OFFSET($AD$5,2,Tbl_Deck_Tank[[#This Row],[Index]]*DeckTank_column_step+1),OFFSET($AD$5,3,Tbl_Deck_Tank[[#This Row],[Index]]*DeckTank_column_step+1))</f>
        <v>1.4</v>
      </c>
      <c r="M8" s="103">
        <f ca="1">Tbl_Deck_Tank[[#This Row],[Computed weight]]</f>
        <v>0</v>
      </c>
      <c r="N8" s="595">
        <f ca="1">Tbl_Deck_Tank[[#This Row],[Comp. X]]</f>
        <v>35.25</v>
      </c>
      <c r="O8" s="596">
        <f ca="1">Tbl_Deck_Tank[[#This Row],[Comp. Y]]</f>
        <v>12.2</v>
      </c>
      <c r="P8" s="597">
        <f ca="1">Tbl_Deck_Tank[[#This Row],[Comp. Z]]</f>
        <v>0.5</v>
      </c>
      <c r="Q8" s="598">
        <f ca="1">Tbl_Deck_Tank[[#This Row],[Repart.]]</f>
        <v>1.4</v>
      </c>
      <c r="R8" s="437" t="str">
        <f ca="1">IF(Tbl_Deck_Tank[[#This Row],[Weight Fact]],Tbl_Deck_Tank[[#This Row],[COG x ]]-Tbl_Deck_Tank[[#This Row],[Distrib]]/2,"")</f>
        <v/>
      </c>
      <c r="S8" s="439" t="str">
        <f ca="1">IF(Tbl_Deck_Tank[[#This Row],[Weight Fact]],Tbl_Deck_Tank[[#This Row],[COG x ]]+Tbl_Deck_Tank[[#This Row],[Distrib]]/2,"")</f>
        <v/>
      </c>
      <c r="T8" s="440" t="str">
        <f ca="1">IF(Tbl_Deck_Tank[[#This Row],[Weight Fact]],ROUND(Tbl_Deck_Tank[[#This Row],[AP from]]/FE_size,0),"")</f>
        <v/>
      </c>
      <c r="U8" s="441" t="str">
        <f ca="1">IF(Tbl_Deck_Tank[[#This Row],[Weight Fact]],ROUND(Tbl_Deck_Tank[[#This Row],[AP to]]/FE_size,0),"")</f>
        <v/>
      </c>
      <c r="V8" s="114" t="str">
        <f ca="1">IF(Tbl_Deck_Tank[[#This Row],[Weight Fact]]=0,"",IF(AND(Tbl_Deck_Tank[[#This Row],[COG x ]]&gt;=(Tbl_Deck_Tank[[#This Row],[L to]]-Tbl_Deck_Tank[[#This Row],[L from]])/3+Tbl_Deck_Tank[[#This Row],[L from]],Tbl_Deck_Tank[[#This Row],[COG x ]]&lt;=(Tbl_Deck_Tank[[#This Row],[L to]]-Tbl_Deck_Tank[[#This Row],[L from]])*2/3+Tbl_Deck_Tank[[#This Row],[L from]],Tbl_Deck_Tank[[#This Row],[L to]]&gt;Tbl_Deck_Tank[[#This Row],[L from]]),"OK","KO"))</f>
        <v/>
      </c>
      <c r="W8" s="442" t="str">
        <f ca="1">IF(Tbl_Deck_Tank[[#This Row],[Weight Fact]],IF(Tbl_Deck_Tank[[#This Row],[Fr from]]*FE_size&lt;0,0,Tbl_Deck_Tank[[#This Row],[Fr from]]*FE_size),"")</f>
        <v/>
      </c>
      <c r="X8" s="443" t="str">
        <f ca="1">IF(Tbl_Deck_Tank[[#This Row],[Weight Fact]],IF(Tbl_Deck_Tank[[#This Row],[Fr to]]*FE_size=Tbl_Deck_Tank[[#This Row],[L from]],Tbl_Deck_Tank[[#This Row],[L from]]+FE_size,IF(Tbl_Deck_Tank[[#This Row],[Fr to]]*FE_size&gt;Lpp,Lpp,Tbl_Deck_Tank[[#This Row],[Fr to]]*FE_size)),"")</f>
        <v/>
      </c>
      <c r="Y8" s="444" t="str">
        <f ca="1">IFERROR(Tbl_Deck_Tank[[#This Row],[Weight Fact]]/(Tbl_Deck_Tank[[#This Row],[L to]]-Tbl_Deck_Tank[[#This Row],[L from]]),"")</f>
        <v/>
      </c>
      <c r="Z8" s="145" t="str">
        <f ca="1">IF(Tbl_Deck_Tank[[#This Row],[Weight Fact]],Tbl_Deck_Tank[[#This Row],[Spread]]*(Tbl_Deck_Tank[[#This Row],[L to]]-Tbl_Deck_Tank[[#This Row],[L from]])-Tbl_Deck_Tank[[#This Row],[Weight Fact]],"")</f>
        <v/>
      </c>
      <c r="AA8" s="141" t="str">
        <f ca="1">IF(AND(ISNUMBER(Tbl_Deck_Tank[[#This Row],[L from]]),ISNUMBER(Tbl_Deck_Tank[[#This Row],[L to]])),IF(AND(Tbl_Deck_Tank[[#This Row],[L from]]&gt;=0,Tbl_Deck_Tank[[#This Row],[L to]]&lt;=Lpp),"OK","KO"),"OK")</f>
        <v>OK</v>
      </c>
      <c r="AC8" s="744">
        <v>3</v>
      </c>
      <c r="AD8" s="524" t="s">
        <v>312</v>
      </c>
      <c r="AE8" s="203">
        <v>5</v>
      </c>
      <c r="AF8" s="525" t="s">
        <v>12</v>
      </c>
      <c r="AG8" s="578"/>
      <c r="AI8" s="524" t="s">
        <v>312</v>
      </c>
      <c r="AJ8" s="203">
        <v>3</v>
      </c>
      <c r="AK8" s="525" t="s">
        <v>12</v>
      </c>
      <c r="AN8" s="524" t="s">
        <v>312</v>
      </c>
      <c r="AO8" s="203">
        <v>3</v>
      </c>
      <c r="AP8" s="525" t="s">
        <v>12</v>
      </c>
      <c r="AS8" s="524" t="s">
        <v>312</v>
      </c>
      <c r="AT8" s="203">
        <v>3</v>
      </c>
      <c r="AU8" s="525" t="s">
        <v>12</v>
      </c>
    </row>
    <row r="9" spans="1:47" ht="15.75" x14ac:dyDescent="0.25">
      <c r="B9" s="563">
        <f>IF(ISNUMBER($G8),B8+1,0)</f>
        <v>2</v>
      </c>
      <c r="C9" s="519" t="str">
        <f ca="1">OFFSET($AD$5,C$5,Tbl_Deck_Tank[[#This Row],[Index]]*DeckTank_column_step)</f>
        <v>Not used</v>
      </c>
      <c r="D9" s="575">
        <f ca="1">OFFSET($AD$5,D$5,Tbl_Deck_Tank[[#This Row],[Index]]*DeckTank_column_step+1)</f>
        <v>0</v>
      </c>
      <c r="E9" s="580">
        <f ca="1">OFFSET($AD$5,E$5,Tbl_Deck_Tank[[#This Row],[Index]]*DeckTank_column_step+1)</f>
        <v>0</v>
      </c>
      <c r="F9" s="594">
        <f ca="1">OFFSET($AD$5,F$5,Tbl_Deck_Tank[[#This Row],[Index]]*DeckTank_column_step+1)</f>
        <v>0</v>
      </c>
      <c r="G9" s="587">
        <f>INDEX(INDEX(Recap_Deck_Tank,,G$4),Tbl_Deck_Tank[[#This Row],[Index]]+1)</f>
        <v>0</v>
      </c>
      <c r="H9" s="541">
        <f ca="1">OFFSET($AD$5,H$5,Tbl_Deck_Tank[[#This Row],[Index]]*DeckTank_column_step+1)</f>
        <v>0</v>
      </c>
      <c r="I9" s="583">
        <f ca="1">OFFSET($AD$5,I$5,Tbl_Deck_Tank[[#This Row],[Index]]*DeckTank_column_step+1)</f>
        <v>35.25</v>
      </c>
      <c r="J9" s="588">
        <f ca="1">OFFSET($AD$5,J$5,Tbl_Deck_Tank[[#This Row],[Index]]*DeckTank_column_step+1)</f>
        <v>12.2</v>
      </c>
      <c r="K9" s="588">
        <f ca="1">OFFSET($AD$5,K$5,Tbl_Deck_Tank[[#This Row],[Index]]*DeckTank_column_step+1)</f>
        <v>0.5</v>
      </c>
      <c r="L9" s="589">
        <f ca="1">IF(OFFSET($AD$5,L$5,Tbl_Deck_Tank[[#This Row],[Index]]*DeckTank_column_step+1)="T",OFFSET($AD$5,2,Tbl_Deck_Tank[[#This Row],[Index]]*DeckTank_column_step+1),OFFSET($AD$5,3,Tbl_Deck_Tank[[#This Row],[Index]]*DeckTank_column_step+1))</f>
        <v>0</v>
      </c>
      <c r="M9" s="103">
        <f ca="1">Tbl_Deck_Tank[[#This Row],[Computed weight]]</f>
        <v>0</v>
      </c>
      <c r="N9" s="595">
        <f ca="1">Tbl_Deck_Tank[[#This Row],[Comp. X]]</f>
        <v>35.25</v>
      </c>
      <c r="O9" s="596">
        <f ca="1">Tbl_Deck_Tank[[#This Row],[Comp. Y]]</f>
        <v>12.2</v>
      </c>
      <c r="P9" s="597">
        <f ca="1">Tbl_Deck_Tank[[#This Row],[Comp. Z]]</f>
        <v>0.5</v>
      </c>
      <c r="Q9" s="598">
        <f ca="1">Tbl_Deck_Tank[[#This Row],[Repart.]]</f>
        <v>0</v>
      </c>
      <c r="R9" s="437" t="str">
        <f ca="1">IF(Tbl_Deck_Tank[[#This Row],[Weight Fact]],Tbl_Deck_Tank[[#This Row],[COG x ]]-Tbl_Deck_Tank[[#This Row],[Distrib]]/2,"")</f>
        <v/>
      </c>
      <c r="S9" s="439" t="str">
        <f ca="1">IF(Tbl_Deck_Tank[[#This Row],[Weight Fact]],Tbl_Deck_Tank[[#This Row],[COG x ]]+Tbl_Deck_Tank[[#This Row],[Distrib]]/2,"")</f>
        <v/>
      </c>
      <c r="T9" s="440" t="str">
        <f ca="1">IF(Tbl_Deck_Tank[[#This Row],[Weight Fact]],ROUND(Tbl_Deck_Tank[[#This Row],[AP from]]/FE_size,0),"")</f>
        <v/>
      </c>
      <c r="U9" s="441" t="str">
        <f ca="1">IF(Tbl_Deck_Tank[[#This Row],[Weight Fact]],ROUND(Tbl_Deck_Tank[[#This Row],[AP to]]/FE_size,0),"")</f>
        <v/>
      </c>
      <c r="V9" s="114" t="str">
        <f ca="1">IF(Tbl_Deck_Tank[[#This Row],[Weight Fact]]=0,"",IF(AND(Tbl_Deck_Tank[[#This Row],[COG x ]]&gt;=(Tbl_Deck_Tank[[#This Row],[L to]]-Tbl_Deck_Tank[[#This Row],[L from]])/3+Tbl_Deck_Tank[[#This Row],[L from]],Tbl_Deck_Tank[[#This Row],[COG x ]]&lt;=(Tbl_Deck_Tank[[#This Row],[L to]]-Tbl_Deck_Tank[[#This Row],[L from]])*2/3+Tbl_Deck_Tank[[#This Row],[L from]],Tbl_Deck_Tank[[#This Row],[L to]]&gt;Tbl_Deck_Tank[[#This Row],[L from]]),"OK","KO"))</f>
        <v/>
      </c>
      <c r="W9" s="442" t="str">
        <f ca="1">IF(Tbl_Deck_Tank[[#This Row],[Weight Fact]],IF(Tbl_Deck_Tank[[#This Row],[Fr from]]*FE_size&lt;0,0,Tbl_Deck_Tank[[#This Row],[Fr from]]*FE_size),"")</f>
        <v/>
      </c>
      <c r="X9" s="443" t="str">
        <f ca="1">IF(Tbl_Deck_Tank[[#This Row],[Weight Fact]],IF(Tbl_Deck_Tank[[#This Row],[Fr to]]*FE_size=Tbl_Deck_Tank[[#This Row],[L from]],Tbl_Deck_Tank[[#This Row],[L from]]+FE_size,IF(Tbl_Deck_Tank[[#This Row],[Fr to]]*FE_size&gt;Lpp,Lpp,Tbl_Deck_Tank[[#This Row],[Fr to]]*FE_size)),"")</f>
        <v/>
      </c>
      <c r="Y9" s="444" t="str">
        <f ca="1">IFERROR(Tbl_Deck_Tank[[#This Row],[Weight Fact]]/(Tbl_Deck_Tank[[#This Row],[L to]]-Tbl_Deck_Tank[[#This Row],[L from]]),"")</f>
        <v/>
      </c>
      <c r="Z9" s="145" t="str">
        <f ca="1">IF(Tbl_Deck_Tank[[#This Row],[Weight Fact]],Tbl_Deck_Tank[[#This Row],[Spread]]*(Tbl_Deck_Tank[[#This Row],[L to]]-Tbl_Deck_Tank[[#This Row],[L from]])-Tbl_Deck_Tank[[#This Row],[Weight Fact]],"")</f>
        <v/>
      </c>
      <c r="AA9" s="141" t="str">
        <f ca="1">IF(AND(ISNUMBER(Tbl_Deck_Tank[[#This Row],[L from]]),ISNUMBER(Tbl_Deck_Tank[[#This Row],[L to]])),IF(AND(Tbl_Deck_Tank[[#This Row],[L from]]&gt;=0,Tbl_Deck_Tank[[#This Row],[L to]]&lt;=Lpp),"OK","KO"),"OK")</f>
        <v>OK</v>
      </c>
      <c r="AC9" s="744">
        <v>4</v>
      </c>
      <c r="AD9" s="524" t="s">
        <v>351</v>
      </c>
      <c r="AE9" s="203">
        <v>2.375</v>
      </c>
      <c r="AF9" s="525" t="s">
        <v>12</v>
      </c>
      <c r="AG9" s="578"/>
      <c r="AI9" s="524" t="s">
        <v>351</v>
      </c>
      <c r="AJ9" s="203">
        <v>2.375</v>
      </c>
      <c r="AK9" s="525" t="s">
        <v>12</v>
      </c>
      <c r="AN9" s="524" t="s">
        <v>351</v>
      </c>
      <c r="AO9" s="203">
        <v>2.375</v>
      </c>
      <c r="AP9" s="525" t="s">
        <v>12</v>
      </c>
      <c r="AS9" s="524" t="s">
        <v>351</v>
      </c>
      <c r="AT9" s="203">
        <v>2.375</v>
      </c>
      <c r="AU9" s="525" t="s">
        <v>12</v>
      </c>
    </row>
    <row r="10" spans="1:47" ht="15.75" x14ac:dyDescent="0.25">
      <c r="B10" s="563">
        <f>IF(ISNUMBER($G9),B9+1,0)</f>
        <v>3</v>
      </c>
      <c r="C10" s="519" t="str">
        <f ca="1">OFFSET($AD$5,C$5,Tbl_Deck_Tank[[#This Row],[Index]]*DeckTank_column_step)</f>
        <v>Not used</v>
      </c>
      <c r="D10" s="575">
        <f ca="1">OFFSET($AD$5,D$5,Tbl_Deck_Tank[[#This Row],[Index]]*DeckTank_column_step+1)</f>
        <v>0</v>
      </c>
      <c r="E10" s="580">
        <f ca="1">OFFSET($AD$5,E$5,Tbl_Deck_Tank[[#This Row],[Index]]*DeckTank_column_step+1)</f>
        <v>0</v>
      </c>
      <c r="F10" s="594">
        <f ca="1">OFFSET($AD$5,F$5,Tbl_Deck_Tank[[#This Row],[Index]]*DeckTank_column_step+1)</f>
        <v>0</v>
      </c>
      <c r="G10" s="587">
        <f>INDEX(INDEX(Recap_Deck_Tank,,G$4),Tbl_Deck_Tank[[#This Row],[Index]]+1)</f>
        <v>0</v>
      </c>
      <c r="H10" s="541">
        <f ca="1">OFFSET($AD$5,H$5,Tbl_Deck_Tank[[#This Row],[Index]]*DeckTank_column_step+1)</f>
        <v>0</v>
      </c>
      <c r="I10" s="745">
        <f ca="1">OFFSET($AD$5,I$5,Tbl_Deck_Tank[[#This Row],[Index]]*DeckTank_column_step+1)</f>
        <v>35.25</v>
      </c>
      <c r="J10" s="588">
        <f ca="1">OFFSET($AD$5,J$5,Tbl_Deck_Tank[[#This Row],[Index]]*DeckTank_column_step+1)</f>
        <v>12.2</v>
      </c>
      <c r="K10" s="588">
        <f ca="1">OFFSET($AD$5,K$5,Tbl_Deck_Tank[[#This Row],[Index]]*DeckTank_column_step+1)</f>
        <v>0.5</v>
      </c>
      <c r="L10" s="746">
        <f ca="1">IF(OFFSET($AD$5,L$5,Tbl_Deck_Tank[[#This Row],[Index]]*DeckTank_column_step+1)="T",OFFSET($AD$5,2,Tbl_Deck_Tank[[#This Row],[Index]]*DeckTank_column_step+1),OFFSET($AD$5,3,Tbl_Deck_Tank[[#This Row],[Index]]*DeckTank_column_step+1))</f>
        <v>0</v>
      </c>
      <c r="M10" s="103">
        <f ca="1">Tbl_Deck_Tank[[#This Row],[Computed weight]]</f>
        <v>0</v>
      </c>
      <c r="N10" s="595">
        <f ca="1">Tbl_Deck_Tank[[#This Row],[Comp. X]]</f>
        <v>35.25</v>
      </c>
      <c r="O10" s="596">
        <f ca="1">Tbl_Deck_Tank[[#This Row],[Comp. Y]]</f>
        <v>12.2</v>
      </c>
      <c r="P10" s="597">
        <f ca="1">Tbl_Deck_Tank[[#This Row],[Comp. Z]]</f>
        <v>0.5</v>
      </c>
      <c r="Q10" s="598">
        <f ca="1">Tbl_Deck_Tank[[#This Row],[Repart.]]</f>
        <v>0</v>
      </c>
      <c r="R10" s="437" t="str">
        <f ca="1">IF(Tbl_Deck_Tank[[#This Row],[Weight Fact]],Tbl_Deck_Tank[[#This Row],[COG x ]]-Tbl_Deck_Tank[[#This Row],[Distrib]]/2,"")</f>
        <v/>
      </c>
      <c r="S10" s="439" t="str">
        <f ca="1">IF(Tbl_Deck_Tank[[#This Row],[Weight Fact]],Tbl_Deck_Tank[[#This Row],[COG x ]]+Tbl_Deck_Tank[[#This Row],[Distrib]]/2,"")</f>
        <v/>
      </c>
      <c r="T10" s="440" t="str">
        <f ca="1">IF(Tbl_Deck_Tank[[#This Row],[Weight Fact]],ROUND(Tbl_Deck_Tank[[#This Row],[AP from]]/FE_size,0),"")</f>
        <v/>
      </c>
      <c r="U10" s="441" t="str">
        <f ca="1">IF(Tbl_Deck_Tank[[#This Row],[Weight Fact]],ROUND(Tbl_Deck_Tank[[#This Row],[AP to]]/FE_size,0),"")</f>
        <v/>
      </c>
      <c r="V10" s="114" t="str">
        <f ca="1">IF(Tbl_Deck_Tank[[#This Row],[Weight Fact]]=0,"",IF(AND(Tbl_Deck_Tank[[#This Row],[COG x ]]&gt;=(Tbl_Deck_Tank[[#This Row],[L to]]-Tbl_Deck_Tank[[#This Row],[L from]])/3+Tbl_Deck_Tank[[#This Row],[L from]],Tbl_Deck_Tank[[#This Row],[COG x ]]&lt;=(Tbl_Deck_Tank[[#This Row],[L to]]-Tbl_Deck_Tank[[#This Row],[L from]])*2/3+Tbl_Deck_Tank[[#This Row],[L from]],Tbl_Deck_Tank[[#This Row],[L to]]&gt;Tbl_Deck_Tank[[#This Row],[L from]]),"OK","KO"))</f>
        <v/>
      </c>
      <c r="W10" s="442" t="str">
        <f ca="1">IF(Tbl_Deck_Tank[[#This Row],[Weight Fact]],IF(Tbl_Deck_Tank[[#This Row],[Fr from]]*FE_size&lt;0,0,Tbl_Deck_Tank[[#This Row],[Fr from]]*FE_size),"")</f>
        <v/>
      </c>
      <c r="X10" s="443" t="str">
        <f ca="1">IF(Tbl_Deck_Tank[[#This Row],[Weight Fact]],IF(Tbl_Deck_Tank[[#This Row],[Fr to]]*FE_size=Tbl_Deck_Tank[[#This Row],[L from]],Tbl_Deck_Tank[[#This Row],[L from]]+FE_size,IF(Tbl_Deck_Tank[[#This Row],[Fr to]]*FE_size&gt;Lpp,Lpp,Tbl_Deck_Tank[[#This Row],[Fr to]]*FE_size)),"")</f>
        <v/>
      </c>
      <c r="Y10" s="444" t="str">
        <f ca="1">IFERROR(Tbl_Deck_Tank[[#This Row],[Weight Fact]]/(Tbl_Deck_Tank[[#This Row],[L to]]-Tbl_Deck_Tank[[#This Row],[L from]]),"")</f>
        <v/>
      </c>
      <c r="Z10" s="145" t="str">
        <f ca="1">IF(Tbl_Deck_Tank[[#This Row],[Weight Fact]],Tbl_Deck_Tank[[#This Row],[Spread]]*(Tbl_Deck_Tank[[#This Row],[L to]]-Tbl_Deck_Tank[[#This Row],[L from]])-Tbl_Deck_Tank[[#This Row],[Weight Fact]],"")</f>
        <v/>
      </c>
      <c r="AA10" s="141" t="str">
        <f ca="1">IF(AND(ISNUMBER(Tbl_Deck_Tank[[#This Row],[L from]]),ISNUMBER(Tbl_Deck_Tank[[#This Row],[L to]])),IF(AND(Tbl_Deck_Tank[[#This Row],[L from]]&gt;=0,Tbl_Deck_Tank[[#This Row],[L to]]&lt;=Lpp),"OK","KO"),"OK")</f>
        <v>OK</v>
      </c>
      <c r="AC10" s="744">
        <v>5</v>
      </c>
      <c r="AD10" s="524"/>
      <c r="AE10" s="557"/>
      <c r="AF10" s="558"/>
      <c r="AG10" s="578"/>
      <c r="AI10" s="524"/>
      <c r="AJ10" s="557"/>
      <c r="AK10" s="558"/>
      <c r="AN10" s="524"/>
      <c r="AO10" s="557"/>
      <c r="AP10" s="558"/>
      <c r="AS10" s="524"/>
      <c r="AT10" s="557"/>
      <c r="AU10" s="558"/>
    </row>
    <row r="11" spans="1:47" ht="15.75" x14ac:dyDescent="0.25">
      <c r="B11" s="529"/>
      <c r="C11" s="530"/>
      <c r="D11" s="575"/>
      <c r="E11" s="853"/>
      <c r="F11" s="856"/>
      <c r="G11" s="850"/>
      <c r="H11" s="532"/>
      <c r="I11" s="850"/>
      <c r="J11" s="589"/>
      <c r="K11" s="589"/>
      <c r="L11" s="746"/>
      <c r="M11" s="447"/>
      <c r="N11" s="854"/>
      <c r="O11" s="854"/>
      <c r="P11" s="854"/>
      <c r="Q11" s="855"/>
      <c r="R11" s="448"/>
      <c r="S11" s="448"/>
      <c r="T11" s="449"/>
      <c r="U11" s="450"/>
      <c r="V11" s="451"/>
      <c r="W11" s="452"/>
      <c r="X11" s="452"/>
      <c r="Y11" s="453"/>
      <c r="Z11" s="454"/>
      <c r="AA11" s="451"/>
      <c r="AC11" s="744">
        <v>6</v>
      </c>
      <c r="AD11" s="524" t="s">
        <v>353</v>
      </c>
      <c r="AE11" s="549">
        <v>0</v>
      </c>
      <c r="AF11" s="525" t="s">
        <v>20</v>
      </c>
      <c r="AG11" s="578"/>
      <c r="AI11" s="524" t="s">
        <v>353</v>
      </c>
      <c r="AJ11" s="549">
        <v>0</v>
      </c>
      <c r="AK11" s="525" t="s">
        <v>20</v>
      </c>
      <c r="AN11" s="524" t="s">
        <v>353</v>
      </c>
      <c r="AO11" s="549">
        <v>0</v>
      </c>
      <c r="AP11" s="525" t="s">
        <v>20</v>
      </c>
      <c r="AS11" s="524" t="s">
        <v>353</v>
      </c>
      <c r="AT11" s="549">
        <v>0</v>
      </c>
      <c r="AU11" s="525" t="s">
        <v>20</v>
      </c>
    </row>
    <row r="12" spans="1:47" ht="15.75" x14ac:dyDescent="0.25">
      <c r="B12" s="529"/>
      <c r="C12" s="530"/>
      <c r="D12" s="575"/>
      <c r="E12" s="853"/>
      <c r="F12" s="856"/>
      <c r="G12" s="850"/>
      <c r="H12" s="532"/>
      <c r="I12" s="850"/>
      <c r="J12" s="589"/>
      <c r="K12" s="589"/>
      <c r="L12" s="746"/>
      <c r="M12" s="447"/>
      <c r="N12" s="854"/>
      <c r="O12" s="854"/>
      <c r="P12" s="854"/>
      <c r="Q12" s="855"/>
      <c r="R12" s="448"/>
      <c r="S12" s="448"/>
      <c r="T12" s="449"/>
      <c r="U12" s="450"/>
      <c r="V12" s="451"/>
      <c r="W12" s="452"/>
      <c r="X12" s="452"/>
      <c r="Y12" s="453"/>
      <c r="Z12" s="454"/>
      <c r="AA12" s="451"/>
      <c r="AC12" s="744">
        <v>7</v>
      </c>
      <c r="AD12" s="524" t="s">
        <v>352</v>
      </c>
      <c r="AE12" s="203">
        <v>0.86</v>
      </c>
      <c r="AF12" s="525" t="s">
        <v>164</v>
      </c>
      <c r="AG12" s="578"/>
      <c r="AI12" s="524" t="s">
        <v>352</v>
      </c>
      <c r="AJ12" s="203">
        <v>1</v>
      </c>
      <c r="AK12" s="525" t="s">
        <v>164</v>
      </c>
      <c r="AN12" s="524" t="s">
        <v>352</v>
      </c>
      <c r="AO12" s="203">
        <v>1</v>
      </c>
      <c r="AP12" s="525" t="s">
        <v>164</v>
      </c>
      <c r="AS12" s="524" t="s">
        <v>352</v>
      </c>
      <c r="AT12" s="203">
        <v>1</v>
      </c>
      <c r="AU12" s="525" t="s">
        <v>164</v>
      </c>
    </row>
    <row r="13" spans="1:47" ht="15.75" x14ac:dyDescent="0.25">
      <c r="AC13" s="744">
        <v>8</v>
      </c>
      <c r="AD13" s="524"/>
      <c r="AE13" s="557"/>
      <c r="AF13" s="558"/>
      <c r="AG13" s="578"/>
      <c r="AI13" s="524"/>
      <c r="AJ13" s="557"/>
      <c r="AK13" s="558"/>
      <c r="AN13" s="524"/>
      <c r="AO13" s="557"/>
      <c r="AP13" s="558"/>
      <c r="AS13" s="524"/>
      <c r="AT13" s="557"/>
      <c r="AU13" s="558"/>
    </row>
    <row r="14" spans="1:47" ht="15.75" x14ac:dyDescent="0.25">
      <c r="AC14" s="744">
        <v>9</v>
      </c>
      <c r="AD14" s="524" t="s">
        <v>393</v>
      </c>
      <c r="AE14" s="203">
        <v>25</v>
      </c>
      <c r="AF14" s="525" t="s">
        <v>12</v>
      </c>
      <c r="AG14" s="578"/>
      <c r="AI14" s="524" t="s">
        <v>393</v>
      </c>
      <c r="AJ14" s="203">
        <v>35.25</v>
      </c>
      <c r="AK14" s="525" t="s">
        <v>12</v>
      </c>
      <c r="AN14" s="524" t="s">
        <v>393</v>
      </c>
      <c r="AO14" s="203">
        <v>35.25</v>
      </c>
      <c r="AP14" s="525" t="s">
        <v>12</v>
      </c>
      <c r="AS14" s="524" t="s">
        <v>393</v>
      </c>
      <c r="AT14" s="203">
        <v>35.25</v>
      </c>
      <c r="AU14" s="525" t="s">
        <v>12</v>
      </c>
    </row>
    <row r="15" spans="1:47" ht="15.75" x14ac:dyDescent="0.25">
      <c r="AC15" s="744">
        <v>10</v>
      </c>
      <c r="AD15" s="524" t="s">
        <v>394</v>
      </c>
      <c r="AE15" s="203">
        <v>-7.0250000000000004</v>
      </c>
      <c r="AF15" s="525" t="s">
        <v>12</v>
      </c>
      <c r="AG15" s="578"/>
      <c r="AI15" s="524" t="s">
        <v>394</v>
      </c>
      <c r="AJ15" s="203">
        <v>12.2</v>
      </c>
      <c r="AK15" s="525" t="s">
        <v>12</v>
      </c>
      <c r="AN15" s="524" t="s">
        <v>394</v>
      </c>
      <c r="AO15" s="203">
        <v>12.2</v>
      </c>
      <c r="AP15" s="525" t="s">
        <v>12</v>
      </c>
      <c r="AS15" s="524" t="s">
        <v>394</v>
      </c>
      <c r="AT15" s="203">
        <v>12.2</v>
      </c>
      <c r="AU15" s="525" t="s">
        <v>12</v>
      </c>
    </row>
    <row r="16" spans="1:47" ht="15.75" x14ac:dyDescent="0.25">
      <c r="AC16" s="744">
        <v>11</v>
      </c>
      <c r="AD16" s="524" t="s">
        <v>392</v>
      </c>
      <c r="AE16" s="203">
        <f>M_depth+1.25</f>
        <v>5.25</v>
      </c>
      <c r="AF16" s="525" t="s">
        <v>12</v>
      </c>
      <c r="AG16" s="578"/>
      <c r="AI16" s="524" t="s">
        <v>392</v>
      </c>
      <c r="AJ16" s="203">
        <v>0.5</v>
      </c>
      <c r="AK16" s="525" t="s">
        <v>12</v>
      </c>
      <c r="AN16" s="524" t="s">
        <v>392</v>
      </c>
      <c r="AO16" s="203">
        <v>0.5</v>
      </c>
      <c r="AP16" s="525" t="s">
        <v>12</v>
      </c>
      <c r="AS16" s="524" t="s">
        <v>392</v>
      </c>
      <c r="AT16" s="203">
        <v>0.5</v>
      </c>
      <c r="AU16" s="525" t="s">
        <v>12</v>
      </c>
    </row>
    <row r="17" spans="29:47" ht="15.75" x14ac:dyDescent="0.25">
      <c r="AC17" s="744">
        <v>12</v>
      </c>
      <c r="AD17" s="524"/>
      <c r="AE17" s="203"/>
      <c r="AF17" s="525"/>
      <c r="AG17" s="578"/>
      <c r="AI17" s="524"/>
      <c r="AJ17" s="203"/>
      <c r="AK17" s="525"/>
      <c r="AN17" s="524"/>
      <c r="AO17" s="203"/>
      <c r="AP17" s="525"/>
      <c r="AS17" s="524"/>
      <c r="AT17" s="203"/>
      <c r="AU17" s="525"/>
    </row>
    <row r="18" spans="29:47" ht="15.75" x14ac:dyDescent="0.25">
      <c r="AC18" s="744">
        <v>13</v>
      </c>
      <c r="AD18" s="526" t="s">
        <v>359</v>
      </c>
      <c r="AE18" s="559" t="s">
        <v>360</v>
      </c>
      <c r="AF18" s="528"/>
      <c r="AG18" s="578"/>
      <c r="AI18" s="526" t="s">
        <v>359</v>
      </c>
      <c r="AJ18" s="559" t="s">
        <v>361</v>
      </c>
      <c r="AK18" s="528"/>
      <c r="AN18" s="526" t="s">
        <v>359</v>
      </c>
      <c r="AO18" s="559" t="s">
        <v>361</v>
      </c>
      <c r="AP18" s="528"/>
      <c r="AS18" s="526" t="s">
        <v>359</v>
      </c>
      <c r="AT18" s="559" t="s">
        <v>361</v>
      </c>
      <c r="AU18" s="528"/>
    </row>
    <row r="19" spans="29:47" ht="15.75" x14ac:dyDescent="0.25">
      <c r="AC19" s="744">
        <v>14</v>
      </c>
      <c r="AG19" s="578"/>
    </row>
    <row r="20" spans="29:47" ht="15.75" x14ac:dyDescent="0.25">
      <c r="AC20" s="744">
        <v>15</v>
      </c>
      <c r="AD20" s="1124" t="s">
        <v>354</v>
      </c>
      <c r="AE20" s="1125"/>
      <c r="AF20" s="1126"/>
      <c r="AG20" s="578"/>
      <c r="AI20" s="1124" t="s">
        <v>354</v>
      </c>
      <c r="AJ20" s="1125"/>
      <c r="AK20" s="1126"/>
      <c r="AN20" s="1124" t="s">
        <v>354</v>
      </c>
      <c r="AO20" s="1125"/>
      <c r="AP20" s="1126"/>
      <c r="AS20" s="1124" t="s">
        <v>354</v>
      </c>
      <c r="AT20" s="1125"/>
      <c r="AU20" s="1126"/>
    </row>
    <row r="21" spans="29:47" ht="15.75" x14ac:dyDescent="0.25">
      <c r="AC21" s="744">
        <v>16</v>
      </c>
      <c r="AD21" s="560" t="s">
        <v>365</v>
      </c>
      <c r="AE21" s="63">
        <f>INDEX(Tbl_Deck_Tank[Recap Hullage],AE$4+1)</f>
        <v>0</v>
      </c>
      <c r="AF21" s="561" t="s">
        <v>12</v>
      </c>
      <c r="AG21" s="578"/>
      <c r="AI21" s="560" t="s">
        <v>365</v>
      </c>
      <c r="AJ21" s="63">
        <f>INDEX(Tbl_Deck_Tank[Recap Hullage],AJ$4+1)</f>
        <v>0</v>
      </c>
      <c r="AK21" s="561" t="s">
        <v>12</v>
      </c>
      <c r="AN21" s="560" t="s">
        <v>365</v>
      </c>
      <c r="AO21" s="63">
        <f>INDEX(Tbl_Deck_Tank[Recap Hullage],AO$4+1)</f>
        <v>0</v>
      </c>
      <c r="AP21" s="561" t="s">
        <v>12</v>
      </c>
      <c r="AS21" s="560" t="s">
        <v>365</v>
      </c>
      <c r="AT21" s="63">
        <f>INDEX(Tbl_Deck_Tank[Recap Hullage],AT$4+1)</f>
        <v>0</v>
      </c>
      <c r="AU21" s="561" t="s">
        <v>12</v>
      </c>
    </row>
    <row r="22" spans="29:47" ht="15.75" x14ac:dyDescent="0.25">
      <c r="AC22" s="744">
        <v>17</v>
      </c>
      <c r="AD22" s="550"/>
      <c r="AE22" s="551"/>
      <c r="AF22" s="552"/>
      <c r="AG22" s="578"/>
      <c r="AI22" s="550"/>
      <c r="AJ22" s="551"/>
      <c r="AK22" s="552"/>
      <c r="AN22" s="550"/>
      <c r="AO22" s="551"/>
      <c r="AP22" s="552"/>
      <c r="AS22" s="550"/>
      <c r="AT22" s="551"/>
      <c r="AU22" s="552"/>
    </row>
    <row r="23" spans="29:47" ht="15.75" x14ac:dyDescent="0.25">
      <c r="AC23" s="744">
        <v>18</v>
      </c>
      <c r="AD23" s="553" t="s">
        <v>355</v>
      </c>
      <c r="AE23" s="554">
        <f>IFERROR(ACOS((AE7/2-AE21)/(AE7/2)),0)</f>
        <v>0</v>
      </c>
      <c r="AF23" s="555" t="s">
        <v>45</v>
      </c>
      <c r="AG23" s="578"/>
      <c r="AI23" s="553" t="s">
        <v>355</v>
      </c>
      <c r="AJ23" s="554">
        <f>IFERROR(ACOS((AJ7/2-AJ21)/(AJ7/2)),0)</f>
        <v>0</v>
      </c>
      <c r="AK23" s="555" t="s">
        <v>45</v>
      </c>
      <c r="AN23" s="553" t="s">
        <v>355</v>
      </c>
      <c r="AO23" s="554">
        <f>IFERROR(ACOS((AO7/2-AO21)/(AO7/2)),0)</f>
        <v>0</v>
      </c>
      <c r="AP23" s="555" t="s">
        <v>45</v>
      </c>
      <c r="AS23" s="553" t="s">
        <v>355</v>
      </c>
      <c r="AT23" s="554">
        <f>IFERROR(ACOS((AT7/2-AT21)/(AT7/2)),0)</f>
        <v>0</v>
      </c>
      <c r="AU23" s="555" t="s">
        <v>45</v>
      </c>
    </row>
    <row r="24" spans="29:47" ht="15.75" x14ac:dyDescent="0.25">
      <c r="AC24" s="744">
        <v>19</v>
      </c>
      <c r="AD24" s="556" t="s">
        <v>367</v>
      </c>
      <c r="AE24" s="554">
        <f>AE23*AE7^2/4</f>
        <v>0</v>
      </c>
      <c r="AF24" s="555" t="s">
        <v>46</v>
      </c>
      <c r="AG24" s="578"/>
      <c r="AI24" s="556" t="s">
        <v>367</v>
      </c>
      <c r="AJ24" s="554">
        <f>AJ23*AJ7^2/4</f>
        <v>0</v>
      </c>
      <c r="AK24" s="555" t="s">
        <v>46</v>
      </c>
      <c r="AN24" s="556" t="s">
        <v>367</v>
      </c>
      <c r="AO24" s="554">
        <f>AO23*AO7^2/4</f>
        <v>0</v>
      </c>
      <c r="AP24" s="555" t="s">
        <v>46</v>
      </c>
      <c r="AS24" s="556" t="s">
        <v>367</v>
      </c>
      <c r="AT24" s="554">
        <f>AT23*AT7^2/4</f>
        <v>0</v>
      </c>
      <c r="AU24" s="555" t="s">
        <v>46</v>
      </c>
    </row>
    <row r="25" spans="29:47" ht="15.75" x14ac:dyDescent="0.25">
      <c r="AC25" s="744">
        <v>20</v>
      </c>
      <c r="AD25" s="556" t="s">
        <v>368</v>
      </c>
      <c r="AE25" s="554">
        <f>IFERROR(SQRT(AE7^2/4-(AE7/2-AE21)^2),0)</f>
        <v>0</v>
      </c>
      <c r="AF25" s="555" t="s">
        <v>12</v>
      </c>
      <c r="AG25" s="578"/>
      <c r="AI25" s="556" t="s">
        <v>368</v>
      </c>
      <c r="AJ25" s="554">
        <f>IFERROR(SQRT(AJ7^2/4-(AJ7/2-AJ21)^2),0)</f>
        <v>0</v>
      </c>
      <c r="AK25" s="555" t="s">
        <v>12</v>
      </c>
      <c r="AN25" s="556" t="s">
        <v>368</v>
      </c>
      <c r="AO25" s="554">
        <f>IFERROR(SQRT(AO7^2/4-(AO7/2-AO21)^2),0)</f>
        <v>0</v>
      </c>
      <c r="AP25" s="555" t="s">
        <v>12</v>
      </c>
      <c r="AS25" s="556" t="s">
        <v>368</v>
      </c>
      <c r="AT25" s="554">
        <f>IFERROR(SQRT(AT7^2/4-(AT7/2-AT21)^2),0)</f>
        <v>0</v>
      </c>
      <c r="AU25" s="555" t="s">
        <v>12</v>
      </c>
    </row>
    <row r="26" spans="29:47" ht="15.75" x14ac:dyDescent="0.25">
      <c r="AC26" s="744">
        <v>21</v>
      </c>
      <c r="AD26" s="556" t="s">
        <v>369</v>
      </c>
      <c r="AE26" s="554">
        <f>(AE7/2-AE21)*AE25</f>
        <v>0</v>
      </c>
      <c r="AF26" s="555" t="s">
        <v>46</v>
      </c>
      <c r="AG26" s="578"/>
      <c r="AI26" s="556" t="s">
        <v>369</v>
      </c>
      <c r="AJ26" s="554">
        <f>(AJ7/2-AJ21)*AJ25</f>
        <v>0</v>
      </c>
      <c r="AK26" s="555" t="s">
        <v>46</v>
      </c>
      <c r="AN26" s="556" t="s">
        <v>369</v>
      </c>
      <c r="AO26" s="554">
        <f>(AO7/2-AO21)*AO25</f>
        <v>0</v>
      </c>
      <c r="AP26" s="555" t="s">
        <v>46</v>
      </c>
      <c r="AS26" s="556" t="s">
        <v>369</v>
      </c>
      <c r="AT26" s="554">
        <f>(AT7/2-AT21)*AT25</f>
        <v>0</v>
      </c>
      <c r="AU26" s="555" t="s">
        <v>46</v>
      </c>
    </row>
    <row r="27" spans="29:47" ht="15.75" x14ac:dyDescent="0.25">
      <c r="AC27" s="744">
        <v>22</v>
      </c>
      <c r="AD27" s="556" t="s">
        <v>370</v>
      </c>
      <c r="AE27" s="554">
        <f>AE24-AE26</f>
        <v>0</v>
      </c>
      <c r="AF27" s="555" t="s">
        <v>46</v>
      </c>
      <c r="AG27" s="578"/>
      <c r="AI27" s="556" t="s">
        <v>370</v>
      </c>
      <c r="AJ27" s="554">
        <f>AJ24-AJ26</f>
        <v>0</v>
      </c>
      <c r="AK27" s="555" t="s">
        <v>46</v>
      </c>
      <c r="AN27" s="556" t="s">
        <v>370</v>
      </c>
      <c r="AO27" s="554">
        <f>AO24-AO26</f>
        <v>0</v>
      </c>
      <c r="AP27" s="555" t="s">
        <v>46</v>
      </c>
      <c r="AS27" s="556" t="s">
        <v>370</v>
      </c>
      <c r="AT27" s="554">
        <f>AT24-AT26</f>
        <v>0</v>
      </c>
      <c r="AU27" s="555" t="s">
        <v>46</v>
      </c>
    </row>
    <row r="28" spans="29:47" ht="15.75" x14ac:dyDescent="0.25">
      <c r="AC28" s="744">
        <v>23</v>
      </c>
      <c r="AD28" s="556" t="s">
        <v>371</v>
      </c>
      <c r="AE28" s="554">
        <f>IFERROR(AE7/2-AE7*SIN(AE23)/(3*AE23),0)</f>
        <v>0</v>
      </c>
      <c r="AF28" s="555" t="s">
        <v>12</v>
      </c>
      <c r="AG28" s="578"/>
      <c r="AI28" s="556" t="s">
        <v>371</v>
      </c>
      <c r="AJ28" s="554">
        <f>IFERROR(AJ7/2-AJ7*SIN(AJ23)/(3*AJ23),0)</f>
        <v>0</v>
      </c>
      <c r="AK28" s="555" t="s">
        <v>12</v>
      </c>
      <c r="AN28" s="556" t="s">
        <v>371</v>
      </c>
      <c r="AO28" s="554">
        <f>IFERROR(AO7/2-AO7*SIN(AO23)/(3*AO23),0)</f>
        <v>0</v>
      </c>
      <c r="AP28" s="555" t="s">
        <v>12</v>
      </c>
      <c r="AS28" s="556" t="s">
        <v>371</v>
      </c>
      <c r="AT28" s="554">
        <f>IFERROR(AT7/2-AT7*SIN(AT23)/(3*AT23),0)</f>
        <v>0</v>
      </c>
      <c r="AU28" s="555" t="s">
        <v>12</v>
      </c>
    </row>
    <row r="29" spans="29:47" ht="15.75" x14ac:dyDescent="0.25">
      <c r="AC29" s="744">
        <v>24</v>
      </c>
      <c r="AD29" s="556" t="s">
        <v>363</v>
      </c>
      <c r="AE29" s="554">
        <f>AE7/2-2/3*(AE7/2-AE21)</f>
        <v>0.3666666666666667</v>
      </c>
      <c r="AF29" s="555" t="s">
        <v>12</v>
      </c>
      <c r="AG29" s="578"/>
      <c r="AI29" s="556" t="s">
        <v>363</v>
      </c>
      <c r="AJ29" s="554">
        <f>AJ7/2-2/3*(AJ7/2-AJ21)</f>
        <v>0.23333333333333334</v>
      </c>
      <c r="AK29" s="555" t="s">
        <v>12</v>
      </c>
      <c r="AN29" s="556" t="s">
        <v>363</v>
      </c>
      <c r="AO29" s="554">
        <f>AO7/2-2/3*(AO7/2-AO21)</f>
        <v>0</v>
      </c>
      <c r="AP29" s="555" t="s">
        <v>12</v>
      </c>
      <c r="AS29" s="556" t="s">
        <v>363</v>
      </c>
      <c r="AT29" s="554">
        <f>AT7/2-2/3*(AT7/2-AT21)</f>
        <v>0</v>
      </c>
      <c r="AU29" s="555" t="s">
        <v>12</v>
      </c>
    </row>
    <row r="30" spans="29:47" ht="15.75" x14ac:dyDescent="0.25">
      <c r="AC30" s="744">
        <v>25</v>
      </c>
      <c r="AD30" s="556" t="s">
        <v>362</v>
      </c>
      <c r="AE30" s="554">
        <f>IFERROR((AE28*AE24-AE29*AE26)/AE27,0)</f>
        <v>0</v>
      </c>
      <c r="AF30" s="555" t="s">
        <v>12</v>
      </c>
      <c r="AG30" s="578"/>
      <c r="AI30" s="556" t="s">
        <v>362</v>
      </c>
      <c r="AJ30" s="554">
        <f>IFERROR((AJ28*AJ24-AJ29*AJ26)/AJ27,0)</f>
        <v>0</v>
      </c>
      <c r="AK30" s="555" t="s">
        <v>12</v>
      </c>
      <c r="AN30" s="556" t="s">
        <v>362</v>
      </c>
      <c r="AO30" s="554">
        <f>IFERROR((AO28*AO24-AO29*AO26)/AO27,0)</f>
        <v>0</v>
      </c>
      <c r="AP30" s="555" t="s">
        <v>12</v>
      </c>
      <c r="AS30" s="556" t="s">
        <v>362</v>
      </c>
      <c r="AT30" s="554">
        <f>IFERROR((AT28*AT24-AT29*AT26)/AT27,0)</f>
        <v>0</v>
      </c>
      <c r="AU30" s="555" t="s">
        <v>12</v>
      </c>
    </row>
    <row r="31" spans="29:47" ht="15.75" x14ac:dyDescent="0.25">
      <c r="AC31" s="744">
        <v>26</v>
      </c>
      <c r="AD31" s="556"/>
      <c r="AE31" s="554"/>
      <c r="AF31" s="555"/>
      <c r="AG31" s="578"/>
      <c r="AI31" s="556"/>
      <c r="AJ31" s="554"/>
      <c r="AK31" s="555"/>
      <c r="AN31" s="556"/>
      <c r="AO31" s="554"/>
      <c r="AP31" s="555"/>
      <c r="AS31" s="556"/>
      <c r="AT31" s="554"/>
      <c r="AU31" s="555"/>
    </row>
    <row r="32" spans="29:47" ht="15.75" x14ac:dyDescent="0.25">
      <c r="AC32" s="744">
        <v>27</v>
      </c>
      <c r="AD32" s="556" t="s">
        <v>42</v>
      </c>
      <c r="AE32" s="571">
        <f>AE27*AE8</f>
        <v>0</v>
      </c>
      <c r="AF32" s="555" t="s">
        <v>11</v>
      </c>
      <c r="AG32" s="578"/>
      <c r="AI32" s="556" t="s">
        <v>42</v>
      </c>
      <c r="AJ32" s="571">
        <f>AJ27*AJ8</f>
        <v>0</v>
      </c>
      <c r="AK32" s="555" t="s">
        <v>11</v>
      </c>
      <c r="AN32" s="556" t="s">
        <v>42</v>
      </c>
      <c r="AO32" s="571">
        <f>AO27*AO8</f>
        <v>0</v>
      </c>
      <c r="AP32" s="555" t="s">
        <v>11</v>
      </c>
      <c r="AS32" s="556" t="s">
        <v>42</v>
      </c>
      <c r="AT32" s="571">
        <f>AT27*AT8</f>
        <v>0</v>
      </c>
      <c r="AU32" s="555" t="s">
        <v>11</v>
      </c>
    </row>
    <row r="33" spans="29:47" x14ac:dyDescent="0.25">
      <c r="AC33" s="744">
        <v>28</v>
      </c>
      <c r="AD33" s="556" t="s">
        <v>356</v>
      </c>
      <c r="AE33" s="566">
        <f>AE32*AE12</f>
        <v>0</v>
      </c>
      <c r="AF33" s="555" t="s">
        <v>20</v>
      </c>
      <c r="AI33" s="556" t="s">
        <v>356</v>
      </c>
      <c r="AJ33" s="566">
        <f>AJ32*AJ12</f>
        <v>0</v>
      </c>
      <c r="AK33" s="555" t="s">
        <v>20</v>
      </c>
      <c r="AN33" s="556" t="s">
        <v>356</v>
      </c>
      <c r="AO33" s="566">
        <f>AO32*AO12</f>
        <v>0</v>
      </c>
      <c r="AP33" s="555" t="s">
        <v>20</v>
      </c>
      <c r="AS33" s="556" t="s">
        <v>356</v>
      </c>
      <c r="AT33" s="566">
        <f>AT32*AT12</f>
        <v>0</v>
      </c>
      <c r="AU33" s="555" t="s">
        <v>20</v>
      </c>
    </row>
    <row r="34" spans="29:47" x14ac:dyDescent="0.25">
      <c r="AC34" s="744">
        <v>29</v>
      </c>
      <c r="AD34" s="569" t="s">
        <v>374</v>
      </c>
      <c r="AE34" s="564">
        <f>AE33+AE11</f>
        <v>0</v>
      </c>
      <c r="AF34" s="570" t="s">
        <v>20</v>
      </c>
      <c r="AI34" s="569" t="s">
        <v>374</v>
      </c>
      <c r="AJ34" s="564">
        <f>AJ33+AJ11</f>
        <v>0</v>
      </c>
      <c r="AK34" s="570" t="s">
        <v>20</v>
      </c>
      <c r="AN34" s="569" t="s">
        <v>374</v>
      </c>
      <c r="AO34" s="564">
        <f>AO33+AO11</f>
        <v>0</v>
      </c>
      <c r="AP34" s="570" t="s">
        <v>20</v>
      </c>
      <c r="AS34" s="569" t="s">
        <v>374</v>
      </c>
      <c r="AT34" s="564">
        <f>AT33+AT11</f>
        <v>0</v>
      </c>
      <c r="AU34" s="570" t="s">
        <v>20</v>
      </c>
    </row>
    <row r="35" spans="29:47" x14ac:dyDescent="0.25">
      <c r="AC35" s="744">
        <v>30</v>
      </c>
      <c r="AD35" s="556"/>
      <c r="AE35" s="554"/>
      <c r="AF35" s="555"/>
      <c r="AI35" s="556"/>
      <c r="AJ35" s="554"/>
      <c r="AK35" s="555"/>
      <c r="AN35" s="556"/>
      <c r="AO35" s="554"/>
      <c r="AP35" s="555"/>
      <c r="AS35" s="556"/>
      <c r="AT35" s="554"/>
      <c r="AU35" s="555"/>
    </row>
    <row r="36" spans="29:47" x14ac:dyDescent="0.25">
      <c r="AC36" s="744">
        <v>31</v>
      </c>
      <c r="AD36" s="556" t="s">
        <v>357</v>
      </c>
      <c r="AE36" s="554">
        <f>IFERROR((AE33*AE30+AE11*AE9/2)/AE34,0)</f>
        <v>0</v>
      </c>
      <c r="AF36" s="555" t="s">
        <v>12</v>
      </c>
      <c r="AI36" s="556" t="s">
        <v>357</v>
      </c>
      <c r="AJ36" s="554">
        <f>IFERROR((AJ33*AJ30+AJ11*AJ9/2)/AJ34,0)</f>
        <v>0</v>
      </c>
      <c r="AK36" s="555" t="s">
        <v>12</v>
      </c>
      <c r="AN36" s="556" t="s">
        <v>357</v>
      </c>
      <c r="AO36" s="554">
        <f>IFERROR((AO33*AO30+AO11*AO9/2)/AO34,0)</f>
        <v>0</v>
      </c>
      <c r="AP36" s="555" t="s">
        <v>12</v>
      </c>
      <c r="AS36" s="556" t="s">
        <v>357</v>
      </c>
      <c r="AT36" s="554">
        <f>IFERROR((AT33*AT30+AT11*AT9/2)/AT34,0)</f>
        <v>0</v>
      </c>
      <c r="AU36" s="555" t="s">
        <v>12</v>
      </c>
    </row>
    <row r="37" spans="29:47" x14ac:dyDescent="0.25">
      <c r="AC37" s="744">
        <v>32</v>
      </c>
      <c r="AD37" s="569" t="s">
        <v>358</v>
      </c>
      <c r="AE37" s="564">
        <f>AE36+AE16</f>
        <v>5.25</v>
      </c>
      <c r="AF37" s="570" t="s">
        <v>12</v>
      </c>
      <c r="AI37" s="569" t="s">
        <v>358</v>
      </c>
      <c r="AJ37" s="564">
        <f>AJ36+AJ16</f>
        <v>0.5</v>
      </c>
      <c r="AK37" s="570" t="s">
        <v>12</v>
      </c>
      <c r="AN37" s="569" t="s">
        <v>358</v>
      </c>
      <c r="AO37" s="564">
        <f>AO36+AO16</f>
        <v>0.5</v>
      </c>
      <c r="AP37" s="570" t="s">
        <v>12</v>
      </c>
      <c r="AS37" s="569" t="s">
        <v>358</v>
      </c>
      <c r="AT37" s="564">
        <f>AT36+AT16</f>
        <v>0.5</v>
      </c>
      <c r="AU37" s="570" t="s">
        <v>12</v>
      </c>
    </row>
    <row r="38" spans="29:47" x14ac:dyDescent="0.25">
      <c r="AC38" s="744">
        <v>33</v>
      </c>
      <c r="AD38" s="556"/>
      <c r="AE38" s="554"/>
      <c r="AF38" s="555"/>
      <c r="AI38" s="556"/>
      <c r="AJ38" s="554"/>
      <c r="AK38" s="555"/>
      <c r="AN38" s="556"/>
      <c r="AO38" s="554"/>
      <c r="AP38" s="555"/>
      <c r="AS38" s="556"/>
      <c r="AT38" s="554"/>
      <c r="AU38" s="555"/>
    </row>
    <row r="39" spans="29:47" x14ac:dyDescent="0.25">
      <c r="AC39" s="744">
        <v>34</v>
      </c>
      <c r="AD39" s="556" t="s">
        <v>364</v>
      </c>
      <c r="AE39" s="554">
        <f>IF(AE$18="T",(2*AE25)*AE8^3/12,(2*AE25)^3*AE8/12)</f>
        <v>0</v>
      </c>
      <c r="AF39" s="555" t="s">
        <v>44</v>
      </c>
      <c r="AI39" s="556" t="s">
        <v>364</v>
      </c>
      <c r="AJ39" s="554">
        <f>IF(AJ$18="T",(2*AJ25)*AJ8^3/12,(2*AJ25)^3*AJ8/12)</f>
        <v>0</v>
      </c>
      <c r="AK39" s="555" t="s">
        <v>44</v>
      </c>
      <c r="AN39" s="556" t="s">
        <v>364</v>
      </c>
      <c r="AO39" s="554">
        <f>IF(AO$18="T",(2*AO25)*AO8^3/12,(2*AO25)^3*AO8/12)</f>
        <v>0</v>
      </c>
      <c r="AP39" s="555" t="s">
        <v>44</v>
      </c>
      <c r="AS39" s="556" t="s">
        <v>364</v>
      </c>
      <c r="AT39" s="554">
        <f>IF(AT$18="T",(2*AT25)*AT8^3/12,(2*AT25)^3*AT8/12)</f>
        <v>0</v>
      </c>
      <c r="AU39" s="555" t="s">
        <v>44</v>
      </c>
    </row>
    <row r="40" spans="29:47" x14ac:dyDescent="0.25">
      <c r="AC40" s="744">
        <v>35</v>
      </c>
      <c r="AD40" s="567" t="s">
        <v>375</v>
      </c>
      <c r="AE40" s="565">
        <f>AE39/AE12</f>
        <v>0</v>
      </c>
      <c r="AF40" s="568" t="s">
        <v>47</v>
      </c>
      <c r="AI40" s="567" t="s">
        <v>375</v>
      </c>
      <c r="AJ40" s="565">
        <f>AJ39/AJ12</f>
        <v>0</v>
      </c>
      <c r="AK40" s="568" t="s">
        <v>47</v>
      </c>
      <c r="AN40" s="567" t="s">
        <v>375</v>
      </c>
      <c r="AO40" s="565">
        <f>AO39/AO12</f>
        <v>0</v>
      </c>
      <c r="AP40" s="568" t="s">
        <v>47</v>
      </c>
      <c r="AS40" s="567" t="s">
        <v>375</v>
      </c>
      <c r="AT40" s="565">
        <f>AT39/AT12</f>
        <v>0</v>
      </c>
      <c r="AU40" s="568" t="s">
        <v>47</v>
      </c>
    </row>
    <row r="43" spans="29:47" x14ac:dyDescent="0.25">
      <c r="AG43" s="577"/>
    </row>
    <row r="44" spans="29:47" x14ac:dyDescent="0.25">
      <c r="AG44" s="577"/>
    </row>
  </sheetData>
  <mergeCells count="20">
    <mergeCell ref="AS5:AU5"/>
    <mergeCell ref="AS6:AU6"/>
    <mergeCell ref="AS20:AU20"/>
    <mergeCell ref="AN6:AP6"/>
    <mergeCell ref="AN20:AP20"/>
    <mergeCell ref="AN5:AP5"/>
    <mergeCell ref="AD5:AF5"/>
    <mergeCell ref="AI5:AK5"/>
    <mergeCell ref="AD20:AF20"/>
    <mergeCell ref="AD6:AF6"/>
    <mergeCell ref="AI6:AK6"/>
    <mergeCell ref="AI20:AK20"/>
    <mergeCell ref="C4:E4"/>
    <mergeCell ref="N4:P4"/>
    <mergeCell ref="Q4:Z4"/>
    <mergeCell ref="N5:P5"/>
    <mergeCell ref="R5:S5"/>
    <mergeCell ref="T5:U5"/>
    <mergeCell ref="W5:X5"/>
    <mergeCell ref="Z5:AA5"/>
  </mergeCells>
  <conditionalFormatting sqref="AD7:AF18 AD21:AF40">
    <cfRule type="expression" dxfId="39" priority="19">
      <formula>MOD(ROW(),2)</formula>
    </cfRule>
  </conditionalFormatting>
  <conditionalFormatting sqref="M2">
    <cfRule type="cellIs" dxfId="38" priority="13" operator="equal">
      <formula>"OK"</formula>
    </cfRule>
  </conditionalFormatting>
  <conditionalFormatting sqref="V7:V10">
    <cfRule type="cellIs" dxfId="37" priority="12" operator="equal">
      <formula>"OK"</formula>
    </cfRule>
  </conditionalFormatting>
  <conditionalFormatting sqref="AI7:AK18">
    <cfRule type="expression" dxfId="36" priority="11">
      <formula>MOD(ROW(),2)</formula>
    </cfRule>
  </conditionalFormatting>
  <conditionalFormatting sqref="AI21:AK40">
    <cfRule type="expression" dxfId="35" priority="10">
      <formula>MOD(ROW(),2)</formula>
    </cfRule>
  </conditionalFormatting>
  <conditionalFormatting sqref="A1">
    <cfRule type="cellIs" dxfId="34" priority="9" operator="equal">
      <formula>"OK"</formula>
    </cfRule>
  </conditionalFormatting>
  <conditionalFormatting sqref="AN7:AP18">
    <cfRule type="expression" dxfId="33" priority="8">
      <formula>MOD(ROW(),2)</formula>
    </cfRule>
  </conditionalFormatting>
  <conditionalFormatting sqref="AN21:AP40">
    <cfRule type="expression" dxfId="32" priority="7">
      <formula>MOD(ROW(),2)</formula>
    </cfRule>
  </conditionalFormatting>
  <conditionalFormatting sqref="AS7:AU18">
    <cfRule type="expression" dxfId="31" priority="6">
      <formula>MOD(ROW(),2)</formula>
    </cfRule>
  </conditionalFormatting>
  <conditionalFormatting sqref="AS21:AU40">
    <cfRule type="expression" dxfId="30" priority="5">
      <formula>MOD(ROW(),2)</formula>
    </cfRule>
  </conditionalFormatting>
  <conditionalFormatting sqref="AA4">
    <cfRule type="cellIs" dxfId="29" priority="3" operator="equal">
      <formula>"OK"</formula>
    </cfRule>
  </conditionalFormatting>
  <conditionalFormatting sqref="AA8:AA10">
    <cfRule type="cellIs" dxfId="28" priority="2" operator="equal">
      <formula>"OK"</formula>
    </cfRule>
  </conditionalFormatting>
  <conditionalFormatting sqref="AA7:AA10">
    <cfRule type="cellIs" dxfId="27" priority="1" operator="equal">
      <formula>"OK"</formula>
    </cfRule>
  </conditionalFormatting>
  <dataValidations disablePrompts="1" count="1">
    <dataValidation type="list" showInputMessage="1" showErrorMessage="1" promptTitle="Tank Orientation" prompt="A: Alongside, i.e. the cylinder axis is along ship baseline_x000a_T: Transverse, i.e. the cylinder axis is transverse ship baseline" sqref="AE18 AJ18 AO18 AT18" xr:uid="{00000000-0002-0000-0B00-000000000000}">
      <formula1>"A,T"</formula1>
    </dataValidation>
  </dataValidations>
  <pageMargins left="0.7" right="0.7" top="0.75" bottom="0.75" header="0.3" footer="0.3"/>
  <pageSetup paperSize="9" orientation="portrait" r:id="rId1"/>
  <drawing r:id="rId2"/>
  <legacyDrawing r:id="rId3"/>
  <tableParts count="1">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6372A14CDA17F4C9C7E235DA7127FA0" ma:contentTypeVersion="8" ma:contentTypeDescription="Crée un document." ma:contentTypeScope="" ma:versionID="70fd7f91e1c02646685d48c1d27f841b">
  <xsd:schema xmlns:xsd="http://www.w3.org/2001/XMLSchema" xmlns:xs="http://www.w3.org/2001/XMLSchema" xmlns:p="http://schemas.microsoft.com/office/2006/metadata/properties" xmlns:ns2="2b30804e-039d-4134-a33b-91442ffc300f" xmlns:ns3="348815f7-5a42-458f-b4a0-cd40a5adc854" targetNamespace="http://schemas.microsoft.com/office/2006/metadata/properties" ma:root="true" ma:fieldsID="71e703953e3efe7ad0ebcd568daefeda" ns2:_="" ns3:_="">
    <xsd:import namespace="2b30804e-039d-4134-a33b-91442ffc300f"/>
    <xsd:import namespace="348815f7-5a42-458f-b4a0-cd40a5adc854"/>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30804e-039d-4134-a33b-91442ffc300f" elementFormDefault="qualified">
    <xsd:import namespace="http://schemas.microsoft.com/office/2006/documentManagement/types"/>
    <xsd:import namespace="http://schemas.microsoft.com/office/infopath/2007/PartnerControls"/>
    <xsd:element name="SharedWithUsers" ma:index="8"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Partagé avec dé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48815f7-5a42-458f-b4a0-cd40a5adc854"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FBD4058-1A08-46EE-9BD9-E9E0ABE8DE68}">
  <ds:schemaRefs>
    <ds:schemaRef ds:uri="http://schemas.microsoft.com/office/2006/metadata/properties"/>
    <ds:schemaRef ds:uri="http://purl.org/dc/terms/"/>
    <ds:schemaRef ds:uri="348815f7-5a42-458f-b4a0-cd40a5adc854"/>
    <ds:schemaRef ds:uri="http://schemas.microsoft.com/office/2006/documentManagement/types"/>
    <ds:schemaRef ds:uri="2b30804e-039d-4134-a33b-91442ffc300f"/>
    <ds:schemaRef ds:uri="http://schemas.microsoft.com/office/infopath/2007/PartnerControls"/>
    <ds:schemaRef ds:uri="http://purl.org/dc/elements/1.1/"/>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AA17B995-9298-4B0F-A136-802D7193E9C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b30804e-039d-4134-a33b-91442ffc300f"/>
    <ds:schemaRef ds:uri="348815f7-5a42-458f-b4a0-cd40a5adc85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C38773A-B447-408E-9D3B-616B852A6C6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12</vt:i4>
      </vt:variant>
      <vt:variant>
        <vt:lpstr>Plages nommées</vt:lpstr>
      </vt:variant>
      <vt:variant>
        <vt:i4>56</vt:i4>
      </vt:variant>
    </vt:vector>
  </HeadingPairs>
  <TitlesOfParts>
    <vt:vector size="68" baseType="lpstr">
      <vt:lpstr>00.Rev.</vt:lpstr>
      <vt:lpstr>Recap</vt:lpstr>
      <vt:lpstr>Load Distrib</vt:lpstr>
      <vt:lpstr>01.General Data</vt:lpstr>
      <vt:lpstr>02.Hydrostatic</vt:lpstr>
      <vt:lpstr>03.Cross Curves</vt:lpstr>
      <vt:lpstr>04.Long. Section</vt:lpstr>
      <vt:lpstr>05.Hull &amp; Structure</vt:lpstr>
      <vt:lpstr>06.Ballasts</vt:lpstr>
      <vt:lpstr>07.Lifting</vt:lpstr>
      <vt:lpstr>08.Additionnals</vt:lpstr>
      <vt:lpstr>09.Deck Tank</vt:lpstr>
      <vt:lpstr>B</vt:lpstr>
      <vt:lpstr>'06.Ballasts'!Ballasts_columns_step</vt:lpstr>
      <vt:lpstr>'06.Ballasts'!Ballasts_Nline</vt:lpstr>
      <vt:lpstr>'09.Deck Tank'!DeckTank_column_step</vt:lpstr>
      <vt:lpstr>Displ_max</vt:lpstr>
      <vt:lpstr>Displacement</vt:lpstr>
      <vt:lpstr>Draft</vt:lpstr>
      <vt:lpstr>Draft_aft</vt:lpstr>
      <vt:lpstr>Draft_Fore</vt:lpstr>
      <vt:lpstr>Draft_max</vt:lpstr>
      <vt:lpstr>FE_size</vt:lpstr>
      <vt:lpstr>'Load Distrib'!FEM_N_lines</vt:lpstr>
      <vt:lpstr>GM</vt:lpstr>
      <vt:lpstr>ixꙍ</vt:lpstr>
      <vt:lpstr>'Load Distrib'!k_depl</vt:lpstr>
      <vt:lpstr>KG</vt:lpstr>
      <vt:lpstr>KM_T</vt:lpstr>
      <vt:lpstr>Last_Frame</vt:lpstr>
      <vt:lpstr>LCB</vt:lpstr>
      <vt:lpstr>LCF</vt:lpstr>
      <vt:lpstr>LCG</vt:lpstr>
      <vt:lpstr>Lifting_Boom_Height</vt:lpstr>
      <vt:lpstr>Lifting_Deck_Cover_Thk</vt:lpstr>
      <vt:lpstr>Lifting_H_CoG_Crane</vt:lpstr>
      <vt:lpstr>Lifting_Track_Length</vt:lpstr>
      <vt:lpstr>Loa</vt:lpstr>
      <vt:lpstr>LoadDistrib_LCG_corr</vt:lpstr>
      <vt:lpstr>LongSection_Draft</vt:lpstr>
      <vt:lpstr>LongSection_DraftAft</vt:lpstr>
      <vt:lpstr>LongSection_DraftFore</vt:lpstr>
      <vt:lpstr>LongSection_LCB</vt:lpstr>
      <vt:lpstr>LongSection_RML</vt:lpstr>
      <vt:lpstr>LongSection_VCB</vt:lpstr>
      <vt:lpstr>'04.Long. Section'!LongSection_X</vt:lpstr>
      <vt:lpstr>'04.Long. Section'!LongSection_Y</vt:lpstr>
      <vt:lpstr>LongSection_ΔT</vt:lpstr>
      <vt:lpstr>Lpp</vt:lpstr>
      <vt:lpstr>M_depth</vt:lpstr>
      <vt:lpstr>MCT</vt:lpstr>
      <vt:lpstr>Recap_Additionals</vt:lpstr>
      <vt:lpstr>Recap_Ballasts</vt:lpstr>
      <vt:lpstr>Recap_Deck_Tank</vt:lpstr>
      <vt:lpstr>Recap_Lifting</vt:lpstr>
      <vt:lpstr>Ship_Name</vt:lpstr>
      <vt:lpstr>TCB</vt:lpstr>
      <vt:lpstr>TCG</vt:lpstr>
      <vt:lpstr>Zcog</vt:lpstr>
      <vt:lpstr>Recap!Zone_d_impression</vt:lpstr>
      <vt:lpstr>Δ_calc</vt:lpstr>
      <vt:lpstr>Δ_hba</vt:lpstr>
      <vt:lpstr>Δhydro</vt:lpstr>
      <vt:lpstr>Δlist</vt:lpstr>
      <vt:lpstr>Δtrim</vt:lpstr>
      <vt:lpstr>θlist</vt:lpstr>
      <vt:lpstr>θtrim</vt:lpstr>
      <vt:lpstr>ρ_sw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Akira SHIMAHARA</dc:creator>
  <cp:lastModifiedBy>SHIMAHARA Akira [EIFFAGE INFRASTRUCTURES]</cp:lastModifiedBy>
  <cp:lastPrinted>2018-08-06T16:04:11Z</cp:lastPrinted>
  <dcterms:created xsi:type="dcterms:W3CDTF">2006-09-16T00:00:00Z</dcterms:created>
  <dcterms:modified xsi:type="dcterms:W3CDTF">2023-01-19T21:07:14Z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0x01010096372A14CDA17F4C9C7E235DA7127FA0</vt:lpwstr>
  </property>
</Properties>
</file>